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Y:\WSMD_Storm\Permitting\Operational Permits\2017 Application Materials\Workbooks - Standards Compliance Workbook\"/>
    </mc:Choice>
  </mc:AlternateContent>
  <xr:revisionPtr revIDLastSave="0" documentId="13_ncr:1_{0CE2439D-E762-4F77-81D5-E6B933317CC3}" xr6:coauthVersionLast="34" xr6:coauthVersionMax="34" xr10:uidLastSave="{00000000-0000-0000-0000-000000000000}"/>
  <bookViews>
    <workbookView xWindow="480" yWindow="132" windowWidth="12240" windowHeight="7476" xr2:uid="{00000000-000D-0000-FFFF-FFFF00000000}"/>
  </bookViews>
  <sheets>
    <sheet name="Instructions" sheetId="15" r:id="rId1"/>
    <sheet name="Summary" sheetId="6" r:id="rId2"/>
    <sheet name="SN1" sheetId="9" r:id="rId3"/>
    <sheet name="SN2" sheetId="129" r:id="rId4"/>
    <sheet name="SN3" sheetId="130" r:id="rId5"/>
    <sheet name="SN4" sheetId="131" r:id="rId6"/>
    <sheet name="SN5" sheetId="132" r:id="rId7"/>
    <sheet name="SN6" sheetId="133" r:id="rId8"/>
    <sheet name="SN7" sheetId="134" r:id="rId9"/>
    <sheet name="SN8" sheetId="135" r:id="rId10"/>
    <sheet name="SN9" sheetId="136" r:id="rId11"/>
    <sheet name="Lookup" sheetId="2" state="hidden" r:id="rId12"/>
  </sheets>
  <definedNames>
    <definedName name="New">Lookup!$A$25:$A$26</definedName>
    <definedName name="_xlnm.Print_Area" localSheetId="0">Instructions!$A$1:$K$40</definedName>
  </definedNames>
  <calcPr calcId="179021"/>
  <fileRecoveryPr autoRecover="0"/>
</workbook>
</file>

<file path=xl/calcChain.xml><?xml version="1.0" encoding="utf-8"?>
<calcChain xmlns="http://schemas.openxmlformats.org/spreadsheetml/2006/main">
  <c r="E124" i="136" l="1"/>
  <c r="E123" i="136"/>
  <c r="C115" i="136"/>
  <c r="E112" i="136"/>
  <c r="E111" i="136"/>
  <c r="B111" i="136"/>
  <c r="C103" i="136"/>
  <c r="E100" i="136"/>
  <c r="B100" i="136"/>
  <c r="F97" i="136"/>
  <c r="A94" i="136"/>
  <c r="E93" i="136"/>
  <c r="C90" i="136"/>
  <c r="E85" i="136"/>
  <c r="F84" i="136"/>
  <c r="F83" i="136"/>
  <c r="F82" i="136"/>
  <c r="A81" i="136"/>
  <c r="C77" i="136"/>
  <c r="B76" i="136"/>
  <c r="C68" i="136"/>
  <c r="F65" i="136"/>
  <c r="B123" i="136" s="1"/>
  <c r="E65" i="136"/>
  <c r="D65" i="136"/>
  <c r="F64" i="136"/>
  <c r="B124" i="136" s="1"/>
  <c r="E64" i="136"/>
  <c r="B112" i="136" s="1"/>
  <c r="D64" i="136"/>
  <c r="F63" i="136"/>
  <c r="E63" i="136"/>
  <c r="D63" i="136"/>
  <c r="F59" i="136"/>
  <c r="E59" i="136"/>
  <c r="D59" i="136"/>
  <c r="C59" i="136"/>
  <c r="B59" i="136"/>
  <c r="F44" i="136"/>
  <c r="E44" i="136"/>
  <c r="D44" i="136"/>
  <c r="F31" i="136"/>
  <c r="F34" i="136" s="1"/>
  <c r="F28" i="136"/>
  <c r="D45" i="136" s="1"/>
  <c r="D58" i="136" s="1"/>
  <c r="D60" i="136" s="1"/>
  <c r="F27" i="136"/>
  <c r="B69" i="136" s="1"/>
  <c r="B58" i="136" s="1"/>
  <c r="F26" i="136"/>
  <c r="F25" i="136"/>
  <c r="F32" i="136" s="1"/>
  <c r="F24" i="136"/>
  <c r="F18" i="136"/>
  <c r="F35" i="136" s="1"/>
  <c r="F17" i="136"/>
  <c r="F16" i="136"/>
  <c r="F15" i="136"/>
  <c r="F20" i="136" s="1"/>
  <c r="D2" i="136"/>
  <c r="E124" i="135"/>
  <c r="E123" i="135"/>
  <c r="C115" i="135"/>
  <c r="E112" i="135"/>
  <c r="E111" i="135"/>
  <c r="B111" i="135"/>
  <c r="C103" i="135"/>
  <c r="E100" i="135"/>
  <c r="F97" i="135"/>
  <c r="A94" i="135"/>
  <c r="E93" i="135"/>
  <c r="C90" i="135"/>
  <c r="E85" i="135"/>
  <c r="F84" i="135"/>
  <c r="F83" i="135"/>
  <c r="F82" i="135"/>
  <c r="A81" i="135"/>
  <c r="C77" i="135"/>
  <c r="B76" i="135"/>
  <c r="B75" i="135"/>
  <c r="B77" i="135" s="1"/>
  <c r="C68" i="135"/>
  <c r="F65" i="135"/>
  <c r="B123" i="135" s="1"/>
  <c r="E65" i="135"/>
  <c r="D65" i="135"/>
  <c r="F64" i="135"/>
  <c r="B124" i="135" s="1"/>
  <c r="E64" i="135"/>
  <c r="B112" i="135" s="1"/>
  <c r="D64" i="135"/>
  <c r="B100" i="135" s="1"/>
  <c r="F63" i="135"/>
  <c r="E63" i="135"/>
  <c r="D63" i="135"/>
  <c r="F59" i="135"/>
  <c r="E59" i="135"/>
  <c r="D59" i="135"/>
  <c r="C59" i="135"/>
  <c r="B59" i="135"/>
  <c r="F45" i="135"/>
  <c r="F58" i="135" s="1"/>
  <c r="F60" i="135" s="1"/>
  <c r="F61" i="135" s="1"/>
  <c r="B116" i="135" s="1"/>
  <c r="C116" i="135" s="1"/>
  <c r="F44" i="135"/>
  <c r="E44" i="135"/>
  <c r="D44" i="135"/>
  <c r="F36" i="135"/>
  <c r="F31" i="135"/>
  <c r="F34" i="135" s="1"/>
  <c r="F28" i="135"/>
  <c r="F27" i="135"/>
  <c r="D45" i="135" s="1"/>
  <c r="D58" i="135" s="1"/>
  <c r="D60" i="135" s="1"/>
  <c r="F26" i="135"/>
  <c r="F32" i="135" s="1"/>
  <c r="F25" i="135"/>
  <c r="F24" i="135"/>
  <c r="F18" i="135"/>
  <c r="F35" i="135" s="1"/>
  <c r="F17" i="135"/>
  <c r="F16" i="135"/>
  <c r="F15" i="135"/>
  <c r="F20" i="135" s="1"/>
  <c r="D2" i="135"/>
  <c r="E124" i="134"/>
  <c r="E123" i="134"/>
  <c r="C115" i="134"/>
  <c r="E112" i="134"/>
  <c r="E111" i="134"/>
  <c r="B111" i="134"/>
  <c r="C103" i="134"/>
  <c r="E100" i="134"/>
  <c r="B100" i="134"/>
  <c r="F97" i="134"/>
  <c r="A94" i="134"/>
  <c r="E93" i="134"/>
  <c r="C90" i="134"/>
  <c r="E85" i="134"/>
  <c r="F84" i="134"/>
  <c r="F83" i="134"/>
  <c r="F82" i="134"/>
  <c r="A81" i="134"/>
  <c r="C77" i="134"/>
  <c r="B76" i="134"/>
  <c r="C68" i="134"/>
  <c r="F65" i="134"/>
  <c r="B123" i="134" s="1"/>
  <c r="E65" i="134"/>
  <c r="D65" i="134"/>
  <c r="F64" i="134"/>
  <c r="B124" i="134" s="1"/>
  <c r="E64" i="134"/>
  <c r="B112" i="134" s="1"/>
  <c r="D64" i="134"/>
  <c r="F63" i="134"/>
  <c r="E63" i="134"/>
  <c r="D63" i="134"/>
  <c r="F59" i="134"/>
  <c r="E59" i="134"/>
  <c r="D59" i="134"/>
  <c r="C59" i="134"/>
  <c r="B59" i="134"/>
  <c r="F44" i="134"/>
  <c r="E44" i="134"/>
  <c r="D44" i="134"/>
  <c r="F31" i="134"/>
  <c r="F34" i="134" s="1"/>
  <c r="F28" i="134"/>
  <c r="D45" i="134" s="1"/>
  <c r="D58" i="134" s="1"/>
  <c r="D60" i="134" s="1"/>
  <c r="F27" i="134"/>
  <c r="B69" i="134" s="1"/>
  <c r="B58" i="134" s="1"/>
  <c r="F26" i="134"/>
  <c r="F25" i="134"/>
  <c r="F32" i="134" s="1"/>
  <c r="F24" i="134"/>
  <c r="F18" i="134"/>
  <c r="F35" i="134" s="1"/>
  <c r="F17" i="134"/>
  <c r="F16" i="134"/>
  <c r="F15" i="134"/>
  <c r="F20" i="134" s="1"/>
  <c r="D2" i="134"/>
  <c r="E124" i="133"/>
  <c r="E123" i="133"/>
  <c r="C115" i="133"/>
  <c r="E112" i="133"/>
  <c r="E111" i="133"/>
  <c r="B111" i="133"/>
  <c r="C103" i="133"/>
  <c r="E100" i="133"/>
  <c r="B100" i="133"/>
  <c r="F97" i="133"/>
  <c r="A94" i="133"/>
  <c r="E93" i="133"/>
  <c r="C90" i="133"/>
  <c r="E85" i="133"/>
  <c r="F84" i="133"/>
  <c r="F83" i="133"/>
  <c r="F82" i="133"/>
  <c r="A81" i="133"/>
  <c r="C77" i="133"/>
  <c r="B76" i="133"/>
  <c r="C68" i="133"/>
  <c r="F65" i="133"/>
  <c r="B123" i="133" s="1"/>
  <c r="E65" i="133"/>
  <c r="D65" i="133"/>
  <c r="F64" i="133"/>
  <c r="B124" i="133" s="1"/>
  <c r="E64" i="133"/>
  <c r="B112" i="133" s="1"/>
  <c r="D64" i="133"/>
  <c r="F63" i="133"/>
  <c r="E63" i="133"/>
  <c r="D63" i="133"/>
  <c r="F59" i="133"/>
  <c r="E59" i="133"/>
  <c r="D59" i="133"/>
  <c r="C59" i="133"/>
  <c r="B59" i="133"/>
  <c r="F44" i="133"/>
  <c r="E44" i="133"/>
  <c r="D44" i="133"/>
  <c r="F31" i="133"/>
  <c r="F34" i="133" s="1"/>
  <c r="F28" i="133"/>
  <c r="D45" i="133" s="1"/>
  <c r="D58" i="133" s="1"/>
  <c r="D60" i="133" s="1"/>
  <c r="F27" i="133"/>
  <c r="B69" i="133" s="1"/>
  <c r="B58" i="133" s="1"/>
  <c r="F26" i="133"/>
  <c r="F25" i="133"/>
  <c r="F32" i="133" s="1"/>
  <c r="F24" i="133"/>
  <c r="F18" i="133"/>
  <c r="F35" i="133" s="1"/>
  <c r="F17" i="133"/>
  <c r="F16" i="133"/>
  <c r="F15" i="133"/>
  <c r="F20" i="133" s="1"/>
  <c r="D2" i="133"/>
  <c r="E124" i="132"/>
  <c r="E123" i="132"/>
  <c r="C115" i="132"/>
  <c r="E112" i="132"/>
  <c r="E111" i="132"/>
  <c r="B111" i="132"/>
  <c r="C103" i="132"/>
  <c r="E100" i="132"/>
  <c r="F97" i="132"/>
  <c r="A94" i="132"/>
  <c r="E93" i="132"/>
  <c r="C90" i="132"/>
  <c r="E85" i="132"/>
  <c r="F84" i="132"/>
  <c r="F83" i="132"/>
  <c r="F82" i="132"/>
  <c r="A81" i="132"/>
  <c r="C77" i="132"/>
  <c r="B76" i="132"/>
  <c r="B75" i="132"/>
  <c r="B77" i="132" s="1"/>
  <c r="C68" i="132"/>
  <c r="F65" i="132"/>
  <c r="B123" i="132" s="1"/>
  <c r="E65" i="132"/>
  <c r="D65" i="132"/>
  <c r="F64" i="132"/>
  <c r="B124" i="132" s="1"/>
  <c r="E64" i="132"/>
  <c r="B112" i="132" s="1"/>
  <c r="D64" i="132"/>
  <c r="B100" i="132" s="1"/>
  <c r="F63" i="132"/>
  <c r="E63" i="132"/>
  <c r="D63" i="132"/>
  <c r="F59" i="132"/>
  <c r="E59" i="132"/>
  <c r="D59" i="132"/>
  <c r="C59" i="132"/>
  <c r="B59" i="132"/>
  <c r="F45" i="132"/>
  <c r="F58" i="132" s="1"/>
  <c r="F60" i="132" s="1"/>
  <c r="F61" i="132" s="1"/>
  <c r="B116" i="132" s="1"/>
  <c r="C116" i="132" s="1"/>
  <c r="F44" i="132"/>
  <c r="E44" i="132"/>
  <c r="D44" i="132"/>
  <c r="F36" i="132"/>
  <c r="F31" i="132"/>
  <c r="F34" i="132" s="1"/>
  <c r="F28" i="132"/>
  <c r="D45" i="132" s="1"/>
  <c r="D58" i="132" s="1"/>
  <c r="D60" i="132" s="1"/>
  <c r="F27" i="132"/>
  <c r="B69" i="132" s="1"/>
  <c r="B58" i="132" s="1"/>
  <c r="F26" i="132"/>
  <c r="F32" i="132" s="1"/>
  <c r="F25" i="132"/>
  <c r="F24" i="132"/>
  <c r="F18" i="132"/>
  <c r="F35" i="132" s="1"/>
  <c r="F17" i="132"/>
  <c r="F16" i="132"/>
  <c r="F15" i="132"/>
  <c r="F20" i="132" s="1"/>
  <c r="D2" i="132"/>
  <c r="E124" i="131"/>
  <c r="E123" i="131"/>
  <c r="C115" i="131"/>
  <c r="E112" i="131"/>
  <c r="E111" i="131"/>
  <c r="C103" i="131"/>
  <c r="E100" i="131"/>
  <c r="B100" i="131"/>
  <c r="F97" i="131"/>
  <c r="A94" i="131"/>
  <c r="E93" i="131"/>
  <c r="C90" i="131"/>
  <c r="E85" i="131"/>
  <c r="F84" i="131"/>
  <c r="F83" i="131"/>
  <c r="F82" i="131"/>
  <c r="A81" i="131"/>
  <c r="C77" i="131"/>
  <c r="B76" i="131"/>
  <c r="C68" i="131"/>
  <c r="F65" i="131"/>
  <c r="B123" i="131" s="1"/>
  <c r="E65" i="131"/>
  <c r="B111" i="131" s="1"/>
  <c r="D65" i="131"/>
  <c r="F64" i="131"/>
  <c r="B124" i="131" s="1"/>
  <c r="E64" i="131"/>
  <c r="B112" i="131" s="1"/>
  <c r="D64" i="131"/>
  <c r="F63" i="131"/>
  <c r="E63" i="131"/>
  <c r="D63" i="131"/>
  <c r="F59" i="131"/>
  <c r="E59" i="131"/>
  <c r="D59" i="131"/>
  <c r="C59" i="131"/>
  <c r="B59" i="131"/>
  <c r="F44" i="131"/>
  <c r="E44" i="131"/>
  <c r="D44" i="131"/>
  <c r="F31" i="131"/>
  <c r="F34" i="131" s="1"/>
  <c r="F28" i="131"/>
  <c r="D45" i="131" s="1"/>
  <c r="D58" i="131" s="1"/>
  <c r="D60" i="131" s="1"/>
  <c r="F27" i="131"/>
  <c r="B69" i="131" s="1"/>
  <c r="B58" i="131" s="1"/>
  <c r="F26" i="131"/>
  <c r="F25" i="131"/>
  <c r="F24" i="131"/>
  <c r="F32" i="131" s="1"/>
  <c r="F18" i="131"/>
  <c r="F35" i="131" s="1"/>
  <c r="F17" i="131"/>
  <c r="F16" i="131"/>
  <c r="F15" i="131"/>
  <c r="F20" i="131" s="1"/>
  <c r="D2" i="131"/>
  <c r="E124" i="130"/>
  <c r="E123" i="130"/>
  <c r="C115" i="130"/>
  <c r="E112" i="130"/>
  <c r="E111" i="130"/>
  <c r="C103" i="130"/>
  <c r="E100" i="130"/>
  <c r="B100" i="130"/>
  <c r="F97" i="130"/>
  <c r="A94" i="130"/>
  <c r="E93" i="130"/>
  <c r="C90" i="130"/>
  <c r="E85" i="130"/>
  <c r="F84" i="130"/>
  <c r="F83" i="130"/>
  <c r="F82" i="130"/>
  <c r="A81" i="130"/>
  <c r="C77" i="130"/>
  <c r="B76" i="130"/>
  <c r="C68" i="130"/>
  <c r="F65" i="130"/>
  <c r="B123" i="130" s="1"/>
  <c r="E65" i="130"/>
  <c r="B111" i="130" s="1"/>
  <c r="D65" i="130"/>
  <c r="F64" i="130"/>
  <c r="B124" i="130" s="1"/>
  <c r="E64" i="130"/>
  <c r="B112" i="130" s="1"/>
  <c r="D64" i="130"/>
  <c r="F63" i="130"/>
  <c r="E63" i="130"/>
  <c r="D63" i="130"/>
  <c r="F59" i="130"/>
  <c r="E59" i="130"/>
  <c r="D59" i="130"/>
  <c r="C59" i="130"/>
  <c r="B59" i="130"/>
  <c r="F44" i="130"/>
  <c r="E44" i="130"/>
  <c r="D44" i="130"/>
  <c r="F31" i="130"/>
  <c r="F34" i="130" s="1"/>
  <c r="F28" i="130"/>
  <c r="D45" i="130" s="1"/>
  <c r="D58" i="130" s="1"/>
  <c r="D60" i="130" s="1"/>
  <c r="F27" i="130"/>
  <c r="B69" i="130" s="1"/>
  <c r="B58" i="130" s="1"/>
  <c r="F26" i="130"/>
  <c r="F25" i="130"/>
  <c r="F24" i="130"/>
  <c r="F32" i="130" s="1"/>
  <c r="F18" i="130"/>
  <c r="F35" i="130" s="1"/>
  <c r="F17" i="130"/>
  <c r="F16" i="130"/>
  <c r="F15" i="130"/>
  <c r="F20" i="130" s="1"/>
  <c r="D2" i="130"/>
  <c r="E124" i="129"/>
  <c r="B124" i="129"/>
  <c r="E123" i="129"/>
  <c r="C115" i="129"/>
  <c r="E112" i="129"/>
  <c r="E111" i="129"/>
  <c r="C103" i="129"/>
  <c r="E100" i="129"/>
  <c r="B100" i="129"/>
  <c r="F97" i="129"/>
  <c r="A94" i="129"/>
  <c r="E93" i="129"/>
  <c r="C90" i="129"/>
  <c r="E85" i="129"/>
  <c r="F84" i="129"/>
  <c r="F83" i="129"/>
  <c r="F82" i="129"/>
  <c r="A81" i="129"/>
  <c r="C77" i="129"/>
  <c r="B76" i="129"/>
  <c r="C68" i="129"/>
  <c r="F65" i="129"/>
  <c r="B123" i="129" s="1"/>
  <c r="E65" i="129"/>
  <c r="B111" i="129" s="1"/>
  <c r="D65" i="129"/>
  <c r="F64" i="129"/>
  <c r="E64" i="129"/>
  <c r="B112" i="129" s="1"/>
  <c r="D64" i="129"/>
  <c r="F63" i="129"/>
  <c r="E63" i="129"/>
  <c r="D63" i="129"/>
  <c r="F59" i="129"/>
  <c r="E59" i="129"/>
  <c r="D59" i="129"/>
  <c r="C59" i="129"/>
  <c r="B59" i="129"/>
  <c r="F44" i="129"/>
  <c r="E44" i="129"/>
  <c r="D44" i="129"/>
  <c r="F31" i="129"/>
  <c r="F34" i="129" s="1"/>
  <c r="F28" i="129"/>
  <c r="F27" i="129"/>
  <c r="D45" i="129" s="1"/>
  <c r="D58" i="129" s="1"/>
  <c r="D60" i="129" s="1"/>
  <c r="F26" i="129"/>
  <c r="F25" i="129"/>
  <c r="F24" i="129"/>
  <c r="F32" i="129" s="1"/>
  <c r="F18" i="129"/>
  <c r="F35" i="129" s="1"/>
  <c r="F17" i="129"/>
  <c r="F16" i="129"/>
  <c r="F15" i="129"/>
  <c r="F20" i="129" s="1"/>
  <c r="D2" i="129"/>
  <c r="F65" i="9"/>
  <c r="E65" i="9"/>
  <c r="D65" i="9"/>
  <c r="D64" i="9"/>
  <c r="F63" i="9"/>
  <c r="E63" i="9"/>
  <c r="D63" i="9"/>
  <c r="D61" i="136" l="1"/>
  <c r="B91" i="136" s="1"/>
  <c r="C91" i="136" s="1"/>
  <c r="B92" i="136"/>
  <c r="A38" i="136"/>
  <c r="G30" i="136"/>
  <c r="G27" i="136"/>
  <c r="C64" i="136"/>
  <c r="C63" i="136"/>
  <c r="G29" i="136"/>
  <c r="G28" i="136"/>
  <c r="B61" i="136"/>
  <c r="B70" i="136" s="1"/>
  <c r="C70" i="136" s="1"/>
  <c r="B60" i="136"/>
  <c r="E45" i="136"/>
  <c r="E58" i="136" s="1"/>
  <c r="E60" i="136" s="1"/>
  <c r="E61" i="136" s="1"/>
  <c r="B104" i="136" s="1"/>
  <c r="C104" i="136" s="1"/>
  <c r="F36" i="136"/>
  <c r="F45" i="136"/>
  <c r="F58" i="136" s="1"/>
  <c r="F60" i="136" s="1"/>
  <c r="F61" i="136" s="1"/>
  <c r="B116" i="136" s="1"/>
  <c r="C116" i="136" s="1"/>
  <c r="B75" i="136"/>
  <c r="B77" i="136" s="1"/>
  <c r="A21" i="136"/>
  <c r="G36" i="136"/>
  <c r="E76" i="136" s="1"/>
  <c r="G76" i="136" s="1"/>
  <c r="G35" i="136"/>
  <c r="E75" i="136" s="1"/>
  <c r="A38" i="135"/>
  <c r="G30" i="135"/>
  <c r="G27" i="135"/>
  <c r="C64" i="135"/>
  <c r="C63" i="135"/>
  <c r="G29" i="135"/>
  <c r="G28" i="135"/>
  <c r="C58" i="135"/>
  <c r="C60" i="135" s="1"/>
  <c r="C61" i="135" s="1"/>
  <c r="D61" i="135"/>
  <c r="B91" i="135" s="1"/>
  <c r="C91" i="135" s="1"/>
  <c r="B92" i="135"/>
  <c r="G35" i="135"/>
  <c r="E75" i="135" s="1"/>
  <c r="E45" i="135"/>
  <c r="E58" i="135" s="1"/>
  <c r="E60" i="135" s="1"/>
  <c r="E61" i="135" s="1"/>
  <c r="B104" i="135" s="1"/>
  <c r="C104" i="135" s="1"/>
  <c r="A21" i="135"/>
  <c r="G36" i="135"/>
  <c r="E76" i="135" s="1"/>
  <c r="G76" i="135" s="1"/>
  <c r="B69" i="135"/>
  <c r="B58" i="135" s="1"/>
  <c r="D61" i="134"/>
  <c r="B91" i="134" s="1"/>
  <c r="C91" i="134" s="1"/>
  <c r="B92" i="134"/>
  <c r="A38" i="134"/>
  <c r="G30" i="134"/>
  <c r="G27" i="134"/>
  <c r="C64" i="134"/>
  <c r="C63" i="134"/>
  <c r="G29" i="134"/>
  <c r="G28" i="134"/>
  <c r="B60" i="134"/>
  <c r="B61" i="134"/>
  <c r="B70" i="134" s="1"/>
  <c r="C70" i="134" s="1"/>
  <c r="F36" i="134"/>
  <c r="F45" i="134"/>
  <c r="F58" i="134" s="1"/>
  <c r="F60" i="134" s="1"/>
  <c r="F61" i="134" s="1"/>
  <c r="B116" i="134" s="1"/>
  <c r="C116" i="134" s="1"/>
  <c r="A21" i="134"/>
  <c r="G36" i="134"/>
  <c r="E76" i="134" s="1"/>
  <c r="G76" i="134" s="1"/>
  <c r="G35" i="134"/>
  <c r="E75" i="134" s="1"/>
  <c r="E45" i="134"/>
  <c r="E58" i="134" s="1"/>
  <c r="E60" i="134" s="1"/>
  <c r="E61" i="134" s="1"/>
  <c r="B104" i="134" s="1"/>
  <c r="C104" i="134" s="1"/>
  <c r="B75" i="134"/>
  <c r="B77" i="134" s="1"/>
  <c r="D61" i="133"/>
  <c r="B91" i="133" s="1"/>
  <c r="C91" i="133" s="1"/>
  <c r="B92" i="133"/>
  <c r="A38" i="133"/>
  <c r="G30" i="133"/>
  <c r="G27" i="133"/>
  <c r="C64" i="133"/>
  <c r="C63" i="133"/>
  <c r="G29" i="133"/>
  <c r="G28" i="133"/>
  <c r="B61" i="133"/>
  <c r="B70" i="133" s="1"/>
  <c r="C70" i="133" s="1"/>
  <c r="B60" i="133"/>
  <c r="F36" i="133"/>
  <c r="F45" i="133"/>
  <c r="F58" i="133" s="1"/>
  <c r="F60" i="133" s="1"/>
  <c r="F61" i="133" s="1"/>
  <c r="B116" i="133" s="1"/>
  <c r="C116" i="133" s="1"/>
  <c r="B75" i="133"/>
  <c r="B77" i="133" s="1"/>
  <c r="A21" i="133"/>
  <c r="G36" i="133"/>
  <c r="E76" i="133" s="1"/>
  <c r="G76" i="133" s="1"/>
  <c r="G35" i="133"/>
  <c r="E75" i="133" s="1"/>
  <c r="E45" i="133"/>
  <c r="E58" i="133" s="1"/>
  <c r="E60" i="133" s="1"/>
  <c r="E61" i="133" s="1"/>
  <c r="B104" i="133" s="1"/>
  <c r="C104" i="133" s="1"/>
  <c r="A38" i="132"/>
  <c r="G30" i="132"/>
  <c r="G27" i="132"/>
  <c r="C64" i="132"/>
  <c r="C63" i="132"/>
  <c r="G29" i="132"/>
  <c r="G28" i="132"/>
  <c r="C58" i="132"/>
  <c r="C60" i="132" s="1"/>
  <c r="C61" i="132" s="1"/>
  <c r="D61" i="132"/>
  <c r="B91" i="132" s="1"/>
  <c r="C91" i="132" s="1"/>
  <c r="B92" i="132"/>
  <c r="B78" i="132"/>
  <c r="B79" i="132" s="1"/>
  <c r="E86" i="132" s="1"/>
  <c r="A87" i="132" s="1"/>
  <c r="B61" i="132"/>
  <c r="B70" i="132" s="1"/>
  <c r="C70" i="132" s="1"/>
  <c r="B60" i="132"/>
  <c r="G35" i="132"/>
  <c r="E75" i="132" s="1"/>
  <c r="E45" i="132"/>
  <c r="E58" i="132" s="1"/>
  <c r="E60" i="132" s="1"/>
  <c r="E61" i="132" s="1"/>
  <c r="B104" i="132" s="1"/>
  <c r="C104" i="132" s="1"/>
  <c r="A21" i="132"/>
  <c r="G36" i="132"/>
  <c r="E76" i="132" s="1"/>
  <c r="G76" i="132" s="1"/>
  <c r="D61" i="131"/>
  <c r="B91" i="131" s="1"/>
  <c r="C91" i="131" s="1"/>
  <c r="B92" i="131"/>
  <c r="B60" i="131"/>
  <c r="B61" i="131"/>
  <c r="B70" i="131" s="1"/>
  <c r="C70" i="131" s="1"/>
  <c r="A38" i="131"/>
  <c r="G30" i="131"/>
  <c r="G27" i="131"/>
  <c r="C64" i="131"/>
  <c r="C63" i="131"/>
  <c r="G29" i="131"/>
  <c r="G28" i="131"/>
  <c r="F36" i="131"/>
  <c r="F45" i="131"/>
  <c r="F58" i="131" s="1"/>
  <c r="F60" i="131" s="1"/>
  <c r="F61" i="131" s="1"/>
  <c r="B116" i="131" s="1"/>
  <c r="C116" i="131" s="1"/>
  <c r="B75" i="131"/>
  <c r="B77" i="131" s="1"/>
  <c r="G35" i="131"/>
  <c r="E75" i="131" s="1"/>
  <c r="A21" i="131"/>
  <c r="G36" i="131"/>
  <c r="E76" i="131" s="1"/>
  <c r="G76" i="131" s="1"/>
  <c r="E45" i="131"/>
  <c r="E58" i="131" s="1"/>
  <c r="E60" i="131" s="1"/>
  <c r="E61" i="131" s="1"/>
  <c r="B104" i="131" s="1"/>
  <c r="C104" i="131" s="1"/>
  <c r="D61" i="130"/>
  <c r="B91" i="130" s="1"/>
  <c r="C91" i="130" s="1"/>
  <c r="B92" i="130"/>
  <c r="B60" i="130"/>
  <c r="B61" i="130"/>
  <c r="B70" i="130" s="1"/>
  <c r="C70" i="130" s="1"/>
  <c r="A38" i="130"/>
  <c r="G30" i="130"/>
  <c r="G27" i="130"/>
  <c r="C64" i="130"/>
  <c r="C63" i="130"/>
  <c r="G29" i="130"/>
  <c r="G28" i="130"/>
  <c r="E45" i="130"/>
  <c r="E58" i="130" s="1"/>
  <c r="E60" i="130" s="1"/>
  <c r="E61" i="130" s="1"/>
  <c r="B104" i="130" s="1"/>
  <c r="C104" i="130" s="1"/>
  <c r="F36" i="130"/>
  <c r="F45" i="130"/>
  <c r="F58" i="130" s="1"/>
  <c r="F60" i="130" s="1"/>
  <c r="F61" i="130" s="1"/>
  <c r="B116" i="130" s="1"/>
  <c r="C116" i="130" s="1"/>
  <c r="B75" i="130"/>
  <c r="B77" i="130" s="1"/>
  <c r="G35" i="130"/>
  <c r="E75" i="130" s="1"/>
  <c r="A21" i="130"/>
  <c r="G36" i="130"/>
  <c r="E76" i="130" s="1"/>
  <c r="G76" i="130" s="1"/>
  <c r="A38" i="129"/>
  <c r="G30" i="129"/>
  <c r="G27" i="129"/>
  <c r="C64" i="129"/>
  <c r="C63" i="129"/>
  <c r="G29" i="129"/>
  <c r="G28" i="129"/>
  <c r="D61" i="129"/>
  <c r="B91" i="129" s="1"/>
  <c r="C91" i="129" s="1"/>
  <c r="B92" i="129"/>
  <c r="G35" i="129"/>
  <c r="E75" i="129" s="1"/>
  <c r="E45" i="129"/>
  <c r="E58" i="129" s="1"/>
  <c r="E60" i="129" s="1"/>
  <c r="E61" i="129" s="1"/>
  <c r="B104" i="129" s="1"/>
  <c r="C104" i="129" s="1"/>
  <c r="F36" i="129"/>
  <c r="F45" i="129"/>
  <c r="F58" i="129" s="1"/>
  <c r="F60" i="129" s="1"/>
  <c r="F61" i="129" s="1"/>
  <c r="B116" i="129" s="1"/>
  <c r="C116" i="129" s="1"/>
  <c r="B75" i="129"/>
  <c r="B77" i="129" s="1"/>
  <c r="A21" i="129"/>
  <c r="G36" i="129"/>
  <c r="E76" i="129" s="1"/>
  <c r="G76" i="129" s="1"/>
  <c r="B69" i="129"/>
  <c r="B58" i="129" s="1"/>
  <c r="F44" i="9"/>
  <c r="C58" i="136" l="1"/>
  <c r="B60" i="135"/>
  <c r="B61" i="135"/>
  <c r="B70" i="135" s="1"/>
  <c r="C70" i="135" s="1"/>
  <c r="B78" i="135"/>
  <c r="B79" i="135" s="1"/>
  <c r="E86" i="135" s="1"/>
  <c r="A87" i="135" s="1"/>
  <c r="C58" i="134"/>
  <c r="C58" i="133"/>
  <c r="C58" i="131"/>
  <c r="C58" i="130"/>
  <c r="C58" i="129"/>
  <c r="B61" i="129"/>
  <c r="B70" i="129" s="1"/>
  <c r="C70" i="129" s="1"/>
  <c r="B60" i="129"/>
  <c r="B76" i="9"/>
  <c r="L6" i="6"/>
  <c r="I6" i="6"/>
  <c r="F6" i="6"/>
  <c r="E9" i="6"/>
  <c r="H8" i="6"/>
  <c r="I11" i="6"/>
  <c r="I9" i="6"/>
  <c r="K8" i="6"/>
  <c r="J6" i="6"/>
  <c r="K7" i="6"/>
  <c r="I7" i="6"/>
  <c r="F8" i="6"/>
  <c r="L8" i="6"/>
  <c r="J9" i="6"/>
  <c r="G7" i="6"/>
  <c r="E8" i="6"/>
  <c r="J8" i="6"/>
  <c r="G6" i="6"/>
  <c r="G8" i="6"/>
  <c r="J7" i="6"/>
  <c r="G9" i="6"/>
  <c r="F7" i="6"/>
  <c r="L7" i="6"/>
  <c r="H9" i="6"/>
  <c r="H7" i="6"/>
  <c r="K9" i="6"/>
  <c r="E6" i="6"/>
  <c r="J11" i="6"/>
  <c r="H11" i="6"/>
  <c r="F9" i="6"/>
  <c r="L9" i="6"/>
  <c r="H6" i="6"/>
  <c r="K6" i="6"/>
  <c r="D7" i="6"/>
  <c r="E7" i="6"/>
  <c r="I8" i="6"/>
  <c r="C60" i="136" l="1"/>
  <c r="C61" i="136" s="1"/>
  <c r="B78" i="136"/>
  <c r="B79" i="136" s="1"/>
  <c r="E86" i="136" s="1"/>
  <c r="A87" i="136" s="1"/>
  <c r="C60" i="134"/>
  <c r="C61" i="134" s="1"/>
  <c r="B78" i="134"/>
  <c r="B79" i="134" s="1"/>
  <c r="E86" i="134" s="1"/>
  <c r="A87" i="134" s="1"/>
  <c r="C60" i="133"/>
  <c r="C61" i="133" s="1"/>
  <c r="B78" i="133"/>
  <c r="B79" i="133" s="1"/>
  <c r="E86" i="133" s="1"/>
  <c r="A87" i="133" s="1"/>
  <c r="C60" i="131"/>
  <c r="C61" i="131" s="1"/>
  <c r="B78" i="131"/>
  <c r="B79" i="131" s="1"/>
  <c r="E86" i="131" s="1"/>
  <c r="A87" i="131" s="1"/>
  <c r="C60" i="130"/>
  <c r="C61" i="130" s="1"/>
  <c r="B78" i="130"/>
  <c r="B79" i="130" s="1"/>
  <c r="E86" i="130" s="1"/>
  <c r="A87" i="130" s="1"/>
  <c r="C60" i="129"/>
  <c r="C61" i="129" s="1"/>
  <c r="B78" i="129"/>
  <c r="B79" i="129" s="1"/>
  <c r="E86" i="129" s="1"/>
  <c r="A87" i="129" s="1"/>
  <c r="E10" i="6"/>
  <c r="I10" i="6"/>
  <c r="J10" i="6"/>
  <c r="G10" i="6"/>
  <c r="K10" i="6"/>
  <c r="F10" i="6"/>
  <c r="H10" i="6"/>
  <c r="L10" i="6"/>
  <c r="E85" i="9"/>
  <c r="C59" i="9"/>
  <c r="G11" i="6"/>
  <c r="K11" i="6"/>
  <c r="L11" i="6"/>
  <c r="F11" i="6"/>
  <c r="E11" i="6"/>
  <c r="F31" i="9" l="1"/>
  <c r="D9" i="6"/>
  <c r="F28" i="9" l="1"/>
  <c r="F27" i="9"/>
  <c r="E27" i="6"/>
  <c r="D14" i="6"/>
  <c r="J27" i="6"/>
  <c r="F14" i="6"/>
  <c r="H26" i="6"/>
  <c r="L27" i="6"/>
  <c r="J13" i="6"/>
  <c r="G27" i="6"/>
  <c r="D27" i="6"/>
  <c r="L17" i="15"/>
  <c r="L20" i="15"/>
  <c r="K12" i="6"/>
  <c r="G13" i="6"/>
  <c r="H27" i="6"/>
  <c r="L13" i="6"/>
  <c r="G12" i="6"/>
  <c r="I26" i="6"/>
  <c r="L16" i="15"/>
  <c r="K13" i="6"/>
  <c r="E26" i="6"/>
  <c r="L19" i="15"/>
  <c r="J14" i="6"/>
  <c r="I12" i="6"/>
  <c r="L21" i="15"/>
  <c r="E12" i="6"/>
  <c r="L12" i="6"/>
  <c r="L14" i="6"/>
  <c r="L18" i="15"/>
  <c r="I14" i="6"/>
  <c r="G14" i="6"/>
  <c r="I13" i="6"/>
  <c r="G26" i="6"/>
  <c r="H12" i="6"/>
  <c r="F13" i="6"/>
  <c r="K14" i="6"/>
  <c r="H13" i="6"/>
  <c r="E13" i="6"/>
  <c r="J26" i="6"/>
  <c r="F27" i="6"/>
  <c r="E14" i="6"/>
  <c r="I27" i="6"/>
  <c r="K27" i="6"/>
  <c r="L26" i="6"/>
  <c r="J12" i="6"/>
  <c r="D6" i="6"/>
  <c r="D8" i="6"/>
  <c r="H14" i="6"/>
  <c r="F12" i="6"/>
  <c r="K26" i="6"/>
  <c r="L28" i="6" l="1"/>
  <c r="H28" i="6"/>
  <c r="J28" i="6"/>
  <c r="K28" i="6"/>
  <c r="G28" i="6"/>
  <c r="I28" i="6"/>
  <c r="D10" i="6"/>
  <c r="F34" i="9"/>
  <c r="B69" i="9"/>
  <c r="L54" i="6"/>
  <c r="K54" i="6"/>
  <c r="J54" i="6"/>
  <c r="I54" i="6"/>
  <c r="H54" i="6"/>
  <c r="G54" i="6"/>
  <c r="F54" i="6"/>
  <c r="E54" i="6"/>
  <c r="D54" i="6"/>
  <c r="L45" i="6"/>
  <c r="K45" i="6"/>
  <c r="J45" i="6"/>
  <c r="I45" i="6"/>
  <c r="H45" i="6"/>
  <c r="G45" i="6"/>
  <c r="F45" i="6"/>
  <c r="E45" i="6"/>
  <c r="D45" i="6"/>
  <c r="L35" i="6"/>
  <c r="K35" i="6"/>
  <c r="J35" i="6"/>
  <c r="I35" i="6"/>
  <c r="H35" i="6"/>
  <c r="G35" i="6"/>
  <c r="F35" i="6"/>
  <c r="E35" i="6"/>
  <c r="D35" i="6"/>
  <c r="L25" i="6"/>
  <c r="K25" i="6"/>
  <c r="J25" i="6"/>
  <c r="I25" i="6"/>
  <c r="H25" i="6"/>
  <c r="G25" i="6"/>
  <c r="F25" i="6"/>
  <c r="E25" i="6"/>
  <c r="D25" i="6"/>
  <c r="L17" i="6"/>
  <c r="K17" i="6"/>
  <c r="J17" i="6"/>
  <c r="I17" i="6"/>
  <c r="H17" i="6"/>
  <c r="G17" i="6"/>
  <c r="F17" i="6"/>
  <c r="E17" i="6"/>
  <c r="D17" i="6"/>
  <c r="E28" i="6"/>
  <c r="F55" i="6"/>
  <c r="H55" i="6"/>
  <c r="J55" i="6"/>
  <c r="D55" i="6"/>
  <c r="F26" i="6"/>
  <c r="G55" i="6"/>
  <c r="L55" i="6"/>
  <c r="K55" i="6"/>
  <c r="E55" i="6"/>
  <c r="I55" i="6"/>
  <c r="F28" i="6" l="1"/>
  <c r="D47" i="6"/>
  <c r="I56" i="6"/>
  <c r="E40" i="6"/>
  <c r="K57" i="6"/>
  <c r="J57" i="6"/>
  <c r="E56" i="6"/>
  <c r="G46" i="6"/>
  <c r="K18" i="6"/>
  <c r="F57" i="6"/>
  <c r="J47" i="6"/>
  <c r="D58" i="6"/>
  <c r="I36" i="6"/>
  <c r="E19" i="6"/>
  <c r="J56" i="6"/>
  <c r="I19" i="6"/>
  <c r="E57" i="6"/>
  <c r="G56" i="6"/>
  <c r="L46" i="6"/>
  <c r="L48" i="6"/>
  <c r="J46" i="6"/>
  <c r="E46" i="6"/>
  <c r="I46" i="6"/>
  <c r="G58" i="6"/>
  <c r="K46" i="6"/>
  <c r="F47" i="6"/>
  <c r="G47" i="6"/>
  <c r="J19" i="6"/>
  <c r="I40" i="6"/>
  <c r="F18" i="6"/>
  <c r="H47" i="6"/>
  <c r="J36" i="6"/>
  <c r="E47" i="6"/>
  <c r="G49" i="6"/>
  <c r="H40" i="6"/>
  <c r="F37" i="6"/>
  <c r="G48" i="6"/>
  <c r="K37" i="6"/>
  <c r="G40" i="6"/>
  <c r="I47" i="6"/>
  <c r="L56" i="6"/>
  <c r="E48" i="6"/>
  <c r="D46" i="6"/>
  <c r="L36" i="6"/>
  <c r="H37" i="6"/>
  <c r="F56" i="6"/>
  <c r="E37" i="6"/>
  <c r="H49" i="6"/>
  <c r="H46" i="6"/>
  <c r="L58" i="6"/>
  <c r="I57" i="6"/>
  <c r="G19" i="6"/>
  <c r="J18" i="6"/>
  <c r="K49" i="6"/>
  <c r="F49" i="6"/>
  <c r="D48" i="6"/>
  <c r="H36" i="6"/>
  <c r="F46" i="6"/>
  <c r="L37" i="6"/>
  <c r="I48" i="6"/>
  <c r="J48" i="6"/>
  <c r="K19" i="6"/>
  <c r="F36" i="6"/>
  <c r="L57" i="6"/>
  <c r="J49" i="6"/>
  <c r="L18" i="6"/>
  <c r="K36" i="6"/>
  <c r="D37" i="6"/>
  <c r="G57" i="6"/>
  <c r="H56" i="6"/>
  <c r="J37" i="6"/>
  <c r="E36" i="6"/>
  <c r="G37" i="6"/>
  <c r="K47" i="6"/>
  <c r="K40" i="6"/>
  <c r="D57" i="6"/>
  <c r="H18" i="6"/>
  <c r="F58" i="6"/>
  <c r="H19" i="6"/>
  <c r="E18" i="6"/>
  <c r="F48" i="6"/>
  <c r="H58" i="6"/>
  <c r="K48" i="6"/>
  <c r="K58" i="6"/>
  <c r="E58" i="6"/>
  <c r="G36" i="6"/>
  <c r="L19" i="6"/>
  <c r="H48" i="6"/>
  <c r="J58" i="6"/>
  <c r="L47" i="6"/>
  <c r="G18" i="6"/>
  <c r="K56" i="6"/>
  <c r="I58" i="6"/>
  <c r="D36" i="6"/>
  <c r="D49" i="6"/>
  <c r="J40" i="6"/>
  <c r="F40" i="6"/>
  <c r="H57" i="6"/>
  <c r="I18" i="6"/>
  <c r="I49" i="6"/>
  <c r="L49" i="6"/>
  <c r="D56" i="6"/>
  <c r="F19" i="6"/>
  <c r="L40" i="6"/>
  <c r="I37" i="6"/>
  <c r="E49" i="6"/>
  <c r="L20" i="6" l="1"/>
  <c r="K20" i="6"/>
  <c r="H20" i="6"/>
  <c r="J20" i="6"/>
  <c r="E20" i="6"/>
  <c r="G20" i="6"/>
  <c r="F20" i="6"/>
  <c r="I20" i="6"/>
  <c r="C77" i="9"/>
  <c r="D13" i="6"/>
  <c r="D12" i="6"/>
  <c r="C90" i="9" l="1"/>
  <c r="A94" i="9" l="1"/>
  <c r="D2" i="9" l="1"/>
  <c r="B59" i="9"/>
  <c r="D59" i="9"/>
  <c r="F59" i="9"/>
  <c r="E59" i="9"/>
  <c r="D40" i="6"/>
  <c r="D19" i="6"/>
  <c r="E64" i="9" l="1"/>
  <c r="F64" i="9"/>
  <c r="C103" i="9"/>
  <c r="A81" i="9"/>
  <c r="F82" i="9"/>
  <c r="F84" i="9"/>
  <c r="F83" i="9"/>
  <c r="F97" i="9"/>
  <c r="C115" i="9" l="1"/>
  <c r="C68" i="9"/>
  <c r="E93" i="9" l="1"/>
  <c r="E14" i="2" l="1"/>
  <c r="D14" i="2"/>
  <c r="C14" i="2"/>
  <c r="B14" i="2"/>
  <c r="B17" i="2"/>
  <c r="E17" i="2"/>
  <c r="D17" i="2"/>
  <c r="C17" i="2"/>
  <c r="E16" i="2"/>
  <c r="D16" i="2"/>
  <c r="C16" i="2"/>
  <c r="B16" i="2"/>
  <c r="F26" i="9" l="1"/>
  <c r="F25" i="9"/>
  <c r="F24" i="9"/>
  <c r="F18" i="9"/>
  <c r="G35" i="9" s="1"/>
  <c r="F17" i="9"/>
  <c r="F16" i="9"/>
  <c r="F15" i="9"/>
  <c r="F35" i="9" l="1"/>
  <c r="F20" i="9"/>
  <c r="A21" i="9"/>
  <c r="F36" i="9"/>
  <c r="F32" i="9"/>
  <c r="D11" i="6"/>
  <c r="G30" i="9" l="1"/>
  <c r="G29" i="9"/>
  <c r="G28" i="9"/>
  <c r="G27" i="9"/>
  <c r="A38" i="9"/>
  <c r="G36" i="9"/>
  <c r="E76" i="9" s="1"/>
  <c r="G76" i="9" s="1"/>
  <c r="E75" i="9"/>
  <c r="C8" i="6"/>
  <c r="B75" i="9" l="1"/>
  <c r="C9" i="6"/>
  <c r="C6" i="6"/>
  <c r="C7" i="6"/>
  <c r="C11" i="6"/>
  <c r="C10" i="6"/>
  <c r="B77" i="9" l="1"/>
  <c r="B58" i="9"/>
  <c r="B61" i="9" s="1"/>
  <c r="D18" i="6"/>
  <c r="D20" i="6" l="1"/>
  <c r="C58" i="9"/>
  <c r="C63" i="9" s="1"/>
  <c r="B60" i="9"/>
  <c r="B15" i="2"/>
  <c r="E15" i="2"/>
  <c r="D15" i="2"/>
  <c r="C15" i="2"/>
  <c r="E13" i="2"/>
  <c r="D13" i="2"/>
  <c r="C13" i="2"/>
  <c r="B13" i="2"/>
  <c r="D26" i="6"/>
  <c r="C64" i="9" l="1"/>
  <c r="B78" i="9"/>
  <c r="B79" i="9" s="1"/>
  <c r="E86" i="9" s="1"/>
  <c r="D44" i="9"/>
  <c r="E44" i="9"/>
  <c r="B111" i="9" s="1"/>
  <c r="E111" i="9" s="1"/>
  <c r="B123" i="9"/>
  <c r="E123" i="9" s="1"/>
  <c r="F45" i="9"/>
  <c r="D45" i="9"/>
  <c r="E45" i="9"/>
  <c r="C60" i="9"/>
  <c r="D28" i="6"/>
  <c r="J39" i="6"/>
  <c r="I39" i="6"/>
  <c r="K39" i="6"/>
  <c r="E39" i="6"/>
  <c r="E58" i="9" l="1"/>
  <c r="B112" i="9" s="1"/>
  <c r="E112" i="9" s="1"/>
  <c r="C61" i="9"/>
  <c r="F58" i="9"/>
  <c r="D58" i="9"/>
  <c r="B70" i="9"/>
  <c r="C26" i="6"/>
  <c r="H39" i="6"/>
  <c r="G39" i="6"/>
  <c r="F39" i="6"/>
  <c r="L39" i="6"/>
  <c r="D39" i="6"/>
  <c r="E60" i="9" l="1"/>
  <c r="E61" i="9" s="1"/>
  <c r="B104" i="9" s="1"/>
  <c r="C104" i="9" s="1"/>
  <c r="B100" i="9"/>
  <c r="E100" i="9" s="1"/>
  <c r="F60" i="9"/>
  <c r="F61" i="9" s="1"/>
  <c r="B116" i="9" s="1"/>
  <c r="C116" i="9" s="1"/>
  <c r="B124" i="9"/>
  <c r="E124" i="9" s="1"/>
  <c r="C19" i="6"/>
  <c r="C18" i="6"/>
  <c r="C70" i="9"/>
  <c r="D60" i="9"/>
  <c r="I38" i="6"/>
  <c r="E38" i="6"/>
  <c r="J38" i="6"/>
  <c r="K38" i="6"/>
  <c r="D61" i="9" l="1"/>
  <c r="B91" i="9" s="1"/>
  <c r="B92" i="9"/>
  <c r="C20" i="6"/>
  <c r="C27" i="6"/>
  <c r="C28" i="6" s="1"/>
  <c r="C39" i="6"/>
  <c r="A87" i="9"/>
  <c r="H38" i="6"/>
  <c r="G38" i="6"/>
  <c r="L38" i="6"/>
  <c r="F38" i="6"/>
  <c r="C40" i="6" l="1"/>
  <c r="D38" i="6"/>
  <c r="C9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FC37F21-4CA8-4179-9C64-3C10203D1F8F}">
      <text>
        <r>
          <rPr>
            <sz val="9"/>
            <color indexed="81"/>
            <rFont val="Tahoma"/>
            <family val="2"/>
          </rPr>
          <t>Do not include any previously authorized impervious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7AFD7AE-E317-4D37-99EF-1114C0516013}">
      <text>
        <r>
          <rPr>
            <sz val="9"/>
            <color indexed="81"/>
            <rFont val="Tahoma"/>
            <family val="2"/>
          </rPr>
          <t>Do not include any previously authorized impervious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45707FD-6079-4C75-8335-1A9CBFA1F225}">
      <text>
        <r>
          <rPr>
            <sz val="9"/>
            <color indexed="81"/>
            <rFont val="Tahoma"/>
            <family val="2"/>
          </rPr>
          <t>Do not include any previously authorized impervious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C35E8A3E-CAC1-402F-AC14-CCA71B3496F7}">
      <text>
        <r>
          <rPr>
            <sz val="9"/>
            <color indexed="81"/>
            <rFont val="Tahoma"/>
            <family val="2"/>
          </rPr>
          <t>Do not include any previously authorized impervious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78047FF3-71F4-40CF-AF3C-E7D6522D58BB}">
      <text>
        <r>
          <rPr>
            <sz val="9"/>
            <color indexed="81"/>
            <rFont val="Tahoma"/>
            <family val="2"/>
          </rPr>
          <t>Do not include any previously authorized impervious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6195073C-6022-4811-8693-5085DE477660}">
      <text>
        <r>
          <rPr>
            <sz val="9"/>
            <color indexed="81"/>
            <rFont val="Tahoma"/>
            <family val="2"/>
          </rPr>
          <t>Do not include any previously authorized impervious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25CF035-7D84-448B-BD37-A2FC32F48323}">
      <text>
        <r>
          <rPr>
            <sz val="9"/>
            <color indexed="81"/>
            <rFont val="Tahoma"/>
            <family val="2"/>
          </rPr>
          <t>Do not include any previously authorized impervious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484F12A-B200-432E-AF75-814B886937FB}">
      <text>
        <r>
          <rPr>
            <sz val="9"/>
            <color indexed="81"/>
            <rFont val="Tahoma"/>
            <family val="2"/>
          </rPr>
          <t>Do not include any previously authorized impervious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191A2D6E-A334-4EE5-8DFE-833FE71C4816}">
      <text>
        <r>
          <rPr>
            <sz val="9"/>
            <color indexed="81"/>
            <rFont val="Tahoma"/>
            <family val="2"/>
          </rPr>
          <t>Do not include any previously authorized impervious</t>
        </r>
      </text>
    </comment>
  </commentList>
</comments>
</file>

<file path=xl/sharedStrings.xml><?xml version="1.0" encoding="utf-8"?>
<sst xmlns="http://schemas.openxmlformats.org/spreadsheetml/2006/main" count="1578" uniqueCount="264">
  <si>
    <t>Precipitation (inches)</t>
  </si>
  <si>
    <t>Hydrologic Soil Group</t>
  </si>
  <si>
    <t>A</t>
  </si>
  <si>
    <t>B</t>
  </si>
  <si>
    <t>C</t>
  </si>
  <si>
    <t>D</t>
  </si>
  <si>
    <t>Grass</t>
  </si>
  <si>
    <t>Woods</t>
  </si>
  <si>
    <t>Landuse</t>
  </si>
  <si>
    <t>Total Site Area</t>
  </si>
  <si>
    <t>Curve Numbers</t>
  </si>
  <si>
    <t>S=1000/CN - 10</t>
  </si>
  <si>
    <t>Recharge Factors</t>
  </si>
  <si>
    <t>Total</t>
  </si>
  <si>
    <t>Disconnection Slope</t>
  </si>
  <si>
    <t>HSG</t>
  </si>
  <si>
    <t>&lt;8%</t>
  </si>
  <si>
    <t>8-15%</t>
  </si>
  <si>
    <t>A/B</t>
  </si>
  <si>
    <t>C/D</t>
  </si>
  <si>
    <t>Simple Disconnection Required Treatment Length</t>
  </si>
  <si>
    <t>Disconnection to filter strips and vegetated buffers - Required Treatment Lengths</t>
  </si>
  <si>
    <t>&lt;4%</t>
  </si>
  <si>
    <t>4-6%</t>
  </si>
  <si>
    <t>6-8%</t>
  </si>
  <si>
    <t>Permeable Pavement</t>
  </si>
  <si>
    <t>Infiltration Trench</t>
  </si>
  <si>
    <t>Infiltration Basin</t>
  </si>
  <si>
    <t>Recharge Factor</t>
  </si>
  <si>
    <t>Project name</t>
  </si>
  <si>
    <t>Discharge point serial number (e.g. S/N 001)</t>
  </si>
  <si>
    <t xml:space="preserve">Name of receiving water </t>
  </si>
  <si>
    <t>General Discharge Point Information</t>
  </si>
  <si>
    <t>Standard</t>
  </si>
  <si>
    <t>n/a</t>
  </si>
  <si>
    <t>Green Roofs</t>
  </si>
  <si>
    <t>Pre-Development CN</t>
  </si>
  <si>
    <t>Gravel/ Unpaved Roads</t>
  </si>
  <si>
    <t>Meadow</t>
  </si>
  <si>
    <t>Redeveloped Impervious</t>
  </si>
  <si>
    <t xml:space="preserve">* Preciptation values shall be obtained from </t>
  </si>
  <si>
    <t>NOAA Atlas 14</t>
  </si>
  <si>
    <r>
      <t>CN</t>
    </r>
    <r>
      <rPr>
        <vertAlign val="subscript"/>
        <sz val="11"/>
        <color theme="1"/>
        <rFont val="Calibri"/>
        <family val="2"/>
        <scheme val="minor"/>
      </rPr>
      <t>adj</t>
    </r>
  </si>
  <si>
    <t>Post-Development CN</t>
  </si>
  <si>
    <t>Standard met with HCM?</t>
  </si>
  <si>
    <t>Waivers</t>
  </si>
  <si>
    <t>CPv</t>
  </si>
  <si>
    <t>QP10</t>
  </si>
  <si>
    <t>QP100</t>
  </si>
  <si>
    <t>&lt;2 cfs pre-routed, post development 1 yr discharge</t>
  </si>
  <si>
    <t>&lt;2 cfs pre-routed, post development 10 yr discharge</t>
  </si>
  <si>
    <t>&lt;10 acres impervious</t>
  </si>
  <si>
    <t>Storm</t>
  </si>
  <si>
    <t>Precipitation Data</t>
  </si>
  <si>
    <t>WQ Storm</t>
  </si>
  <si>
    <t>1 yr, 24 hr</t>
  </si>
  <si>
    <t>10 yr, 24 hr</t>
  </si>
  <si>
    <t>100 yr, 24 hr</t>
  </si>
  <si>
    <t>Pre Development Land Use (acres)</t>
  </si>
  <si>
    <t>Runoff Calculations</t>
  </si>
  <si>
    <t>1 yr, 24-hr</t>
  </si>
  <si>
    <t>10 yr, 24-hr</t>
  </si>
  <si>
    <t>100 yr, 24-hr</t>
  </si>
  <si>
    <t>Pavement, Roofs, and other impervious (not gravel)</t>
  </si>
  <si>
    <t>Tier 1/Runoff Reduction Practices</t>
  </si>
  <si>
    <t>Simple Disconnection</t>
  </si>
  <si>
    <t>Dry Swales (infiltrating)</t>
  </si>
  <si>
    <t>Drywell(s)</t>
  </si>
  <si>
    <t>Filters (infiltrating)</t>
  </si>
  <si>
    <t>Infiltration Chambers</t>
  </si>
  <si>
    <t>Rainwater Harvesting</t>
  </si>
  <si>
    <t>Practice</t>
  </si>
  <si>
    <r>
      <t>T</t>
    </r>
    <r>
      <rPr>
        <vertAlign val="subscript"/>
        <sz val="11"/>
        <color theme="1"/>
        <rFont val="Calibri"/>
        <family val="2"/>
        <scheme val="minor"/>
      </rPr>
      <t>V</t>
    </r>
    <r>
      <rPr>
        <sz val="11"/>
        <color theme="1"/>
        <rFont val="Calibri"/>
        <family val="2"/>
        <scheme val="minor"/>
      </rPr>
      <t xml:space="preserve"> Provided (ac-ft)</t>
    </r>
  </si>
  <si>
    <t>Re</t>
  </si>
  <si>
    <t>WQ</t>
  </si>
  <si>
    <t>CP</t>
  </si>
  <si>
    <t>Groundwater Recharge Standard (Re)</t>
  </si>
  <si>
    <t>Standard Applicable?</t>
  </si>
  <si>
    <t>Recharge Waivers</t>
  </si>
  <si>
    <t>HSG D Soils</t>
  </si>
  <si>
    <t>Standard Met with HCM?</t>
  </si>
  <si>
    <t>Provide Extended Detention for:</t>
  </si>
  <si>
    <t>Drainage Area Information</t>
  </si>
  <si>
    <t>Tier 2 &amp; 3 WQ Practices</t>
  </si>
  <si>
    <t>Filter (not designed to infiltrate)</t>
  </si>
  <si>
    <t>Wet Pond</t>
  </si>
  <si>
    <t>Shallow Surface Wetland</t>
  </si>
  <si>
    <t>Gravel Wetland</t>
  </si>
  <si>
    <t>Alternative Treatment Practice</t>
  </si>
  <si>
    <t>Dry Swale (not designed to infiltrate)</t>
  </si>
  <si>
    <t>ac-ft</t>
  </si>
  <si>
    <r>
      <t>CN</t>
    </r>
    <r>
      <rPr>
        <vertAlign val="subscript"/>
        <sz val="11"/>
        <color theme="1"/>
        <rFont val="Calibri"/>
        <family val="2"/>
        <scheme val="minor"/>
      </rPr>
      <t>Adj</t>
    </r>
  </si>
  <si>
    <t>Warm or Cold Water Fishery?</t>
  </si>
  <si>
    <t>Provide:</t>
  </si>
  <si>
    <t>→</t>
  </si>
  <si>
    <t>Water Quality Treatment Standard (WQ)</t>
  </si>
  <si>
    <t>Channel Protection Standard (CP)</t>
  </si>
  <si>
    <r>
      <t>Overbank Flood Protection (Q</t>
    </r>
    <r>
      <rPr>
        <b/>
        <vertAlign val="subscript"/>
        <sz val="12"/>
        <color theme="1"/>
        <rFont val="Calibri"/>
        <family val="2"/>
        <scheme val="minor"/>
      </rPr>
      <t>P10</t>
    </r>
    <r>
      <rPr>
        <b/>
        <sz val="12"/>
        <color theme="1"/>
        <rFont val="Calibri"/>
        <family val="2"/>
        <scheme val="minor"/>
      </rPr>
      <t>)</t>
    </r>
  </si>
  <si>
    <t>Extended Detention Practices</t>
  </si>
  <si>
    <t>Dry Pond</t>
  </si>
  <si>
    <t>Subsurface Detention</t>
  </si>
  <si>
    <r>
      <t xml:space="preserve">Direct discharge to drainage area </t>
    </r>
    <r>
      <rPr>
        <sz val="11"/>
        <color theme="1"/>
        <rFont val="Calibri"/>
        <family val="2"/>
      </rPr>
      <t>≥10 sq.mi</t>
    </r>
  </si>
  <si>
    <t>(Watershed Lag Method)</t>
  </si>
  <si>
    <t xml:space="preserve">All curve numbers (CN) calculated in this workbook are flow-weighted.  Pre and post-development CN are back calculated from the flow volume of the storm of interest. </t>
  </si>
  <si>
    <t>STP used:</t>
  </si>
  <si>
    <t>Pre-development peak discharge rate (cfs)</t>
  </si>
  <si>
    <t>Routed, post-development peak discharge rate (cfs)</t>
  </si>
  <si>
    <t>Pre-routed, post-development peak discharge rate (cfs)</t>
  </si>
  <si>
    <r>
      <t>Extreme Flood Protection (Q</t>
    </r>
    <r>
      <rPr>
        <b/>
        <vertAlign val="subscript"/>
        <sz val="12"/>
        <color theme="1"/>
        <rFont val="Calibri"/>
        <family val="2"/>
        <scheme val="minor"/>
      </rPr>
      <t>P100</t>
    </r>
    <r>
      <rPr>
        <b/>
        <sz val="12"/>
        <color theme="1"/>
        <rFont val="Calibri"/>
        <family val="2"/>
        <scheme val="minor"/>
      </rPr>
      <t>)</t>
    </r>
  </si>
  <si>
    <t>Runoff Reduction Calculations</t>
  </si>
  <si>
    <t>Standard met with Tier 1 Practices?</t>
  </si>
  <si>
    <r>
      <t>Total WQ</t>
    </r>
    <r>
      <rPr>
        <vertAlign val="subscript"/>
        <sz val="11"/>
        <color theme="1"/>
        <rFont val="Calibri"/>
        <family val="2"/>
        <scheme val="minor"/>
      </rPr>
      <t>V</t>
    </r>
  </si>
  <si>
    <t>Predevelopment runoff volume (ac-ft)</t>
  </si>
  <si>
    <t>Pre-routed, post development runoff volume (ac-ft)</t>
  </si>
  <si>
    <t>STPs</t>
  </si>
  <si>
    <t>Reduced Impervious</t>
  </si>
  <si>
    <t>Net Reduction</t>
  </si>
  <si>
    <r>
      <t>Re</t>
    </r>
    <r>
      <rPr>
        <vertAlign val="subscript"/>
        <sz val="11"/>
        <color theme="1"/>
        <rFont val="Calibri"/>
        <family val="2"/>
        <scheme val="minor"/>
      </rPr>
      <t>V</t>
    </r>
  </si>
  <si>
    <r>
      <t>T</t>
    </r>
    <r>
      <rPr>
        <vertAlign val="subscript"/>
        <sz val="11"/>
        <color theme="1"/>
        <rFont val="Calibri"/>
        <family val="2"/>
        <scheme val="minor"/>
      </rPr>
      <t>V</t>
    </r>
    <r>
      <rPr>
        <sz val="11"/>
        <color theme="1"/>
        <rFont val="Calibri"/>
        <family val="2"/>
        <scheme val="minor"/>
      </rPr>
      <t xml:space="preserve"> Required (ac-ft)</t>
    </r>
  </si>
  <si>
    <r>
      <t>T</t>
    </r>
    <r>
      <rPr>
        <vertAlign val="subscript"/>
        <sz val="11"/>
        <color theme="1"/>
        <rFont val="Calibri"/>
        <family val="2"/>
        <scheme val="minor"/>
      </rPr>
      <t>V</t>
    </r>
    <r>
      <rPr>
        <sz val="11"/>
        <color theme="1"/>
        <rFont val="Calibri"/>
        <family val="2"/>
        <scheme val="minor"/>
      </rPr>
      <t xml:space="preserve"> Remaining (ac-ft)</t>
    </r>
  </si>
  <si>
    <r>
      <t>Q</t>
    </r>
    <r>
      <rPr>
        <b/>
        <vertAlign val="subscript"/>
        <sz val="11"/>
        <rFont val="Calibri"/>
        <family val="2"/>
        <scheme val="minor"/>
      </rPr>
      <t>P10</t>
    </r>
  </si>
  <si>
    <r>
      <t>Q</t>
    </r>
    <r>
      <rPr>
        <b/>
        <vertAlign val="subscript"/>
        <sz val="11"/>
        <rFont val="Calibri"/>
        <family val="2"/>
        <scheme val="minor"/>
      </rPr>
      <t>P100</t>
    </r>
  </si>
  <si>
    <t>Re-development</t>
  </si>
  <si>
    <t>Post Development Land Use (acres)</t>
  </si>
  <si>
    <t>SN1</t>
  </si>
  <si>
    <t>SN2</t>
  </si>
  <si>
    <t>SN3</t>
  </si>
  <si>
    <t>SN4</t>
  </si>
  <si>
    <t xml:space="preserve">Pavement, Roofs, and other impervious </t>
  </si>
  <si>
    <t>Existing</t>
  </si>
  <si>
    <t>Redeveloped</t>
  </si>
  <si>
    <t>New</t>
  </si>
  <si>
    <t>Impervious</t>
  </si>
  <si>
    <t>Site Area</t>
  </si>
  <si>
    <t>Recharge</t>
  </si>
  <si>
    <t>Water Quality</t>
  </si>
  <si>
    <t>STP</t>
  </si>
  <si>
    <t>Tier</t>
  </si>
  <si>
    <t>Tier 2</t>
  </si>
  <si>
    <t>Tier 3</t>
  </si>
  <si>
    <t>Justification Required</t>
  </si>
  <si>
    <t>Standard met?</t>
  </si>
  <si>
    <t>Required</t>
  </si>
  <si>
    <t>Provided</t>
  </si>
  <si>
    <t>must be filled out by the designer</t>
  </si>
  <si>
    <t>Grey boxes</t>
  </si>
  <si>
    <r>
      <t>WQ</t>
    </r>
    <r>
      <rPr>
        <vertAlign val="subscript"/>
        <sz val="11"/>
        <color theme="1"/>
        <rFont val="Calibri"/>
        <family val="2"/>
        <scheme val="minor"/>
      </rPr>
      <t>V</t>
    </r>
    <r>
      <rPr>
        <sz val="11"/>
        <color theme="1"/>
        <rFont val="Calibri"/>
        <family val="2"/>
        <scheme val="minor"/>
      </rPr>
      <t xml:space="preserve"> Provided (ac-ft)</t>
    </r>
  </si>
  <si>
    <r>
      <t>CN</t>
    </r>
    <r>
      <rPr>
        <vertAlign val="subscript"/>
        <sz val="11"/>
        <color theme="1"/>
        <rFont val="Calibri"/>
        <family val="2"/>
        <scheme val="minor"/>
      </rPr>
      <t>Adj</t>
    </r>
    <r>
      <rPr>
        <sz val="11"/>
        <color theme="1"/>
        <rFont val="Calibri"/>
        <family val="2"/>
        <scheme val="minor"/>
      </rPr>
      <t xml:space="preserve"> in Tc is currently restricted to 50-95, consistent with NEH, Part 630.  If the CN</t>
    </r>
    <r>
      <rPr>
        <vertAlign val="subscript"/>
        <sz val="11"/>
        <color theme="1"/>
        <rFont val="Calibri"/>
        <family val="2"/>
        <scheme val="minor"/>
      </rPr>
      <t>Adj</t>
    </r>
    <r>
      <rPr>
        <sz val="11"/>
        <color theme="1"/>
        <rFont val="Calibri"/>
        <family val="2"/>
        <scheme val="minor"/>
      </rPr>
      <t xml:space="preserve"> falls outside this range, the outer bound of the range is used.</t>
    </r>
  </si>
  <si>
    <r>
      <t>WQ</t>
    </r>
    <r>
      <rPr>
        <vertAlign val="subscript"/>
        <sz val="11"/>
        <color theme="1"/>
        <rFont val="Calibri"/>
        <family val="2"/>
        <scheme val="minor"/>
      </rPr>
      <t>V</t>
    </r>
    <r>
      <rPr>
        <sz val="11"/>
        <color theme="1"/>
        <rFont val="Calibri"/>
        <family val="2"/>
        <scheme val="minor"/>
      </rPr>
      <t xml:space="preserve"> to be met with Tier 2 and/or Tier 3 practices</t>
    </r>
  </si>
  <si>
    <t>OR</t>
  </si>
  <si>
    <t>Extended Detention STP:</t>
  </si>
  <si>
    <t>Site Summary</t>
  </si>
  <si>
    <r>
      <t>Total WQ</t>
    </r>
    <r>
      <rPr>
        <vertAlign val="subscript"/>
        <sz val="11"/>
        <color theme="1"/>
        <rFont val="Calibri"/>
        <family val="2"/>
        <scheme val="minor"/>
      </rPr>
      <t xml:space="preserve">V </t>
    </r>
    <r>
      <rPr>
        <sz val="11"/>
        <color theme="1"/>
        <rFont val="Calibri"/>
        <family val="2"/>
        <scheme val="minor"/>
      </rPr>
      <t>Provided (ac-ft)</t>
    </r>
  </si>
  <si>
    <t>SN5</t>
  </si>
  <si>
    <t>SN6</t>
  </si>
  <si>
    <t>SN7</t>
  </si>
  <si>
    <t>SN8</t>
  </si>
  <si>
    <t>SN9</t>
  </si>
  <si>
    <t>All Redevelopment</t>
  </si>
  <si>
    <t>Tier 2 &amp; 3 Water Quality Practice</t>
  </si>
  <si>
    <t>Downstream analysis</t>
  </si>
  <si>
    <t>Hotspot land use</t>
  </si>
  <si>
    <t>Minimum WQ depth</t>
  </si>
  <si>
    <t>Yes</t>
  </si>
  <si>
    <t>No</t>
  </si>
  <si>
    <r>
      <t>T</t>
    </r>
    <r>
      <rPr>
        <vertAlign val="subscript"/>
        <sz val="11"/>
        <color theme="1"/>
        <rFont val="Calibri"/>
        <family val="2"/>
        <scheme val="minor"/>
      </rPr>
      <t>V</t>
    </r>
    <r>
      <rPr>
        <sz val="11"/>
        <color theme="1"/>
        <rFont val="Calibri"/>
        <family val="2"/>
        <scheme val="minor"/>
      </rPr>
      <t xml:space="preserve"> (ac-ft)</t>
    </r>
  </si>
  <si>
    <t xml:space="preserve"> Recharge Notes:</t>
  </si>
  <si>
    <t>Water Quality Notes:</t>
  </si>
  <si>
    <t>Channel Protection Notes:</t>
  </si>
  <si>
    <t>Overbank Flood Notes:</t>
  </si>
  <si>
    <t>Extreme Flood Notes:</t>
  </si>
  <si>
    <t>Latitude (decimal degrees to five decimal places)</t>
  </si>
  <si>
    <t>Blue boxes</t>
  </si>
  <si>
    <t>Yellow boxes</t>
  </si>
  <si>
    <t>may be filled out by the designer, but are optional</t>
  </si>
  <si>
    <t>Project Name</t>
  </si>
  <si>
    <t>Longitude  (decimal degrees to five decimal places)</t>
  </si>
  <si>
    <t>contain values calculated from the information entered in the blue boxes</t>
  </si>
  <si>
    <t>If you have questions regarding the completion of the workbook, contact the stormwater program:</t>
  </si>
  <si>
    <t>Stormwater Technical Reviewers</t>
  </si>
  <si>
    <t>Channel Protection</t>
  </si>
  <si>
    <r>
      <t>The Alternative Extended Detention Method (</t>
    </r>
    <r>
      <rPr>
        <sz val="11"/>
        <color theme="1"/>
        <rFont val="Calibri"/>
        <family val="2"/>
      </rPr>
      <t xml:space="preserve">§2.2.5.4) </t>
    </r>
    <r>
      <rPr>
        <sz val="11"/>
        <color theme="1"/>
        <rFont val="Calibri"/>
        <family val="2"/>
        <scheme val="minor"/>
      </rPr>
      <t>is being used.</t>
    </r>
  </si>
  <si>
    <t>Method</t>
  </si>
  <si>
    <t>Overbank Flood Protection</t>
  </si>
  <si>
    <t>Notes</t>
  </si>
  <si>
    <t>Printing/PDF Instructions</t>
  </si>
  <si>
    <t>Waiver</t>
  </si>
  <si>
    <t>Waiver Name</t>
  </si>
  <si>
    <t>Short Name</t>
  </si>
  <si>
    <t>&lt;2 cfs</t>
  </si>
  <si>
    <t>&lt;2cfs</t>
  </si>
  <si>
    <t>Re-dev</t>
  </si>
  <si>
    <t>≥10 sq mi</t>
  </si>
  <si>
    <t>Down-stream Analysis</t>
  </si>
  <si>
    <t>&lt; 10 ac impervious</t>
  </si>
  <si>
    <t>Extreme Flood Protection</t>
  </si>
  <si>
    <t>Pre-Dev Q (cfs)</t>
  </si>
  <si>
    <t>Routed, Post-Dev Q (cfs)</t>
  </si>
  <si>
    <t>In order to select specific tabs of this worksheet to print or save as a pdf, hold down control while clicking on the desired tabs. The summary tab and any discharge points used in the project must be included with the permit application.</t>
  </si>
  <si>
    <t>Notes:</t>
  </si>
  <si>
    <t>The name above will appear on all the discharge point tabs</t>
  </si>
  <si>
    <t>Net Reduced Impervious</t>
  </si>
  <si>
    <r>
      <t>Is the WQ</t>
    </r>
    <r>
      <rPr>
        <vertAlign val="subscript"/>
        <sz val="11"/>
        <color theme="1"/>
        <rFont val="Calibri"/>
        <family val="2"/>
        <scheme val="minor"/>
      </rPr>
      <t>V</t>
    </r>
    <r>
      <rPr>
        <sz val="11"/>
        <color theme="1"/>
        <rFont val="Calibri"/>
        <family val="2"/>
        <scheme val="minor"/>
      </rPr>
      <t xml:space="preserve"> Standard met?</t>
    </r>
  </si>
  <si>
    <r>
      <t>WQ</t>
    </r>
    <r>
      <rPr>
        <vertAlign val="subscript"/>
        <sz val="11"/>
        <color theme="1"/>
        <rFont val="Calibri"/>
        <family val="2"/>
        <scheme val="minor"/>
      </rPr>
      <t>V</t>
    </r>
    <r>
      <rPr>
        <sz val="11"/>
        <color theme="1"/>
        <rFont val="Calibri"/>
        <family val="2"/>
        <scheme val="minor"/>
      </rPr>
      <t xml:space="preserve"> met with Tier 1 practices</t>
    </r>
  </si>
  <si>
    <t>This workbook is protected so that the user can only edit blue and yellow boxes.</t>
  </si>
  <si>
    <t>General Notes</t>
  </si>
  <si>
    <t>Disconnection to FS/VB</t>
  </si>
  <si>
    <t xml:space="preserve">Reforestation </t>
  </si>
  <si>
    <t>Is all impervious treated by disconnection?</t>
  </si>
  <si>
    <r>
      <rPr>
        <i/>
        <u/>
        <sz val="10"/>
        <color theme="1"/>
        <rFont val="Calibri"/>
        <family val="2"/>
        <scheme val="minor"/>
      </rPr>
      <t>Modeling Info:</t>
    </r>
    <r>
      <rPr>
        <i/>
        <sz val="10"/>
        <color theme="1"/>
        <rFont val="Calibri"/>
        <family val="2"/>
        <scheme val="minor"/>
      </rPr>
      <t xml:space="preserve"> When demonstrating CP compliance with extended detention in a hydrologic model, use the CN and T</t>
    </r>
    <r>
      <rPr>
        <i/>
        <vertAlign val="subscript"/>
        <sz val="10"/>
        <color theme="1"/>
        <rFont val="Calibri"/>
        <family val="2"/>
        <scheme val="minor"/>
      </rPr>
      <t>C</t>
    </r>
    <r>
      <rPr>
        <i/>
        <sz val="10"/>
        <color theme="1"/>
        <rFont val="Calibri"/>
        <family val="2"/>
        <scheme val="minor"/>
      </rPr>
      <t xml:space="preserve"> below if the practice being modelled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</si>
  <si>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 xml:space="preserve">P10 </t>
    </r>
    <r>
      <rPr>
        <i/>
        <sz val="10"/>
        <color theme="1"/>
        <rFont val="Calibri"/>
        <family val="2"/>
        <scheme val="minor"/>
      </rPr>
      <t>is not itself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</si>
  <si>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Bioretention (infiltrating)</t>
  </si>
  <si>
    <t>Bioretention (not designed to infiltrate)</t>
  </si>
  <si>
    <r>
      <t>List all Tier 1 practices below with the associated treatment volume (T</t>
    </r>
    <r>
      <rPr>
        <i/>
        <vertAlign val="subscript"/>
        <sz val="10"/>
        <color theme="1"/>
        <rFont val="Calibri"/>
        <family val="2"/>
        <scheme val="minor"/>
      </rPr>
      <t>V</t>
    </r>
    <r>
      <rPr>
        <i/>
        <sz val="10"/>
        <color theme="1"/>
        <rFont val="Calibri"/>
        <family val="2"/>
        <scheme val="minor"/>
      </rPr>
      <t>).  The T</t>
    </r>
    <r>
      <rPr>
        <i/>
        <vertAlign val="subscript"/>
        <sz val="10"/>
        <color theme="1"/>
        <rFont val="Calibri"/>
        <family val="2"/>
        <scheme val="minor"/>
      </rPr>
      <t>V</t>
    </r>
    <r>
      <rPr>
        <i/>
        <sz val="10"/>
        <color theme="1"/>
        <rFont val="Calibri"/>
        <family val="2"/>
        <scheme val="minor"/>
      </rPr>
      <t xml:space="preserve"> will be applied to all treatment standards, except for Green Roofs, which do not receive recharge or water quality credit. Please include the appropriate STP worksheet(s) with the application.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</si>
  <si>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P100</t>
    </r>
    <r>
      <rPr>
        <i/>
        <sz val="10"/>
        <color theme="1"/>
        <rFont val="Calibri"/>
        <family val="2"/>
        <scheme val="minor"/>
      </rPr>
      <t xml:space="preserve">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runoff reduction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</si>
  <si>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Pre Development</t>
  </si>
  <si>
    <t>Post Development</t>
  </si>
  <si>
    <t>Hydraulic Length, l (ft)</t>
  </si>
  <si>
    <t>Average Catchment Slope, Y (%)</t>
  </si>
  <si>
    <t>Total Impervious for Permit Coverage</t>
  </si>
  <si>
    <r>
      <t>WQ</t>
    </r>
    <r>
      <rPr>
        <vertAlign val="subscript"/>
        <sz val="11"/>
        <color theme="1"/>
        <rFont val="Calibri"/>
        <family val="2"/>
        <scheme val="minor"/>
      </rPr>
      <t>V</t>
    </r>
    <r>
      <rPr>
        <sz val="11"/>
        <color theme="1"/>
        <rFont val="Calibri"/>
        <family val="2"/>
        <scheme val="minor"/>
      </rPr>
      <t xml:space="preserve"> - New &amp; Existing</t>
    </r>
  </si>
  <si>
    <r>
      <t>WQ</t>
    </r>
    <r>
      <rPr>
        <vertAlign val="subscript"/>
        <sz val="11"/>
        <color theme="1"/>
        <rFont val="Calibri"/>
        <family val="2"/>
        <scheme val="minor"/>
      </rPr>
      <t>V -</t>
    </r>
    <r>
      <rPr>
        <sz val="11"/>
        <color theme="1"/>
        <rFont val="Calibri"/>
        <family val="2"/>
        <scheme val="minor"/>
      </rPr>
      <t xml:space="preserve"> Redevelopment</t>
    </r>
  </si>
  <si>
    <r>
      <t>Post Development T</t>
    </r>
    <r>
      <rPr>
        <vertAlign val="subscript"/>
        <sz val="11"/>
        <color theme="1"/>
        <rFont val="Calibri"/>
        <family val="2"/>
        <scheme val="minor"/>
      </rPr>
      <t xml:space="preserve">C </t>
    </r>
    <r>
      <rPr>
        <sz val="11"/>
        <color theme="1"/>
        <rFont val="Calibri"/>
        <family val="2"/>
        <scheme val="minor"/>
      </rPr>
      <t>(min)</t>
    </r>
  </si>
  <si>
    <t xml:space="preserve"> Pre-Development CN (Flow-weighted composite)</t>
  </si>
  <si>
    <r>
      <t>Pre Development T</t>
    </r>
    <r>
      <rPr>
        <vertAlign val="subscript"/>
        <sz val="10"/>
        <color theme="1"/>
        <rFont val="Calibri"/>
        <family val="2"/>
        <scheme val="minor"/>
      </rPr>
      <t>C</t>
    </r>
    <r>
      <rPr>
        <sz val="10"/>
        <color theme="1"/>
        <rFont val="Calibri"/>
        <family val="2"/>
        <scheme val="minor"/>
      </rPr>
      <t xml:space="preserve"> (min)</t>
    </r>
  </si>
  <si>
    <r>
      <t>A minimum WQ</t>
    </r>
    <r>
      <rPr>
        <i/>
        <vertAlign val="subscript"/>
        <sz val="10"/>
        <color theme="1"/>
        <rFont val="Calibri"/>
        <family val="2"/>
        <scheme val="minor"/>
      </rPr>
      <t>V</t>
    </r>
    <r>
      <rPr>
        <i/>
        <sz val="10"/>
        <color theme="1"/>
        <rFont val="Calibri"/>
        <family val="2"/>
        <scheme val="minor"/>
      </rPr>
      <t xml:space="preserve"> of 0.2" (P*R</t>
    </r>
    <r>
      <rPr>
        <i/>
        <vertAlign val="subscript"/>
        <sz val="10"/>
        <color theme="1"/>
        <rFont val="Calibri"/>
        <family val="2"/>
        <scheme val="minor"/>
      </rPr>
      <t>V</t>
    </r>
    <r>
      <rPr>
        <i/>
        <sz val="10"/>
        <color theme="1"/>
        <rFont val="Calibri"/>
        <family val="2"/>
        <scheme val="minor"/>
      </rPr>
      <t>) is required for sites with low impervious (&lt;16.67%).  This calculation has not been incorporated into this workbook. Designers should check that the minimum WQ</t>
    </r>
    <r>
      <rPr>
        <i/>
        <vertAlign val="subscript"/>
        <sz val="10"/>
        <color theme="1"/>
        <rFont val="Calibri"/>
        <family val="2"/>
        <scheme val="minor"/>
      </rPr>
      <t>V</t>
    </r>
    <r>
      <rPr>
        <i/>
        <sz val="10"/>
        <color theme="1"/>
        <rFont val="Calibri"/>
        <family val="2"/>
        <scheme val="minor"/>
      </rPr>
      <t xml:space="preserve"> has been met for their site.</t>
    </r>
  </si>
  <si>
    <t>Standard Applies?</t>
  </si>
  <si>
    <r>
      <t>T</t>
    </r>
    <r>
      <rPr>
        <vertAlign val="subscript"/>
        <sz val="11"/>
        <color theme="1"/>
        <rFont val="Calibri"/>
        <family val="2"/>
        <scheme val="minor"/>
      </rPr>
      <t>V</t>
    </r>
    <r>
      <rPr>
        <sz val="11"/>
        <color theme="1"/>
        <rFont val="Calibri"/>
        <family val="2"/>
        <scheme val="minor"/>
      </rPr>
      <t xml:space="preserve"> Provided</t>
    </r>
  </si>
  <si>
    <r>
      <t>HC</t>
    </r>
    <r>
      <rPr>
        <vertAlign val="subscript"/>
        <sz val="11"/>
        <color theme="1"/>
        <rFont val="Calibri"/>
        <family val="2"/>
        <scheme val="minor"/>
      </rPr>
      <t>V</t>
    </r>
    <r>
      <rPr>
        <sz val="11"/>
        <color theme="1"/>
        <rFont val="Calibri"/>
        <family val="2"/>
        <scheme val="minor"/>
      </rPr>
      <t xml:space="preserve"> </t>
    </r>
  </si>
  <si>
    <t>Do not fill this tab out, apart from the project name and notes.  It will auto-populated based on the values on the discharge point tabs. Discharge points (SN) will only show on the summary if an area has been entered on that tab. Areas listed below are those seeking permit coverage.</t>
  </si>
  <si>
    <t>Latitude</t>
  </si>
  <si>
    <t>Longitude</t>
  </si>
  <si>
    <t>(ac-ft)</t>
  </si>
  <si>
    <t>% Removed Existing Impervious (Redevelopment)</t>
  </si>
  <si>
    <t>% Net Reduction</t>
  </si>
  <si>
    <t>Apply Reduction?</t>
  </si>
  <si>
    <t>Vermont Stormwater Application Materials webpage</t>
  </si>
  <si>
    <r>
      <t>This workbook is comprised of a "Summary" tab and several discharge point tabs labelled SN1, SN2, etc. Fill out one tab for each discharge point in your project. This workbook will be supported by sizing calculations and treatment volume (T</t>
    </r>
    <r>
      <rPr>
        <vertAlign val="subscript"/>
        <sz val="11"/>
        <color theme="1"/>
        <rFont val="Calibri"/>
        <family val="2"/>
        <scheme val="minor"/>
      </rPr>
      <t>V</t>
    </r>
    <r>
      <rPr>
        <sz val="11"/>
        <color theme="1"/>
        <rFont val="Calibri"/>
        <family val="2"/>
        <scheme val="minor"/>
      </rPr>
      <t>) information completed via specific STP worksheets that must also be completed for each practice. The Summary tab provides an overview of how the standards are met across discharge points.</t>
    </r>
  </si>
  <si>
    <r>
      <t xml:space="preserve">This workbook is designed to work with up to nine (9) discharge points or points of interest (POI) which come preloaded. </t>
    </r>
    <r>
      <rPr>
        <b/>
        <sz val="11"/>
        <color theme="1"/>
        <rFont val="Calibri"/>
        <family val="2"/>
        <scheme val="minor"/>
      </rPr>
      <t xml:space="preserve">Changing Discharge Point Names: </t>
    </r>
    <r>
      <rPr>
        <sz val="11"/>
        <color theme="1"/>
        <rFont val="Calibri"/>
        <family val="2"/>
        <scheme val="minor"/>
      </rPr>
      <t xml:space="preserve">If discharge points need to be renamed,  the user must change both the label in line 5 of the summary tab AND the tab label in order for the summary tab to be able to pull data from the right sheet. </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</si>
  <si>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</si>
  <si>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 xml:space="preserve">New Impervious </t>
  </si>
  <si>
    <t>Existing for Permit Coverage (Treated to New Standards)</t>
  </si>
  <si>
    <t>Reduced Existing Impervious (for redevelopment)</t>
  </si>
  <si>
    <t xml:space="preserve">% </t>
  </si>
  <si>
    <t>Existing Impervious Not for Permit Coverage</t>
  </si>
  <si>
    <t>Impervious previously authorized under 2002 VSMM</t>
  </si>
  <si>
    <t>Impervious previously authorized under 2002 VSMM (not included in calculations)</t>
  </si>
  <si>
    <t>Total Pre Site Area</t>
  </si>
  <si>
    <t>Existing Impervious</t>
  </si>
  <si>
    <t>Previously Authorized</t>
  </si>
  <si>
    <t>Receiving Water</t>
  </si>
  <si>
    <t>Filling out the Workbook</t>
  </si>
  <si>
    <t>Standard Compliance Workbook Instructions</t>
  </si>
  <si>
    <t>Workbook Tabs</t>
  </si>
  <si>
    <t>Types of Impervious</t>
  </si>
  <si>
    <t>When entering impervious on the discharge point tabs, the user is presented with several options depending on the type of permit coverage that is required.</t>
  </si>
  <si>
    <t xml:space="preserve">This workbook is designed to guide you through how to calculate and demonstrate compliance the standards in the 2017 Vermont State Stormwater Manual (VSMM). Before filling this workbook, you should always refer to the Stormwater Program homepage to ensure that you are using the most recent application materials. </t>
  </si>
  <si>
    <r>
      <rPr>
        <sz val="11"/>
        <rFont val="Wingdings"/>
        <charset val="2"/>
      </rPr>
      <t xml:space="preserve">w </t>
    </r>
    <r>
      <rPr>
        <b/>
        <i/>
        <sz val="11"/>
        <rFont val="Calibri"/>
        <family val="2"/>
        <scheme val="minor"/>
      </rPr>
      <t>Existing Impervious:</t>
    </r>
    <r>
      <rPr>
        <sz val="11"/>
        <rFont val="Calibri"/>
        <family val="2"/>
        <scheme val="minor"/>
      </rPr>
      <t xml:space="preserve"> Any impervious, other than impervious previously authorized under another permit that exists within the drainage area prior to the development for which permit coverage is being sought. </t>
    </r>
  </si>
  <si>
    <r>
      <rPr>
        <sz val="11"/>
        <rFont val="Wingdings"/>
        <charset val="2"/>
      </rPr>
      <t xml:space="preserve">w </t>
    </r>
    <r>
      <rPr>
        <b/>
        <i/>
        <sz val="11"/>
        <rFont val="Calibri"/>
        <family val="2"/>
        <scheme val="minor"/>
      </rPr>
      <t>Impervious Previously Authorized under 2002 VSMM</t>
    </r>
    <r>
      <rPr>
        <sz val="11"/>
        <rFont val="Calibri"/>
        <family val="2"/>
        <scheme val="minor"/>
      </rPr>
      <t>: Any impervious previously authorized under the 2002 VSMM that is not being modified by the current permit application. The workbook will not calculate required treatment volumes for this impervious. It is included here only to maintain a record of the total impervious covered by the permit. This will automatically transfer through to the post development totals.</t>
    </r>
  </si>
  <si>
    <r>
      <rPr>
        <sz val="11"/>
        <rFont val="Wingdings"/>
        <charset val="2"/>
      </rPr>
      <t xml:space="preserve">w </t>
    </r>
    <r>
      <rPr>
        <sz val="11"/>
        <rFont val="Calibri"/>
        <family val="2"/>
        <scheme val="minor"/>
      </rPr>
      <t xml:space="preserve"> </t>
    </r>
    <r>
      <rPr>
        <b/>
        <i/>
        <sz val="11"/>
        <rFont val="Calibri"/>
        <family val="2"/>
        <scheme val="minor"/>
      </rPr>
      <t>New Impervious:</t>
    </r>
    <r>
      <rPr>
        <sz val="11"/>
        <rFont val="Calibri"/>
        <family val="2"/>
        <scheme val="minor"/>
      </rPr>
      <t xml:space="preserve"> Impervious created as a part of the proposed development. </t>
    </r>
  </si>
  <si>
    <r>
      <rPr>
        <sz val="11"/>
        <rFont val="Wingdings"/>
        <charset val="2"/>
      </rPr>
      <t xml:space="preserve">w </t>
    </r>
    <r>
      <rPr>
        <sz val="11"/>
        <rFont val="Calibri"/>
        <family val="2"/>
        <scheme val="minor"/>
      </rPr>
      <t xml:space="preserve"> </t>
    </r>
    <r>
      <rPr>
        <b/>
        <i/>
        <sz val="11"/>
        <rFont val="Calibri"/>
        <family val="2"/>
        <scheme val="minor"/>
      </rPr>
      <t>Existing Impervious for Permit Coverage:</t>
    </r>
    <r>
      <rPr>
        <sz val="11"/>
        <rFont val="Calibri"/>
        <family val="2"/>
        <scheme val="minor"/>
      </rPr>
      <t xml:space="preserve"> Impervious that existed prior to the proposed development that is not undergoing alteration, but for which permit coverage is being sought. Treatment volumes will be calculated as for new development. </t>
    </r>
  </si>
  <si>
    <r>
      <rPr>
        <sz val="11"/>
        <rFont val="Wingdings"/>
        <charset val="2"/>
      </rPr>
      <t xml:space="preserve">w </t>
    </r>
    <r>
      <rPr>
        <sz val="11"/>
        <rFont val="Calibri"/>
        <family val="2"/>
        <scheme val="minor"/>
      </rPr>
      <t xml:space="preserve"> </t>
    </r>
    <r>
      <rPr>
        <b/>
        <i/>
        <sz val="11"/>
        <rFont val="Calibri"/>
        <family val="2"/>
        <scheme val="minor"/>
      </rPr>
      <t>Existing Impervious NOT for Permit Coverage:</t>
    </r>
    <r>
      <rPr>
        <sz val="11"/>
        <rFont val="Calibri"/>
        <family val="2"/>
        <scheme val="minor"/>
      </rPr>
      <t xml:space="preserve"> Impervious that existed prior to the proposed development  that is not undergoign alteration and for which permit coverage is not being sought.  Treatment volumes will not include this area.</t>
    </r>
  </si>
  <si>
    <t>Designers working on a projects with more discharge points should contact their district reviewer. If your project contains fewer discharge points, unneeded tabs may be deleted, but cannot be added back. It is preferrable to right-click on the tab label and selecting "hide".</t>
  </si>
  <si>
    <r>
      <rPr>
        <sz val="11"/>
        <rFont val="Wingdings"/>
        <charset val="2"/>
      </rPr>
      <t xml:space="preserve">w </t>
    </r>
    <r>
      <rPr>
        <sz val="11"/>
        <rFont val="Calibri"/>
        <family val="2"/>
        <scheme val="minor"/>
      </rPr>
      <t xml:space="preserve"> </t>
    </r>
    <r>
      <rPr>
        <b/>
        <i/>
        <sz val="11"/>
        <rFont val="Calibri"/>
        <family val="2"/>
        <scheme val="minor"/>
      </rPr>
      <t>Redeveloped Impervious:</t>
    </r>
    <r>
      <rPr>
        <sz val="11"/>
        <rFont val="Calibri"/>
        <family val="2"/>
        <scheme val="minor"/>
      </rPr>
      <t xml:space="preserve"> Existing impervious that will be redeveloped under the proposed development and meets the jurisdictional threshold for redevelopment. Treatment volumes for this impervious will be calculated in accordance with the Section 2.4 in the Manual.  Redevelopment within a discharge point that does meet jurisdictional threshold for redevelopment may be included as "Existing Not for Permit Coverage" unless voluntary permit coverage is being sought.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</si>
</sst>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0"/>
    <numFmt numFmtId="168" formatCode="0.0000"/>
  </numFmts>
  <fonts count="49">
    <font>
      <sz val="11"/>
      <color theme="1"/>
      <name val="Calibri"/>
      <family val="2"/>
      <scheme val="minor"/>
    </font>
    <font>
      <sz val="11"/>
      <color rgb="FF3F3F76"/>
      <name val="Calibri"/>
      <family val="2"/>
      <scheme val="minor"/>
    </font>
    <font>
      <b/>
      <sz val="11"/>
      <color rgb="FF3F3F3F"/>
      <name val="Calibri"/>
      <family val="2"/>
      <scheme val="minor"/>
    </font>
    <font>
      <b/>
      <sz val="12"/>
      <color theme="1"/>
      <name val="Calibri"/>
      <family val="2"/>
      <scheme val="minor"/>
    </font>
    <font>
      <vertAlign val="subscript"/>
      <sz val="11"/>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u/>
      <sz val="11"/>
      <color theme="10"/>
      <name val="Calibri"/>
      <family val="2"/>
      <scheme val="minor"/>
    </font>
    <font>
      <b/>
      <sz val="11"/>
      <color theme="1" tint="0.499984740745262"/>
      <name val="Calibri"/>
      <family val="2"/>
      <scheme val="minor"/>
    </font>
    <font>
      <sz val="11"/>
      <color theme="1"/>
      <name val="Calibri"/>
      <family val="2"/>
    </font>
    <font>
      <sz val="11"/>
      <name val="Calibri"/>
      <family val="2"/>
      <scheme val="minor"/>
    </font>
    <font>
      <sz val="11"/>
      <color rgb="FFFF0000"/>
      <name val="Calibri"/>
      <family val="2"/>
      <scheme val="minor"/>
    </font>
    <font>
      <sz val="11"/>
      <color theme="1"/>
      <name val="Calibri"/>
      <family val="2"/>
      <scheme val="minor"/>
    </font>
    <font>
      <sz val="11"/>
      <color theme="0"/>
      <name val="Calibri"/>
      <family val="2"/>
      <scheme val="minor"/>
    </font>
    <font>
      <b/>
      <sz val="11"/>
      <name val="Calibri"/>
      <family val="2"/>
      <scheme val="minor"/>
    </font>
    <font>
      <sz val="8"/>
      <color rgb="FF000000"/>
      <name val="Segoe UI"/>
      <family val="2"/>
    </font>
    <font>
      <sz val="18"/>
      <color theme="1"/>
      <name val="Calibri"/>
      <family val="2"/>
    </font>
    <font>
      <b/>
      <vertAlign val="subscript"/>
      <sz val="12"/>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i/>
      <u/>
      <sz val="10"/>
      <color theme="1"/>
      <name val="Calibri"/>
      <family val="2"/>
      <scheme val="minor"/>
    </font>
    <font>
      <i/>
      <vertAlign val="subscript"/>
      <sz val="10"/>
      <color theme="1"/>
      <name val="Calibri"/>
      <family val="2"/>
      <scheme val="minor"/>
    </font>
    <font>
      <b/>
      <vertAlign val="subscript"/>
      <sz val="11"/>
      <name val="Calibri"/>
      <family val="2"/>
      <scheme val="minor"/>
    </font>
    <font>
      <i/>
      <sz val="11"/>
      <color theme="3"/>
      <name val="Calibri"/>
      <family val="2"/>
      <scheme val="minor"/>
    </font>
    <font>
      <sz val="8"/>
      <color theme="1"/>
      <name val="Calibri"/>
      <family val="2"/>
      <scheme val="minor"/>
    </font>
    <font>
      <sz val="10"/>
      <color theme="1"/>
      <name val="Calibri"/>
      <family val="2"/>
      <scheme val="minor"/>
    </font>
    <font>
      <vertAlign val="subscript"/>
      <sz val="10"/>
      <color theme="1"/>
      <name val="Calibri"/>
      <family val="2"/>
      <scheme val="minor"/>
    </font>
    <font>
      <sz val="11"/>
      <color rgb="FFCC0000"/>
      <name val="Calibri"/>
      <family val="2"/>
      <scheme val="minor"/>
    </font>
    <font>
      <sz val="9.5"/>
      <color theme="1"/>
      <name val="Calibri"/>
      <family val="2"/>
      <scheme val="minor"/>
    </font>
    <font>
      <sz val="9.5"/>
      <name val="Calibri"/>
      <family val="2"/>
      <scheme val="minor"/>
    </font>
    <font>
      <sz val="11"/>
      <color theme="1"/>
      <name val="Calibri"/>
      <family val="2"/>
      <scheme val="minor"/>
    </font>
    <font>
      <b/>
      <sz val="11"/>
      <color rgb="FF3F3F3F"/>
      <name val="Calibri"/>
      <family val="2"/>
      <scheme val="minor"/>
    </font>
    <font>
      <u/>
      <sz val="11"/>
      <color theme="10"/>
      <name val="Calibri"/>
      <family val="2"/>
      <scheme val="minor"/>
    </font>
    <font>
      <b/>
      <u/>
      <sz val="11"/>
      <name val="Calibri"/>
      <family val="2"/>
      <scheme val="minor"/>
    </font>
    <font>
      <sz val="11"/>
      <name val="Calibri"/>
      <family val="2"/>
      <scheme val="minor"/>
    </font>
    <font>
      <b/>
      <u/>
      <sz val="11"/>
      <color theme="1"/>
      <name val="Calibri"/>
      <family val="2"/>
      <scheme val="minor"/>
    </font>
    <font>
      <sz val="9"/>
      <color theme="3"/>
      <name val="Calibri"/>
      <family val="2"/>
      <scheme val="minor"/>
    </font>
    <font>
      <b/>
      <sz val="11"/>
      <color rgb="FFC00000"/>
      <name val="Calibri"/>
      <family val="2"/>
      <scheme val="minor"/>
    </font>
    <font>
      <b/>
      <sz val="12"/>
      <color theme="1" tint="0.249977111117893"/>
      <name val="Calibri"/>
      <family val="2"/>
      <scheme val="minor"/>
    </font>
    <font>
      <sz val="9"/>
      <color indexed="81"/>
      <name val="Tahoma"/>
      <family val="2"/>
    </font>
    <font>
      <i/>
      <sz val="11"/>
      <color rgb="FFC00000"/>
      <name val="Calibri"/>
      <family val="2"/>
      <scheme val="minor"/>
    </font>
    <font>
      <sz val="9"/>
      <color theme="1"/>
      <name val="Calibri"/>
      <family val="2"/>
      <scheme val="minor"/>
    </font>
    <font>
      <b/>
      <u/>
      <sz val="12"/>
      <color theme="1"/>
      <name val="Calibri"/>
      <family val="2"/>
      <scheme val="minor"/>
    </font>
    <font>
      <b/>
      <u/>
      <sz val="12"/>
      <name val="Calibri"/>
      <family val="2"/>
      <scheme val="minor"/>
    </font>
    <font>
      <sz val="11"/>
      <name val="Wingdings"/>
      <charset val="2"/>
    </font>
    <font>
      <sz val="11"/>
      <name val="Calibri"/>
      <family val="2"/>
      <charset val="2"/>
      <scheme val="minor"/>
    </font>
    <font>
      <b/>
      <i/>
      <sz val="11"/>
      <name val="Calibri"/>
      <family val="2"/>
      <scheme val="minor"/>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2"/>
        <bgColor indexed="64"/>
      </patternFill>
    </fill>
    <fill>
      <patternFill patternType="solid">
        <fgColor theme="8" tint="0.79998168889431442"/>
        <bgColor indexed="64"/>
      </patternFill>
    </fill>
    <fill>
      <patternFill patternType="solid">
        <fgColor rgb="FFFDF7D9"/>
        <bgColor indexed="64"/>
      </patternFill>
    </fill>
    <fill>
      <patternFill patternType="solid">
        <fgColor rgb="FFFCF7D9"/>
        <bgColor indexed="64"/>
      </patternFill>
    </fill>
    <fill>
      <patternFill patternType="solid">
        <fgColor theme="0" tint="-4.9989318521683403E-2"/>
        <bgColor indexed="64"/>
      </patternFill>
    </fill>
    <fill>
      <patternFill patternType="lightUp">
        <fgColor theme="0" tint="-0.499984740745262"/>
        <bgColor indexed="65"/>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rgb="FF3F3F3F"/>
      </top>
      <bottom/>
      <diagonal/>
    </border>
    <border>
      <left/>
      <right style="thin">
        <color rgb="FF3F3F3F"/>
      </right>
      <top/>
      <bottom/>
      <diagonal/>
    </border>
    <border>
      <left style="double">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3F3F3F"/>
      </top>
      <bottom style="thin">
        <color rgb="FF3F3F3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3F3F3F"/>
      </left>
      <right/>
      <top/>
      <bottom style="thin">
        <color indexed="64"/>
      </bottom>
      <diagonal/>
    </border>
    <border>
      <left/>
      <right style="thin">
        <color rgb="FF3F3F3F"/>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8" fillId="0" borderId="0" applyNumberFormat="0" applyFill="0" applyBorder="0" applyAlignment="0" applyProtection="0"/>
    <xf numFmtId="9" fontId="13" fillId="0" borderId="0" applyFont="0" applyFill="0" applyBorder="0" applyAlignment="0" applyProtection="0"/>
  </cellStyleXfs>
  <cellXfs count="437">
    <xf numFmtId="0" fontId="0" fillId="0" borderId="0" xfId="0"/>
    <xf numFmtId="0" fontId="0" fillId="0" borderId="0" xfId="0" applyFill="1" applyBorder="1" applyAlignment="1">
      <alignment horizontal="right"/>
    </xf>
    <xf numFmtId="0" fontId="0" fillId="0" borderId="3" xfId="0" applyBorder="1"/>
    <xf numFmtId="0" fontId="0" fillId="0" borderId="3" xfId="0" applyBorder="1" applyAlignment="1">
      <alignment horizontal="center"/>
    </xf>
    <xf numFmtId="0" fontId="0" fillId="0" borderId="3" xfId="0" applyBorder="1" applyAlignment="1">
      <alignment horizontal="right"/>
    </xf>
    <xf numFmtId="0" fontId="0" fillId="0" borderId="3" xfId="0" applyFill="1" applyBorder="1" applyAlignment="1">
      <alignment horizontal="right"/>
    </xf>
    <xf numFmtId="0" fontId="0" fillId="0" borderId="0" xfId="0" applyFill="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3" xfId="0"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Border="1"/>
    <xf numFmtId="0" fontId="0" fillId="0" borderId="11" xfId="0" applyBorder="1"/>
    <xf numFmtId="49" fontId="6" fillId="0" borderId="0" xfId="0" applyNumberFormat="1" applyFont="1" applyBorder="1" applyAlignment="1">
      <alignment horizontal="right"/>
    </xf>
    <xf numFmtId="0" fontId="0" fillId="0" borderId="12" xfId="0" applyBorder="1"/>
    <xf numFmtId="0" fontId="0" fillId="0" borderId="13" xfId="0" applyBorder="1"/>
    <xf numFmtId="0" fontId="0" fillId="0" borderId="3" xfId="0" applyBorder="1" applyAlignment="1">
      <alignment horizontal="right" wrapText="1"/>
    </xf>
    <xf numFmtId="0" fontId="0" fillId="0" borderId="0" xfId="0" applyFill="1" applyBorder="1"/>
    <xf numFmtId="0" fontId="0" fillId="0" borderId="0" xfId="0" applyBorder="1" applyAlignment="1">
      <alignment horizontal="right"/>
    </xf>
    <xf numFmtId="0" fontId="7" fillId="0" borderId="0" xfId="0" applyFont="1" applyBorder="1" applyAlignment="1">
      <alignment horizontal="center"/>
    </xf>
    <xf numFmtId="0" fontId="0" fillId="0" borderId="0" xfId="0" applyBorder="1" applyAlignment="1">
      <alignment horizontal="left"/>
    </xf>
    <xf numFmtId="0" fontId="7" fillId="0" borderId="0" xfId="0" applyFont="1" applyBorder="1"/>
    <xf numFmtId="0" fontId="3" fillId="0" borderId="0" xfId="0" applyFont="1" applyBorder="1"/>
    <xf numFmtId="165" fontId="2" fillId="0" borderId="0" xfId="2" applyNumberFormat="1" applyFill="1" applyBorder="1" applyAlignment="1">
      <alignment horizontal="center" vertical="center"/>
    </xf>
    <xf numFmtId="1" fontId="2" fillId="3" borderId="16" xfId="2" applyNumberFormat="1" applyBorder="1" applyAlignment="1">
      <alignment horizontal="center"/>
    </xf>
    <xf numFmtId="165" fontId="2" fillId="0" borderId="3" xfId="2" applyNumberFormat="1" applyFill="1" applyBorder="1" applyAlignment="1">
      <alignment horizontal="center" vertical="center" wrapText="1"/>
    </xf>
    <xf numFmtId="1" fontId="2" fillId="3" borderId="3" xfId="2" applyNumberFormat="1" applyBorder="1" applyAlignment="1">
      <alignment horizontal="center"/>
    </xf>
    <xf numFmtId="165" fontId="9" fillId="4" borderId="3" xfId="2" applyNumberFormat="1" applyFont="1" applyFill="1" applyBorder="1" applyAlignment="1">
      <alignment horizontal="center" vertical="center"/>
    </xf>
    <xf numFmtId="166" fontId="9" fillId="4" borderId="16" xfId="2" applyNumberFormat="1" applyFont="1" applyFill="1" applyBorder="1" applyAlignment="1">
      <alignment horizontal="center"/>
    </xf>
    <xf numFmtId="0" fontId="0" fillId="0" borderId="0" xfId="0" applyBorder="1" applyAlignment="1">
      <alignment horizontal="right" vertical="center" wrapText="1"/>
    </xf>
    <xf numFmtId="0" fontId="7" fillId="0" borderId="0" xfId="0" applyFont="1" applyBorder="1" applyAlignment="1"/>
    <xf numFmtId="165" fontId="2" fillId="0" borderId="0" xfId="2" applyNumberFormat="1" applyFill="1" applyBorder="1"/>
    <xf numFmtId="165" fontId="0" fillId="0" borderId="0" xfId="0" applyNumberFormat="1" applyFill="1" applyBorder="1"/>
    <xf numFmtId="0" fontId="0" fillId="0" borderId="3" xfId="0" applyFill="1" applyBorder="1" applyAlignment="1">
      <alignment horizontal="left"/>
    </xf>
    <xf numFmtId="0" fontId="0" fillId="0" borderId="3" xfId="0" applyFill="1" applyBorder="1"/>
    <xf numFmtId="0" fontId="0" fillId="5" borderId="3" xfId="0" applyFill="1" applyBorder="1"/>
    <xf numFmtId="0" fontId="0" fillId="5" borderId="3" xfId="0" applyFont="1" applyFill="1" applyBorder="1" applyAlignment="1">
      <alignment horizontal="right"/>
    </xf>
    <xf numFmtId="0" fontId="0" fillId="5" borderId="3" xfId="0" applyFill="1" applyBorder="1" applyAlignment="1">
      <alignment horizontal="center"/>
    </xf>
    <xf numFmtId="0" fontId="0" fillId="5" borderId="3" xfId="0" applyFill="1" applyBorder="1" applyAlignment="1">
      <alignment horizontal="right"/>
    </xf>
    <xf numFmtId="0" fontId="0" fillId="0" borderId="0" xfId="0" applyAlignment="1"/>
    <xf numFmtId="0" fontId="0" fillId="0" borderId="3" xfId="0" applyFill="1" applyBorder="1" applyAlignment="1">
      <alignment wrapText="1"/>
    </xf>
    <xf numFmtId="165" fontId="2" fillId="0" borderId="0" xfId="2" applyNumberFormat="1" applyFill="1" applyBorder="1" applyAlignment="1">
      <alignment horizontal="center" vertical="center" wrapText="1"/>
    </xf>
    <xf numFmtId="0" fontId="0" fillId="0" borderId="3" xfId="0" applyBorder="1" applyAlignment="1">
      <alignment wrapText="1"/>
    </xf>
    <xf numFmtId="49" fontId="11" fillId="0" borderId="0" xfId="0" applyNumberFormat="1" applyFont="1" applyBorder="1" applyAlignment="1">
      <alignment horizontal="right"/>
    </xf>
    <xf numFmtId="49" fontId="11" fillId="0" borderId="0" xfId="0" applyNumberFormat="1" applyFont="1" applyFill="1" applyBorder="1" applyAlignment="1">
      <alignment horizontal="right"/>
    </xf>
    <xf numFmtId="0" fontId="15" fillId="0" borderId="7" xfId="0" applyFont="1" applyFill="1" applyBorder="1" applyAlignment="1">
      <alignment horizontal="center" vertical="center"/>
    </xf>
    <xf numFmtId="0" fontId="15" fillId="0" borderId="7" xfId="1" applyFont="1" applyFill="1" applyBorder="1" applyAlignment="1">
      <alignment horizontal="center" vertical="center"/>
    </xf>
    <xf numFmtId="0" fontId="0" fillId="0" borderId="0" xfId="0" applyAlignment="1">
      <alignment vertical="center"/>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0" fillId="0" borderId="17" xfId="0" applyBorder="1"/>
    <xf numFmtId="0" fontId="0" fillId="0" borderId="21" xfId="0" applyFill="1" applyBorder="1"/>
    <xf numFmtId="0" fontId="0" fillId="0" borderId="0" xfId="0" applyBorder="1" applyAlignment="1">
      <alignment horizontal="left" vertical="center" wrapText="1"/>
    </xf>
    <xf numFmtId="0" fontId="0" fillId="0" borderId="0" xfId="0" applyFill="1" applyBorder="1" applyAlignment="1">
      <alignment horizontal="center" vertical="center" wrapText="1"/>
    </xf>
    <xf numFmtId="0" fontId="3" fillId="0" borderId="8" xfId="0" applyFont="1" applyBorder="1"/>
    <xf numFmtId="0" fontId="0" fillId="0" borderId="9" xfId="0" applyBorder="1"/>
    <xf numFmtId="0" fontId="0" fillId="0" borderId="10" xfId="0" applyBorder="1"/>
    <xf numFmtId="0" fontId="0" fillId="0" borderId="11" xfId="0" applyBorder="1" applyAlignment="1">
      <alignment horizontal="right" vertical="center"/>
    </xf>
    <xf numFmtId="0" fontId="0" fillId="0" borderId="22" xfId="0" applyBorder="1"/>
    <xf numFmtId="0" fontId="0" fillId="0" borderId="11" xfId="0" applyBorder="1" applyAlignment="1">
      <alignment horizontal="right" vertical="center" wrapText="1"/>
    </xf>
    <xf numFmtId="165" fontId="2" fillId="3" borderId="2" xfId="2" applyNumberForma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17" fillId="0" borderId="0" xfId="0" applyFont="1" applyBorder="1" applyAlignment="1">
      <alignment horizontal="center" vertical="center"/>
    </xf>
    <xf numFmtId="0" fontId="0" fillId="0" borderId="11" xfId="0" applyFill="1" applyBorder="1" applyAlignment="1">
      <alignment horizontal="right" vertical="center" wrapText="1"/>
    </xf>
    <xf numFmtId="0" fontId="0" fillId="0" borderId="11"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0" fillId="0" borderId="23" xfId="0" applyBorder="1"/>
    <xf numFmtId="1" fontId="2" fillId="3" borderId="2" xfId="2" applyNumberFormat="1" applyBorder="1" applyAlignment="1">
      <alignment horizontal="center" vertical="center"/>
    </xf>
    <xf numFmtId="166" fontId="2" fillId="3" borderId="2" xfId="2" applyNumberForma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164" fontId="2" fillId="3" borderId="3" xfId="2" applyNumberFormat="1" applyBorder="1" applyAlignment="1">
      <alignment horizontal="center"/>
    </xf>
    <xf numFmtId="0" fontId="8" fillId="0" borderId="7" xfId="3" applyFill="1" applyBorder="1" applyAlignment="1">
      <alignment vertical="center"/>
    </xf>
    <xf numFmtId="0" fontId="3" fillId="0" borderId="8" xfId="0" applyFont="1" applyFill="1" applyBorder="1" applyAlignment="1">
      <alignment horizontal="left" vertical="center"/>
    </xf>
    <xf numFmtId="0" fontId="0" fillId="0" borderId="9" xfId="0" applyFill="1" applyBorder="1" applyAlignment="1">
      <alignment horizontal="center" vertical="center"/>
    </xf>
    <xf numFmtId="0" fontId="1" fillId="0" borderId="9" xfId="1" applyFill="1" applyBorder="1" applyAlignment="1">
      <alignment horizontal="center" vertical="center"/>
    </xf>
    <xf numFmtId="0" fontId="3" fillId="0" borderId="11" xfId="0" applyFont="1" applyFill="1" applyBorder="1" applyAlignment="1">
      <alignment horizontal="right" vertical="center"/>
    </xf>
    <xf numFmtId="0" fontId="0" fillId="0" borderId="11" xfId="0" applyFont="1" applyBorder="1" applyAlignment="1">
      <alignment horizontal="right" vertical="center"/>
    </xf>
    <xf numFmtId="166" fontId="9" fillId="4" borderId="2" xfId="2" applyNumberFormat="1" applyFont="1" applyFill="1" applyBorder="1" applyAlignment="1">
      <alignment horizontal="center"/>
    </xf>
    <xf numFmtId="1" fontId="9" fillId="4" borderId="2" xfId="2" applyNumberFormat="1" applyFont="1" applyFill="1" applyBorder="1" applyAlignment="1">
      <alignment horizontal="center"/>
    </xf>
    <xf numFmtId="1" fontId="2" fillId="3" borderId="2" xfId="2" applyNumberFormat="1" applyBorder="1" applyAlignment="1">
      <alignment horizontal="center"/>
    </xf>
    <xf numFmtId="0" fontId="0" fillId="0" borderId="9" xfId="0" applyFill="1" applyBorder="1"/>
    <xf numFmtId="0" fontId="0" fillId="0" borderId="9" xfId="0" applyFill="1" applyBorder="1" applyAlignment="1">
      <alignment horizontal="right"/>
    </xf>
    <xf numFmtId="164" fontId="2" fillId="0" borderId="9" xfId="2" applyNumberFormat="1" applyFill="1" applyBorder="1"/>
    <xf numFmtId="0" fontId="0" fillId="0" borderId="24" xfId="0" applyBorder="1"/>
    <xf numFmtId="0" fontId="0" fillId="0" borderId="13" xfId="0" applyFill="1" applyBorder="1"/>
    <xf numFmtId="0" fontId="0" fillId="0" borderId="13" xfId="0" applyFill="1" applyBorder="1" applyAlignment="1"/>
    <xf numFmtId="0" fontId="3" fillId="0" borderId="11" xfId="0" applyFont="1" applyBorder="1"/>
    <xf numFmtId="0" fontId="0" fillId="0" borderId="13" xfId="0" applyFill="1" applyBorder="1" applyAlignment="1">
      <alignment horizontal="right"/>
    </xf>
    <xf numFmtId="164" fontId="2" fillId="0" borderId="13" xfId="2" applyNumberFormat="1" applyFill="1" applyBorder="1"/>
    <xf numFmtId="166" fontId="5" fillId="0" borderId="9" xfId="0" applyNumberFormat="1" applyFont="1" applyBorder="1" applyAlignment="1">
      <alignment horizontal="center"/>
    </xf>
    <xf numFmtId="1" fontId="5" fillId="0" borderId="9" xfId="0" applyNumberFormat="1" applyFont="1" applyBorder="1" applyAlignment="1">
      <alignment horizontal="center"/>
    </xf>
    <xf numFmtId="0" fontId="3" fillId="0" borderId="8" xfId="0" applyFont="1" applyBorder="1" applyAlignment="1"/>
    <xf numFmtId="0" fontId="7" fillId="0" borderId="9" xfId="0" applyFont="1" applyBorder="1" applyAlignment="1"/>
    <xf numFmtId="0" fontId="7" fillId="0" borderId="10" xfId="0" applyFont="1" applyBorder="1" applyAlignment="1"/>
    <xf numFmtId="0" fontId="0" fillId="0" borderId="22" xfId="0" applyBorder="1" applyAlignment="1">
      <alignment horizontal="left"/>
    </xf>
    <xf numFmtId="0" fontId="0" fillId="0" borderId="12" xfId="0" applyFill="1" applyBorder="1" applyAlignment="1">
      <alignment horizontal="right" vertical="center" wrapText="1"/>
    </xf>
    <xf numFmtId="166" fontId="0" fillId="0" borderId="13" xfId="0" applyNumberFormat="1" applyBorder="1" applyAlignment="1">
      <alignment horizontal="center"/>
    </xf>
    <xf numFmtId="1" fontId="0" fillId="0" borderId="13" xfId="0" applyNumberFormat="1" applyBorder="1" applyAlignment="1">
      <alignment horizontal="center"/>
    </xf>
    <xf numFmtId="0" fontId="0" fillId="0" borderId="0" xfId="0" applyBorder="1" applyAlignment="1">
      <alignment horizontal="right" vertical="center"/>
    </xf>
    <xf numFmtId="0" fontId="0" fillId="0" borderId="0" xfId="0"/>
    <xf numFmtId="0" fontId="0" fillId="0" borderId="19" xfId="0" applyBorder="1"/>
    <xf numFmtId="0" fontId="0" fillId="0" borderId="19" xfId="0" applyFill="1" applyBorder="1"/>
    <xf numFmtId="0" fontId="0" fillId="0" borderId="0" xfId="0"/>
    <xf numFmtId="0" fontId="2" fillId="3" borderId="3" xfId="2" applyBorder="1" applyAlignment="1">
      <alignment horizontal="center"/>
    </xf>
    <xf numFmtId="0" fontId="0" fillId="0" borderId="7" xfId="0" applyBorder="1"/>
    <xf numFmtId="0" fontId="0" fillId="0" borderId="27" xfId="0" applyBorder="1" applyAlignment="1">
      <alignment horizontal="right" vertical="center"/>
    </xf>
    <xf numFmtId="0" fontId="0" fillId="0" borderId="27" xfId="0" applyBorder="1" applyAlignment="1">
      <alignment horizontal="right"/>
    </xf>
    <xf numFmtId="0" fontId="0" fillId="0" borderId="27" xfId="0" applyFill="1" applyBorder="1" applyAlignment="1">
      <alignment horizontal="right" vertical="center" wrapText="1"/>
    </xf>
    <xf numFmtId="0" fontId="19" fillId="0" borderId="0" xfId="0" applyFont="1" applyFill="1" applyBorder="1" applyAlignment="1">
      <alignment horizontal="left" vertical="top" wrapText="1"/>
    </xf>
    <xf numFmtId="0" fontId="0" fillId="0" borderId="0" xfId="0"/>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17" xfId="0" applyFill="1" applyBorder="1" applyAlignment="1">
      <alignment wrapText="1"/>
    </xf>
    <xf numFmtId="0" fontId="19" fillId="0" borderId="11" xfId="0" applyFont="1" applyBorder="1" applyAlignment="1">
      <alignment horizontal="center" vertical="center" wrapText="1"/>
    </xf>
    <xf numFmtId="0" fontId="0" fillId="0" borderId="0" xfId="0"/>
    <xf numFmtId="0" fontId="0" fillId="0" borderId="0" xfId="0" applyBorder="1" applyAlignment="1">
      <alignment horizontal="right" wrapText="1"/>
    </xf>
    <xf numFmtId="0" fontId="0" fillId="0" borderId="0" xfId="0"/>
    <xf numFmtId="0" fontId="0" fillId="0" borderId="0" xfId="0" applyBorder="1" applyAlignment="1">
      <alignment horizontal="center" vertical="center"/>
    </xf>
    <xf numFmtId="0" fontId="0" fillId="0" borderId="9" xfId="0" applyFill="1" applyBorder="1" applyAlignment="1">
      <alignment horizontal="center"/>
    </xf>
    <xf numFmtId="0" fontId="0" fillId="0" borderId="12" xfId="0" applyBorder="1" applyAlignment="1">
      <alignment horizontal="right" vertical="center"/>
    </xf>
    <xf numFmtId="0" fontId="0" fillId="6" borderId="0" xfId="0" applyFill="1" applyBorder="1"/>
    <xf numFmtId="0" fontId="0" fillId="6" borderId="3" xfId="0" applyFill="1" applyBorder="1"/>
    <xf numFmtId="0" fontId="0" fillId="6" borderId="15" xfId="0" applyFill="1" applyBorder="1"/>
    <xf numFmtId="1" fontId="2" fillId="3" borderId="31" xfId="2" applyNumberFormat="1" applyBorder="1" applyAlignment="1">
      <alignment horizontal="center" vertical="center"/>
    </xf>
    <xf numFmtId="166" fontId="2" fillId="3" borderId="31" xfId="2" applyNumberFormat="1" applyBorder="1" applyAlignment="1">
      <alignment horizontal="center" vertical="center"/>
    </xf>
    <xf numFmtId="0" fontId="20" fillId="0" borderId="11" xfId="0" applyFont="1" applyBorder="1" applyAlignment="1">
      <alignment horizontal="right" vertical="center"/>
    </xf>
    <xf numFmtId="0" fontId="20" fillId="0" borderId="3" xfId="0" applyFont="1" applyFill="1" applyBorder="1" applyAlignment="1">
      <alignment horizontal="center" vertical="center"/>
    </xf>
    <xf numFmtId="0" fontId="20" fillId="0" borderId="3" xfId="0" applyFont="1" applyBorder="1" applyAlignment="1">
      <alignment horizontal="center" vertical="center"/>
    </xf>
    <xf numFmtId="165" fontId="2" fillId="3" borderId="2" xfId="2" applyNumberFormat="1" applyBorder="1" applyAlignment="1">
      <alignment horizontal="center"/>
    </xf>
    <xf numFmtId="0" fontId="2" fillId="3" borderId="2" xfId="2" applyBorder="1" applyAlignment="1">
      <alignment horizontal="center"/>
    </xf>
    <xf numFmtId="0" fontId="0" fillId="0" borderId="0" xfId="0"/>
    <xf numFmtId="0" fontId="0" fillId="0" borderId="0" xfId="0"/>
    <xf numFmtId="0" fontId="0" fillId="0" borderId="17" xfId="0" applyBorder="1" applyAlignment="1">
      <alignment wrapText="1"/>
    </xf>
    <xf numFmtId="0" fontId="0" fillId="0" borderId="37" xfId="0" applyBorder="1" applyAlignment="1">
      <alignment horizontal="center"/>
    </xf>
    <xf numFmtId="2" fontId="11" fillId="3" borderId="38" xfId="2" applyNumberFormat="1" applyFont="1" applyBorder="1" applyAlignment="1">
      <alignment horizontal="center" wrapText="1"/>
    </xf>
    <xf numFmtId="2" fontId="11" fillId="3" borderId="39" xfId="2" applyNumberFormat="1" applyFont="1" applyBorder="1" applyAlignment="1">
      <alignment horizontal="center" wrapText="1"/>
    </xf>
    <xf numFmtId="165" fontId="0" fillId="0" borderId="39" xfId="0" applyNumberFormat="1" applyFont="1" applyBorder="1" applyAlignment="1">
      <alignment horizontal="center" vertical="center" wrapText="1"/>
    </xf>
    <xf numFmtId="2" fontId="11" fillId="0" borderId="0" xfId="2" applyNumberFormat="1" applyFont="1" applyFill="1" applyBorder="1" applyAlignment="1">
      <alignment horizontal="center"/>
    </xf>
    <xf numFmtId="0" fontId="0" fillId="0" borderId="11" xfId="0" applyFill="1" applyBorder="1" applyAlignment="1">
      <alignment horizontal="center"/>
    </xf>
    <xf numFmtId="165" fontId="0" fillId="0" borderId="11" xfId="0" applyNumberFormat="1" applyFont="1" applyFill="1" applyBorder="1" applyAlignment="1">
      <alignment horizontal="center" vertical="center" wrapText="1"/>
    </xf>
    <xf numFmtId="165" fontId="11" fillId="0" borderId="0" xfId="2" applyNumberFormat="1" applyFont="1" applyFill="1" applyBorder="1" applyAlignment="1">
      <alignment horizontal="center"/>
    </xf>
    <xf numFmtId="165" fontId="0"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xf numFmtId="0" fontId="0" fillId="0" borderId="0" xfId="0" applyBorder="1" applyAlignment="1">
      <alignment horizontal="right" vertical="center"/>
    </xf>
    <xf numFmtId="0" fontId="0" fillId="0" borderId="21" xfId="0" applyBorder="1"/>
    <xf numFmtId="0" fontId="10" fillId="0" borderId="0" xfId="0" applyFont="1"/>
    <xf numFmtId="0" fontId="0" fillId="0" borderId="21" xfId="0" applyFont="1" applyFill="1" applyBorder="1"/>
    <xf numFmtId="0" fontId="0" fillId="0" borderId="32" xfId="0" applyFont="1" applyFill="1" applyBorder="1"/>
    <xf numFmtId="165" fontId="0" fillId="0" borderId="0" xfId="0" applyNumberFormat="1" applyFont="1" applyBorder="1" applyAlignment="1">
      <alignment horizontal="center" vertical="center" wrapText="1"/>
    </xf>
    <xf numFmtId="0" fontId="0" fillId="0" borderId="0" xfId="0" applyFill="1"/>
    <xf numFmtId="0" fontId="0" fillId="0" borderId="25" xfId="0" applyBorder="1"/>
    <xf numFmtId="0" fontId="0" fillId="0" borderId="22" xfId="0" applyFill="1" applyBorder="1" applyAlignment="1">
      <alignment horizontal="center"/>
    </xf>
    <xf numFmtId="2" fontId="11" fillId="0" borderId="22" xfId="2" applyNumberFormat="1" applyFont="1" applyFill="1" applyBorder="1" applyAlignment="1">
      <alignment horizontal="center"/>
    </xf>
    <xf numFmtId="165" fontId="0" fillId="0" borderId="22" xfId="0" applyNumberFormat="1" applyFont="1" applyFill="1" applyBorder="1" applyAlignment="1">
      <alignment horizontal="center" vertical="center" wrapText="1"/>
    </xf>
    <xf numFmtId="0" fontId="0" fillId="0" borderId="0" xfId="0" applyBorder="1" applyAlignment="1">
      <alignment horizontal="right" vertical="top"/>
    </xf>
    <xf numFmtId="0" fontId="0" fillId="0" borderId="12" xfId="0" applyFill="1" applyBorder="1"/>
    <xf numFmtId="0" fontId="0" fillId="0" borderId="13" xfId="0" applyFill="1" applyBorder="1" applyAlignment="1">
      <alignment horizontal="right" vertical="top"/>
    </xf>
    <xf numFmtId="0" fontId="0" fillId="0" borderId="13" xfId="0" applyFill="1" applyBorder="1" applyAlignment="1">
      <alignment horizontal="left" vertical="top" wrapText="1"/>
    </xf>
    <xf numFmtId="0" fontId="0" fillId="0" borderId="23" xfId="0" applyFill="1" applyBorder="1" applyAlignment="1">
      <alignment horizontal="left" vertical="top" wrapText="1"/>
    </xf>
    <xf numFmtId="0" fontId="19" fillId="0" borderId="0" xfId="0" applyFont="1" applyBorder="1" applyAlignment="1">
      <alignment horizontal="left" wrapText="1"/>
    </xf>
    <xf numFmtId="0" fontId="19" fillId="0" borderId="22" xfId="0" applyFont="1" applyBorder="1" applyAlignment="1">
      <alignment horizontal="left" wrapText="1"/>
    </xf>
    <xf numFmtId="0" fontId="0" fillId="0" borderId="22" xfId="0" applyBorder="1" applyAlignment="1">
      <alignment horizontal="center"/>
    </xf>
    <xf numFmtId="0" fontId="26" fillId="0" borderId="0" xfId="0" applyFont="1" applyBorder="1" applyAlignment="1">
      <alignment horizontal="center" vertical="center" wrapText="1"/>
    </xf>
    <xf numFmtId="0" fontId="26" fillId="0" borderId="22" xfId="0" applyFont="1" applyBorder="1" applyAlignment="1">
      <alignment horizontal="center" vertical="center" wrapText="1"/>
    </xf>
    <xf numFmtId="0" fontId="21" fillId="0" borderId="0" xfId="0" applyFont="1" applyAlignment="1">
      <alignment vertical="top"/>
    </xf>
    <xf numFmtId="2" fontId="11" fillId="6" borderId="3" xfId="1" applyNumberFormat="1" applyFont="1" applyFill="1" applyBorder="1" applyAlignment="1" applyProtection="1">
      <alignment horizontal="center"/>
      <protection locked="0"/>
    </xf>
    <xf numFmtId="165" fontId="11" fillId="6" borderId="17" xfId="1" applyNumberFormat="1" applyFont="1" applyFill="1" applyBorder="1" applyProtection="1">
      <protection locked="0"/>
    </xf>
    <xf numFmtId="165" fontId="11" fillId="6" borderId="3" xfId="1" applyNumberFormat="1" applyFont="1" applyFill="1" applyBorder="1" applyProtection="1">
      <protection locked="0"/>
    </xf>
    <xf numFmtId="0" fontId="0" fillId="6" borderId="0" xfId="0" applyFill="1" applyBorder="1" applyProtection="1">
      <protection locked="0"/>
    </xf>
    <xf numFmtId="2" fontId="0" fillId="0" borderId="0" xfId="0" applyNumberFormat="1" applyProtection="1">
      <protection locked="0"/>
    </xf>
    <xf numFmtId="2" fontId="0" fillId="0" borderId="0" xfId="0" applyNumberFormat="1" applyFill="1" applyBorder="1" applyAlignment="1" applyProtection="1">
      <alignment horizontal="center"/>
      <protection locked="0"/>
    </xf>
    <xf numFmtId="0" fontId="14" fillId="0" borderId="9" xfId="0" applyFont="1" applyBorder="1" applyProtection="1">
      <protection locked="0"/>
    </xf>
    <xf numFmtId="0" fontId="14" fillId="0" borderId="22" xfId="0" applyFont="1" applyBorder="1" applyProtection="1">
      <protection locked="0"/>
    </xf>
    <xf numFmtId="0" fontId="0" fillId="0" borderId="0" xfId="0" applyBorder="1" applyAlignment="1">
      <alignment horizontal="right" vertical="center"/>
    </xf>
    <xf numFmtId="0" fontId="0" fillId="0" borderId="0" xfId="0"/>
    <xf numFmtId="0" fontId="0" fillId="0" borderId="0" xfId="0" applyBorder="1" applyAlignment="1">
      <alignment horizontal="center" vertical="center"/>
    </xf>
    <xf numFmtId="0" fontId="0" fillId="0" borderId="0" xfId="0" applyBorder="1" applyAlignment="1" applyProtection="1">
      <alignment horizontal="left" wrapText="1"/>
      <protection locked="0"/>
    </xf>
    <xf numFmtId="0" fontId="0" fillId="0" borderId="0" xfId="0" applyBorder="1" applyAlignment="1">
      <alignment horizontal="right" vertical="center"/>
    </xf>
    <xf numFmtId="0" fontId="11" fillId="6" borderId="0" xfId="0" applyFont="1" applyFill="1" applyBorder="1" applyAlignment="1" applyProtection="1">
      <alignment horizontal="center" vertical="center"/>
      <protection locked="0"/>
    </xf>
    <xf numFmtId="0" fontId="14" fillId="0" borderId="22" xfId="0" applyFont="1" applyFill="1" applyBorder="1" applyProtection="1">
      <protection locked="0"/>
    </xf>
    <xf numFmtId="0" fontId="0" fillId="0" borderId="13" xfId="0" applyBorder="1" applyAlignment="1">
      <alignment horizontal="right" vertical="top"/>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1" fillId="0" borderId="22" xfId="0" applyFont="1" applyFill="1" applyBorder="1" applyAlignment="1">
      <alignment horizontal="left" vertical="top" wrapText="1"/>
    </xf>
    <xf numFmtId="0" fontId="0" fillId="0" borderId="0" xfId="0" applyBorder="1" applyAlignment="1">
      <alignment horizontal="right" vertical="center"/>
    </xf>
    <xf numFmtId="2" fontId="1" fillId="0" borderId="13" xfId="1" applyNumberFormat="1" applyFill="1" applyBorder="1"/>
    <xf numFmtId="2" fontId="12" fillId="0" borderId="13" xfId="1" applyNumberFormat="1" applyFont="1" applyFill="1" applyBorder="1" applyAlignment="1">
      <alignment horizontal="right"/>
    </xf>
    <xf numFmtId="0" fontId="27" fillId="0" borderId="11" xfId="0" applyFont="1" applyFill="1" applyBorder="1" applyAlignment="1">
      <alignment horizontal="right" vertical="center" wrapText="1"/>
    </xf>
    <xf numFmtId="0" fontId="11" fillId="6" borderId="24" xfId="1" applyFont="1" applyFill="1" applyBorder="1" applyProtection="1">
      <protection locked="0"/>
    </xf>
    <xf numFmtId="0" fontId="0" fillId="0" borderId="47" xfId="0" applyBorder="1" applyAlignment="1">
      <alignment horizontal="center"/>
    </xf>
    <xf numFmtId="0" fontId="0" fillId="10" borderId="38" xfId="0" applyFill="1" applyBorder="1"/>
    <xf numFmtId="0" fontId="11" fillId="6" borderId="3" xfId="0" applyFont="1" applyFill="1" applyBorder="1" applyAlignment="1" applyProtection="1">
      <alignment horizontal="center"/>
      <protection locked="0"/>
    </xf>
    <xf numFmtId="167" fontId="31" fillId="0" borderId="0" xfId="2" applyNumberFormat="1" applyFont="1" applyFill="1" applyBorder="1" applyAlignment="1">
      <alignment horizontal="right" vertical="center"/>
    </xf>
    <xf numFmtId="0" fontId="0" fillId="0" borderId="5" xfId="0" applyBorder="1" applyAlignment="1">
      <alignment wrapText="1"/>
    </xf>
    <xf numFmtId="0" fontId="0" fillId="0" borderId="48" xfId="0" applyBorder="1"/>
    <xf numFmtId="0" fontId="0" fillId="0" borderId="27" xfId="0" applyBorder="1" applyAlignment="1">
      <alignment horizontal="center" wrapText="1"/>
    </xf>
    <xf numFmtId="167" fontId="30" fillId="0" borderId="0" xfId="0" applyNumberFormat="1" applyFont="1" applyBorder="1" applyAlignment="1">
      <alignment horizontal="right" vertical="center"/>
    </xf>
    <xf numFmtId="167" fontId="30" fillId="0" borderId="22" xfId="0" applyNumberFormat="1" applyFont="1" applyBorder="1" applyAlignment="1">
      <alignment horizontal="right" vertical="center"/>
    </xf>
    <xf numFmtId="167" fontId="31" fillId="0" borderId="22" xfId="2" applyNumberFormat="1" applyFont="1" applyFill="1" applyBorder="1" applyAlignment="1">
      <alignment horizontal="right" vertical="center"/>
    </xf>
    <xf numFmtId="0" fontId="32" fillId="0" borderId="0" xfId="0" applyFont="1"/>
    <xf numFmtId="0" fontId="32" fillId="6" borderId="3" xfId="0" applyFont="1" applyFill="1" applyBorder="1"/>
    <xf numFmtId="0" fontId="32" fillId="7" borderId="3" xfId="0" applyFont="1" applyFill="1" applyBorder="1"/>
    <xf numFmtId="0" fontId="33" fillId="3" borderId="16" xfId="2" applyFont="1" applyBorder="1"/>
    <xf numFmtId="165" fontId="11" fillId="6" borderId="3" xfId="1" applyNumberFormat="1" applyFont="1" applyFill="1" applyBorder="1" applyAlignment="1" applyProtection="1">
      <alignment horizontal="center"/>
      <protection locked="0"/>
    </xf>
    <xf numFmtId="2" fontId="0" fillId="0" borderId="3" xfId="0" applyNumberFormat="1" applyBorder="1" applyAlignment="1">
      <alignment horizontal="center" vertical="center"/>
    </xf>
    <xf numFmtId="2" fontId="11" fillId="6" borderId="3" xfId="1" applyNumberFormat="1" applyFont="1" applyFill="1" applyBorder="1" applyAlignment="1" applyProtection="1">
      <alignment horizontal="center" vertical="center"/>
      <protection locked="0"/>
    </xf>
    <xf numFmtId="0" fontId="0" fillId="0" borderId="3" xfId="0" applyBorder="1" applyAlignment="1">
      <alignment horizontal="center" wrapText="1"/>
    </xf>
    <xf numFmtId="0" fontId="0" fillId="0" borderId="3" xfId="0" applyBorder="1" applyAlignment="1">
      <alignment horizontal="center"/>
    </xf>
    <xf numFmtId="0" fontId="0" fillId="0" borderId="11" xfId="0" applyBorder="1" applyAlignment="1">
      <alignment horizontal="right" wrapText="1"/>
    </xf>
    <xf numFmtId="0" fontId="0" fillId="0" borderId="12" xfId="0" applyBorder="1" applyAlignment="1">
      <alignment horizontal="right" vertical="top"/>
    </xf>
    <xf numFmtId="0" fontId="0" fillId="0" borderId="0" xfId="0" applyBorder="1" applyAlignment="1">
      <alignment wrapText="1"/>
    </xf>
    <xf numFmtId="0" fontId="0" fillId="0" borderId="27" xfId="0" applyBorder="1" applyAlignment="1">
      <alignment horizontal="right" wrapText="1"/>
    </xf>
    <xf numFmtId="164" fontId="2" fillId="3" borderId="2" xfId="2" applyNumberFormat="1" applyAlignment="1" applyProtection="1">
      <alignment horizontal="center" vertical="center" wrapText="1"/>
    </xf>
    <xf numFmtId="0" fontId="38" fillId="0" borderId="22" xfId="0" applyFont="1" applyBorder="1" applyAlignment="1">
      <alignment horizontal="center" vertical="center" wrapText="1"/>
    </xf>
    <xf numFmtId="0" fontId="0" fillId="0" borderId="0" xfId="0" applyFill="1" applyBorder="1" applyAlignment="1" applyProtection="1">
      <alignment horizontal="center"/>
      <protection locked="0"/>
    </xf>
    <xf numFmtId="0" fontId="0" fillId="0" borderId="22" xfId="0" applyFill="1" applyBorder="1" applyAlignment="1" applyProtection="1">
      <alignment horizontal="center"/>
      <protection locked="0"/>
    </xf>
    <xf numFmtId="165" fontId="2" fillId="3" borderId="3" xfId="2" applyNumberFormat="1" applyBorder="1" applyAlignment="1">
      <alignment horizontal="center" vertical="center"/>
    </xf>
    <xf numFmtId="165" fontId="2" fillId="3" borderId="3" xfId="2" applyNumberFormat="1" applyBorder="1" applyAlignment="1">
      <alignment horizontal="center"/>
    </xf>
    <xf numFmtId="2" fontId="11" fillId="0" borderId="9" xfId="2" applyNumberFormat="1" applyFont="1" applyFill="1" applyBorder="1" applyAlignment="1">
      <alignment horizontal="right" wrapText="1"/>
    </xf>
    <xf numFmtId="2" fontId="2" fillId="0" borderId="9" xfId="2" applyNumberFormat="1" applyFont="1" applyFill="1" applyBorder="1" applyAlignment="1" applyProtection="1">
      <alignment horizontal="center" wrapText="1"/>
    </xf>
    <xf numFmtId="2" fontId="2" fillId="0" borderId="9" xfId="2" applyNumberFormat="1" applyFont="1" applyFill="1" applyBorder="1" applyAlignment="1">
      <alignment horizontal="center" wrapText="1"/>
    </xf>
    <xf numFmtId="0" fontId="0" fillId="0" borderId="27" xfId="0" applyBorder="1" applyAlignment="1">
      <alignment horizontal="right" vertical="top"/>
    </xf>
    <xf numFmtId="0" fontId="7" fillId="0" borderId="9" xfId="0" applyFont="1" applyBorder="1"/>
    <xf numFmtId="0" fontId="0" fillId="0" borderId="3" xfId="0" applyBorder="1" applyAlignment="1">
      <alignment horizontal="center" wrapText="1"/>
    </xf>
    <xf numFmtId="0" fontId="0" fillId="0" borderId="3" xfId="0" applyBorder="1" applyAlignment="1">
      <alignment horizontal="center"/>
    </xf>
    <xf numFmtId="0" fontId="0" fillId="0" borderId="27" xfId="0" applyFont="1" applyFill="1" applyBorder="1" applyAlignment="1">
      <alignment horizontal="right"/>
    </xf>
    <xf numFmtId="0" fontId="0" fillId="0" borderId="27" xfId="0" applyFont="1" applyBorder="1" applyAlignment="1">
      <alignment horizontal="right" wrapText="1"/>
    </xf>
    <xf numFmtId="0" fontId="0" fillId="0" borderId="0" xfId="0" applyBorder="1" applyAlignment="1">
      <alignment horizontal="right" vertical="center"/>
    </xf>
    <xf numFmtId="165" fontId="11" fillId="6" borderId="3" xfId="1" applyNumberFormat="1" applyFont="1" applyFill="1" applyBorder="1" applyAlignment="1" applyProtection="1">
      <alignment horizontal="center" vertical="center"/>
      <protection locked="0"/>
    </xf>
    <xf numFmtId="0" fontId="0" fillId="0" borderId="11" xfId="0" applyFont="1" applyBorder="1" applyAlignment="1">
      <alignment horizontal="right" wrapText="1"/>
    </xf>
    <xf numFmtId="165" fontId="2" fillId="0" borderId="0" xfId="2" applyNumberFormat="1" applyFill="1" applyBorder="1" applyAlignment="1">
      <alignment horizontal="center"/>
    </xf>
    <xf numFmtId="165" fontId="11" fillId="6" borderId="49" xfId="1" applyNumberFormat="1" applyFont="1" applyFill="1" applyBorder="1" applyAlignment="1" applyProtection="1">
      <alignment horizontal="center" vertical="center"/>
      <protection locked="0"/>
    </xf>
    <xf numFmtId="165" fontId="2" fillId="3" borderId="31" xfId="2" applyNumberFormat="1" applyBorder="1" applyAlignment="1">
      <alignment horizontal="center" vertical="center"/>
    </xf>
    <xf numFmtId="165" fontId="2" fillId="0" borderId="0" xfId="2" applyNumberFormat="1" applyFill="1" applyBorder="1" applyAlignment="1">
      <alignment horizontal="right"/>
    </xf>
    <xf numFmtId="165" fontId="2" fillId="9" borderId="3" xfId="2" applyNumberFormat="1" applyFill="1" applyBorder="1" applyAlignment="1">
      <alignment horizontal="center"/>
    </xf>
    <xf numFmtId="0" fontId="11" fillId="0" borderId="11" xfId="0" applyFont="1" applyBorder="1" applyAlignment="1">
      <alignment horizontal="right"/>
    </xf>
    <xf numFmtId="165" fontId="11" fillId="0" borderId="0" xfId="2" applyNumberFormat="1" applyFont="1" applyFill="1" applyBorder="1" applyAlignment="1">
      <alignment horizontal="right"/>
    </xf>
    <xf numFmtId="0" fontId="27" fillId="0" borderId="22" xfId="0" applyFont="1" applyBorder="1"/>
    <xf numFmtId="164" fontId="21" fillId="0" borderId="22" xfId="4" applyNumberFormat="1" applyFont="1" applyBorder="1" applyAlignment="1">
      <alignment horizontal="left"/>
    </xf>
    <xf numFmtId="164" fontId="21" fillId="0" borderId="22" xfId="4" applyNumberFormat="1" applyFont="1" applyBorder="1" applyAlignment="1">
      <alignment horizontal="left" vertical="center"/>
    </xf>
    <xf numFmtId="168" fontId="2" fillId="3" borderId="2" xfId="2" applyNumberFormat="1" applyBorder="1" applyAlignment="1">
      <alignment horizontal="center" vertical="center"/>
    </xf>
    <xf numFmtId="168" fontId="2" fillId="3" borderId="15" xfId="2" applyNumberFormat="1" applyBorder="1" applyAlignment="1">
      <alignment horizontal="center" vertical="center"/>
    </xf>
    <xf numFmtId="168" fontId="2" fillId="3" borderId="15" xfId="2" applyNumberFormat="1" applyBorder="1" applyAlignment="1" applyProtection="1">
      <alignment horizontal="center" vertical="center"/>
    </xf>
    <xf numFmtId="168" fontId="2" fillId="3" borderId="3" xfId="2" applyNumberFormat="1" applyBorder="1" applyAlignment="1">
      <alignment horizontal="center" vertical="center"/>
    </xf>
    <xf numFmtId="0" fontId="0" fillId="0" borderId="51" xfId="0" applyFill="1" applyBorder="1" applyAlignment="1">
      <alignment horizontal="right" vertical="top"/>
    </xf>
    <xf numFmtId="0" fontId="0" fillId="0" borderId="51" xfId="0" applyFill="1" applyBorder="1" applyAlignment="1" applyProtection="1">
      <alignment horizontal="left" vertical="center" wrapText="1"/>
      <protection locked="0"/>
    </xf>
    <xf numFmtId="165" fontId="2" fillId="0" borderId="41" xfId="2" applyNumberFormat="1" applyFill="1" applyBorder="1" applyAlignment="1">
      <alignment horizontal="center"/>
    </xf>
    <xf numFmtId="165" fontId="2" fillId="3" borderId="2" xfId="2" applyNumberFormat="1" applyAlignment="1">
      <alignment horizontal="center"/>
    </xf>
    <xf numFmtId="165" fontId="2" fillId="3" borderId="3" xfId="2" applyNumberFormat="1" applyBorder="1" applyAlignment="1" applyProtection="1">
      <alignment horizontal="center" vertical="center"/>
    </xf>
    <xf numFmtId="165" fontId="2" fillId="6" borderId="3" xfId="2" applyNumberFormat="1" applyFill="1" applyBorder="1" applyAlignment="1" applyProtection="1">
      <alignment horizontal="center"/>
      <protection locked="0"/>
    </xf>
    <xf numFmtId="165" fontId="2" fillId="6" borderId="3" xfId="2" applyNumberFormat="1" applyFill="1" applyBorder="1" applyAlignment="1" applyProtection="1">
      <alignment horizontal="center" vertical="center"/>
      <protection locked="0"/>
    </xf>
    <xf numFmtId="165" fontId="11" fillId="0" borderId="0" xfId="1" applyNumberFormat="1" applyFont="1" applyFill="1" applyBorder="1" applyAlignment="1" applyProtection="1">
      <alignment horizontal="center" vertical="center"/>
    </xf>
    <xf numFmtId="0" fontId="0" fillId="0" borderId="0" xfId="0" applyFill="1" applyBorder="1" applyAlignment="1" applyProtection="1">
      <alignment horizontal="right"/>
    </xf>
    <xf numFmtId="0" fontId="0" fillId="0" borderId="0" xfId="0" applyBorder="1" applyProtection="1"/>
    <xf numFmtId="0" fontId="0" fillId="0" borderId="11" xfId="0" applyBorder="1" applyAlignment="1" applyProtection="1">
      <alignment horizontal="right"/>
    </xf>
    <xf numFmtId="165" fontId="2" fillId="0" borderId="0" xfId="2" applyNumberFormat="1" applyFill="1" applyBorder="1" applyAlignment="1" applyProtection="1">
      <alignment horizontal="center"/>
    </xf>
    <xf numFmtId="165" fontId="11" fillId="0" borderId="0" xfId="2" applyNumberFormat="1" applyFont="1" applyFill="1" applyBorder="1" applyAlignment="1" applyProtection="1">
      <alignment horizontal="center"/>
    </xf>
    <xf numFmtId="0" fontId="27" fillId="0" borderId="17" xfId="0" applyFont="1" applyBorder="1" applyAlignment="1">
      <alignment wrapText="1"/>
    </xf>
    <xf numFmtId="0" fontId="0" fillId="0" borderId="3" xfId="0" applyBorder="1" applyAlignment="1">
      <alignment horizontal="right" vertical="center"/>
    </xf>
    <xf numFmtId="2" fontId="0" fillId="0" borderId="0" xfId="0" applyNumberFormat="1"/>
    <xf numFmtId="168" fontId="11" fillId="3" borderId="40" xfId="2" applyNumberFormat="1" applyFont="1" applyBorder="1" applyAlignment="1">
      <alignment horizontal="center"/>
    </xf>
    <xf numFmtId="168" fontId="11" fillId="0" borderId="11" xfId="2" applyNumberFormat="1" applyFont="1" applyFill="1" applyBorder="1" applyAlignment="1">
      <alignment horizontal="center"/>
    </xf>
    <xf numFmtId="168" fontId="11" fillId="0" borderId="0" xfId="2" applyNumberFormat="1" applyFont="1" applyFill="1" applyBorder="1" applyAlignment="1">
      <alignment horizontal="center"/>
    </xf>
    <xf numFmtId="168" fontId="11" fillId="0" borderId="22" xfId="2" applyNumberFormat="1" applyFont="1" applyFill="1" applyBorder="1" applyAlignment="1">
      <alignment horizontal="center"/>
    </xf>
    <xf numFmtId="168" fontId="0" fillId="9" borderId="38" xfId="0" applyNumberFormat="1" applyFill="1" applyBorder="1" applyAlignment="1">
      <alignment horizontal="center"/>
    </xf>
    <xf numFmtId="168" fontId="27" fillId="0" borderId="0" xfId="0" applyNumberFormat="1" applyFont="1" applyBorder="1" applyAlignment="1">
      <alignment horizontal="center" vertical="center" wrapText="1"/>
    </xf>
    <xf numFmtId="168" fontId="0" fillId="9" borderId="39" xfId="0" applyNumberFormat="1" applyFill="1" applyBorder="1" applyAlignment="1">
      <alignment horizontal="center"/>
    </xf>
    <xf numFmtId="168" fontId="0" fillId="0" borderId="0" xfId="0" applyNumberFormat="1" applyFont="1" applyBorder="1" applyAlignment="1">
      <alignment horizontal="center" vertical="center" wrapText="1"/>
    </xf>
    <xf numFmtId="0" fontId="43" fillId="0" borderId="0" xfId="0" applyFont="1" applyBorder="1" applyAlignment="1">
      <alignment vertical="center" wrapText="1"/>
    </xf>
    <xf numFmtId="0" fontId="43" fillId="0" borderId="22" xfId="0" applyFont="1" applyBorder="1" applyAlignment="1">
      <alignment vertical="center" wrapText="1"/>
    </xf>
    <xf numFmtId="168" fontId="2" fillId="3" borderId="3" xfId="2" applyNumberFormat="1" applyBorder="1" applyAlignment="1">
      <alignment horizontal="center" vertical="center" wrapText="1"/>
    </xf>
    <xf numFmtId="168" fontId="2" fillId="3" borderId="2" xfId="2" applyNumberFormat="1" applyBorder="1" applyAlignment="1">
      <alignment horizontal="center"/>
    </xf>
    <xf numFmtId="168" fontId="0" fillId="0" borderId="3" xfId="0" applyNumberFormat="1" applyFill="1" applyBorder="1" applyAlignment="1" applyProtection="1">
      <alignment horizontal="right"/>
      <protection locked="0"/>
    </xf>
    <xf numFmtId="168" fontId="0" fillId="0" borderId="22" xfId="0" applyNumberFormat="1" applyFont="1" applyBorder="1" applyAlignment="1">
      <alignment horizontal="center" vertical="center" wrapText="1"/>
    </xf>
    <xf numFmtId="0" fontId="7" fillId="11" borderId="0" xfId="0" applyFont="1" applyFill="1"/>
    <xf numFmtId="0" fontId="32" fillId="11" borderId="0" xfId="0" applyFont="1" applyFill="1"/>
    <xf numFmtId="0" fontId="8" fillId="11" borderId="0" xfId="3" applyFill="1" applyAlignment="1"/>
    <xf numFmtId="0" fontId="32" fillId="11" borderId="0" xfId="0" applyFont="1" applyFill="1" applyAlignment="1">
      <alignment horizontal="left" wrapText="1"/>
    </xf>
    <xf numFmtId="0" fontId="44" fillId="11" borderId="0" xfId="0" applyFont="1" applyFill="1"/>
    <xf numFmtId="0" fontId="32" fillId="11" borderId="0" xfId="0" applyFont="1" applyFill="1" applyAlignment="1">
      <alignment horizontal="right"/>
    </xf>
    <xf numFmtId="0" fontId="33" fillId="11" borderId="0" xfId="2" applyFont="1" applyFill="1" applyBorder="1"/>
    <xf numFmtId="0" fontId="0" fillId="11" borderId="0" xfId="0" applyFont="1" applyFill="1" applyAlignment="1">
      <alignment horizontal="left" vertical="top" wrapText="1"/>
    </xf>
    <xf numFmtId="0" fontId="32" fillId="11" borderId="0" xfId="0" applyFont="1" applyFill="1" applyAlignment="1">
      <alignment horizontal="left" vertical="top" wrapText="1"/>
    </xf>
    <xf numFmtId="0" fontId="0" fillId="11" borderId="0" xfId="0" applyFont="1" applyFill="1"/>
    <xf numFmtId="0" fontId="34" fillId="11" borderId="0" xfId="3" applyFont="1" applyFill="1"/>
    <xf numFmtId="0" fontId="45" fillId="11" borderId="0" xfId="3" applyFont="1" applyFill="1"/>
    <xf numFmtId="0" fontId="35" fillId="11" borderId="0" xfId="3" applyFont="1" applyFill="1"/>
    <xf numFmtId="0" fontId="37" fillId="11" borderId="0" xfId="0" applyFont="1" applyFill="1"/>
    <xf numFmtId="0" fontId="11" fillId="11" borderId="0" xfId="3" applyFont="1" applyFill="1" applyAlignment="1">
      <alignment horizontal="left" vertical="top" wrapText="1"/>
    </xf>
    <xf numFmtId="0" fontId="15" fillId="11" borderId="0" xfId="3" applyFont="1" applyFill="1" applyAlignment="1">
      <alignment horizontal="left" vertical="top"/>
    </xf>
    <xf numFmtId="0" fontId="0" fillId="0" borderId="3" xfId="0" applyBorder="1" applyAlignment="1">
      <alignment horizontal="center" wrapText="1"/>
    </xf>
    <xf numFmtId="0" fontId="21" fillId="0" borderId="22" xfId="0" applyFont="1" applyFill="1" applyBorder="1" applyAlignment="1">
      <alignment horizontal="left" vertical="top" wrapText="1"/>
    </xf>
    <xf numFmtId="0" fontId="0" fillId="0" borderId="0" xfId="0" applyBorder="1" applyAlignment="1">
      <alignment horizontal="right" vertical="center"/>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0" xfId="0" applyBorder="1" applyAlignment="1">
      <alignment horizontal="right" wrapText="1"/>
    </xf>
    <xf numFmtId="0" fontId="0" fillId="0" borderId="11" xfId="0" applyBorder="1" applyAlignment="1">
      <alignment horizontal="right" wrapText="1"/>
    </xf>
    <xf numFmtId="0" fontId="0" fillId="0" borderId="3" xfId="0" applyBorder="1" applyAlignment="1">
      <alignment horizontal="center"/>
    </xf>
    <xf numFmtId="0" fontId="32" fillId="11" borderId="0" xfId="0" applyFont="1" applyFill="1" applyAlignment="1">
      <alignment horizontal="left" wrapText="1"/>
    </xf>
    <xf numFmtId="0" fontId="32" fillId="11" borderId="0" xfId="0" applyFont="1" applyFill="1" applyAlignment="1">
      <alignment horizontal="left" vertical="top" wrapText="1"/>
    </xf>
    <xf numFmtId="0" fontId="36" fillId="11" borderId="0" xfId="3" applyFont="1" applyFill="1" applyAlignment="1">
      <alignment horizontal="left" wrapText="1"/>
    </xf>
    <xf numFmtId="0" fontId="32" fillId="11" borderId="0" xfId="0" applyFont="1" applyFill="1" applyAlignment="1">
      <alignment horizontal="left"/>
    </xf>
    <xf numFmtId="0" fontId="0" fillId="11" borderId="0" xfId="0" applyFont="1" applyFill="1" applyAlignment="1">
      <alignment horizontal="left" vertical="top" wrapText="1"/>
    </xf>
    <xf numFmtId="0" fontId="0" fillId="11" borderId="0" xfId="0" applyFont="1" applyFill="1" applyAlignment="1">
      <alignment horizontal="left" wrapText="1"/>
    </xf>
    <xf numFmtId="0" fontId="11" fillId="11" borderId="0" xfId="3" applyFont="1" applyFill="1" applyAlignment="1">
      <alignment horizontal="left" vertical="top" wrapText="1"/>
    </xf>
    <xf numFmtId="0" fontId="47" fillId="11" borderId="0" xfId="3" applyFont="1" applyFill="1" applyAlignment="1">
      <alignment horizontal="left" vertical="top" wrapText="1"/>
    </xf>
    <xf numFmtId="0" fontId="0" fillId="11" borderId="0" xfId="0" applyFont="1" applyFill="1" applyBorder="1" applyAlignment="1">
      <alignment horizontal="left" vertical="top" wrapText="1"/>
    </xf>
    <xf numFmtId="0" fontId="32" fillId="11" borderId="0" xfId="0" applyFont="1" applyFill="1" applyBorder="1" applyAlignment="1">
      <alignment horizontal="left" vertical="top"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21" fillId="0" borderId="22" xfId="0" applyFont="1" applyBorder="1" applyAlignment="1">
      <alignment horizontal="center" wrapText="1"/>
    </xf>
    <xf numFmtId="0" fontId="0" fillId="8" borderId="42" xfId="0" applyFill="1" applyBorder="1" applyAlignment="1" applyProtection="1">
      <alignment horizontal="left" vertical="top" wrapText="1"/>
      <protection locked="0"/>
    </xf>
    <xf numFmtId="0" fontId="0" fillId="8" borderId="41" xfId="0" applyFill="1" applyBorder="1" applyAlignment="1" applyProtection="1">
      <alignment horizontal="left" vertical="top" wrapText="1"/>
      <protection locked="0"/>
    </xf>
    <xf numFmtId="0" fontId="0" fillId="8" borderId="44"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23"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43"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0" fillId="0" borderId="24" xfId="0" applyBorder="1" applyAlignment="1">
      <alignment horizontal="center" vertical="center" textRotation="90"/>
    </xf>
    <xf numFmtId="0" fontId="3" fillId="0" borderId="0" xfId="0" applyFont="1" applyBorder="1" applyAlignment="1">
      <alignment horizontal="right"/>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0" fillId="6" borderId="17"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0" fillId="0" borderId="3" xfId="0" applyBorder="1" applyAlignment="1">
      <alignment horizontal="center" wrapText="1"/>
    </xf>
    <xf numFmtId="0" fontId="0" fillId="0" borderId="15" xfId="0" applyBorder="1" applyAlignment="1">
      <alignment horizontal="center" wrapText="1"/>
    </xf>
    <xf numFmtId="0" fontId="0" fillId="0" borderId="49" xfId="0" applyBorder="1" applyAlignment="1">
      <alignment horizontal="center" wrapText="1"/>
    </xf>
    <xf numFmtId="0" fontId="40" fillId="0" borderId="11" xfId="0" applyFont="1" applyFill="1" applyBorder="1" applyAlignment="1">
      <alignment horizontal="left" vertical="center"/>
    </xf>
    <xf numFmtId="0" fontId="40" fillId="0" borderId="7" xfId="0" applyFont="1" applyFill="1" applyBorder="1" applyAlignment="1">
      <alignment horizontal="left" vertical="center"/>
    </xf>
    <xf numFmtId="0" fontId="11" fillId="6" borderId="17" xfId="1" applyFont="1" applyFill="1" applyBorder="1" applyAlignment="1" applyProtection="1">
      <alignment horizontal="center" shrinkToFit="1"/>
      <protection locked="0"/>
    </xf>
    <xf numFmtId="0" fontId="11" fillId="6" borderId="18" xfId="1" applyFont="1" applyFill="1" applyBorder="1" applyAlignment="1" applyProtection="1">
      <alignment horizontal="center" shrinkToFit="1"/>
      <protection locked="0"/>
    </xf>
    <xf numFmtId="0" fontId="11" fillId="6" borderId="19" xfId="1" applyFont="1" applyFill="1" applyBorder="1" applyAlignment="1" applyProtection="1">
      <alignment horizontal="center" shrinkToFit="1"/>
      <protection locked="0"/>
    </xf>
    <xf numFmtId="167" fontId="11" fillId="6" borderId="3" xfId="1" applyNumberFormat="1" applyFont="1" applyFill="1" applyBorder="1" applyAlignment="1" applyProtection="1">
      <alignment horizontal="center"/>
      <protection locked="0"/>
    </xf>
    <xf numFmtId="167" fontId="11" fillId="6" borderId="17" xfId="1" applyNumberFormat="1" applyFont="1" applyFill="1" applyBorder="1" applyAlignment="1" applyProtection="1">
      <alignment horizontal="center"/>
      <protection locked="0"/>
    </xf>
    <xf numFmtId="167" fontId="11" fillId="6" borderId="18" xfId="1" applyNumberFormat="1" applyFont="1" applyFill="1" applyBorder="1" applyAlignment="1" applyProtection="1">
      <alignment horizontal="center"/>
      <protection locked="0"/>
    </xf>
    <xf numFmtId="167" fontId="11" fillId="6" borderId="19" xfId="1" applyNumberFormat="1" applyFont="1" applyFill="1" applyBorder="1" applyAlignment="1" applyProtection="1">
      <alignment horizontal="center"/>
      <protection locked="0"/>
    </xf>
    <xf numFmtId="0" fontId="0" fillId="0" borderId="7" xfId="0" applyFill="1" applyBorder="1" applyAlignment="1">
      <alignment horizontal="right" vertical="center" wrapText="1"/>
    </xf>
    <xf numFmtId="0" fontId="2" fillId="3" borderId="2" xfId="2" applyAlignment="1" applyProtection="1">
      <alignment horizontal="center"/>
      <protection locked="0"/>
    </xf>
    <xf numFmtId="0" fontId="0" fillId="7" borderId="14" xfId="0" applyFill="1" applyBorder="1" applyAlignment="1" applyProtection="1">
      <alignment horizontal="left" vertical="center" wrapText="1"/>
      <protection locked="0"/>
    </xf>
    <xf numFmtId="0" fontId="0" fillId="7" borderId="33"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0" fontId="11" fillId="6" borderId="17" xfId="1" applyFont="1" applyFill="1" applyBorder="1" applyAlignment="1" applyProtection="1">
      <alignment horizontal="center"/>
      <protection locked="0"/>
    </xf>
    <xf numFmtId="0" fontId="11" fillId="6" borderId="18" xfId="1" applyFont="1" applyFill="1" applyBorder="1" applyAlignment="1" applyProtection="1">
      <alignment horizontal="center"/>
      <protection locked="0"/>
    </xf>
    <xf numFmtId="0" fontId="11" fillId="6" borderId="19" xfId="1" applyFont="1" applyFill="1" applyBorder="1" applyAlignment="1" applyProtection="1">
      <alignment horizontal="center"/>
      <protection locked="0"/>
    </xf>
    <xf numFmtId="0" fontId="0" fillId="7" borderId="34" xfId="0"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0" fillId="7" borderId="36" xfId="0" applyFill="1" applyBorder="1" applyAlignment="1" applyProtection="1">
      <alignment horizontal="left" vertical="center" wrapText="1"/>
      <protection locked="0"/>
    </xf>
    <xf numFmtId="0" fontId="0" fillId="6" borderId="17"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0" borderId="0" xfId="0" applyBorder="1" applyAlignment="1">
      <alignment horizontal="right" vertical="center"/>
    </xf>
    <xf numFmtId="0" fontId="0" fillId="0" borderId="0" xfId="0" applyBorder="1" applyAlignment="1" applyProtection="1">
      <alignment horizontal="center" vertical="center" wrapText="1"/>
      <protection locked="0"/>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27" fillId="0" borderId="20"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0" fillId="0" borderId="20" xfId="0" applyBorder="1" applyAlignment="1">
      <alignment horizontal="center" vertical="center" wrapText="1"/>
    </xf>
    <xf numFmtId="0" fontId="0" fillId="0" borderId="45" xfId="0" applyBorder="1" applyAlignment="1">
      <alignment horizontal="center" vertical="center" wrapText="1"/>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0" xfId="0" applyFill="1" applyBorder="1" applyAlignment="1" applyProtection="1">
      <alignment horizontal="center"/>
      <protection locked="0"/>
    </xf>
    <xf numFmtId="0" fontId="0" fillId="0" borderId="26" xfId="0" applyBorder="1" applyAlignment="1">
      <alignment horizontal="center" wrapText="1"/>
    </xf>
    <xf numFmtId="0" fontId="0" fillId="0" borderId="0" xfId="0" applyBorder="1" applyAlignment="1">
      <alignment horizontal="right" wrapText="1"/>
    </xf>
    <xf numFmtId="0" fontId="0" fillId="0" borderId="0" xfId="0" applyBorder="1" applyAlignment="1" applyProtection="1">
      <alignment horizontal="center" vertical="center"/>
      <protection locked="0"/>
    </xf>
    <xf numFmtId="0" fontId="25" fillId="0" borderId="20" xfId="0" applyFont="1" applyBorder="1" applyAlignment="1">
      <alignment horizontal="left" vertical="center" wrapText="1"/>
    </xf>
    <xf numFmtId="0" fontId="25" fillId="0" borderId="0" xfId="0" applyFont="1" applyBorder="1" applyAlignment="1">
      <alignment horizontal="left" vertical="center" wrapText="1"/>
    </xf>
    <xf numFmtId="0" fontId="25" fillId="0" borderId="22" xfId="0" applyFont="1" applyBorder="1" applyAlignment="1">
      <alignment horizontal="left" vertical="center" wrapText="1"/>
    </xf>
    <xf numFmtId="0" fontId="0" fillId="0" borderId="3" xfId="0" applyFill="1" applyBorder="1" applyAlignment="1" applyProtection="1">
      <alignment horizontal="center"/>
      <protection locked="0"/>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22" xfId="0" applyFont="1" applyBorder="1" applyAlignment="1">
      <alignment horizontal="left" wrapText="1"/>
    </xf>
    <xf numFmtId="0" fontId="40" fillId="0" borderId="11" xfId="0" applyFont="1" applyBorder="1" applyAlignment="1">
      <alignment horizontal="left"/>
    </xf>
    <xf numFmtId="0" fontId="40" fillId="0" borderId="7" xfId="0" applyFont="1" applyBorder="1" applyAlignment="1">
      <alignment horizontal="left"/>
    </xf>
    <xf numFmtId="0" fontId="0" fillId="0" borderId="11" xfId="0" applyBorder="1" applyAlignment="1">
      <alignment horizontal="right" wrapText="1"/>
    </xf>
    <xf numFmtId="0" fontId="0" fillId="0" borderId="29" xfId="0" applyBorder="1" applyAlignment="1">
      <alignment horizontal="right" wrapText="1"/>
    </xf>
    <xf numFmtId="0" fontId="11" fillId="6" borderId="30" xfId="1" applyFont="1" applyFill="1" applyBorder="1" applyAlignment="1" applyProtection="1">
      <alignment horizontal="center"/>
      <protection locked="0"/>
    </xf>
    <xf numFmtId="0" fontId="11" fillId="6" borderId="3" xfId="1" applyFont="1" applyFill="1" applyBorder="1" applyAlignment="1" applyProtection="1">
      <alignment horizontal="center"/>
      <protection locked="0"/>
    </xf>
    <xf numFmtId="0" fontId="19" fillId="0" borderId="27" xfId="0" applyFont="1" applyBorder="1" applyAlignment="1">
      <alignment horizontal="center" vertic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9" fillId="0" borderId="23" xfId="0" applyFont="1" applyBorder="1" applyAlignment="1">
      <alignment horizont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0" fillId="0" borderId="30" xfId="0" applyBorder="1" applyAlignment="1">
      <alignment horizontal="center"/>
    </xf>
    <xf numFmtId="0" fontId="0" fillId="0" borderId="3" xfId="0" applyBorder="1" applyAlignment="1">
      <alignment horizontal="center"/>
    </xf>
    <xf numFmtId="0" fontId="21" fillId="0" borderId="20" xfId="0" applyFont="1" applyBorder="1" applyAlignment="1">
      <alignment horizontal="left" vertical="center" wrapText="1"/>
    </xf>
    <xf numFmtId="0" fontId="21" fillId="0" borderId="0" xfId="0" applyFont="1" applyBorder="1" applyAlignment="1">
      <alignment horizontal="left" vertical="center" wrapText="1"/>
    </xf>
    <xf numFmtId="0" fontId="21" fillId="0" borderId="22" xfId="0" applyFont="1" applyBorder="1" applyAlignment="1">
      <alignment horizontal="left" vertical="center" wrapText="1"/>
    </xf>
    <xf numFmtId="0" fontId="25" fillId="0" borderId="11" xfId="0" applyFont="1" applyFill="1" applyBorder="1" applyAlignment="1">
      <alignment horizontal="center" wrapText="1"/>
    </xf>
    <xf numFmtId="0" fontId="25" fillId="0" borderId="0" xfId="0" applyFont="1" applyFill="1" applyBorder="1" applyAlignment="1">
      <alignment horizontal="center" wrapText="1"/>
    </xf>
    <xf numFmtId="0" fontId="25" fillId="0" borderId="22" xfId="0" applyFont="1" applyFill="1" applyBorder="1" applyAlignment="1">
      <alignment horizontal="center" wrapText="1"/>
    </xf>
    <xf numFmtId="0" fontId="11" fillId="0" borderId="0" xfId="0" applyFont="1" applyBorder="1" applyAlignment="1">
      <alignment horizontal="right" wrapText="1"/>
    </xf>
    <xf numFmtId="0" fontId="0" fillId="0" borderId="20" xfId="0" applyBorder="1" applyAlignment="1">
      <alignment horizontal="right"/>
    </xf>
    <xf numFmtId="0" fontId="0" fillId="0" borderId="6" xfId="0" applyBorder="1" applyAlignment="1">
      <alignment horizontal="right"/>
    </xf>
    <xf numFmtId="0" fontId="0" fillId="0" borderId="20" xfId="0" applyFont="1" applyBorder="1" applyAlignment="1">
      <alignment horizontal="right" wrapText="1"/>
    </xf>
    <xf numFmtId="0" fontId="0" fillId="0" borderId="29" xfId="0" applyFont="1" applyBorder="1" applyAlignment="1">
      <alignment horizontal="right" wrapText="1"/>
    </xf>
    <xf numFmtId="0" fontId="39" fillId="0" borderId="20" xfId="0" applyFont="1" applyBorder="1" applyAlignment="1">
      <alignment horizontal="center"/>
    </xf>
    <xf numFmtId="0" fontId="39" fillId="0" borderId="0" xfId="0" applyFont="1" applyBorder="1" applyAlignment="1">
      <alignment horizontal="center"/>
    </xf>
    <xf numFmtId="0" fontId="39" fillId="0" borderId="22" xfId="0" applyFont="1" applyBorder="1" applyAlignment="1">
      <alignment horizontal="center"/>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42" fillId="0" borderId="25" xfId="0" applyFont="1" applyBorder="1" applyAlignment="1">
      <alignment horizontal="center" vertical="top" wrapText="1"/>
    </xf>
    <xf numFmtId="0" fontId="42" fillId="0" borderId="7" xfId="0" applyFont="1" applyBorder="1" applyAlignment="1">
      <alignment horizontal="center" vertical="top" wrapText="1"/>
    </xf>
    <xf numFmtId="0" fontId="42" fillId="0" borderId="50" xfId="0" applyFont="1" applyBorder="1" applyAlignment="1">
      <alignment horizontal="center" vertical="top" wrapText="1"/>
    </xf>
    <xf numFmtId="0" fontId="0" fillId="0" borderId="0" xfId="0" applyFill="1" applyBorder="1" applyAlignment="1" applyProtection="1">
      <alignment horizontal="right" vertical="top" wrapText="1"/>
    </xf>
    <xf numFmtId="0" fontId="0" fillId="0" borderId="0" xfId="0" applyProtection="1">
      <protection locked="0"/>
    </xf>
    <xf numFmtId="0" fontId="0" fillId="0" borderId="28" xfId="0" applyBorder="1" applyAlignment="1">
      <alignment horizontal="center"/>
    </xf>
    <xf numFmtId="0" fontId="0" fillId="0" borderId="0" xfId="0" applyFont="1" applyBorder="1" applyAlignment="1">
      <alignment horizontal="left" wrapText="1"/>
    </xf>
    <xf numFmtId="0" fontId="0" fillId="0" borderId="22" xfId="0" applyFont="1"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2" fillId="3" borderId="2" xfId="2" applyBorder="1" applyAlignment="1">
      <alignment horizontal="center" wrapText="1"/>
    </xf>
    <xf numFmtId="0" fontId="20" fillId="0" borderId="7" xfId="0" applyFont="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vertical="center"/>
    </xf>
    <xf numFmtId="0" fontId="0" fillId="5" borderId="5" xfId="0" applyFill="1" applyBorder="1" applyAlignment="1">
      <alignment horizontal="center" vertical="center"/>
    </xf>
  </cellXfs>
  <cellStyles count="5">
    <cellStyle name="Hyperlink" xfId="3" builtinId="8"/>
    <cellStyle name="Input" xfId="1" builtinId="20"/>
    <cellStyle name="Normal" xfId="0" builtinId="0"/>
    <cellStyle name="Output" xfId="2" builtinId="21"/>
    <cellStyle name="Percent" xfId="4" builtinId="5"/>
  </cellStyles>
  <dxfs count="458">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ont>
        <color theme="1" tint="0.499984740745262"/>
      </font>
      <fill>
        <patternFill>
          <bgColor theme="0" tint="-0.34998626667073579"/>
        </patternFill>
      </fill>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ont>
        <color theme="0"/>
      </font>
      <border>
        <top/>
        <bottom/>
        <vertical/>
        <horizontal/>
      </border>
    </dxf>
    <dxf>
      <border>
        <top style="thin">
          <color auto="1"/>
        </top>
        <bottom style="thin">
          <color auto="1"/>
        </bottom>
        <vertical/>
        <horizontal/>
      </border>
    </dxf>
    <dxf>
      <font>
        <color theme="0"/>
      </font>
    </dxf>
    <dxf>
      <font>
        <color auto="1"/>
      </font>
      <border>
        <right style="thin">
          <color auto="1"/>
        </right>
        <bottom style="thin">
          <color auto="1"/>
        </bottom>
        <vertical/>
        <horizontal/>
      </border>
    </dxf>
    <dxf>
      <font>
        <color theme="0"/>
      </font>
    </dxf>
    <dxf>
      <font>
        <color auto="1"/>
      </font>
      <border>
        <right style="thin">
          <color auto="1"/>
        </right>
        <bottom style="thin">
          <color auto="1"/>
        </bottom>
        <vertical/>
        <horizontal/>
      </border>
    </dxf>
    <dxf>
      <border>
        <right style="thin">
          <color auto="1"/>
        </right>
        <top style="thin">
          <color auto="1"/>
        </top>
        <bottom style="thin">
          <color auto="1"/>
        </bottom>
        <vertical/>
        <horizontal/>
      </border>
    </dxf>
    <dxf>
      <font>
        <color theme="0"/>
      </font>
    </dxf>
    <dxf>
      <fill>
        <patternFill>
          <bgColor theme="0" tint="-4.9989318521683403E-2"/>
        </patternFill>
      </fill>
    </dxf>
    <dxf>
      <fill>
        <patternFill>
          <bgColor rgb="FFFDF7D9"/>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ill>
        <patternFill>
          <bgColor theme="0" tint="-4.9989318521683403E-2"/>
        </patternFill>
      </fill>
    </dxf>
    <dxf>
      <border>
        <right style="thin">
          <color auto="1"/>
        </right>
        <top style="thin">
          <color auto="1"/>
        </top>
        <bottom style="thin">
          <color auto="1"/>
        </bottom>
        <vertical/>
        <horizontal/>
      </border>
    </dxf>
    <dxf>
      <font>
        <color theme="0"/>
      </font>
    </dxf>
    <dxf>
      <fill>
        <patternFill patternType="none">
          <bgColor auto="1"/>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s>
  <tableStyles count="0" defaultTableStyle="TableStyleMedium2" defaultPivotStyle="PivotStyleLight16"/>
  <colors>
    <mruColors>
      <color rgb="FFFDF7D9"/>
      <color rgb="FFFFFFCC"/>
      <color rgb="FFCC0000"/>
      <color rgb="FFFCF7D9"/>
      <color rgb="FFFCF4C4"/>
      <color rgb="FFFDF3CF"/>
      <color rgb="FFFDFACF"/>
      <color rgb="FFFEF9D5"/>
      <color rgb="FFFAF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checked="Checked" firstButton="1" fmlaLink="$F$67"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F$8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firstButton="1" fmlaLink="$E$89"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F$10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checked="Checked" firstButton="1" fmlaLink="$F$102"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checked="Checked" firstButton="1" fmlaLink="$F$114"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CheckBox" fmlaLink="$G$94"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G$7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firstButton="1" fmlaLink="$F$7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firstButton="1" fmlaLink="$E$73"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checked="Checked" firstButton="1" fmlaLink="$F$67"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firstButton="1" fmlaLink="$F$89"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checked="Checked" firstButton="1" fmlaLink="$E$89"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checked="Checked" firstButton="1" fmlaLink="$F$102"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checked="Checked" firstButton="1" fmlaLink="$F$114" lockText="1" noThreeD="1"/>
</file>

<file path=xl/ctrlProps/ctrlProp14.xml><?xml version="1.0" encoding="utf-8"?>
<formControlPr xmlns="http://schemas.microsoft.com/office/spreadsheetml/2009/9/main" objectType="Radio" checked="Checked" firstButton="1" fmlaLink="$F$114"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CheckBox" fmlaLink="$G$94"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firstButton="1" fmlaLink="$G$78"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checked="Checked" firstButton="1" fmlaLink="$F$7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firstButton="1" fmlaLink="$E$73"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checked="Checked" firstButton="1" fmlaLink="$F$67"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checked="Checked" firstButton="1" fmlaLink="$F$89"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E$89"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G$94"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checked="Checked" firstButton="1" fmlaLink="$F$102"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F$114"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CheckBox" fmlaLink="$G$94"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checked="Checked" firstButton="1" fmlaLink="$G$78"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checked="Checked" firstButton="1" fmlaLink="$F$7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firstButton="1" fmlaLink="$E$73"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F$67"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G$78" lockText="1" noThreeD="1"/>
</file>

<file path=xl/ctrlProps/ctrlProp180.xml><?xml version="1.0" encoding="utf-8"?>
<formControlPr xmlns="http://schemas.microsoft.com/office/spreadsheetml/2009/9/main" objectType="Radio" checked="Checked" firstButton="1" fmlaLink="$F$89"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E$89"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checked="Checked" firstButton="1" fmlaLink="$F$102"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checked="Checked" firstButton="1" fmlaLink="$F$114"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fmlaLink="$G$94"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checked="Checked" firstButton="1" fmlaLink="$G$7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checked="Checked" firstButton="1" fmlaLink="$F$73"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checked="Checked" firstButton="1" fmlaLink="$E$73" lockText="1" noThreeD="1"/>
</file>

<file path=xl/ctrlProps/ctrlProp2.xml><?xml version="1.0" encoding="utf-8"?>
<formControlPr xmlns="http://schemas.microsoft.com/office/spreadsheetml/2009/9/main" objectType="Radio" checked="Checked" firstButton="1" fmlaLink="$F$67"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checked="Checked" firstButton="1" fmlaLink="$F$67"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checked="Checked" firstButton="1" fmlaLink="$F$89"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checked="Checked" firstButton="1" fmlaLink="$E$89"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checked="Checked" firstButton="1" fmlaLink="$F$10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checked="Checked" firstButton="1" fmlaLink="$F$114"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CheckBox" fmlaLink="$G$94"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checked="Checked" firstButton="1" fmlaLink="$G$78"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F$73"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F$73"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checked="Checked" firstButton="1" fmlaLink="$E$73" lockText="1" noThreeD="1"/>
</file>

<file path=xl/ctrlProps/ctrlProp225.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fmlaLink="$E$7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fmlaLink="$F$67"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firstButton="1" fmlaLink="$F$8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E$8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fmlaLink="$F$102"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firstButton="1" fmlaLink="$F$114"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G$94"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G$7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fmlaLink="$F$7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E$73" lockText="1" noThreeD="1"/>
</file>

<file path=xl/ctrlProps/ctrlProp5.xml><?xml version="1.0" encoding="utf-8"?>
<formControlPr xmlns="http://schemas.microsoft.com/office/spreadsheetml/2009/9/main" objectType="Radio" checked="Checked" firstButton="1" fmlaLink="$F$8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F$6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F$89"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E$8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F$10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checked="Checked" firstButton="1" fmlaLink="$F$114"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fmlaLink="$G$94"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G$78"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F$7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E$7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F$67"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E$89" lockText="1" noThreeD="1"/>
</file>

<file path=xl/ctrlProps/ctrlProp80.xml><?xml version="1.0" encoding="utf-8"?>
<formControlPr xmlns="http://schemas.microsoft.com/office/spreadsheetml/2009/9/main" objectType="Radio" checked="Checked" firstButton="1" fmlaLink="$F$89"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fmlaLink="$E$8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F$10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fmlaLink="$F$114"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fmlaLink="$G$94"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G$7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F$7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firstButton="1" fmlaLink="$E$7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46496</xdr:colOff>
      <xdr:row>35</xdr:row>
      <xdr:rowOff>38102</xdr:rowOff>
    </xdr:from>
    <xdr:to>
      <xdr:col>8</xdr:col>
      <xdr:colOff>562</xdr:colOff>
      <xdr:row>35</xdr:row>
      <xdr:rowOff>480060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976" y="5196842"/>
          <a:ext cx="3764066" cy="441958"/>
        </a:xfrm>
        <a:prstGeom prst="rect">
          <a:avLst/>
        </a:prstGeom>
        <a:ln w="19050">
          <a:solidFill>
            <a:schemeClr val="tx1"/>
          </a:solidFill>
        </a:ln>
      </xdr:spPr>
    </xdr:pic>
    <xdr:clientData/>
  </xdr:twoCellAnchor>
  <xdr:twoCellAnchor editAs="oneCell">
    <xdr:from>
      <xdr:col>1</xdr:col>
      <xdr:colOff>553192</xdr:colOff>
      <xdr:row>15</xdr:row>
      <xdr:rowOff>25981</xdr:rowOff>
    </xdr:from>
    <xdr:to>
      <xdr:col>9</xdr:col>
      <xdr:colOff>464820</xdr:colOff>
      <xdr:row>15</xdr:row>
      <xdr:rowOff>2910840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459"/>
        <a:stretch/>
      </xdr:blipFill>
      <xdr:spPr>
        <a:xfrm>
          <a:off x="553192" y="3363541"/>
          <a:ext cx="4940828" cy="2884859"/>
        </a:xfrm>
        <a:prstGeom prst="rect">
          <a:avLst/>
        </a:prstGeom>
        <a:ln w="28575">
          <a:solidFill>
            <a:sysClr val="windowText" lastClr="000000"/>
          </a:solid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84321" name="Group Box 1" hidden="1">
              <a:extLst>
                <a:ext uri="{63B3BB69-23CF-44E3-9099-C40C66FF867C}">
                  <a14:compatExt spid="_x0000_s184321"/>
                </a:ext>
                <a:ext uri="{FF2B5EF4-FFF2-40B4-BE49-F238E27FC236}">
                  <a16:creationId xmlns:a16="http://schemas.microsoft.com/office/drawing/2014/main" id="{D0B316D4-6184-424F-A014-E942A596C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84322" name="Option Button 2" hidden="1">
              <a:extLst>
                <a:ext uri="{63B3BB69-23CF-44E3-9099-C40C66FF867C}">
                  <a14:compatExt spid="_x0000_s184322"/>
                </a:ext>
                <a:ext uri="{FF2B5EF4-FFF2-40B4-BE49-F238E27FC236}">
                  <a16:creationId xmlns:a16="http://schemas.microsoft.com/office/drawing/2014/main" id="{79BE3323-9DD1-447B-8D40-0AA8E253C0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84323" name="Option Button 3" hidden="1">
              <a:extLst>
                <a:ext uri="{63B3BB69-23CF-44E3-9099-C40C66FF867C}">
                  <a14:compatExt spid="_x0000_s184323"/>
                </a:ext>
                <a:ext uri="{FF2B5EF4-FFF2-40B4-BE49-F238E27FC236}">
                  <a16:creationId xmlns:a16="http://schemas.microsoft.com/office/drawing/2014/main" id="{434BE815-4680-4F58-A4DD-1161BBFB65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84324" name="Group Box 4" hidden="1">
              <a:extLst>
                <a:ext uri="{63B3BB69-23CF-44E3-9099-C40C66FF867C}">
                  <a14:compatExt spid="_x0000_s184324"/>
                </a:ext>
                <a:ext uri="{FF2B5EF4-FFF2-40B4-BE49-F238E27FC236}">
                  <a16:creationId xmlns:a16="http://schemas.microsoft.com/office/drawing/2014/main" id="{2068E055-5354-4FF0-B765-8CD8529514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84325" name="Option Button 5" hidden="1">
              <a:extLst>
                <a:ext uri="{63B3BB69-23CF-44E3-9099-C40C66FF867C}">
                  <a14:compatExt spid="_x0000_s184325"/>
                </a:ext>
                <a:ext uri="{FF2B5EF4-FFF2-40B4-BE49-F238E27FC236}">
                  <a16:creationId xmlns:a16="http://schemas.microsoft.com/office/drawing/2014/main" id="{9AB7E4BC-2A58-49CF-B2A0-4678E1430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84326" name="Option Button 6" hidden="1">
              <a:extLst>
                <a:ext uri="{63B3BB69-23CF-44E3-9099-C40C66FF867C}">
                  <a14:compatExt spid="_x0000_s184326"/>
                </a:ext>
                <a:ext uri="{FF2B5EF4-FFF2-40B4-BE49-F238E27FC236}">
                  <a16:creationId xmlns:a16="http://schemas.microsoft.com/office/drawing/2014/main" id="{C7CEE0BF-0465-422B-BD7E-F8E1534B40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84327" name="Group Box 7" hidden="1">
              <a:extLst>
                <a:ext uri="{63B3BB69-23CF-44E3-9099-C40C66FF867C}">
                  <a14:compatExt spid="_x0000_s184327"/>
                </a:ext>
                <a:ext uri="{FF2B5EF4-FFF2-40B4-BE49-F238E27FC236}">
                  <a16:creationId xmlns:a16="http://schemas.microsoft.com/office/drawing/2014/main" id="{D2E092EF-B1C9-4B88-8A67-EFCB86F478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84328" name="Option Button 8" hidden="1">
              <a:extLst>
                <a:ext uri="{63B3BB69-23CF-44E3-9099-C40C66FF867C}">
                  <a14:compatExt spid="_x0000_s184328"/>
                </a:ext>
                <a:ext uri="{FF2B5EF4-FFF2-40B4-BE49-F238E27FC236}">
                  <a16:creationId xmlns:a16="http://schemas.microsoft.com/office/drawing/2014/main" id="{CA14E4A6-5C07-4310-BA4E-04273A6F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84329" name="Option Button 9" hidden="1">
              <a:extLst>
                <a:ext uri="{63B3BB69-23CF-44E3-9099-C40C66FF867C}">
                  <a14:compatExt spid="_x0000_s184329"/>
                </a:ext>
                <a:ext uri="{FF2B5EF4-FFF2-40B4-BE49-F238E27FC236}">
                  <a16:creationId xmlns:a16="http://schemas.microsoft.com/office/drawing/2014/main" id="{BAFEF33B-E585-47CC-A03D-859CDEDC71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84330" name="Group Box 10" hidden="1">
              <a:extLst>
                <a:ext uri="{63B3BB69-23CF-44E3-9099-C40C66FF867C}">
                  <a14:compatExt spid="_x0000_s184330"/>
                </a:ext>
                <a:ext uri="{FF2B5EF4-FFF2-40B4-BE49-F238E27FC236}">
                  <a16:creationId xmlns:a16="http://schemas.microsoft.com/office/drawing/2014/main" id="{C686D520-4E20-461F-8CC4-3D2052EA43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84331" name="Option Button 11" hidden="1">
              <a:extLst>
                <a:ext uri="{63B3BB69-23CF-44E3-9099-C40C66FF867C}">
                  <a14:compatExt spid="_x0000_s184331"/>
                </a:ext>
                <a:ext uri="{FF2B5EF4-FFF2-40B4-BE49-F238E27FC236}">
                  <a16:creationId xmlns:a16="http://schemas.microsoft.com/office/drawing/2014/main" id="{77D3FBDD-CC28-4DDF-BAF4-1CA6479C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84332" name="Option Button 12" hidden="1">
              <a:extLst>
                <a:ext uri="{63B3BB69-23CF-44E3-9099-C40C66FF867C}">
                  <a14:compatExt spid="_x0000_s184332"/>
                </a:ext>
                <a:ext uri="{FF2B5EF4-FFF2-40B4-BE49-F238E27FC236}">
                  <a16:creationId xmlns:a16="http://schemas.microsoft.com/office/drawing/2014/main" id="{BAE6C59C-AE38-41C8-BFA0-033047B6DD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84333" name="Group Box 13" hidden="1">
              <a:extLst>
                <a:ext uri="{63B3BB69-23CF-44E3-9099-C40C66FF867C}">
                  <a14:compatExt spid="_x0000_s184333"/>
                </a:ext>
                <a:ext uri="{FF2B5EF4-FFF2-40B4-BE49-F238E27FC236}">
                  <a16:creationId xmlns:a16="http://schemas.microsoft.com/office/drawing/2014/main" id="{AB0E5735-C883-4D7F-BF54-C566879E88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84334" name="Option Button 14" hidden="1">
              <a:extLst>
                <a:ext uri="{63B3BB69-23CF-44E3-9099-C40C66FF867C}">
                  <a14:compatExt spid="_x0000_s184334"/>
                </a:ext>
                <a:ext uri="{FF2B5EF4-FFF2-40B4-BE49-F238E27FC236}">
                  <a16:creationId xmlns:a16="http://schemas.microsoft.com/office/drawing/2014/main" id="{DFBEBAD9-AA5E-42CC-8BC2-77EBB3842B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84335" name="Option Button 15" hidden="1">
              <a:extLst>
                <a:ext uri="{63B3BB69-23CF-44E3-9099-C40C66FF867C}">
                  <a14:compatExt spid="_x0000_s184335"/>
                </a:ext>
                <a:ext uri="{FF2B5EF4-FFF2-40B4-BE49-F238E27FC236}">
                  <a16:creationId xmlns:a16="http://schemas.microsoft.com/office/drawing/2014/main" id="{5066F5FC-DAA2-4DD3-9AB2-849DBE0E23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84336" name="Check Box 16" hidden="1">
              <a:extLst>
                <a:ext uri="{63B3BB69-23CF-44E3-9099-C40C66FF867C}">
                  <a14:compatExt spid="_x0000_s184336"/>
                </a:ext>
                <a:ext uri="{FF2B5EF4-FFF2-40B4-BE49-F238E27FC236}">
                  <a16:creationId xmlns:a16="http://schemas.microsoft.com/office/drawing/2014/main" id="{35992032-C1E4-41DF-9FE7-5BA6E4F88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84337" name="Group Box 17" hidden="1">
              <a:extLst>
                <a:ext uri="{63B3BB69-23CF-44E3-9099-C40C66FF867C}">
                  <a14:compatExt spid="_x0000_s184337"/>
                </a:ext>
                <a:ext uri="{FF2B5EF4-FFF2-40B4-BE49-F238E27FC236}">
                  <a16:creationId xmlns:a16="http://schemas.microsoft.com/office/drawing/2014/main" id="{5CF38253-96CC-47EF-BA20-A250B88E7F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84338" name="Option Button 18" hidden="1">
              <a:extLst>
                <a:ext uri="{63B3BB69-23CF-44E3-9099-C40C66FF867C}">
                  <a14:compatExt spid="_x0000_s184338"/>
                </a:ext>
                <a:ext uri="{FF2B5EF4-FFF2-40B4-BE49-F238E27FC236}">
                  <a16:creationId xmlns:a16="http://schemas.microsoft.com/office/drawing/2014/main" id="{75B10D0A-0CDD-40C5-B991-F6BF5DFC3A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84339" name="Option Button 19" hidden="1">
              <a:extLst>
                <a:ext uri="{63B3BB69-23CF-44E3-9099-C40C66FF867C}">
                  <a14:compatExt spid="_x0000_s184339"/>
                </a:ext>
                <a:ext uri="{FF2B5EF4-FFF2-40B4-BE49-F238E27FC236}">
                  <a16:creationId xmlns:a16="http://schemas.microsoft.com/office/drawing/2014/main" id="{8C09DEEF-0AEC-49BB-95A2-DAC103FF1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84340" name="Group Box 20" hidden="1">
              <a:extLst>
                <a:ext uri="{63B3BB69-23CF-44E3-9099-C40C66FF867C}">
                  <a14:compatExt spid="_x0000_s184340"/>
                </a:ext>
                <a:ext uri="{FF2B5EF4-FFF2-40B4-BE49-F238E27FC236}">
                  <a16:creationId xmlns:a16="http://schemas.microsoft.com/office/drawing/2014/main" id="{CAD1AC95-7348-44A5-AE69-F412248E26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84341" name="Group Box 21" hidden="1">
              <a:extLst>
                <a:ext uri="{63B3BB69-23CF-44E3-9099-C40C66FF867C}">
                  <a14:compatExt spid="_x0000_s184341"/>
                </a:ext>
                <a:ext uri="{FF2B5EF4-FFF2-40B4-BE49-F238E27FC236}">
                  <a16:creationId xmlns:a16="http://schemas.microsoft.com/office/drawing/2014/main" id="{B3EB658D-3A16-4F28-AB29-CF2AF1E4F4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84342" name="Option Button 22" hidden="1">
              <a:extLst>
                <a:ext uri="{63B3BB69-23CF-44E3-9099-C40C66FF867C}">
                  <a14:compatExt spid="_x0000_s184342"/>
                </a:ext>
                <a:ext uri="{FF2B5EF4-FFF2-40B4-BE49-F238E27FC236}">
                  <a16:creationId xmlns:a16="http://schemas.microsoft.com/office/drawing/2014/main" id="{578A361F-2E47-4652-B186-01165E000A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84343" name="Option Button 23" hidden="1">
              <a:extLst>
                <a:ext uri="{63B3BB69-23CF-44E3-9099-C40C66FF867C}">
                  <a14:compatExt spid="_x0000_s184343"/>
                </a:ext>
                <a:ext uri="{FF2B5EF4-FFF2-40B4-BE49-F238E27FC236}">
                  <a16:creationId xmlns:a16="http://schemas.microsoft.com/office/drawing/2014/main" id="{8531D67B-5E50-4900-BC4B-A75883310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84344" name="Option Button 24" hidden="1">
              <a:extLst>
                <a:ext uri="{63B3BB69-23CF-44E3-9099-C40C66FF867C}">
                  <a14:compatExt spid="_x0000_s184344"/>
                </a:ext>
                <a:ext uri="{FF2B5EF4-FFF2-40B4-BE49-F238E27FC236}">
                  <a16:creationId xmlns:a16="http://schemas.microsoft.com/office/drawing/2014/main" id="{85ADBFA1-EB0A-4FF7-9140-1D74ACDB77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84345" name="Option Button 25" hidden="1">
              <a:extLst>
                <a:ext uri="{63B3BB69-23CF-44E3-9099-C40C66FF867C}">
                  <a14:compatExt spid="_x0000_s184345"/>
                </a:ext>
                <a:ext uri="{FF2B5EF4-FFF2-40B4-BE49-F238E27FC236}">
                  <a16:creationId xmlns:a16="http://schemas.microsoft.com/office/drawing/2014/main" id="{2C0A80C3-4191-43EE-9ABD-890D10837A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362" name="Option Button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393" name="Group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394" name="Option Button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395" name="Option Button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2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418" name="Group Box 82" hidden="1">
              <a:extLst>
                <a:ext uri="{63B3BB69-23CF-44E3-9099-C40C66FF867C}">
                  <a14:compatExt spid="_x0000_s14418"/>
                </a:ext>
                <a:ext uri="{FF2B5EF4-FFF2-40B4-BE49-F238E27FC236}">
                  <a16:creationId xmlns:a16="http://schemas.microsoft.com/office/drawing/2014/main" id="{00000000-0008-0000-0200-00005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419" name="Option Button 83" hidden="1">
              <a:extLst>
                <a:ext uri="{63B3BB69-23CF-44E3-9099-C40C66FF867C}">
                  <a14:compatExt spid="_x0000_s14419"/>
                </a:ext>
                <a:ext uri="{FF2B5EF4-FFF2-40B4-BE49-F238E27FC236}">
                  <a16:creationId xmlns:a16="http://schemas.microsoft.com/office/drawing/2014/main" id="{00000000-0008-0000-02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422" name="Option Button 86" hidden="1">
              <a:extLst>
                <a:ext uri="{63B3BB69-23CF-44E3-9099-C40C66FF867C}">
                  <a14:compatExt spid="_x0000_s14422"/>
                </a:ext>
                <a:ext uri="{FF2B5EF4-FFF2-40B4-BE49-F238E27FC236}">
                  <a16:creationId xmlns:a16="http://schemas.microsoft.com/office/drawing/2014/main" id="{00000000-0008-0000-02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430" name="Group Box 94" hidden="1">
              <a:extLst>
                <a:ext uri="{63B3BB69-23CF-44E3-9099-C40C66FF867C}">
                  <a14:compatExt spid="_x0000_s14430"/>
                </a:ext>
                <a:ext uri="{FF2B5EF4-FFF2-40B4-BE49-F238E27FC236}">
                  <a16:creationId xmlns:a16="http://schemas.microsoft.com/office/drawing/2014/main" id="{00000000-0008-0000-0200-00005E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437" name="Group Box 101" hidden="1">
              <a:extLst>
                <a:ext uri="{63B3BB69-23CF-44E3-9099-C40C66FF867C}">
                  <a14:compatExt spid="_x0000_s14437"/>
                </a:ext>
                <a:ext uri="{FF2B5EF4-FFF2-40B4-BE49-F238E27FC236}">
                  <a16:creationId xmlns:a16="http://schemas.microsoft.com/office/drawing/2014/main" id="{00000000-0008-0000-0200-00006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438" name="Option Button 102" hidden="1">
              <a:extLst>
                <a:ext uri="{63B3BB69-23CF-44E3-9099-C40C66FF867C}">
                  <a14:compatExt spid="_x0000_s14438"/>
                </a:ext>
                <a:ext uri="{FF2B5EF4-FFF2-40B4-BE49-F238E27FC236}">
                  <a16:creationId xmlns:a16="http://schemas.microsoft.com/office/drawing/2014/main" id="{00000000-0008-0000-02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439" name="Option Button 103" hidden="1">
              <a:extLst>
                <a:ext uri="{63B3BB69-23CF-44E3-9099-C40C66FF867C}">
                  <a14:compatExt spid="_x0000_s14439"/>
                </a:ext>
                <a:ext uri="{FF2B5EF4-FFF2-40B4-BE49-F238E27FC236}">
                  <a16:creationId xmlns:a16="http://schemas.microsoft.com/office/drawing/2014/main" id="{00000000-0008-0000-02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442" name="Option Button 106" hidden="1">
              <a:extLst>
                <a:ext uri="{63B3BB69-23CF-44E3-9099-C40C66FF867C}">
                  <a14:compatExt spid="_x0000_s14442"/>
                </a:ext>
                <a:ext uri="{FF2B5EF4-FFF2-40B4-BE49-F238E27FC236}">
                  <a16:creationId xmlns:a16="http://schemas.microsoft.com/office/drawing/2014/main" id="{00000000-0008-0000-02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443" name="Option Button 107" hidden="1">
              <a:extLst>
                <a:ext uri="{63B3BB69-23CF-44E3-9099-C40C66FF867C}">
                  <a14:compatExt spid="_x0000_s14443"/>
                </a:ext>
                <a:ext uri="{FF2B5EF4-FFF2-40B4-BE49-F238E27FC236}">
                  <a16:creationId xmlns:a16="http://schemas.microsoft.com/office/drawing/2014/main" id="{00000000-0008-0000-02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77153" name="Group Box 1" hidden="1">
              <a:extLst>
                <a:ext uri="{63B3BB69-23CF-44E3-9099-C40C66FF867C}">
                  <a14:compatExt spid="_x0000_s177153"/>
                </a:ext>
                <a:ext uri="{FF2B5EF4-FFF2-40B4-BE49-F238E27FC236}">
                  <a16:creationId xmlns:a16="http://schemas.microsoft.com/office/drawing/2014/main" id="{58CEF317-7149-4E12-A2BD-0F99DB0705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77154" name="Option Button 2" hidden="1">
              <a:extLst>
                <a:ext uri="{63B3BB69-23CF-44E3-9099-C40C66FF867C}">
                  <a14:compatExt spid="_x0000_s177154"/>
                </a:ext>
                <a:ext uri="{FF2B5EF4-FFF2-40B4-BE49-F238E27FC236}">
                  <a16:creationId xmlns:a16="http://schemas.microsoft.com/office/drawing/2014/main" id="{A604091C-9D7E-4B0D-8C54-7E98767805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77155" name="Option Button 3" hidden="1">
              <a:extLst>
                <a:ext uri="{63B3BB69-23CF-44E3-9099-C40C66FF867C}">
                  <a14:compatExt spid="_x0000_s177155"/>
                </a:ext>
                <a:ext uri="{FF2B5EF4-FFF2-40B4-BE49-F238E27FC236}">
                  <a16:creationId xmlns:a16="http://schemas.microsoft.com/office/drawing/2014/main" id="{BE6CE0C8-5121-4B26-AF28-B2BB03B42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77156" name="Group Box 4" hidden="1">
              <a:extLst>
                <a:ext uri="{63B3BB69-23CF-44E3-9099-C40C66FF867C}">
                  <a14:compatExt spid="_x0000_s177156"/>
                </a:ext>
                <a:ext uri="{FF2B5EF4-FFF2-40B4-BE49-F238E27FC236}">
                  <a16:creationId xmlns:a16="http://schemas.microsoft.com/office/drawing/2014/main" id="{B4DA5647-07A7-4C8D-9DBC-AC9EF4294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77157" name="Option Button 5" hidden="1">
              <a:extLst>
                <a:ext uri="{63B3BB69-23CF-44E3-9099-C40C66FF867C}">
                  <a14:compatExt spid="_x0000_s177157"/>
                </a:ext>
                <a:ext uri="{FF2B5EF4-FFF2-40B4-BE49-F238E27FC236}">
                  <a16:creationId xmlns:a16="http://schemas.microsoft.com/office/drawing/2014/main" id="{4CE34606-EECF-448E-8C09-8BE52D8591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77158" name="Option Button 6" hidden="1">
              <a:extLst>
                <a:ext uri="{63B3BB69-23CF-44E3-9099-C40C66FF867C}">
                  <a14:compatExt spid="_x0000_s177158"/>
                </a:ext>
                <a:ext uri="{FF2B5EF4-FFF2-40B4-BE49-F238E27FC236}">
                  <a16:creationId xmlns:a16="http://schemas.microsoft.com/office/drawing/2014/main" id="{A2A4C7D1-8D25-401D-B8CC-8BEDA29807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77159" name="Group Box 7" hidden="1">
              <a:extLst>
                <a:ext uri="{63B3BB69-23CF-44E3-9099-C40C66FF867C}">
                  <a14:compatExt spid="_x0000_s177159"/>
                </a:ext>
                <a:ext uri="{FF2B5EF4-FFF2-40B4-BE49-F238E27FC236}">
                  <a16:creationId xmlns:a16="http://schemas.microsoft.com/office/drawing/2014/main" id="{5DA6522E-2CDB-48BB-AE35-04E6B2E79C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77160" name="Option Button 8" hidden="1">
              <a:extLst>
                <a:ext uri="{63B3BB69-23CF-44E3-9099-C40C66FF867C}">
                  <a14:compatExt spid="_x0000_s177160"/>
                </a:ext>
                <a:ext uri="{FF2B5EF4-FFF2-40B4-BE49-F238E27FC236}">
                  <a16:creationId xmlns:a16="http://schemas.microsoft.com/office/drawing/2014/main" id="{B1D454EB-3CB8-4F1C-A1D6-593687C66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77161" name="Option Button 9" hidden="1">
              <a:extLst>
                <a:ext uri="{63B3BB69-23CF-44E3-9099-C40C66FF867C}">
                  <a14:compatExt spid="_x0000_s177161"/>
                </a:ext>
                <a:ext uri="{FF2B5EF4-FFF2-40B4-BE49-F238E27FC236}">
                  <a16:creationId xmlns:a16="http://schemas.microsoft.com/office/drawing/2014/main" id="{CA74A5AA-7969-43EB-88EB-1B1BACB426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77162" name="Group Box 10" hidden="1">
              <a:extLst>
                <a:ext uri="{63B3BB69-23CF-44E3-9099-C40C66FF867C}">
                  <a14:compatExt spid="_x0000_s177162"/>
                </a:ext>
                <a:ext uri="{FF2B5EF4-FFF2-40B4-BE49-F238E27FC236}">
                  <a16:creationId xmlns:a16="http://schemas.microsoft.com/office/drawing/2014/main" id="{4D761B70-6B86-4558-A6C4-63C7A1181E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77163" name="Option Button 11" hidden="1">
              <a:extLst>
                <a:ext uri="{63B3BB69-23CF-44E3-9099-C40C66FF867C}">
                  <a14:compatExt spid="_x0000_s177163"/>
                </a:ext>
                <a:ext uri="{FF2B5EF4-FFF2-40B4-BE49-F238E27FC236}">
                  <a16:creationId xmlns:a16="http://schemas.microsoft.com/office/drawing/2014/main" id="{D8F36A4E-3AA2-4D68-93B6-753371F402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77164" name="Option Button 12" hidden="1">
              <a:extLst>
                <a:ext uri="{63B3BB69-23CF-44E3-9099-C40C66FF867C}">
                  <a14:compatExt spid="_x0000_s177164"/>
                </a:ext>
                <a:ext uri="{FF2B5EF4-FFF2-40B4-BE49-F238E27FC236}">
                  <a16:creationId xmlns:a16="http://schemas.microsoft.com/office/drawing/2014/main" id="{10E80A3A-69A6-4863-8C5B-AA166D783D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77165" name="Group Box 13" hidden="1">
              <a:extLst>
                <a:ext uri="{63B3BB69-23CF-44E3-9099-C40C66FF867C}">
                  <a14:compatExt spid="_x0000_s177165"/>
                </a:ext>
                <a:ext uri="{FF2B5EF4-FFF2-40B4-BE49-F238E27FC236}">
                  <a16:creationId xmlns:a16="http://schemas.microsoft.com/office/drawing/2014/main" id="{966CB154-CE43-409B-8EED-DACBAA70B0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77166" name="Option Button 14" hidden="1">
              <a:extLst>
                <a:ext uri="{63B3BB69-23CF-44E3-9099-C40C66FF867C}">
                  <a14:compatExt spid="_x0000_s177166"/>
                </a:ext>
                <a:ext uri="{FF2B5EF4-FFF2-40B4-BE49-F238E27FC236}">
                  <a16:creationId xmlns:a16="http://schemas.microsoft.com/office/drawing/2014/main" id="{CBAB3899-97FC-4ED6-9705-64EBB8543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77167" name="Option Button 15" hidden="1">
              <a:extLst>
                <a:ext uri="{63B3BB69-23CF-44E3-9099-C40C66FF867C}">
                  <a14:compatExt spid="_x0000_s177167"/>
                </a:ext>
                <a:ext uri="{FF2B5EF4-FFF2-40B4-BE49-F238E27FC236}">
                  <a16:creationId xmlns:a16="http://schemas.microsoft.com/office/drawing/2014/main" id="{8C8363D1-293F-4D59-91D0-9A811293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9CB04138-16F0-477B-99C1-54C2C84C4A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77169" name="Group Box 17" hidden="1">
              <a:extLst>
                <a:ext uri="{63B3BB69-23CF-44E3-9099-C40C66FF867C}">
                  <a14:compatExt spid="_x0000_s177169"/>
                </a:ext>
                <a:ext uri="{FF2B5EF4-FFF2-40B4-BE49-F238E27FC236}">
                  <a16:creationId xmlns:a16="http://schemas.microsoft.com/office/drawing/2014/main" id="{74333AFF-0B68-4BE7-B24B-560C84497A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77170" name="Option Button 18" hidden="1">
              <a:extLst>
                <a:ext uri="{63B3BB69-23CF-44E3-9099-C40C66FF867C}">
                  <a14:compatExt spid="_x0000_s177170"/>
                </a:ext>
                <a:ext uri="{FF2B5EF4-FFF2-40B4-BE49-F238E27FC236}">
                  <a16:creationId xmlns:a16="http://schemas.microsoft.com/office/drawing/2014/main" id="{0E6F2BA7-2EF2-44EC-8974-65F8E56DD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77171" name="Option Button 19" hidden="1">
              <a:extLst>
                <a:ext uri="{63B3BB69-23CF-44E3-9099-C40C66FF867C}">
                  <a14:compatExt spid="_x0000_s177171"/>
                </a:ext>
                <a:ext uri="{FF2B5EF4-FFF2-40B4-BE49-F238E27FC236}">
                  <a16:creationId xmlns:a16="http://schemas.microsoft.com/office/drawing/2014/main" id="{FB52FE0B-88B6-4639-A612-590F5FD6A7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77172" name="Group Box 20" hidden="1">
              <a:extLst>
                <a:ext uri="{63B3BB69-23CF-44E3-9099-C40C66FF867C}">
                  <a14:compatExt spid="_x0000_s177172"/>
                </a:ext>
                <a:ext uri="{FF2B5EF4-FFF2-40B4-BE49-F238E27FC236}">
                  <a16:creationId xmlns:a16="http://schemas.microsoft.com/office/drawing/2014/main" id="{926D26E6-B101-4AD7-934D-1A323380C8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77173" name="Group Box 21" hidden="1">
              <a:extLst>
                <a:ext uri="{63B3BB69-23CF-44E3-9099-C40C66FF867C}">
                  <a14:compatExt spid="_x0000_s177173"/>
                </a:ext>
                <a:ext uri="{FF2B5EF4-FFF2-40B4-BE49-F238E27FC236}">
                  <a16:creationId xmlns:a16="http://schemas.microsoft.com/office/drawing/2014/main" id="{376238AF-33D5-4738-BFF5-F169250DB7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77174" name="Option Button 22" hidden="1">
              <a:extLst>
                <a:ext uri="{63B3BB69-23CF-44E3-9099-C40C66FF867C}">
                  <a14:compatExt spid="_x0000_s177174"/>
                </a:ext>
                <a:ext uri="{FF2B5EF4-FFF2-40B4-BE49-F238E27FC236}">
                  <a16:creationId xmlns:a16="http://schemas.microsoft.com/office/drawing/2014/main" id="{7F35FCA6-942C-42E0-A475-979BB8E58A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77175" name="Option Button 23" hidden="1">
              <a:extLst>
                <a:ext uri="{63B3BB69-23CF-44E3-9099-C40C66FF867C}">
                  <a14:compatExt spid="_x0000_s177175"/>
                </a:ext>
                <a:ext uri="{FF2B5EF4-FFF2-40B4-BE49-F238E27FC236}">
                  <a16:creationId xmlns:a16="http://schemas.microsoft.com/office/drawing/2014/main" id="{F98EC2C5-9D02-4CEE-A3D3-5D933210E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77176" name="Option Button 24" hidden="1">
              <a:extLst>
                <a:ext uri="{63B3BB69-23CF-44E3-9099-C40C66FF867C}">
                  <a14:compatExt spid="_x0000_s177176"/>
                </a:ext>
                <a:ext uri="{FF2B5EF4-FFF2-40B4-BE49-F238E27FC236}">
                  <a16:creationId xmlns:a16="http://schemas.microsoft.com/office/drawing/2014/main" id="{7206546B-25BC-4E17-89F0-8EF415EB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77177" name="Option Button 25" hidden="1">
              <a:extLst>
                <a:ext uri="{63B3BB69-23CF-44E3-9099-C40C66FF867C}">
                  <a14:compatExt spid="_x0000_s177177"/>
                </a:ext>
                <a:ext uri="{FF2B5EF4-FFF2-40B4-BE49-F238E27FC236}">
                  <a16:creationId xmlns:a16="http://schemas.microsoft.com/office/drawing/2014/main" id="{3B837F87-06E4-417A-AB71-8807266BD1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78177" name="Group Box 1" hidden="1">
              <a:extLst>
                <a:ext uri="{63B3BB69-23CF-44E3-9099-C40C66FF867C}">
                  <a14:compatExt spid="_x0000_s178177"/>
                </a:ext>
                <a:ext uri="{FF2B5EF4-FFF2-40B4-BE49-F238E27FC236}">
                  <a16:creationId xmlns:a16="http://schemas.microsoft.com/office/drawing/2014/main" id="{6330C523-BD00-498D-BAA6-F4EE78595E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78178" name="Option Button 2" hidden="1">
              <a:extLst>
                <a:ext uri="{63B3BB69-23CF-44E3-9099-C40C66FF867C}">
                  <a14:compatExt spid="_x0000_s178178"/>
                </a:ext>
                <a:ext uri="{FF2B5EF4-FFF2-40B4-BE49-F238E27FC236}">
                  <a16:creationId xmlns:a16="http://schemas.microsoft.com/office/drawing/2014/main" id="{EF3705C2-AEB8-401A-AC45-C0B562D48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78179" name="Option Button 3" hidden="1">
              <a:extLst>
                <a:ext uri="{63B3BB69-23CF-44E3-9099-C40C66FF867C}">
                  <a14:compatExt spid="_x0000_s178179"/>
                </a:ext>
                <a:ext uri="{FF2B5EF4-FFF2-40B4-BE49-F238E27FC236}">
                  <a16:creationId xmlns:a16="http://schemas.microsoft.com/office/drawing/2014/main" id="{FC8AD9FE-D02C-4CB0-A5BE-E0D2EE2D60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78180" name="Group Box 4" hidden="1">
              <a:extLst>
                <a:ext uri="{63B3BB69-23CF-44E3-9099-C40C66FF867C}">
                  <a14:compatExt spid="_x0000_s178180"/>
                </a:ext>
                <a:ext uri="{FF2B5EF4-FFF2-40B4-BE49-F238E27FC236}">
                  <a16:creationId xmlns:a16="http://schemas.microsoft.com/office/drawing/2014/main" id="{8D12B0B5-1CAC-4ABA-AF25-22DE446C22D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78181" name="Option Button 5" hidden="1">
              <a:extLst>
                <a:ext uri="{63B3BB69-23CF-44E3-9099-C40C66FF867C}">
                  <a14:compatExt spid="_x0000_s178181"/>
                </a:ext>
                <a:ext uri="{FF2B5EF4-FFF2-40B4-BE49-F238E27FC236}">
                  <a16:creationId xmlns:a16="http://schemas.microsoft.com/office/drawing/2014/main" id="{E83F1BBF-DA7E-4C54-9909-4F5DFC7FAD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78182" name="Option Button 6" hidden="1">
              <a:extLst>
                <a:ext uri="{63B3BB69-23CF-44E3-9099-C40C66FF867C}">
                  <a14:compatExt spid="_x0000_s178182"/>
                </a:ext>
                <a:ext uri="{FF2B5EF4-FFF2-40B4-BE49-F238E27FC236}">
                  <a16:creationId xmlns:a16="http://schemas.microsoft.com/office/drawing/2014/main" id="{90441687-4415-4339-BBE3-5A04213F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78183" name="Group Box 7" hidden="1">
              <a:extLst>
                <a:ext uri="{63B3BB69-23CF-44E3-9099-C40C66FF867C}">
                  <a14:compatExt spid="_x0000_s178183"/>
                </a:ext>
                <a:ext uri="{FF2B5EF4-FFF2-40B4-BE49-F238E27FC236}">
                  <a16:creationId xmlns:a16="http://schemas.microsoft.com/office/drawing/2014/main" id="{C8E95139-D989-4EAD-86FD-E85563E7D2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78184" name="Option Button 8" hidden="1">
              <a:extLst>
                <a:ext uri="{63B3BB69-23CF-44E3-9099-C40C66FF867C}">
                  <a14:compatExt spid="_x0000_s178184"/>
                </a:ext>
                <a:ext uri="{FF2B5EF4-FFF2-40B4-BE49-F238E27FC236}">
                  <a16:creationId xmlns:a16="http://schemas.microsoft.com/office/drawing/2014/main" id="{19659FD7-0F1B-4BE1-9B0E-003D128A2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78185" name="Option Button 9" hidden="1">
              <a:extLst>
                <a:ext uri="{63B3BB69-23CF-44E3-9099-C40C66FF867C}">
                  <a14:compatExt spid="_x0000_s178185"/>
                </a:ext>
                <a:ext uri="{FF2B5EF4-FFF2-40B4-BE49-F238E27FC236}">
                  <a16:creationId xmlns:a16="http://schemas.microsoft.com/office/drawing/2014/main" id="{18FB60A0-C7F6-4CA0-BA44-864C2617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78186" name="Group Box 10" hidden="1">
              <a:extLst>
                <a:ext uri="{63B3BB69-23CF-44E3-9099-C40C66FF867C}">
                  <a14:compatExt spid="_x0000_s178186"/>
                </a:ext>
                <a:ext uri="{FF2B5EF4-FFF2-40B4-BE49-F238E27FC236}">
                  <a16:creationId xmlns:a16="http://schemas.microsoft.com/office/drawing/2014/main" id="{701BC886-FECE-47C9-820F-2B0790364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78187" name="Option Button 11" hidden="1">
              <a:extLst>
                <a:ext uri="{63B3BB69-23CF-44E3-9099-C40C66FF867C}">
                  <a14:compatExt spid="_x0000_s178187"/>
                </a:ext>
                <a:ext uri="{FF2B5EF4-FFF2-40B4-BE49-F238E27FC236}">
                  <a16:creationId xmlns:a16="http://schemas.microsoft.com/office/drawing/2014/main" id="{6CDB447A-8CDC-4107-9FCF-1972855BD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78188" name="Option Button 12" hidden="1">
              <a:extLst>
                <a:ext uri="{63B3BB69-23CF-44E3-9099-C40C66FF867C}">
                  <a14:compatExt spid="_x0000_s178188"/>
                </a:ext>
                <a:ext uri="{FF2B5EF4-FFF2-40B4-BE49-F238E27FC236}">
                  <a16:creationId xmlns:a16="http://schemas.microsoft.com/office/drawing/2014/main" id="{35CE1F5D-BFE2-4783-A7B8-0C9233422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78189" name="Group Box 13" hidden="1">
              <a:extLst>
                <a:ext uri="{63B3BB69-23CF-44E3-9099-C40C66FF867C}">
                  <a14:compatExt spid="_x0000_s178189"/>
                </a:ext>
                <a:ext uri="{FF2B5EF4-FFF2-40B4-BE49-F238E27FC236}">
                  <a16:creationId xmlns:a16="http://schemas.microsoft.com/office/drawing/2014/main" id="{774E1EEB-C954-47BD-B1F0-1D3054C722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78190" name="Option Button 14" hidden="1">
              <a:extLst>
                <a:ext uri="{63B3BB69-23CF-44E3-9099-C40C66FF867C}">
                  <a14:compatExt spid="_x0000_s178190"/>
                </a:ext>
                <a:ext uri="{FF2B5EF4-FFF2-40B4-BE49-F238E27FC236}">
                  <a16:creationId xmlns:a16="http://schemas.microsoft.com/office/drawing/2014/main" id="{CBF9F04D-6988-4189-9E1F-2BA6E0D6C5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78191" name="Option Button 15" hidden="1">
              <a:extLst>
                <a:ext uri="{63B3BB69-23CF-44E3-9099-C40C66FF867C}">
                  <a14:compatExt spid="_x0000_s178191"/>
                </a:ext>
                <a:ext uri="{FF2B5EF4-FFF2-40B4-BE49-F238E27FC236}">
                  <a16:creationId xmlns:a16="http://schemas.microsoft.com/office/drawing/2014/main" id="{A30C7807-F02D-4195-86D5-68EB018527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78192" name="Check Box 16" hidden="1">
              <a:extLst>
                <a:ext uri="{63B3BB69-23CF-44E3-9099-C40C66FF867C}">
                  <a14:compatExt spid="_x0000_s178192"/>
                </a:ext>
                <a:ext uri="{FF2B5EF4-FFF2-40B4-BE49-F238E27FC236}">
                  <a16:creationId xmlns:a16="http://schemas.microsoft.com/office/drawing/2014/main" id="{D2348F2A-EBF2-4546-ACD3-B35D5873E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78193" name="Group Box 17" hidden="1">
              <a:extLst>
                <a:ext uri="{63B3BB69-23CF-44E3-9099-C40C66FF867C}">
                  <a14:compatExt spid="_x0000_s178193"/>
                </a:ext>
                <a:ext uri="{FF2B5EF4-FFF2-40B4-BE49-F238E27FC236}">
                  <a16:creationId xmlns:a16="http://schemas.microsoft.com/office/drawing/2014/main" id="{A29A3023-547F-40E3-824F-39D2F46CE0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78194" name="Option Button 18" hidden="1">
              <a:extLst>
                <a:ext uri="{63B3BB69-23CF-44E3-9099-C40C66FF867C}">
                  <a14:compatExt spid="_x0000_s178194"/>
                </a:ext>
                <a:ext uri="{FF2B5EF4-FFF2-40B4-BE49-F238E27FC236}">
                  <a16:creationId xmlns:a16="http://schemas.microsoft.com/office/drawing/2014/main" id="{570D879E-FA86-40AB-97A3-8C28C42CAB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78195" name="Option Button 19" hidden="1">
              <a:extLst>
                <a:ext uri="{63B3BB69-23CF-44E3-9099-C40C66FF867C}">
                  <a14:compatExt spid="_x0000_s178195"/>
                </a:ext>
                <a:ext uri="{FF2B5EF4-FFF2-40B4-BE49-F238E27FC236}">
                  <a16:creationId xmlns:a16="http://schemas.microsoft.com/office/drawing/2014/main" id="{B8941012-E669-4269-9A2C-2A14D2F321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78196" name="Group Box 20" hidden="1">
              <a:extLst>
                <a:ext uri="{63B3BB69-23CF-44E3-9099-C40C66FF867C}">
                  <a14:compatExt spid="_x0000_s178196"/>
                </a:ext>
                <a:ext uri="{FF2B5EF4-FFF2-40B4-BE49-F238E27FC236}">
                  <a16:creationId xmlns:a16="http://schemas.microsoft.com/office/drawing/2014/main" id="{806FFC85-3B5C-41C2-A962-AE4820017D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78197" name="Group Box 21" hidden="1">
              <a:extLst>
                <a:ext uri="{63B3BB69-23CF-44E3-9099-C40C66FF867C}">
                  <a14:compatExt spid="_x0000_s178197"/>
                </a:ext>
                <a:ext uri="{FF2B5EF4-FFF2-40B4-BE49-F238E27FC236}">
                  <a16:creationId xmlns:a16="http://schemas.microsoft.com/office/drawing/2014/main" id="{9ABDF6E0-C465-4DF7-A220-0EACE4B178B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78198" name="Option Button 22" hidden="1">
              <a:extLst>
                <a:ext uri="{63B3BB69-23CF-44E3-9099-C40C66FF867C}">
                  <a14:compatExt spid="_x0000_s178198"/>
                </a:ext>
                <a:ext uri="{FF2B5EF4-FFF2-40B4-BE49-F238E27FC236}">
                  <a16:creationId xmlns:a16="http://schemas.microsoft.com/office/drawing/2014/main" id="{FD8EDACA-D4B3-4A19-806D-C99BE9027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78199" name="Option Button 23" hidden="1">
              <a:extLst>
                <a:ext uri="{63B3BB69-23CF-44E3-9099-C40C66FF867C}">
                  <a14:compatExt spid="_x0000_s178199"/>
                </a:ext>
                <a:ext uri="{FF2B5EF4-FFF2-40B4-BE49-F238E27FC236}">
                  <a16:creationId xmlns:a16="http://schemas.microsoft.com/office/drawing/2014/main" id="{B805B1A9-7224-4552-84F3-6349068717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78200" name="Option Button 24" hidden="1">
              <a:extLst>
                <a:ext uri="{63B3BB69-23CF-44E3-9099-C40C66FF867C}">
                  <a14:compatExt spid="_x0000_s178200"/>
                </a:ext>
                <a:ext uri="{FF2B5EF4-FFF2-40B4-BE49-F238E27FC236}">
                  <a16:creationId xmlns:a16="http://schemas.microsoft.com/office/drawing/2014/main" id="{A66C03E7-F119-4BBA-93B3-382457286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78201" name="Option Button 25" hidden="1">
              <a:extLst>
                <a:ext uri="{63B3BB69-23CF-44E3-9099-C40C66FF867C}">
                  <a14:compatExt spid="_x0000_s178201"/>
                </a:ext>
                <a:ext uri="{FF2B5EF4-FFF2-40B4-BE49-F238E27FC236}">
                  <a16:creationId xmlns:a16="http://schemas.microsoft.com/office/drawing/2014/main" id="{CE49F252-58A9-44DC-A6E9-06F067ACFB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79201" name="Group Box 1" hidden="1">
              <a:extLst>
                <a:ext uri="{63B3BB69-23CF-44E3-9099-C40C66FF867C}">
                  <a14:compatExt spid="_x0000_s179201"/>
                </a:ext>
                <a:ext uri="{FF2B5EF4-FFF2-40B4-BE49-F238E27FC236}">
                  <a16:creationId xmlns:a16="http://schemas.microsoft.com/office/drawing/2014/main" id="{A0EEAFEA-52B8-4104-B277-3F5EE73A37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79202" name="Option Button 2" hidden="1">
              <a:extLst>
                <a:ext uri="{63B3BB69-23CF-44E3-9099-C40C66FF867C}">
                  <a14:compatExt spid="_x0000_s179202"/>
                </a:ext>
                <a:ext uri="{FF2B5EF4-FFF2-40B4-BE49-F238E27FC236}">
                  <a16:creationId xmlns:a16="http://schemas.microsoft.com/office/drawing/2014/main" id="{C2440BC4-6984-498D-9D44-77AEE75BD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79203" name="Option Button 3" hidden="1">
              <a:extLst>
                <a:ext uri="{63B3BB69-23CF-44E3-9099-C40C66FF867C}">
                  <a14:compatExt spid="_x0000_s179203"/>
                </a:ext>
                <a:ext uri="{FF2B5EF4-FFF2-40B4-BE49-F238E27FC236}">
                  <a16:creationId xmlns:a16="http://schemas.microsoft.com/office/drawing/2014/main" id="{8970E5F5-DED5-4CE6-A1F2-E5616ED10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79204" name="Group Box 4" hidden="1">
              <a:extLst>
                <a:ext uri="{63B3BB69-23CF-44E3-9099-C40C66FF867C}">
                  <a14:compatExt spid="_x0000_s179204"/>
                </a:ext>
                <a:ext uri="{FF2B5EF4-FFF2-40B4-BE49-F238E27FC236}">
                  <a16:creationId xmlns:a16="http://schemas.microsoft.com/office/drawing/2014/main" id="{F751B9C4-B1C3-47FC-8849-31BD46ECA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79205" name="Option Button 5" hidden="1">
              <a:extLst>
                <a:ext uri="{63B3BB69-23CF-44E3-9099-C40C66FF867C}">
                  <a14:compatExt spid="_x0000_s179205"/>
                </a:ext>
                <a:ext uri="{FF2B5EF4-FFF2-40B4-BE49-F238E27FC236}">
                  <a16:creationId xmlns:a16="http://schemas.microsoft.com/office/drawing/2014/main" id="{C030F01F-84FD-4B41-BB83-6576E23ED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79206" name="Option Button 6" hidden="1">
              <a:extLst>
                <a:ext uri="{63B3BB69-23CF-44E3-9099-C40C66FF867C}">
                  <a14:compatExt spid="_x0000_s179206"/>
                </a:ext>
                <a:ext uri="{FF2B5EF4-FFF2-40B4-BE49-F238E27FC236}">
                  <a16:creationId xmlns:a16="http://schemas.microsoft.com/office/drawing/2014/main" id="{5A4D8FE8-23C3-4DEE-B136-575FCB64FA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79207" name="Group Box 7" hidden="1">
              <a:extLst>
                <a:ext uri="{63B3BB69-23CF-44E3-9099-C40C66FF867C}">
                  <a14:compatExt spid="_x0000_s179207"/>
                </a:ext>
                <a:ext uri="{FF2B5EF4-FFF2-40B4-BE49-F238E27FC236}">
                  <a16:creationId xmlns:a16="http://schemas.microsoft.com/office/drawing/2014/main" id="{5ED675BF-1AA7-480D-8BBC-477BB57754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79208" name="Option Button 8" hidden="1">
              <a:extLst>
                <a:ext uri="{63B3BB69-23CF-44E3-9099-C40C66FF867C}">
                  <a14:compatExt spid="_x0000_s179208"/>
                </a:ext>
                <a:ext uri="{FF2B5EF4-FFF2-40B4-BE49-F238E27FC236}">
                  <a16:creationId xmlns:a16="http://schemas.microsoft.com/office/drawing/2014/main" id="{A186482D-21EC-4B3A-A50A-0D6724C3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79209" name="Option Button 9" hidden="1">
              <a:extLst>
                <a:ext uri="{63B3BB69-23CF-44E3-9099-C40C66FF867C}">
                  <a14:compatExt spid="_x0000_s179209"/>
                </a:ext>
                <a:ext uri="{FF2B5EF4-FFF2-40B4-BE49-F238E27FC236}">
                  <a16:creationId xmlns:a16="http://schemas.microsoft.com/office/drawing/2014/main" id="{689FF79A-A6B9-435B-A02F-DB1AE543F1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79210" name="Group Box 10" hidden="1">
              <a:extLst>
                <a:ext uri="{63B3BB69-23CF-44E3-9099-C40C66FF867C}">
                  <a14:compatExt spid="_x0000_s179210"/>
                </a:ext>
                <a:ext uri="{FF2B5EF4-FFF2-40B4-BE49-F238E27FC236}">
                  <a16:creationId xmlns:a16="http://schemas.microsoft.com/office/drawing/2014/main" id="{1C2A64B4-933E-4AFB-9BAD-64C78BB0DB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79211" name="Option Button 11" hidden="1">
              <a:extLst>
                <a:ext uri="{63B3BB69-23CF-44E3-9099-C40C66FF867C}">
                  <a14:compatExt spid="_x0000_s179211"/>
                </a:ext>
                <a:ext uri="{FF2B5EF4-FFF2-40B4-BE49-F238E27FC236}">
                  <a16:creationId xmlns:a16="http://schemas.microsoft.com/office/drawing/2014/main" id="{9DC9A43F-8E0E-4F7E-BCB7-32B439ACAE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79212" name="Option Button 12" hidden="1">
              <a:extLst>
                <a:ext uri="{63B3BB69-23CF-44E3-9099-C40C66FF867C}">
                  <a14:compatExt spid="_x0000_s179212"/>
                </a:ext>
                <a:ext uri="{FF2B5EF4-FFF2-40B4-BE49-F238E27FC236}">
                  <a16:creationId xmlns:a16="http://schemas.microsoft.com/office/drawing/2014/main" id="{CBCF35BB-32D1-47C6-AC01-7AF059D0D1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79213" name="Group Box 13" hidden="1">
              <a:extLst>
                <a:ext uri="{63B3BB69-23CF-44E3-9099-C40C66FF867C}">
                  <a14:compatExt spid="_x0000_s179213"/>
                </a:ext>
                <a:ext uri="{FF2B5EF4-FFF2-40B4-BE49-F238E27FC236}">
                  <a16:creationId xmlns:a16="http://schemas.microsoft.com/office/drawing/2014/main" id="{325431CB-04E7-4DE5-B366-50AD4B5FF8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79214" name="Option Button 14" hidden="1">
              <a:extLst>
                <a:ext uri="{63B3BB69-23CF-44E3-9099-C40C66FF867C}">
                  <a14:compatExt spid="_x0000_s179214"/>
                </a:ext>
                <a:ext uri="{FF2B5EF4-FFF2-40B4-BE49-F238E27FC236}">
                  <a16:creationId xmlns:a16="http://schemas.microsoft.com/office/drawing/2014/main" id="{B94FA146-C48B-476A-9BEA-D0942AE7E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79215" name="Option Button 15" hidden="1">
              <a:extLst>
                <a:ext uri="{63B3BB69-23CF-44E3-9099-C40C66FF867C}">
                  <a14:compatExt spid="_x0000_s179215"/>
                </a:ext>
                <a:ext uri="{FF2B5EF4-FFF2-40B4-BE49-F238E27FC236}">
                  <a16:creationId xmlns:a16="http://schemas.microsoft.com/office/drawing/2014/main" id="{6556264E-3A73-4686-8F3D-83637D89F5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79216" name="Check Box 16" hidden="1">
              <a:extLst>
                <a:ext uri="{63B3BB69-23CF-44E3-9099-C40C66FF867C}">
                  <a14:compatExt spid="_x0000_s179216"/>
                </a:ext>
                <a:ext uri="{FF2B5EF4-FFF2-40B4-BE49-F238E27FC236}">
                  <a16:creationId xmlns:a16="http://schemas.microsoft.com/office/drawing/2014/main" id="{205DFFA7-0A2D-425C-B733-23FCC614F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79217" name="Group Box 17" hidden="1">
              <a:extLst>
                <a:ext uri="{63B3BB69-23CF-44E3-9099-C40C66FF867C}">
                  <a14:compatExt spid="_x0000_s179217"/>
                </a:ext>
                <a:ext uri="{FF2B5EF4-FFF2-40B4-BE49-F238E27FC236}">
                  <a16:creationId xmlns:a16="http://schemas.microsoft.com/office/drawing/2014/main" id="{290B8CD3-9BA4-4734-9C3D-C06E27671A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79218" name="Option Button 18" hidden="1">
              <a:extLst>
                <a:ext uri="{63B3BB69-23CF-44E3-9099-C40C66FF867C}">
                  <a14:compatExt spid="_x0000_s179218"/>
                </a:ext>
                <a:ext uri="{FF2B5EF4-FFF2-40B4-BE49-F238E27FC236}">
                  <a16:creationId xmlns:a16="http://schemas.microsoft.com/office/drawing/2014/main" id="{698446E3-32CE-4D27-B8EE-C0068623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79219" name="Option Button 19" hidden="1">
              <a:extLst>
                <a:ext uri="{63B3BB69-23CF-44E3-9099-C40C66FF867C}">
                  <a14:compatExt spid="_x0000_s179219"/>
                </a:ext>
                <a:ext uri="{FF2B5EF4-FFF2-40B4-BE49-F238E27FC236}">
                  <a16:creationId xmlns:a16="http://schemas.microsoft.com/office/drawing/2014/main" id="{C1B06678-CFCE-4E14-A4DD-17708E852C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79220" name="Group Box 20" hidden="1">
              <a:extLst>
                <a:ext uri="{63B3BB69-23CF-44E3-9099-C40C66FF867C}">
                  <a14:compatExt spid="_x0000_s179220"/>
                </a:ext>
                <a:ext uri="{FF2B5EF4-FFF2-40B4-BE49-F238E27FC236}">
                  <a16:creationId xmlns:a16="http://schemas.microsoft.com/office/drawing/2014/main" id="{25312756-AB36-4F19-9ACB-EFEF433F3D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79221" name="Group Box 21" hidden="1">
              <a:extLst>
                <a:ext uri="{63B3BB69-23CF-44E3-9099-C40C66FF867C}">
                  <a14:compatExt spid="_x0000_s179221"/>
                </a:ext>
                <a:ext uri="{FF2B5EF4-FFF2-40B4-BE49-F238E27FC236}">
                  <a16:creationId xmlns:a16="http://schemas.microsoft.com/office/drawing/2014/main" id="{AF2BC8CB-79D9-49D3-9A91-37B89DBA6F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79222" name="Option Button 22" hidden="1">
              <a:extLst>
                <a:ext uri="{63B3BB69-23CF-44E3-9099-C40C66FF867C}">
                  <a14:compatExt spid="_x0000_s179222"/>
                </a:ext>
                <a:ext uri="{FF2B5EF4-FFF2-40B4-BE49-F238E27FC236}">
                  <a16:creationId xmlns:a16="http://schemas.microsoft.com/office/drawing/2014/main" id="{6C013EFE-C59C-47AE-8ABD-4E09C2B353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79223" name="Option Button 23" hidden="1">
              <a:extLst>
                <a:ext uri="{63B3BB69-23CF-44E3-9099-C40C66FF867C}">
                  <a14:compatExt spid="_x0000_s179223"/>
                </a:ext>
                <a:ext uri="{FF2B5EF4-FFF2-40B4-BE49-F238E27FC236}">
                  <a16:creationId xmlns:a16="http://schemas.microsoft.com/office/drawing/2014/main" id="{4398AC88-C3B0-447F-8D15-4327508384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79224" name="Option Button 24" hidden="1">
              <a:extLst>
                <a:ext uri="{63B3BB69-23CF-44E3-9099-C40C66FF867C}">
                  <a14:compatExt spid="_x0000_s179224"/>
                </a:ext>
                <a:ext uri="{FF2B5EF4-FFF2-40B4-BE49-F238E27FC236}">
                  <a16:creationId xmlns:a16="http://schemas.microsoft.com/office/drawing/2014/main" id="{AC78C6D6-DA6D-40C2-A87B-282DD6E4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79225" name="Option Button 25" hidden="1">
              <a:extLst>
                <a:ext uri="{63B3BB69-23CF-44E3-9099-C40C66FF867C}">
                  <a14:compatExt spid="_x0000_s179225"/>
                </a:ext>
                <a:ext uri="{FF2B5EF4-FFF2-40B4-BE49-F238E27FC236}">
                  <a16:creationId xmlns:a16="http://schemas.microsoft.com/office/drawing/2014/main" id="{AA3AE0B3-A907-4138-89E0-0E870D0163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80225" name="Group Box 1" hidden="1">
              <a:extLst>
                <a:ext uri="{63B3BB69-23CF-44E3-9099-C40C66FF867C}">
                  <a14:compatExt spid="_x0000_s180225"/>
                </a:ext>
                <a:ext uri="{FF2B5EF4-FFF2-40B4-BE49-F238E27FC236}">
                  <a16:creationId xmlns:a16="http://schemas.microsoft.com/office/drawing/2014/main" id="{B07BDE25-4063-499B-B755-740769FF6A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80226" name="Option Button 2" hidden="1">
              <a:extLst>
                <a:ext uri="{63B3BB69-23CF-44E3-9099-C40C66FF867C}">
                  <a14:compatExt spid="_x0000_s180226"/>
                </a:ext>
                <a:ext uri="{FF2B5EF4-FFF2-40B4-BE49-F238E27FC236}">
                  <a16:creationId xmlns:a16="http://schemas.microsoft.com/office/drawing/2014/main" id="{84353275-418C-4700-9D2D-2F5696C5E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80227" name="Option Button 3" hidden="1">
              <a:extLst>
                <a:ext uri="{63B3BB69-23CF-44E3-9099-C40C66FF867C}">
                  <a14:compatExt spid="_x0000_s180227"/>
                </a:ext>
                <a:ext uri="{FF2B5EF4-FFF2-40B4-BE49-F238E27FC236}">
                  <a16:creationId xmlns:a16="http://schemas.microsoft.com/office/drawing/2014/main" id="{A17BBBA7-1759-413C-92BB-952D45736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80228" name="Group Box 4" hidden="1">
              <a:extLst>
                <a:ext uri="{63B3BB69-23CF-44E3-9099-C40C66FF867C}">
                  <a14:compatExt spid="_x0000_s180228"/>
                </a:ext>
                <a:ext uri="{FF2B5EF4-FFF2-40B4-BE49-F238E27FC236}">
                  <a16:creationId xmlns:a16="http://schemas.microsoft.com/office/drawing/2014/main" id="{965D15BB-EEAB-4B3D-925F-1B17B423D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80229" name="Option Button 5" hidden="1">
              <a:extLst>
                <a:ext uri="{63B3BB69-23CF-44E3-9099-C40C66FF867C}">
                  <a14:compatExt spid="_x0000_s180229"/>
                </a:ext>
                <a:ext uri="{FF2B5EF4-FFF2-40B4-BE49-F238E27FC236}">
                  <a16:creationId xmlns:a16="http://schemas.microsoft.com/office/drawing/2014/main" id="{6A8AEEF2-0A01-4BA2-AB2F-32EEF3EF3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80230" name="Option Button 6" hidden="1">
              <a:extLst>
                <a:ext uri="{63B3BB69-23CF-44E3-9099-C40C66FF867C}">
                  <a14:compatExt spid="_x0000_s180230"/>
                </a:ext>
                <a:ext uri="{FF2B5EF4-FFF2-40B4-BE49-F238E27FC236}">
                  <a16:creationId xmlns:a16="http://schemas.microsoft.com/office/drawing/2014/main" id="{44336EC8-BEC7-4D1A-A6DE-73DB6F16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80231" name="Group Box 7" hidden="1">
              <a:extLst>
                <a:ext uri="{63B3BB69-23CF-44E3-9099-C40C66FF867C}">
                  <a14:compatExt spid="_x0000_s180231"/>
                </a:ext>
                <a:ext uri="{FF2B5EF4-FFF2-40B4-BE49-F238E27FC236}">
                  <a16:creationId xmlns:a16="http://schemas.microsoft.com/office/drawing/2014/main" id="{3911730E-BE94-4801-A3DB-94CCE5D678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80232" name="Option Button 8" hidden="1">
              <a:extLst>
                <a:ext uri="{63B3BB69-23CF-44E3-9099-C40C66FF867C}">
                  <a14:compatExt spid="_x0000_s180232"/>
                </a:ext>
                <a:ext uri="{FF2B5EF4-FFF2-40B4-BE49-F238E27FC236}">
                  <a16:creationId xmlns:a16="http://schemas.microsoft.com/office/drawing/2014/main" id="{4FCF5BEA-D173-49E3-8A3D-7D2739ABBD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80233" name="Option Button 9" hidden="1">
              <a:extLst>
                <a:ext uri="{63B3BB69-23CF-44E3-9099-C40C66FF867C}">
                  <a14:compatExt spid="_x0000_s180233"/>
                </a:ext>
                <a:ext uri="{FF2B5EF4-FFF2-40B4-BE49-F238E27FC236}">
                  <a16:creationId xmlns:a16="http://schemas.microsoft.com/office/drawing/2014/main" id="{98B222CC-120C-460F-B668-ABA14F9984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80234" name="Group Box 10" hidden="1">
              <a:extLst>
                <a:ext uri="{63B3BB69-23CF-44E3-9099-C40C66FF867C}">
                  <a14:compatExt spid="_x0000_s180234"/>
                </a:ext>
                <a:ext uri="{FF2B5EF4-FFF2-40B4-BE49-F238E27FC236}">
                  <a16:creationId xmlns:a16="http://schemas.microsoft.com/office/drawing/2014/main" id="{A3ED145C-FD6A-418C-B008-8A446624C4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80235" name="Option Button 11" hidden="1">
              <a:extLst>
                <a:ext uri="{63B3BB69-23CF-44E3-9099-C40C66FF867C}">
                  <a14:compatExt spid="_x0000_s180235"/>
                </a:ext>
                <a:ext uri="{FF2B5EF4-FFF2-40B4-BE49-F238E27FC236}">
                  <a16:creationId xmlns:a16="http://schemas.microsoft.com/office/drawing/2014/main" id="{DED1FB56-70E2-430C-864D-A4C0ED08DF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80236" name="Option Button 12" hidden="1">
              <a:extLst>
                <a:ext uri="{63B3BB69-23CF-44E3-9099-C40C66FF867C}">
                  <a14:compatExt spid="_x0000_s180236"/>
                </a:ext>
                <a:ext uri="{FF2B5EF4-FFF2-40B4-BE49-F238E27FC236}">
                  <a16:creationId xmlns:a16="http://schemas.microsoft.com/office/drawing/2014/main" id="{B389AE24-7740-42F3-98E1-4A9DF3406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80237" name="Group Box 13" hidden="1">
              <a:extLst>
                <a:ext uri="{63B3BB69-23CF-44E3-9099-C40C66FF867C}">
                  <a14:compatExt spid="_x0000_s180237"/>
                </a:ext>
                <a:ext uri="{FF2B5EF4-FFF2-40B4-BE49-F238E27FC236}">
                  <a16:creationId xmlns:a16="http://schemas.microsoft.com/office/drawing/2014/main" id="{CE76F52E-3FA0-4AD5-9F9D-0CB2F8B3F7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80238" name="Option Button 14" hidden="1">
              <a:extLst>
                <a:ext uri="{63B3BB69-23CF-44E3-9099-C40C66FF867C}">
                  <a14:compatExt spid="_x0000_s180238"/>
                </a:ext>
                <a:ext uri="{FF2B5EF4-FFF2-40B4-BE49-F238E27FC236}">
                  <a16:creationId xmlns:a16="http://schemas.microsoft.com/office/drawing/2014/main" id="{06A7FAB0-B5CD-46F1-B61A-4DE01976BB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80239" name="Option Button 15" hidden="1">
              <a:extLst>
                <a:ext uri="{63B3BB69-23CF-44E3-9099-C40C66FF867C}">
                  <a14:compatExt spid="_x0000_s180239"/>
                </a:ext>
                <a:ext uri="{FF2B5EF4-FFF2-40B4-BE49-F238E27FC236}">
                  <a16:creationId xmlns:a16="http://schemas.microsoft.com/office/drawing/2014/main" id="{E4A8657F-881E-4235-8DF9-30B249F22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80240" name="Check Box 16" hidden="1">
              <a:extLst>
                <a:ext uri="{63B3BB69-23CF-44E3-9099-C40C66FF867C}">
                  <a14:compatExt spid="_x0000_s180240"/>
                </a:ext>
                <a:ext uri="{FF2B5EF4-FFF2-40B4-BE49-F238E27FC236}">
                  <a16:creationId xmlns:a16="http://schemas.microsoft.com/office/drawing/2014/main" id="{60D8B3CD-769C-4DC7-B70E-49B9B3CDBD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80241" name="Group Box 17" hidden="1">
              <a:extLst>
                <a:ext uri="{63B3BB69-23CF-44E3-9099-C40C66FF867C}">
                  <a14:compatExt spid="_x0000_s180241"/>
                </a:ext>
                <a:ext uri="{FF2B5EF4-FFF2-40B4-BE49-F238E27FC236}">
                  <a16:creationId xmlns:a16="http://schemas.microsoft.com/office/drawing/2014/main" id="{19DCB461-2613-4CC2-AD2E-FC91002E87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80242" name="Option Button 18" hidden="1">
              <a:extLst>
                <a:ext uri="{63B3BB69-23CF-44E3-9099-C40C66FF867C}">
                  <a14:compatExt spid="_x0000_s180242"/>
                </a:ext>
                <a:ext uri="{FF2B5EF4-FFF2-40B4-BE49-F238E27FC236}">
                  <a16:creationId xmlns:a16="http://schemas.microsoft.com/office/drawing/2014/main" id="{BA7C83AA-FCA2-4744-ADD7-DBC2BEC5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80243" name="Option Button 19" hidden="1">
              <a:extLst>
                <a:ext uri="{63B3BB69-23CF-44E3-9099-C40C66FF867C}">
                  <a14:compatExt spid="_x0000_s180243"/>
                </a:ext>
                <a:ext uri="{FF2B5EF4-FFF2-40B4-BE49-F238E27FC236}">
                  <a16:creationId xmlns:a16="http://schemas.microsoft.com/office/drawing/2014/main" id="{BECC0A3C-BF4E-4062-8140-F796BFF8F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80244" name="Group Box 20" hidden="1">
              <a:extLst>
                <a:ext uri="{63B3BB69-23CF-44E3-9099-C40C66FF867C}">
                  <a14:compatExt spid="_x0000_s180244"/>
                </a:ext>
                <a:ext uri="{FF2B5EF4-FFF2-40B4-BE49-F238E27FC236}">
                  <a16:creationId xmlns:a16="http://schemas.microsoft.com/office/drawing/2014/main" id="{F7339368-20A1-49B0-85D4-EA23E623B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80245" name="Group Box 21" hidden="1">
              <a:extLst>
                <a:ext uri="{63B3BB69-23CF-44E3-9099-C40C66FF867C}">
                  <a14:compatExt spid="_x0000_s180245"/>
                </a:ext>
                <a:ext uri="{FF2B5EF4-FFF2-40B4-BE49-F238E27FC236}">
                  <a16:creationId xmlns:a16="http://schemas.microsoft.com/office/drawing/2014/main" id="{2B02F678-2C72-44DB-8BA7-6F0EAF454E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80246" name="Option Button 22" hidden="1">
              <a:extLst>
                <a:ext uri="{63B3BB69-23CF-44E3-9099-C40C66FF867C}">
                  <a14:compatExt spid="_x0000_s180246"/>
                </a:ext>
                <a:ext uri="{FF2B5EF4-FFF2-40B4-BE49-F238E27FC236}">
                  <a16:creationId xmlns:a16="http://schemas.microsoft.com/office/drawing/2014/main" id="{914A6991-948F-40BC-8F64-07C96B4A2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80247" name="Option Button 23" hidden="1">
              <a:extLst>
                <a:ext uri="{63B3BB69-23CF-44E3-9099-C40C66FF867C}">
                  <a14:compatExt spid="_x0000_s180247"/>
                </a:ext>
                <a:ext uri="{FF2B5EF4-FFF2-40B4-BE49-F238E27FC236}">
                  <a16:creationId xmlns:a16="http://schemas.microsoft.com/office/drawing/2014/main" id="{7B643234-A850-4637-9253-D7567004A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80248" name="Option Button 24" hidden="1">
              <a:extLst>
                <a:ext uri="{63B3BB69-23CF-44E3-9099-C40C66FF867C}">
                  <a14:compatExt spid="_x0000_s180248"/>
                </a:ext>
                <a:ext uri="{FF2B5EF4-FFF2-40B4-BE49-F238E27FC236}">
                  <a16:creationId xmlns:a16="http://schemas.microsoft.com/office/drawing/2014/main" id="{C3A98A01-AFF4-4D40-BB21-4E5E31F49B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80249" name="Option Button 25" hidden="1">
              <a:extLst>
                <a:ext uri="{63B3BB69-23CF-44E3-9099-C40C66FF867C}">
                  <a14:compatExt spid="_x0000_s180249"/>
                </a:ext>
                <a:ext uri="{FF2B5EF4-FFF2-40B4-BE49-F238E27FC236}">
                  <a16:creationId xmlns:a16="http://schemas.microsoft.com/office/drawing/2014/main" id="{3B95C2CC-E6FF-41E5-86D7-65F80AA9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81249" name="Group Box 1" hidden="1">
              <a:extLst>
                <a:ext uri="{63B3BB69-23CF-44E3-9099-C40C66FF867C}">
                  <a14:compatExt spid="_x0000_s181249"/>
                </a:ext>
                <a:ext uri="{FF2B5EF4-FFF2-40B4-BE49-F238E27FC236}">
                  <a16:creationId xmlns:a16="http://schemas.microsoft.com/office/drawing/2014/main" id="{D28D9D00-31DD-4CA0-AF33-487F7B0A9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81250" name="Option Button 2" hidden="1">
              <a:extLst>
                <a:ext uri="{63B3BB69-23CF-44E3-9099-C40C66FF867C}">
                  <a14:compatExt spid="_x0000_s181250"/>
                </a:ext>
                <a:ext uri="{FF2B5EF4-FFF2-40B4-BE49-F238E27FC236}">
                  <a16:creationId xmlns:a16="http://schemas.microsoft.com/office/drawing/2014/main" id="{6DCF7CA3-E4AE-4C40-B960-A484C4796A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81251" name="Option Button 3" hidden="1">
              <a:extLst>
                <a:ext uri="{63B3BB69-23CF-44E3-9099-C40C66FF867C}">
                  <a14:compatExt spid="_x0000_s181251"/>
                </a:ext>
                <a:ext uri="{FF2B5EF4-FFF2-40B4-BE49-F238E27FC236}">
                  <a16:creationId xmlns:a16="http://schemas.microsoft.com/office/drawing/2014/main" id="{64342E9D-A491-4ADF-99DC-3DDF10BA0B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81252" name="Group Box 4" hidden="1">
              <a:extLst>
                <a:ext uri="{63B3BB69-23CF-44E3-9099-C40C66FF867C}">
                  <a14:compatExt spid="_x0000_s181252"/>
                </a:ext>
                <a:ext uri="{FF2B5EF4-FFF2-40B4-BE49-F238E27FC236}">
                  <a16:creationId xmlns:a16="http://schemas.microsoft.com/office/drawing/2014/main" id="{912C8F9E-F897-48AC-960F-7683992020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81253" name="Option Button 5" hidden="1">
              <a:extLst>
                <a:ext uri="{63B3BB69-23CF-44E3-9099-C40C66FF867C}">
                  <a14:compatExt spid="_x0000_s181253"/>
                </a:ext>
                <a:ext uri="{FF2B5EF4-FFF2-40B4-BE49-F238E27FC236}">
                  <a16:creationId xmlns:a16="http://schemas.microsoft.com/office/drawing/2014/main" id="{0EE5D08D-3F15-4E85-830C-A2440B061A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81254" name="Option Button 6" hidden="1">
              <a:extLst>
                <a:ext uri="{63B3BB69-23CF-44E3-9099-C40C66FF867C}">
                  <a14:compatExt spid="_x0000_s181254"/>
                </a:ext>
                <a:ext uri="{FF2B5EF4-FFF2-40B4-BE49-F238E27FC236}">
                  <a16:creationId xmlns:a16="http://schemas.microsoft.com/office/drawing/2014/main" id="{EE95A0B4-8DE9-4A85-9F30-6A4B46AE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81255" name="Group Box 7" hidden="1">
              <a:extLst>
                <a:ext uri="{63B3BB69-23CF-44E3-9099-C40C66FF867C}">
                  <a14:compatExt spid="_x0000_s181255"/>
                </a:ext>
                <a:ext uri="{FF2B5EF4-FFF2-40B4-BE49-F238E27FC236}">
                  <a16:creationId xmlns:a16="http://schemas.microsoft.com/office/drawing/2014/main" id="{222B9BF2-A3BF-4B48-8D82-805CC26610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81256" name="Option Button 8" hidden="1">
              <a:extLst>
                <a:ext uri="{63B3BB69-23CF-44E3-9099-C40C66FF867C}">
                  <a14:compatExt spid="_x0000_s181256"/>
                </a:ext>
                <a:ext uri="{FF2B5EF4-FFF2-40B4-BE49-F238E27FC236}">
                  <a16:creationId xmlns:a16="http://schemas.microsoft.com/office/drawing/2014/main" id="{A4A418BE-91EE-4277-801B-9D06DC466F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81257" name="Option Button 9" hidden="1">
              <a:extLst>
                <a:ext uri="{63B3BB69-23CF-44E3-9099-C40C66FF867C}">
                  <a14:compatExt spid="_x0000_s181257"/>
                </a:ext>
                <a:ext uri="{FF2B5EF4-FFF2-40B4-BE49-F238E27FC236}">
                  <a16:creationId xmlns:a16="http://schemas.microsoft.com/office/drawing/2014/main" id="{8FFC1441-C52D-41B7-B242-D9A36B76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81258" name="Group Box 10" hidden="1">
              <a:extLst>
                <a:ext uri="{63B3BB69-23CF-44E3-9099-C40C66FF867C}">
                  <a14:compatExt spid="_x0000_s181258"/>
                </a:ext>
                <a:ext uri="{FF2B5EF4-FFF2-40B4-BE49-F238E27FC236}">
                  <a16:creationId xmlns:a16="http://schemas.microsoft.com/office/drawing/2014/main" id="{93C16419-CE1D-4382-AED8-90F38110C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81259" name="Option Button 11" hidden="1">
              <a:extLst>
                <a:ext uri="{63B3BB69-23CF-44E3-9099-C40C66FF867C}">
                  <a14:compatExt spid="_x0000_s181259"/>
                </a:ext>
                <a:ext uri="{FF2B5EF4-FFF2-40B4-BE49-F238E27FC236}">
                  <a16:creationId xmlns:a16="http://schemas.microsoft.com/office/drawing/2014/main" id="{CA96F477-F468-4F7D-8BD6-C40EA29E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81260" name="Option Button 12" hidden="1">
              <a:extLst>
                <a:ext uri="{63B3BB69-23CF-44E3-9099-C40C66FF867C}">
                  <a14:compatExt spid="_x0000_s181260"/>
                </a:ext>
                <a:ext uri="{FF2B5EF4-FFF2-40B4-BE49-F238E27FC236}">
                  <a16:creationId xmlns:a16="http://schemas.microsoft.com/office/drawing/2014/main" id="{36DEAC2F-FF75-425D-A2C6-BC271D6090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81261" name="Group Box 13" hidden="1">
              <a:extLst>
                <a:ext uri="{63B3BB69-23CF-44E3-9099-C40C66FF867C}">
                  <a14:compatExt spid="_x0000_s181261"/>
                </a:ext>
                <a:ext uri="{FF2B5EF4-FFF2-40B4-BE49-F238E27FC236}">
                  <a16:creationId xmlns:a16="http://schemas.microsoft.com/office/drawing/2014/main" id="{ABC55F37-7E5D-49E8-BD2E-57156BBB66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81262" name="Option Button 14" hidden="1">
              <a:extLst>
                <a:ext uri="{63B3BB69-23CF-44E3-9099-C40C66FF867C}">
                  <a14:compatExt spid="_x0000_s181262"/>
                </a:ext>
                <a:ext uri="{FF2B5EF4-FFF2-40B4-BE49-F238E27FC236}">
                  <a16:creationId xmlns:a16="http://schemas.microsoft.com/office/drawing/2014/main" id="{CA33D887-731D-4653-8F1D-69F03156A6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81263" name="Option Button 15" hidden="1">
              <a:extLst>
                <a:ext uri="{63B3BB69-23CF-44E3-9099-C40C66FF867C}">
                  <a14:compatExt spid="_x0000_s181263"/>
                </a:ext>
                <a:ext uri="{FF2B5EF4-FFF2-40B4-BE49-F238E27FC236}">
                  <a16:creationId xmlns:a16="http://schemas.microsoft.com/office/drawing/2014/main" id="{D4703589-B590-420A-8A09-E814AA85CC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81264" name="Check Box 16" hidden="1">
              <a:extLst>
                <a:ext uri="{63B3BB69-23CF-44E3-9099-C40C66FF867C}">
                  <a14:compatExt spid="_x0000_s181264"/>
                </a:ext>
                <a:ext uri="{FF2B5EF4-FFF2-40B4-BE49-F238E27FC236}">
                  <a16:creationId xmlns:a16="http://schemas.microsoft.com/office/drawing/2014/main" id="{A3BE94FD-8FEB-4FB9-876D-789A6F3C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81265" name="Group Box 17" hidden="1">
              <a:extLst>
                <a:ext uri="{63B3BB69-23CF-44E3-9099-C40C66FF867C}">
                  <a14:compatExt spid="_x0000_s181265"/>
                </a:ext>
                <a:ext uri="{FF2B5EF4-FFF2-40B4-BE49-F238E27FC236}">
                  <a16:creationId xmlns:a16="http://schemas.microsoft.com/office/drawing/2014/main" id="{07AD0E3F-79CB-4442-8FE1-E9D734FD18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81266" name="Option Button 18" hidden="1">
              <a:extLst>
                <a:ext uri="{63B3BB69-23CF-44E3-9099-C40C66FF867C}">
                  <a14:compatExt spid="_x0000_s181266"/>
                </a:ext>
                <a:ext uri="{FF2B5EF4-FFF2-40B4-BE49-F238E27FC236}">
                  <a16:creationId xmlns:a16="http://schemas.microsoft.com/office/drawing/2014/main" id="{1504A377-8527-4947-A7EB-4D6A020CD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81267" name="Option Button 19" hidden="1">
              <a:extLst>
                <a:ext uri="{63B3BB69-23CF-44E3-9099-C40C66FF867C}">
                  <a14:compatExt spid="_x0000_s181267"/>
                </a:ext>
                <a:ext uri="{FF2B5EF4-FFF2-40B4-BE49-F238E27FC236}">
                  <a16:creationId xmlns:a16="http://schemas.microsoft.com/office/drawing/2014/main" id="{32FCBF69-41AC-459C-8274-9503396FF1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81268" name="Group Box 20" hidden="1">
              <a:extLst>
                <a:ext uri="{63B3BB69-23CF-44E3-9099-C40C66FF867C}">
                  <a14:compatExt spid="_x0000_s181268"/>
                </a:ext>
                <a:ext uri="{FF2B5EF4-FFF2-40B4-BE49-F238E27FC236}">
                  <a16:creationId xmlns:a16="http://schemas.microsoft.com/office/drawing/2014/main" id="{658427FB-7DFC-4E6C-9621-ADA143CF50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81269" name="Group Box 21" hidden="1">
              <a:extLst>
                <a:ext uri="{63B3BB69-23CF-44E3-9099-C40C66FF867C}">
                  <a14:compatExt spid="_x0000_s181269"/>
                </a:ext>
                <a:ext uri="{FF2B5EF4-FFF2-40B4-BE49-F238E27FC236}">
                  <a16:creationId xmlns:a16="http://schemas.microsoft.com/office/drawing/2014/main" id="{DF55C0A8-D9B1-4ABD-B16F-3DB5EA027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81270" name="Option Button 22" hidden="1">
              <a:extLst>
                <a:ext uri="{63B3BB69-23CF-44E3-9099-C40C66FF867C}">
                  <a14:compatExt spid="_x0000_s181270"/>
                </a:ext>
                <a:ext uri="{FF2B5EF4-FFF2-40B4-BE49-F238E27FC236}">
                  <a16:creationId xmlns:a16="http://schemas.microsoft.com/office/drawing/2014/main" id="{A2ACA9F5-3803-4046-AE66-B48FF463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81271" name="Option Button 23" hidden="1">
              <a:extLst>
                <a:ext uri="{63B3BB69-23CF-44E3-9099-C40C66FF867C}">
                  <a14:compatExt spid="_x0000_s181271"/>
                </a:ext>
                <a:ext uri="{FF2B5EF4-FFF2-40B4-BE49-F238E27FC236}">
                  <a16:creationId xmlns:a16="http://schemas.microsoft.com/office/drawing/2014/main" id="{50FE9143-E87F-4F51-9D63-25F40161BF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81272" name="Option Button 24" hidden="1">
              <a:extLst>
                <a:ext uri="{63B3BB69-23CF-44E3-9099-C40C66FF867C}">
                  <a14:compatExt spid="_x0000_s181272"/>
                </a:ext>
                <a:ext uri="{FF2B5EF4-FFF2-40B4-BE49-F238E27FC236}">
                  <a16:creationId xmlns:a16="http://schemas.microsoft.com/office/drawing/2014/main" id="{C87AC3D2-1833-4697-B29B-6D8874EF49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81273" name="Option Button 25" hidden="1">
              <a:extLst>
                <a:ext uri="{63B3BB69-23CF-44E3-9099-C40C66FF867C}">
                  <a14:compatExt spid="_x0000_s181273"/>
                </a:ext>
                <a:ext uri="{FF2B5EF4-FFF2-40B4-BE49-F238E27FC236}">
                  <a16:creationId xmlns:a16="http://schemas.microsoft.com/office/drawing/2014/main" id="{FF7B4159-9D62-4A10-978D-463655C64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82273" name="Group Box 1" hidden="1">
              <a:extLst>
                <a:ext uri="{63B3BB69-23CF-44E3-9099-C40C66FF867C}">
                  <a14:compatExt spid="_x0000_s182273"/>
                </a:ext>
                <a:ext uri="{FF2B5EF4-FFF2-40B4-BE49-F238E27FC236}">
                  <a16:creationId xmlns:a16="http://schemas.microsoft.com/office/drawing/2014/main" id="{BD2EE486-3DEE-42CF-8351-608EC7F7BA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82274" name="Option Button 2" hidden="1">
              <a:extLst>
                <a:ext uri="{63B3BB69-23CF-44E3-9099-C40C66FF867C}">
                  <a14:compatExt spid="_x0000_s182274"/>
                </a:ext>
                <a:ext uri="{FF2B5EF4-FFF2-40B4-BE49-F238E27FC236}">
                  <a16:creationId xmlns:a16="http://schemas.microsoft.com/office/drawing/2014/main" id="{40838D93-7281-4334-8CE0-53FFD144FE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82275" name="Option Button 3" hidden="1">
              <a:extLst>
                <a:ext uri="{63B3BB69-23CF-44E3-9099-C40C66FF867C}">
                  <a14:compatExt spid="_x0000_s182275"/>
                </a:ext>
                <a:ext uri="{FF2B5EF4-FFF2-40B4-BE49-F238E27FC236}">
                  <a16:creationId xmlns:a16="http://schemas.microsoft.com/office/drawing/2014/main" id="{3E057020-993D-48D5-8D7F-796BB314C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82276" name="Group Box 4" hidden="1">
              <a:extLst>
                <a:ext uri="{63B3BB69-23CF-44E3-9099-C40C66FF867C}">
                  <a14:compatExt spid="_x0000_s182276"/>
                </a:ext>
                <a:ext uri="{FF2B5EF4-FFF2-40B4-BE49-F238E27FC236}">
                  <a16:creationId xmlns:a16="http://schemas.microsoft.com/office/drawing/2014/main" id="{4D6EC7BC-11D2-4009-9432-F7CE19F76F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82277" name="Option Button 5" hidden="1">
              <a:extLst>
                <a:ext uri="{63B3BB69-23CF-44E3-9099-C40C66FF867C}">
                  <a14:compatExt spid="_x0000_s182277"/>
                </a:ext>
                <a:ext uri="{FF2B5EF4-FFF2-40B4-BE49-F238E27FC236}">
                  <a16:creationId xmlns:a16="http://schemas.microsoft.com/office/drawing/2014/main" id="{B70E0AB1-1B5B-4BC3-816A-D8926F54B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82278" name="Option Button 6" hidden="1">
              <a:extLst>
                <a:ext uri="{63B3BB69-23CF-44E3-9099-C40C66FF867C}">
                  <a14:compatExt spid="_x0000_s182278"/>
                </a:ext>
                <a:ext uri="{FF2B5EF4-FFF2-40B4-BE49-F238E27FC236}">
                  <a16:creationId xmlns:a16="http://schemas.microsoft.com/office/drawing/2014/main" id="{98EC68B1-85A9-4110-9FCD-736E0F1DBB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82279" name="Group Box 7" hidden="1">
              <a:extLst>
                <a:ext uri="{63B3BB69-23CF-44E3-9099-C40C66FF867C}">
                  <a14:compatExt spid="_x0000_s182279"/>
                </a:ext>
                <a:ext uri="{FF2B5EF4-FFF2-40B4-BE49-F238E27FC236}">
                  <a16:creationId xmlns:a16="http://schemas.microsoft.com/office/drawing/2014/main" id="{18F91CDB-94C1-4250-9AD1-E8335A2765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82280" name="Option Button 8" hidden="1">
              <a:extLst>
                <a:ext uri="{63B3BB69-23CF-44E3-9099-C40C66FF867C}">
                  <a14:compatExt spid="_x0000_s182280"/>
                </a:ext>
                <a:ext uri="{FF2B5EF4-FFF2-40B4-BE49-F238E27FC236}">
                  <a16:creationId xmlns:a16="http://schemas.microsoft.com/office/drawing/2014/main" id="{42FEA705-CC8B-40BE-82ED-8F1C4F52B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82281" name="Option Button 9" hidden="1">
              <a:extLst>
                <a:ext uri="{63B3BB69-23CF-44E3-9099-C40C66FF867C}">
                  <a14:compatExt spid="_x0000_s182281"/>
                </a:ext>
                <a:ext uri="{FF2B5EF4-FFF2-40B4-BE49-F238E27FC236}">
                  <a16:creationId xmlns:a16="http://schemas.microsoft.com/office/drawing/2014/main" id="{C6AB62F3-65A9-46B4-8FFC-41BAAC81BF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82282" name="Group Box 10" hidden="1">
              <a:extLst>
                <a:ext uri="{63B3BB69-23CF-44E3-9099-C40C66FF867C}">
                  <a14:compatExt spid="_x0000_s182282"/>
                </a:ext>
                <a:ext uri="{FF2B5EF4-FFF2-40B4-BE49-F238E27FC236}">
                  <a16:creationId xmlns:a16="http://schemas.microsoft.com/office/drawing/2014/main" id="{996C90CB-C205-4F14-859F-21CF931FA6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82283" name="Option Button 11" hidden="1">
              <a:extLst>
                <a:ext uri="{63B3BB69-23CF-44E3-9099-C40C66FF867C}">
                  <a14:compatExt spid="_x0000_s182283"/>
                </a:ext>
                <a:ext uri="{FF2B5EF4-FFF2-40B4-BE49-F238E27FC236}">
                  <a16:creationId xmlns:a16="http://schemas.microsoft.com/office/drawing/2014/main" id="{BF8FA15E-5F98-4B44-B3EB-94CD4E551D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82284" name="Option Button 12" hidden="1">
              <a:extLst>
                <a:ext uri="{63B3BB69-23CF-44E3-9099-C40C66FF867C}">
                  <a14:compatExt spid="_x0000_s182284"/>
                </a:ext>
                <a:ext uri="{FF2B5EF4-FFF2-40B4-BE49-F238E27FC236}">
                  <a16:creationId xmlns:a16="http://schemas.microsoft.com/office/drawing/2014/main" id="{669D19AE-14B8-4ED7-BC19-8F9D99444D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82285" name="Group Box 13" hidden="1">
              <a:extLst>
                <a:ext uri="{63B3BB69-23CF-44E3-9099-C40C66FF867C}">
                  <a14:compatExt spid="_x0000_s182285"/>
                </a:ext>
                <a:ext uri="{FF2B5EF4-FFF2-40B4-BE49-F238E27FC236}">
                  <a16:creationId xmlns:a16="http://schemas.microsoft.com/office/drawing/2014/main" id="{4E2ED1FD-7E36-4457-A240-8B633E6864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82286" name="Option Button 14" hidden="1">
              <a:extLst>
                <a:ext uri="{63B3BB69-23CF-44E3-9099-C40C66FF867C}">
                  <a14:compatExt spid="_x0000_s182286"/>
                </a:ext>
                <a:ext uri="{FF2B5EF4-FFF2-40B4-BE49-F238E27FC236}">
                  <a16:creationId xmlns:a16="http://schemas.microsoft.com/office/drawing/2014/main" id="{277D6EC0-34F7-492F-89DB-B1CCE3456C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82287" name="Option Button 15" hidden="1">
              <a:extLst>
                <a:ext uri="{63B3BB69-23CF-44E3-9099-C40C66FF867C}">
                  <a14:compatExt spid="_x0000_s182287"/>
                </a:ext>
                <a:ext uri="{FF2B5EF4-FFF2-40B4-BE49-F238E27FC236}">
                  <a16:creationId xmlns:a16="http://schemas.microsoft.com/office/drawing/2014/main" id="{365163B9-66F6-4B88-A20D-43DF277079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82288" name="Check Box 16" hidden="1">
              <a:extLst>
                <a:ext uri="{63B3BB69-23CF-44E3-9099-C40C66FF867C}">
                  <a14:compatExt spid="_x0000_s182288"/>
                </a:ext>
                <a:ext uri="{FF2B5EF4-FFF2-40B4-BE49-F238E27FC236}">
                  <a16:creationId xmlns:a16="http://schemas.microsoft.com/office/drawing/2014/main" id="{CAB81CAD-6F37-462B-B43C-5E2397E47A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82289" name="Group Box 17" hidden="1">
              <a:extLst>
                <a:ext uri="{63B3BB69-23CF-44E3-9099-C40C66FF867C}">
                  <a14:compatExt spid="_x0000_s182289"/>
                </a:ext>
                <a:ext uri="{FF2B5EF4-FFF2-40B4-BE49-F238E27FC236}">
                  <a16:creationId xmlns:a16="http://schemas.microsoft.com/office/drawing/2014/main" id="{52B50CA6-F007-418A-A6E4-ADD43589BF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82290" name="Option Button 18" hidden="1">
              <a:extLst>
                <a:ext uri="{63B3BB69-23CF-44E3-9099-C40C66FF867C}">
                  <a14:compatExt spid="_x0000_s182290"/>
                </a:ext>
                <a:ext uri="{FF2B5EF4-FFF2-40B4-BE49-F238E27FC236}">
                  <a16:creationId xmlns:a16="http://schemas.microsoft.com/office/drawing/2014/main" id="{B8E54536-D914-463B-B46F-FEAC92DEE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82291" name="Option Button 19" hidden="1">
              <a:extLst>
                <a:ext uri="{63B3BB69-23CF-44E3-9099-C40C66FF867C}">
                  <a14:compatExt spid="_x0000_s182291"/>
                </a:ext>
                <a:ext uri="{FF2B5EF4-FFF2-40B4-BE49-F238E27FC236}">
                  <a16:creationId xmlns:a16="http://schemas.microsoft.com/office/drawing/2014/main" id="{EC5669BB-7189-49C7-90C1-72CD1557E0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82292" name="Group Box 20" hidden="1">
              <a:extLst>
                <a:ext uri="{63B3BB69-23CF-44E3-9099-C40C66FF867C}">
                  <a14:compatExt spid="_x0000_s182292"/>
                </a:ext>
                <a:ext uri="{FF2B5EF4-FFF2-40B4-BE49-F238E27FC236}">
                  <a16:creationId xmlns:a16="http://schemas.microsoft.com/office/drawing/2014/main" id="{1EFFAB8E-F46B-430B-9D31-225D7B222D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82293" name="Group Box 21" hidden="1">
              <a:extLst>
                <a:ext uri="{63B3BB69-23CF-44E3-9099-C40C66FF867C}">
                  <a14:compatExt spid="_x0000_s182293"/>
                </a:ext>
                <a:ext uri="{FF2B5EF4-FFF2-40B4-BE49-F238E27FC236}">
                  <a16:creationId xmlns:a16="http://schemas.microsoft.com/office/drawing/2014/main" id="{E3A6EFBB-BD98-4715-B4C3-957101DC7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82294" name="Option Button 22" hidden="1">
              <a:extLst>
                <a:ext uri="{63B3BB69-23CF-44E3-9099-C40C66FF867C}">
                  <a14:compatExt spid="_x0000_s182294"/>
                </a:ext>
                <a:ext uri="{FF2B5EF4-FFF2-40B4-BE49-F238E27FC236}">
                  <a16:creationId xmlns:a16="http://schemas.microsoft.com/office/drawing/2014/main" id="{EF74320B-A03F-4EC4-B8C8-C0A6CD900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82295" name="Option Button 23" hidden="1">
              <a:extLst>
                <a:ext uri="{63B3BB69-23CF-44E3-9099-C40C66FF867C}">
                  <a14:compatExt spid="_x0000_s182295"/>
                </a:ext>
                <a:ext uri="{FF2B5EF4-FFF2-40B4-BE49-F238E27FC236}">
                  <a16:creationId xmlns:a16="http://schemas.microsoft.com/office/drawing/2014/main" id="{597BBBE5-170F-4641-81DC-BD82DDB1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82296" name="Option Button 24" hidden="1">
              <a:extLst>
                <a:ext uri="{63B3BB69-23CF-44E3-9099-C40C66FF867C}">
                  <a14:compatExt spid="_x0000_s182296"/>
                </a:ext>
                <a:ext uri="{FF2B5EF4-FFF2-40B4-BE49-F238E27FC236}">
                  <a16:creationId xmlns:a16="http://schemas.microsoft.com/office/drawing/2014/main" id="{A4685290-62A9-43FF-A70A-F17FBFE5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82297" name="Option Button 25" hidden="1">
              <a:extLst>
                <a:ext uri="{63B3BB69-23CF-44E3-9099-C40C66FF867C}">
                  <a14:compatExt spid="_x0000_s182297"/>
                </a:ext>
                <a:ext uri="{FF2B5EF4-FFF2-40B4-BE49-F238E27FC236}">
                  <a16:creationId xmlns:a16="http://schemas.microsoft.com/office/drawing/2014/main" id="{5CB17426-C9BD-404A-8B80-6AFB6BACB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83297" name="Group Box 1" hidden="1">
              <a:extLst>
                <a:ext uri="{63B3BB69-23CF-44E3-9099-C40C66FF867C}">
                  <a14:compatExt spid="_x0000_s183297"/>
                </a:ext>
                <a:ext uri="{FF2B5EF4-FFF2-40B4-BE49-F238E27FC236}">
                  <a16:creationId xmlns:a16="http://schemas.microsoft.com/office/drawing/2014/main" id="{085A1CFB-2FC4-4B8D-87E1-5AC6CACF18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83298" name="Option Button 2" hidden="1">
              <a:extLst>
                <a:ext uri="{63B3BB69-23CF-44E3-9099-C40C66FF867C}">
                  <a14:compatExt spid="_x0000_s183298"/>
                </a:ext>
                <a:ext uri="{FF2B5EF4-FFF2-40B4-BE49-F238E27FC236}">
                  <a16:creationId xmlns:a16="http://schemas.microsoft.com/office/drawing/2014/main" id="{84935622-8AB3-413B-BEC8-8B2EB39D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83299" name="Option Button 3" hidden="1">
              <a:extLst>
                <a:ext uri="{63B3BB69-23CF-44E3-9099-C40C66FF867C}">
                  <a14:compatExt spid="_x0000_s183299"/>
                </a:ext>
                <a:ext uri="{FF2B5EF4-FFF2-40B4-BE49-F238E27FC236}">
                  <a16:creationId xmlns:a16="http://schemas.microsoft.com/office/drawing/2014/main" id="{3D7CBBD4-D125-42DF-B2F4-747FA1372A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83300" name="Group Box 4" hidden="1">
              <a:extLst>
                <a:ext uri="{63B3BB69-23CF-44E3-9099-C40C66FF867C}">
                  <a14:compatExt spid="_x0000_s183300"/>
                </a:ext>
                <a:ext uri="{FF2B5EF4-FFF2-40B4-BE49-F238E27FC236}">
                  <a16:creationId xmlns:a16="http://schemas.microsoft.com/office/drawing/2014/main" id="{62221C76-DEFA-489C-A419-051A9CA8A7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83301" name="Option Button 5" hidden="1">
              <a:extLst>
                <a:ext uri="{63B3BB69-23CF-44E3-9099-C40C66FF867C}">
                  <a14:compatExt spid="_x0000_s183301"/>
                </a:ext>
                <a:ext uri="{FF2B5EF4-FFF2-40B4-BE49-F238E27FC236}">
                  <a16:creationId xmlns:a16="http://schemas.microsoft.com/office/drawing/2014/main" id="{79BEAE68-3D33-422C-93CE-7611910096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83302" name="Option Button 6" hidden="1">
              <a:extLst>
                <a:ext uri="{63B3BB69-23CF-44E3-9099-C40C66FF867C}">
                  <a14:compatExt spid="_x0000_s183302"/>
                </a:ext>
                <a:ext uri="{FF2B5EF4-FFF2-40B4-BE49-F238E27FC236}">
                  <a16:creationId xmlns:a16="http://schemas.microsoft.com/office/drawing/2014/main" id="{943D7570-A49E-45B7-9518-090363B7E7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83303" name="Group Box 7" hidden="1">
              <a:extLst>
                <a:ext uri="{63B3BB69-23CF-44E3-9099-C40C66FF867C}">
                  <a14:compatExt spid="_x0000_s183303"/>
                </a:ext>
                <a:ext uri="{FF2B5EF4-FFF2-40B4-BE49-F238E27FC236}">
                  <a16:creationId xmlns:a16="http://schemas.microsoft.com/office/drawing/2014/main" id="{3E464B7F-36FE-452A-842C-134442286F6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83304" name="Option Button 8" hidden="1">
              <a:extLst>
                <a:ext uri="{63B3BB69-23CF-44E3-9099-C40C66FF867C}">
                  <a14:compatExt spid="_x0000_s183304"/>
                </a:ext>
                <a:ext uri="{FF2B5EF4-FFF2-40B4-BE49-F238E27FC236}">
                  <a16:creationId xmlns:a16="http://schemas.microsoft.com/office/drawing/2014/main" id="{5F317A65-E59F-4660-87F9-1C19C278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83305" name="Option Button 9" hidden="1">
              <a:extLst>
                <a:ext uri="{63B3BB69-23CF-44E3-9099-C40C66FF867C}">
                  <a14:compatExt spid="_x0000_s183305"/>
                </a:ext>
                <a:ext uri="{FF2B5EF4-FFF2-40B4-BE49-F238E27FC236}">
                  <a16:creationId xmlns:a16="http://schemas.microsoft.com/office/drawing/2014/main" id="{43F3C5A9-704D-4E87-83A3-CF1B375D2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83306" name="Group Box 10" hidden="1">
              <a:extLst>
                <a:ext uri="{63B3BB69-23CF-44E3-9099-C40C66FF867C}">
                  <a14:compatExt spid="_x0000_s183306"/>
                </a:ext>
                <a:ext uri="{FF2B5EF4-FFF2-40B4-BE49-F238E27FC236}">
                  <a16:creationId xmlns:a16="http://schemas.microsoft.com/office/drawing/2014/main" id="{C3FD0583-4E69-4076-A1F4-6A1111D782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83307" name="Option Button 11" hidden="1">
              <a:extLst>
                <a:ext uri="{63B3BB69-23CF-44E3-9099-C40C66FF867C}">
                  <a14:compatExt spid="_x0000_s183307"/>
                </a:ext>
                <a:ext uri="{FF2B5EF4-FFF2-40B4-BE49-F238E27FC236}">
                  <a16:creationId xmlns:a16="http://schemas.microsoft.com/office/drawing/2014/main" id="{5AFCEDA6-2431-4E73-928E-6986C1AEAA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83308" name="Option Button 12" hidden="1">
              <a:extLst>
                <a:ext uri="{63B3BB69-23CF-44E3-9099-C40C66FF867C}">
                  <a14:compatExt spid="_x0000_s183308"/>
                </a:ext>
                <a:ext uri="{FF2B5EF4-FFF2-40B4-BE49-F238E27FC236}">
                  <a16:creationId xmlns:a16="http://schemas.microsoft.com/office/drawing/2014/main" id="{E1ECA11F-0CD3-40BA-952E-356FF7EEA9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83309" name="Group Box 13" hidden="1">
              <a:extLst>
                <a:ext uri="{63B3BB69-23CF-44E3-9099-C40C66FF867C}">
                  <a14:compatExt spid="_x0000_s183309"/>
                </a:ext>
                <a:ext uri="{FF2B5EF4-FFF2-40B4-BE49-F238E27FC236}">
                  <a16:creationId xmlns:a16="http://schemas.microsoft.com/office/drawing/2014/main" id="{B004126F-109D-4C63-92D5-9B03D2C26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83310" name="Option Button 14" hidden="1">
              <a:extLst>
                <a:ext uri="{63B3BB69-23CF-44E3-9099-C40C66FF867C}">
                  <a14:compatExt spid="_x0000_s183310"/>
                </a:ext>
                <a:ext uri="{FF2B5EF4-FFF2-40B4-BE49-F238E27FC236}">
                  <a16:creationId xmlns:a16="http://schemas.microsoft.com/office/drawing/2014/main" id="{7E9A6E56-02EE-4196-B55D-6FB82CB4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83311" name="Option Button 15" hidden="1">
              <a:extLst>
                <a:ext uri="{63B3BB69-23CF-44E3-9099-C40C66FF867C}">
                  <a14:compatExt spid="_x0000_s183311"/>
                </a:ext>
                <a:ext uri="{FF2B5EF4-FFF2-40B4-BE49-F238E27FC236}">
                  <a16:creationId xmlns:a16="http://schemas.microsoft.com/office/drawing/2014/main" id="{A3060CA9-B14B-4E7C-B890-99B872E082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83312" name="Check Box 16" hidden="1">
              <a:extLst>
                <a:ext uri="{63B3BB69-23CF-44E3-9099-C40C66FF867C}">
                  <a14:compatExt spid="_x0000_s183312"/>
                </a:ext>
                <a:ext uri="{FF2B5EF4-FFF2-40B4-BE49-F238E27FC236}">
                  <a16:creationId xmlns:a16="http://schemas.microsoft.com/office/drawing/2014/main" id="{7CE2E831-EA9F-40D6-B712-2FC1C7805C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83313" name="Group Box 17" hidden="1">
              <a:extLst>
                <a:ext uri="{63B3BB69-23CF-44E3-9099-C40C66FF867C}">
                  <a14:compatExt spid="_x0000_s183313"/>
                </a:ext>
                <a:ext uri="{FF2B5EF4-FFF2-40B4-BE49-F238E27FC236}">
                  <a16:creationId xmlns:a16="http://schemas.microsoft.com/office/drawing/2014/main" id="{948D5664-03D8-4173-A537-063C0CFCC7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83314" name="Option Button 18" hidden="1">
              <a:extLst>
                <a:ext uri="{63B3BB69-23CF-44E3-9099-C40C66FF867C}">
                  <a14:compatExt spid="_x0000_s183314"/>
                </a:ext>
                <a:ext uri="{FF2B5EF4-FFF2-40B4-BE49-F238E27FC236}">
                  <a16:creationId xmlns:a16="http://schemas.microsoft.com/office/drawing/2014/main" id="{94572949-7BF7-492B-98B5-7B3A67291B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83315" name="Option Button 19" hidden="1">
              <a:extLst>
                <a:ext uri="{63B3BB69-23CF-44E3-9099-C40C66FF867C}">
                  <a14:compatExt spid="_x0000_s183315"/>
                </a:ext>
                <a:ext uri="{FF2B5EF4-FFF2-40B4-BE49-F238E27FC236}">
                  <a16:creationId xmlns:a16="http://schemas.microsoft.com/office/drawing/2014/main" id="{2668CF0A-27CC-4FBF-872C-6E20DDEEC9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83316" name="Group Box 20" hidden="1">
              <a:extLst>
                <a:ext uri="{63B3BB69-23CF-44E3-9099-C40C66FF867C}">
                  <a14:compatExt spid="_x0000_s183316"/>
                </a:ext>
                <a:ext uri="{FF2B5EF4-FFF2-40B4-BE49-F238E27FC236}">
                  <a16:creationId xmlns:a16="http://schemas.microsoft.com/office/drawing/2014/main" id="{5A57A6A1-B16D-4F99-9F41-62E254FE1F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83317" name="Group Box 21" hidden="1">
              <a:extLst>
                <a:ext uri="{63B3BB69-23CF-44E3-9099-C40C66FF867C}">
                  <a14:compatExt spid="_x0000_s183317"/>
                </a:ext>
                <a:ext uri="{FF2B5EF4-FFF2-40B4-BE49-F238E27FC236}">
                  <a16:creationId xmlns:a16="http://schemas.microsoft.com/office/drawing/2014/main" id="{0DE58866-6267-4516-9667-A8E1EBF2BD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83318" name="Option Button 22" hidden="1">
              <a:extLst>
                <a:ext uri="{63B3BB69-23CF-44E3-9099-C40C66FF867C}">
                  <a14:compatExt spid="_x0000_s183318"/>
                </a:ext>
                <a:ext uri="{FF2B5EF4-FFF2-40B4-BE49-F238E27FC236}">
                  <a16:creationId xmlns:a16="http://schemas.microsoft.com/office/drawing/2014/main" id="{38A1C25C-1AA2-4BDD-ACFB-EA26D616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83319" name="Option Button 23" hidden="1">
              <a:extLst>
                <a:ext uri="{63B3BB69-23CF-44E3-9099-C40C66FF867C}">
                  <a14:compatExt spid="_x0000_s183319"/>
                </a:ext>
                <a:ext uri="{FF2B5EF4-FFF2-40B4-BE49-F238E27FC236}">
                  <a16:creationId xmlns:a16="http://schemas.microsoft.com/office/drawing/2014/main" id="{2634766F-9751-4E6D-9DCC-0E53EF271D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83320" name="Option Button 24" hidden="1">
              <a:extLst>
                <a:ext uri="{63B3BB69-23CF-44E3-9099-C40C66FF867C}">
                  <a14:compatExt spid="_x0000_s183320"/>
                </a:ext>
                <a:ext uri="{FF2B5EF4-FFF2-40B4-BE49-F238E27FC236}">
                  <a16:creationId xmlns:a16="http://schemas.microsoft.com/office/drawing/2014/main" id="{5F15D3C2-A7A3-45FF-A2CC-B06244665E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83321" name="Option Button 25" hidden="1">
              <a:extLst>
                <a:ext uri="{63B3BB69-23CF-44E3-9099-C40C66FF867C}">
                  <a14:compatExt spid="_x0000_s183321"/>
                </a:ext>
                <a:ext uri="{FF2B5EF4-FFF2-40B4-BE49-F238E27FC236}">
                  <a16:creationId xmlns:a16="http://schemas.microsoft.com/office/drawing/2014/main" id="{F2497008-9C8F-4336-A762-BB740B223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c.vermont.gov/watershed/stormwater/permit-information-applications-fees/operational-stormwater-discharge-permit-application-materials" TargetMode="External"/><Relationship Id="rId1" Type="http://schemas.openxmlformats.org/officeDocument/2006/relationships/hyperlink" Target="http://dec.vermont.gov/watershed/stormwater/contac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drawing" Target="../drawings/drawing9.x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printerSettings" Target="../printerSettings/printerSettings10.bin"/><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vmlDrawing" Target="../drawings/vmlDrawing8.v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drawing" Target="../drawings/drawing10.x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printerSettings" Target="../printerSettings/printerSettings11.bin"/><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vmlDrawing" Target="../drawings/vmlDrawing9.v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3.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4.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drawing" Target="../drawings/drawing4.x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printerSettings" Target="../printerSettings/printerSettings5.bin"/><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vmlDrawing" Target="../drawings/vmlDrawing3.v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 Type="http://schemas.openxmlformats.org/officeDocument/2006/relationships/drawing" Target="../drawings/drawing5.x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2" Type="http://schemas.openxmlformats.org/officeDocument/2006/relationships/printerSettings" Target="../printerSettings/printerSettings6.bin"/><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4.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drawing" Target="../drawings/drawing6.x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printerSettings" Target="../printerSettings/printerSettings7.bin"/><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vmlDrawing" Target="../drawings/vmlDrawing5.v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drawing" Target="../drawings/drawing7.x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printerSettings" Target="../printerSettings/printerSettings8.bin"/><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4" Type="http://schemas.openxmlformats.org/officeDocument/2006/relationships/vmlDrawing" Target="../drawings/vmlDrawing6.v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drawing" Target="../drawings/drawing8.x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2" Type="http://schemas.openxmlformats.org/officeDocument/2006/relationships/printerSettings" Target="../printerSettings/printerSettings9.bin"/><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vmlDrawing" Target="../drawings/vmlDrawing7.v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40"/>
  <sheetViews>
    <sheetView tabSelected="1" zoomScaleNormal="100" workbookViewId="0">
      <selection activeCell="B31" sqref="B31:J31"/>
    </sheetView>
  </sheetViews>
  <sheetFormatPr defaultRowHeight="14.4"/>
  <cols>
    <col min="1" max="1" width="0.77734375" style="205" customWidth="1"/>
    <col min="2" max="2" width="11.109375" style="205" customWidth="1"/>
    <col min="3" max="9" width="8.88671875" style="205"/>
    <col min="10" max="10" width="16.33203125" style="205" customWidth="1"/>
    <col min="11" max="11" width="1" style="205" customWidth="1"/>
    <col min="12" max="16384" width="8.88671875" style="205"/>
  </cols>
  <sheetData>
    <row r="1" spans="1:12" ht="18">
      <c r="A1" s="281"/>
      <c r="B1" s="280" t="s">
        <v>252</v>
      </c>
      <c r="C1" s="281"/>
      <c r="D1" s="281"/>
      <c r="E1" s="281"/>
      <c r="F1" s="281"/>
      <c r="G1" s="281"/>
      <c r="H1" s="281"/>
      <c r="I1" s="281"/>
      <c r="J1" s="281"/>
      <c r="K1" s="281"/>
    </row>
    <row r="2" spans="1:12" ht="55.8" customHeight="1">
      <c r="A2" s="281"/>
      <c r="B2" s="309" t="s">
        <v>256</v>
      </c>
      <c r="C2" s="304"/>
      <c r="D2" s="304"/>
      <c r="E2" s="304"/>
      <c r="F2" s="304"/>
      <c r="G2" s="304"/>
      <c r="H2" s="304"/>
      <c r="I2" s="304"/>
      <c r="J2" s="304"/>
      <c r="K2" s="281"/>
    </row>
    <row r="3" spans="1:12" ht="16.2" customHeight="1">
      <c r="A3" s="281"/>
      <c r="B3" s="282" t="s">
        <v>236</v>
      </c>
      <c r="C3" s="283"/>
      <c r="D3" s="283"/>
      <c r="E3" s="283"/>
      <c r="F3" s="283"/>
      <c r="G3" s="283"/>
      <c r="H3" s="283"/>
      <c r="I3" s="283"/>
      <c r="J3" s="283"/>
      <c r="K3" s="281"/>
    </row>
    <row r="4" spans="1:12">
      <c r="A4" s="281"/>
      <c r="B4" s="281"/>
      <c r="C4" s="281"/>
      <c r="D4" s="281"/>
      <c r="E4" s="281"/>
      <c r="F4" s="281"/>
      <c r="G4" s="281"/>
      <c r="H4" s="281"/>
      <c r="I4" s="281"/>
      <c r="J4" s="281"/>
      <c r="K4" s="281"/>
    </row>
    <row r="5" spans="1:12" ht="15.6">
      <c r="A5" s="281"/>
      <c r="B5" s="284" t="s">
        <v>251</v>
      </c>
      <c r="C5" s="281"/>
      <c r="D5" s="281"/>
      <c r="E5" s="281"/>
      <c r="F5" s="281"/>
      <c r="G5" s="281"/>
      <c r="H5" s="281"/>
      <c r="I5" s="281"/>
      <c r="J5" s="281"/>
      <c r="K5" s="281"/>
    </row>
    <row r="6" spans="1:12">
      <c r="A6" s="281"/>
      <c r="B6" s="285" t="s">
        <v>172</v>
      </c>
      <c r="C6" s="206"/>
      <c r="D6" s="281" t="s">
        <v>144</v>
      </c>
      <c r="E6" s="281"/>
      <c r="F6" s="281"/>
      <c r="G6" s="281"/>
      <c r="H6" s="281"/>
      <c r="I6" s="281"/>
      <c r="J6" s="281"/>
      <c r="K6" s="281"/>
    </row>
    <row r="7" spans="1:12">
      <c r="A7" s="281"/>
      <c r="B7" s="285" t="s">
        <v>173</v>
      </c>
      <c r="C7" s="207"/>
      <c r="D7" s="281" t="s">
        <v>174</v>
      </c>
      <c r="E7" s="281"/>
      <c r="F7" s="281"/>
      <c r="G7" s="281"/>
      <c r="H7" s="281"/>
      <c r="I7" s="281"/>
      <c r="J7" s="281"/>
      <c r="K7" s="281"/>
    </row>
    <row r="8" spans="1:12">
      <c r="A8" s="281"/>
      <c r="B8" s="285" t="s">
        <v>145</v>
      </c>
      <c r="C8" s="208"/>
      <c r="D8" s="281" t="s">
        <v>177</v>
      </c>
      <c r="E8" s="281"/>
      <c r="F8" s="281"/>
      <c r="G8" s="281"/>
      <c r="H8" s="281"/>
      <c r="I8" s="281"/>
      <c r="J8" s="281"/>
      <c r="K8" s="281"/>
    </row>
    <row r="9" spans="1:12">
      <c r="A9" s="281"/>
      <c r="B9" s="285"/>
      <c r="C9" s="286"/>
      <c r="D9" s="281"/>
      <c r="E9" s="281"/>
      <c r="F9" s="281"/>
      <c r="G9" s="281"/>
      <c r="H9" s="281"/>
      <c r="I9" s="281"/>
      <c r="J9" s="281"/>
      <c r="K9" s="281"/>
    </row>
    <row r="10" spans="1:12">
      <c r="A10" s="281"/>
      <c r="B10" s="307" t="s">
        <v>204</v>
      </c>
      <c r="C10" s="307"/>
      <c r="D10" s="307"/>
      <c r="E10" s="307"/>
      <c r="F10" s="307"/>
      <c r="G10" s="307"/>
      <c r="H10" s="307"/>
      <c r="I10" s="307"/>
      <c r="J10" s="307"/>
      <c r="K10" s="281"/>
    </row>
    <row r="11" spans="1:12">
      <c r="A11" s="281"/>
      <c r="B11" s="281"/>
      <c r="C11" s="281"/>
      <c r="D11" s="281"/>
      <c r="E11" s="281"/>
      <c r="F11" s="281"/>
      <c r="G11" s="281"/>
      <c r="H11" s="281"/>
      <c r="I11" s="281"/>
      <c r="J11" s="281"/>
      <c r="K11" s="281"/>
    </row>
    <row r="12" spans="1:12" ht="15.6">
      <c r="A12" s="281"/>
      <c r="B12" s="284" t="s">
        <v>253</v>
      </c>
      <c r="C12" s="281"/>
      <c r="D12" s="281"/>
      <c r="E12" s="281"/>
      <c r="F12" s="281"/>
      <c r="G12" s="281"/>
      <c r="H12" s="281"/>
      <c r="I12" s="281"/>
      <c r="J12" s="281"/>
      <c r="K12" s="281"/>
    </row>
    <row r="13" spans="1:12" ht="73.8" customHeight="1">
      <c r="A13" s="281"/>
      <c r="B13" s="312" t="s">
        <v>237</v>
      </c>
      <c r="C13" s="313"/>
      <c r="D13" s="313"/>
      <c r="E13" s="313"/>
      <c r="F13" s="313"/>
      <c r="G13" s="313"/>
      <c r="H13" s="313"/>
      <c r="I13" s="313"/>
      <c r="J13" s="313"/>
      <c r="K13" s="281"/>
    </row>
    <row r="14" spans="1:12">
      <c r="A14" s="281"/>
      <c r="B14" s="281"/>
      <c r="C14" s="281"/>
      <c r="D14" s="281"/>
      <c r="E14" s="281"/>
      <c r="F14" s="281"/>
      <c r="G14" s="281"/>
      <c r="H14" s="281"/>
      <c r="I14" s="281"/>
      <c r="J14" s="281"/>
      <c r="K14" s="281"/>
    </row>
    <row r="15" spans="1:12" ht="59.4" customHeight="1">
      <c r="A15" s="281"/>
      <c r="B15" s="308" t="s">
        <v>238</v>
      </c>
      <c r="C15" s="305"/>
      <c r="D15" s="305"/>
      <c r="E15" s="305"/>
      <c r="F15" s="305"/>
      <c r="G15" s="305"/>
      <c r="H15" s="305"/>
      <c r="I15" s="305"/>
      <c r="J15" s="305"/>
      <c r="K15" s="281"/>
    </row>
    <row r="16" spans="1:12" ht="230.4" customHeight="1">
      <c r="A16" s="281"/>
      <c r="B16" s="287"/>
      <c r="C16" s="288"/>
      <c r="D16" s="288"/>
      <c r="E16" s="288"/>
      <c r="F16" s="288"/>
      <c r="G16" s="288"/>
      <c r="H16" s="288"/>
      <c r="I16" s="288"/>
      <c r="J16" s="288"/>
      <c r="K16" s="281"/>
      <c r="L16" s="142">
        <f ca="1">IFERROR(INDIRECT(L$6&amp;"!F27"),0)</f>
        <v>0</v>
      </c>
    </row>
    <row r="17" spans="1:12">
      <c r="A17" s="281"/>
      <c r="B17" s="287"/>
      <c r="C17" s="288"/>
      <c r="D17" s="288"/>
      <c r="E17" s="288"/>
      <c r="F17" s="288"/>
      <c r="G17" s="288"/>
      <c r="H17" s="288"/>
      <c r="I17" s="288"/>
      <c r="J17" s="288"/>
      <c r="K17" s="281"/>
      <c r="L17" s="142">
        <f ca="1">IFERROR(INDIRECT(L$6&amp;"!F30"),0)</f>
        <v>0</v>
      </c>
    </row>
    <row r="18" spans="1:12" ht="44.4" customHeight="1">
      <c r="A18" s="281"/>
      <c r="B18" s="309" t="s">
        <v>262</v>
      </c>
      <c r="C18" s="309"/>
      <c r="D18" s="309"/>
      <c r="E18" s="309"/>
      <c r="F18" s="309"/>
      <c r="G18" s="309"/>
      <c r="H18" s="309"/>
      <c r="I18" s="309"/>
      <c r="J18" s="309"/>
      <c r="K18" s="281"/>
      <c r="L18" s="142">
        <f ca="1">IFERROR(INDIRECT(L$6&amp;"!F28"),0)</f>
        <v>0</v>
      </c>
    </row>
    <row r="19" spans="1:12">
      <c r="A19" s="281"/>
      <c r="B19" s="289"/>
      <c r="C19" s="281"/>
      <c r="D19" s="281"/>
      <c r="E19" s="281"/>
      <c r="F19" s="281"/>
      <c r="G19" s="281"/>
      <c r="H19" s="281"/>
      <c r="I19" s="281"/>
      <c r="J19" s="281"/>
      <c r="K19" s="281"/>
      <c r="L19" s="142">
        <f ca="1">IFERROR(INDIRECT(L$6&amp;"!F31"),0)</f>
        <v>0</v>
      </c>
    </row>
    <row r="20" spans="1:12">
      <c r="A20" s="281"/>
      <c r="B20" s="307" t="s">
        <v>178</v>
      </c>
      <c r="C20" s="307"/>
      <c r="D20" s="307"/>
      <c r="E20" s="307"/>
      <c r="F20" s="307"/>
      <c r="G20" s="307"/>
      <c r="H20" s="307"/>
      <c r="I20" s="307"/>
      <c r="J20" s="307"/>
      <c r="K20" s="281"/>
      <c r="L20" s="142">
        <f ca="1">IFERROR(INDIRECT(L$6&amp;"!F34"),0)</f>
        <v>0</v>
      </c>
    </row>
    <row r="21" spans="1:12">
      <c r="A21" s="281"/>
      <c r="B21" s="290" t="s">
        <v>179</v>
      </c>
      <c r="C21" s="281"/>
      <c r="D21" s="281"/>
      <c r="E21" s="281"/>
      <c r="F21" s="281"/>
      <c r="G21" s="281"/>
      <c r="H21" s="281"/>
      <c r="I21" s="281"/>
      <c r="J21" s="281"/>
      <c r="K21" s="281"/>
      <c r="L21" s="142">
        <f ca="1">IFERROR(INDIRECT(L$6&amp;"!F32"),0)</f>
        <v>0</v>
      </c>
    </row>
    <row r="22" spans="1:12">
      <c r="A22" s="281"/>
      <c r="B22" s="290"/>
      <c r="C22" s="281"/>
      <c r="D22" s="281"/>
      <c r="E22" s="281"/>
      <c r="F22" s="281"/>
      <c r="G22" s="281"/>
      <c r="H22" s="281"/>
      <c r="I22" s="281"/>
      <c r="J22" s="281"/>
      <c r="K22" s="281"/>
    </row>
    <row r="23" spans="1:12" ht="15.6">
      <c r="A23" s="281"/>
      <c r="B23" s="291" t="s">
        <v>254</v>
      </c>
      <c r="C23" s="281"/>
      <c r="D23" s="281"/>
      <c r="E23" s="281"/>
      <c r="F23" s="281"/>
      <c r="G23" s="281"/>
      <c r="H23" s="281"/>
      <c r="I23" s="281"/>
      <c r="J23" s="281"/>
      <c r="K23" s="281"/>
    </row>
    <row r="24" spans="1:12" ht="31.2" customHeight="1">
      <c r="A24" s="281"/>
      <c r="B24" s="310" t="s">
        <v>255</v>
      </c>
      <c r="C24" s="310"/>
      <c r="D24" s="310"/>
      <c r="E24" s="310"/>
      <c r="F24" s="310"/>
      <c r="G24" s="310"/>
      <c r="H24" s="310"/>
      <c r="I24" s="310"/>
      <c r="J24" s="310"/>
      <c r="K24" s="281"/>
    </row>
    <row r="25" spans="1:12" ht="16.8" customHeight="1">
      <c r="A25" s="281"/>
      <c r="B25" s="295" t="s">
        <v>215</v>
      </c>
      <c r="C25" s="294"/>
      <c r="D25" s="294"/>
      <c r="E25" s="294"/>
      <c r="F25" s="294"/>
      <c r="G25" s="294"/>
      <c r="H25" s="294"/>
      <c r="I25" s="294"/>
      <c r="J25" s="294"/>
      <c r="K25" s="281"/>
    </row>
    <row r="26" spans="1:12" ht="35.4" customHeight="1">
      <c r="A26" s="281"/>
      <c r="B26" s="311" t="s">
        <v>257</v>
      </c>
      <c r="C26" s="310"/>
      <c r="D26" s="310"/>
      <c r="E26" s="310"/>
      <c r="F26" s="310"/>
      <c r="G26" s="310"/>
      <c r="H26" s="310"/>
      <c r="I26" s="310"/>
      <c r="J26" s="310"/>
      <c r="K26" s="281"/>
    </row>
    <row r="27" spans="1:12" ht="70.2" customHeight="1">
      <c r="A27" s="281"/>
      <c r="B27" s="311" t="s">
        <v>258</v>
      </c>
      <c r="C27" s="310"/>
      <c r="D27" s="310"/>
      <c r="E27" s="310"/>
      <c r="F27" s="310"/>
      <c r="G27" s="310"/>
      <c r="H27" s="310"/>
      <c r="I27" s="310"/>
      <c r="J27" s="310"/>
      <c r="K27" s="281"/>
    </row>
    <row r="28" spans="1:12" ht="16.8" customHeight="1">
      <c r="A28" s="281"/>
      <c r="B28" s="295" t="s">
        <v>216</v>
      </c>
      <c r="C28" s="294"/>
      <c r="D28" s="294"/>
      <c r="E28" s="294"/>
      <c r="F28" s="294"/>
      <c r="G28" s="294"/>
      <c r="H28" s="294"/>
      <c r="I28" s="294"/>
      <c r="J28" s="294"/>
      <c r="K28" s="281"/>
    </row>
    <row r="29" spans="1:12" ht="20.399999999999999" customHeight="1">
      <c r="A29" s="281"/>
      <c r="B29" s="311" t="s">
        <v>259</v>
      </c>
      <c r="C29" s="311"/>
      <c r="D29" s="311"/>
      <c r="E29" s="311"/>
      <c r="F29" s="311"/>
      <c r="G29" s="311"/>
      <c r="H29" s="311"/>
      <c r="I29" s="311"/>
      <c r="J29" s="311"/>
      <c r="K29" s="281"/>
    </row>
    <row r="30" spans="1:12" ht="49.2" customHeight="1">
      <c r="A30" s="281"/>
      <c r="B30" s="311" t="s">
        <v>260</v>
      </c>
      <c r="C30" s="311"/>
      <c r="D30" s="311"/>
      <c r="E30" s="311"/>
      <c r="F30" s="311"/>
      <c r="G30" s="311"/>
      <c r="H30" s="311"/>
      <c r="I30" s="311"/>
      <c r="J30" s="311"/>
      <c r="K30" s="281"/>
    </row>
    <row r="31" spans="1:12" ht="49.8" customHeight="1">
      <c r="A31" s="281"/>
      <c r="B31" s="311" t="s">
        <v>261</v>
      </c>
      <c r="C31" s="311"/>
      <c r="D31" s="311"/>
      <c r="E31" s="311"/>
      <c r="F31" s="311"/>
      <c r="G31" s="311"/>
      <c r="H31" s="311"/>
      <c r="I31" s="311"/>
      <c r="J31" s="311"/>
      <c r="K31" s="281"/>
    </row>
    <row r="32" spans="1:12" ht="74.400000000000006" customHeight="1">
      <c r="A32" s="281"/>
      <c r="B32" s="311" t="s">
        <v>263</v>
      </c>
      <c r="C32" s="311"/>
      <c r="D32" s="311"/>
      <c r="E32" s="311"/>
      <c r="F32" s="311"/>
      <c r="G32" s="311"/>
      <c r="H32" s="311"/>
      <c r="I32" s="311"/>
      <c r="J32" s="311"/>
      <c r="K32" s="281"/>
    </row>
    <row r="33" spans="1:11">
      <c r="A33" s="281"/>
      <c r="B33" s="311"/>
      <c r="C33" s="311"/>
      <c r="D33" s="311"/>
      <c r="E33" s="311"/>
      <c r="F33" s="311"/>
      <c r="G33" s="311"/>
      <c r="H33" s="311"/>
      <c r="I33" s="311"/>
      <c r="J33" s="311"/>
      <c r="K33" s="281"/>
    </row>
    <row r="34" spans="1:11">
      <c r="A34" s="281"/>
      <c r="B34" s="292" t="s">
        <v>185</v>
      </c>
      <c r="C34" s="281"/>
      <c r="D34" s="281"/>
      <c r="E34" s="281"/>
      <c r="F34" s="281"/>
      <c r="G34" s="281"/>
      <c r="H34" s="281"/>
      <c r="I34" s="281"/>
      <c r="J34" s="281"/>
      <c r="K34" s="281"/>
    </row>
    <row r="35" spans="1:11" ht="40.799999999999997" customHeight="1">
      <c r="A35" s="281"/>
      <c r="B35" s="306" t="s">
        <v>198</v>
      </c>
      <c r="C35" s="306"/>
      <c r="D35" s="306"/>
      <c r="E35" s="306"/>
      <c r="F35" s="306"/>
      <c r="G35" s="306"/>
      <c r="H35" s="306"/>
      <c r="I35" s="306"/>
      <c r="J35" s="306"/>
      <c r="K35" s="281"/>
    </row>
    <row r="36" spans="1:11" ht="40.200000000000003" customHeight="1">
      <c r="A36" s="281"/>
      <c r="B36" s="281"/>
      <c r="C36" s="281"/>
      <c r="D36" s="281"/>
      <c r="E36" s="281"/>
      <c r="F36" s="281"/>
      <c r="G36" s="281"/>
      <c r="H36" s="281"/>
      <c r="I36" s="281"/>
      <c r="J36" s="281"/>
      <c r="K36" s="281"/>
    </row>
    <row r="37" spans="1:11">
      <c r="A37" s="281"/>
      <c r="B37" s="293" t="s">
        <v>184</v>
      </c>
      <c r="C37" s="281"/>
      <c r="D37" s="281"/>
      <c r="E37" s="281"/>
      <c r="F37" s="281"/>
      <c r="G37" s="281"/>
      <c r="H37" s="281"/>
      <c r="I37" s="281"/>
      <c r="J37" s="281"/>
      <c r="K37" s="281"/>
    </row>
    <row r="38" spans="1:11" ht="29.4" customHeight="1">
      <c r="A38" s="281"/>
      <c r="B38" s="304" t="s">
        <v>147</v>
      </c>
      <c r="C38" s="304"/>
      <c r="D38" s="304"/>
      <c r="E38" s="304"/>
      <c r="F38" s="304"/>
      <c r="G38" s="304"/>
      <c r="H38" s="304"/>
      <c r="I38" s="304"/>
      <c r="J38" s="304"/>
      <c r="K38" s="281"/>
    </row>
    <row r="39" spans="1:11">
      <c r="A39" s="281"/>
      <c r="B39" s="281"/>
      <c r="C39" s="281"/>
      <c r="D39" s="281"/>
      <c r="E39" s="281"/>
      <c r="F39" s="281"/>
      <c r="G39" s="281"/>
      <c r="H39" s="281"/>
      <c r="I39" s="281"/>
      <c r="J39" s="281"/>
      <c r="K39" s="281"/>
    </row>
    <row r="40" spans="1:11" ht="33.6" customHeight="1">
      <c r="A40" s="281"/>
      <c r="B40" s="305" t="s">
        <v>103</v>
      </c>
      <c r="C40" s="305"/>
      <c r="D40" s="305"/>
      <c r="E40" s="305"/>
      <c r="F40" s="305"/>
      <c r="G40" s="305"/>
      <c r="H40" s="305"/>
      <c r="I40" s="305"/>
      <c r="J40" s="305"/>
      <c r="K40" s="281"/>
    </row>
  </sheetData>
  <mergeCells count="17">
    <mergeCell ref="B2:J2"/>
    <mergeCell ref="B13:J13"/>
    <mergeCell ref="B20:J20"/>
    <mergeCell ref="B38:J38"/>
    <mergeCell ref="B40:J40"/>
    <mergeCell ref="B35:J35"/>
    <mergeCell ref="B10:J10"/>
    <mergeCell ref="B15:J15"/>
    <mergeCell ref="B18:J18"/>
    <mergeCell ref="B24:J24"/>
    <mergeCell ref="B26:J26"/>
    <mergeCell ref="B27:J27"/>
    <mergeCell ref="B29:J29"/>
    <mergeCell ref="B30:J30"/>
    <mergeCell ref="B31:J31"/>
    <mergeCell ref="B32:J32"/>
    <mergeCell ref="B33:J33"/>
  </mergeCells>
  <conditionalFormatting sqref="L16:L21">
    <cfRule type="expression" dxfId="457" priority="2">
      <formula>L$13&gt;0</formula>
    </cfRule>
  </conditionalFormatting>
  <conditionalFormatting sqref="L16:L21">
    <cfRule type="expression" dxfId="456" priority="1">
      <formula>L$13=0</formula>
    </cfRule>
    <cfRule type="expression" dxfId="455" priority="3">
      <formula>L$13&gt;0</formula>
    </cfRule>
  </conditionalFormatting>
  <hyperlinks>
    <hyperlink ref="B21" r:id="rId1" xr:uid="{00000000-0004-0000-0000-000000000000}"/>
    <hyperlink ref="B3" r:id="rId2" xr:uid="{B880CE12-44CD-4001-B021-92551AFE74B9}"/>
  </hyperlinks>
  <pageMargins left="0.6" right="0.7" top="0.75" bottom="0.75" header="0.3" footer="0.3"/>
  <pageSetup orientation="portrait" r:id="rId3"/>
  <headerFooter>
    <oddHeader>&amp;C&amp;"-,Bold"&amp;14Vermont Operational Stormwater Permit - Standards Compliance Workbook</oddHeader>
    <oddFooter>&amp;LLast Updated 6/1/2017</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CC0B-AE43-4657-97C8-50DB151C7FF1}">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8'!$C$10-0.2*Lookup!$B$13)^2/('SN8'!$C$10+0.8*Lookup!$B$13)))*$B$15+IF($C$10&lt;0.2*Lookup!$B$14,0,(('SN8'!$C$10-0.2*Lookup!$B$14)^2/('SN8'!$C$10+0.8*Lookup!$B$14)))*$B$16+IF($C$10&lt;0.2*Lookup!$B$15,0,(('SN8'!$C$10-0.2*Lookup!$B$15)^2/('SN8'!$C$10+0.8*Lookup!$B$15)))*$B$17++IF($C$10&lt;0.2*Lookup!$B$17,0,(('SN8'!$C$10-0.2*Lookup!$B$17)^2/('SN8'!$C$10+0.8*Lookup!$B$17)))*$B$18+IF($C$10&lt;0.2*Lookup!$C$13,0,(('SN8'!$C$10-0.2*Lookup!$C$13)^2/('SN8'!C$10+0.8*Lookup!$C$13)))*$C$15+IF($C$10&lt;0.2*Lookup!$C$14,0,(('SN8'!$C$10-0.2*Lookup!$C$14)^2/('SN8'!$C$10+0.8*Lookup!$C$14)))*$C$16+IF($C$10&lt;0.2*Lookup!$C$15,0,(('SN8'!$C$10-0.2*Lookup!$C$15)^2/('SN8'!$C$10+0.8*Lookup!$C$15)))*$C$17+IF($C$10&lt;0.2*Lookup!$C$17,0,(('SN8'!$C$10-0.2*Lookup!$C$17)^2/('SN8'!$C$10+0.8*Lookup!$C$17)))*$C$18+IF($C$10&lt;0.2*Lookup!$D$13,0,(('SN8'!$C$10-0.2*Lookup!$D$13)^2/('SN8'!$C$10+0.8*Lookup!$D$13)))*$D$15+IF($C$10&lt;0.2*Lookup!$D$14,0,(('SN8'!$C$10-0.2*Lookup!$D$14)^2/('SN8'!$C$10+0.8*Lookup!$D$14)))*$D$16+IF($C$10&lt;0.2*Lookup!$D$15,0,(('SN8'!$C$10-0.2*Lookup!$D$15)^2/('SN8'!$C$10+0.8*Lookup!$D$15)))*$D$17+IF($C$10&lt;0.2*Lookup!$D$17,0,(('SN8'!$C$10-0.2*Lookup!$D$17)^2/('SN8'!$C$10+0.8*Lookup!$D$17)))*$D$18+IF($C$10&lt;0.2*Lookup!$E$13,0,(('SN8'!$C$10-0.2*Lookup!$E$13)^2/('SN8'!$C$10+0.8*Lookup!$E$13)))*$E$15+IF($C$10&lt;0.2*Lookup!$E$14,0,(('SN8'!$C$10-0.2*Lookup!$E$14)^2/('SN8'!$C$10+0.8*Lookup!$E$14)))*$E$16+IF($C$10&lt;0.2*Lookup!$E$15,0,(('SN8'!$C$10-0.2*Lookup!$E$15)^2/('SN8'!$C$10+0.8*Lookup!$E$15)))*$E$17+IF($C$10&lt;0.2*Lookup!$E$17,0,(('SN8'!$C$10-0.2*Lookup!$E$17)^2/('SN8'!$C$10+0.8*Lookup!$E$17)))*$E$18)/12</f>
        <v>0</v>
      </c>
      <c r="E44" s="246">
        <f>(IF($D$10&lt;0.2*Lookup!$B$13,0,(('SN8'!$D$10-0.2*Lookup!$B$13)^2/('SN8'!$D$10+0.8*Lookup!$B$13)))*$B$15+IF($D$10&lt;0.2*Lookup!$B$14,0,(('SN8'!$D$10-0.2*Lookup!$B$14)^2/('SN8'!$D$10+0.8*Lookup!$B$14)))*$B$16+IF($D$10&lt;0.2*Lookup!$B$15,0,(('SN8'!$D$10-0.2*Lookup!$B$15)^2/('SN8'!$D$10+0.8*Lookup!$B$15)))*$B$17++IF($D$10&lt;0.2*Lookup!$B$17,0,(('SN8'!$D$10-0.2*Lookup!$B$17)^2/('SN8'!$D$10+0.8*Lookup!$B$17)))*$B$18+IF($D$10&lt;0.2*Lookup!$C$13,0,(('SN8'!$D$10-0.2*Lookup!$C$13)^2/('SN8'!C$10+0.8*Lookup!$C$13)))*$C$15+IF($D$10&lt;0.2*Lookup!$C$14,0,(('SN8'!$D$10-0.2*Lookup!$C$14)^2/('SN8'!$D$10+0.8*Lookup!$C$14)))*$C$16+IF($D$10&lt;0.2*Lookup!$C$15,0,(('SN8'!$D$10-0.2*Lookup!$C$15)^2/('SN8'!$D$10+0.8*Lookup!$C$15)))*$C$17+IF($D$10&lt;0.2*Lookup!$C$17,0,(('SN8'!$D$10-0.2*Lookup!$C$17)^2/('SN8'!$D$10+0.8*Lookup!$C$17)))*$C$18+IF($D$10&lt;0.2*Lookup!$D$13,0,(('SN8'!$D$10-0.2*Lookup!$D$13)^2/('SN8'!$D$10+0.8*Lookup!$D$13)))*$D$15+IF($D$10&lt;0.2*Lookup!$D$14,0,(('SN8'!$D$10-0.2*Lookup!$D$14)^2/('SN8'!$D$10+0.8*Lookup!$D$14)))*$D$16+IF($D$10&lt;0.2*Lookup!$D$15,0,(('SN8'!$D$10-0.2*Lookup!$D$15)^2/('SN8'!$D$10+0.8*Lookup!$D$15)))*$D$17+IF($D$10&lt;0.2*Lookup!$D$17,0,(('SN8'!$D$10-0.2*Lookup!$D$17)^2/('SN8'!$D$10+0.8*Lookup!$D$17)))*$D$18+IF($D$10&lt;0.2*Lookup!$E$13,0,(('SN8'!$D$10-0.2*Lookup!$E$13)^2/('SN8'!$D$10+0.8*Lookup!$E$13)))*$E$15+IF($D$10&lt;0.2*Lookup!$E$14,0,(('SN8'!$D$10-0.2*Lookup!$E$14)^2/('SN8'!$D$10+0.8*Lookup!$E$14)))*$E$16+IF($D$10&lt;0.2*Lookup!$E$15,0,(('SN8'!$D$10-0.2*Lookup!$E$15)^2/('SN8'!$D$10+0.8*Lookup!$E$15)))*$E$17++IF($D$10&lt;0.2*Lookup!$E$17,0,(('SN8'!$D$10-0.2*Lookup!$E$17)^2/('SN8'!$D$10+0.8*Lookup!$E$17)))*$E$18)/12</f>
        <v>0</v>
      </c>
      <c r="F44" s="246">
        <f>(IF($E$10&lt;0.2*Lookup!$B$13,0,(('SN8'!$E$10-0.2*Lookup!$B$13)^2/('SN8'!$E$10+0.8*Lookup!$B$13)))*$B$15+IF($E$10&lt;0.2*Lookup!$B$14,0,(('SN8'!$E$10-0.2*Lookup!$B$14)^2/('SN8'!$E$10+0.8*Lookup!$B$14)))*$B$16+IF($E$10&lt;0.2*Lookup!$B$15,0,(('SN8'!$E$10-0.2*Lookup!$B$15)^2/('SN8'!$E$10+0.8*Lookup!$B$15)))*$B$17++IF($E$10&lt;0.2*Lookup!$B$17,0,(('SN8'!$E$10-0.2*Lookup!$B$17)^2/('SN8'!$E$10+0.8*Lookup!$B$17)))*$B$18+IF($E$10&lt;0.2*Lookup!$C$13,0,(('SN8'!$E$10-0.2*Lookup!$C$13)^2/('SN8'!C$10+0.8*Lookup!$C$13)))*$C$15+IF($E$10&lt;0.2*Lookup!$C$14,0,(('SN8'!$E$10-0.2*Lookup!$C$14)^2/('SN8'!$E$10+0.8*Lookup!$C$14)))*$C$16+IF($E$10&lt;0.2*Lookup!$C$15,0,(('SN8'!$E$10-0.2*Lookup!$C$15)^2/('SN8'!$E$10+0.8*Lookup!$C$15)))*$C$17+IF($E$10&lt;0.2*Lookup!$C$17,0,(('SN8'!$E$10-0.2*Lookup!$C$17)^2/('SN8'!$E$10+0.8*Lookup!$C$17)))*$C$18+IF($E$10&lt;0.2*Lookup!$D$13,0,(('SN8'!$E$10-0.2*Lookup!$D$13)^2/('SN8'!$E$10+0.8*Lookup!$D$13)))*$D$15+IF($E$10&lt;0.2*Lookup!$D$14,0,(('SN8'!$E$10-0.2*Lookup!$D$14)^2/('SN8'!$E$10+0.8*Lookup!$D$14)))*$D$16+IF($E$10&lt;0.2*Lookup!$D$15,0,(('SN8'!$E$10-0.2*Lookup!$D$15)^2/('SN8'!$E$10+0.8*Lookup!$D$15)))*$D$17+IF($E$10&lt;0.2*Lookup!$D$17,0,(('SN8'!$E$10-0.2*Lookup!$D$17)^2/('SN8'!$E$10+0.8*Lookup!$D$17)))*$D$18+IF($E$10&lt;0.2*Lookup!$E$13,0,(('SN8'!$E$10-0.2*Lookup!$E$13)^2/('SN8'!$E$10+0.8*Lookup!$E$13)))*$E$15+IF($E$10&lt;0.2*Lookup!$E$14,0,(('SN8'!$E$10-0.2*Lookup!$E$14)^2/('SN8'!$E$10+0.8*Lookup!$E$14)))*$E$16+IF($E$10&lt;0.2*Lookup!$E$15,0,(('SN8'!$E$10-0.2*Lookup!$E$15)^2/('SN8'!$E$10+0.8*Lookup!$E$15)))*$E$17++IF($E$10&lt;0.2*Lookup!$E$17,0,(('SN8'!$E$10-0.2*Lookup!$E$17)^2/('SN8'!$E$10+0.8*Lookup!$E$17)))*$E$18)/12</f>
        <v>0</v>
      </c>
      <c r="G44" s="60"/>
      <c r="K44" s="13"/>
      <c r="L44" s="6"/>
      <c r="M44" s="13"/>
      <c r="N44" s="13"/>
      <c r="O44" s="13"/>
    </row>
    <row r="45" spans="1:15" ht="14.4" customHeight="1">
      <c r="A45" s="390" t="s">
        <v>113</v>
      </c>
      <c r="B45" s="376"/>
      <c r="C45" s="391"/>
      <c r="D45" s="246">
        <f>(IF($C$10&lt;0.2*Lookup!$B$13,0,(('SN8'!$C$10-0.2*Lookup!$B$13)^2/('SN8'!$C$10+0.8*Lookup!$B$13)))*$B$24+IF($C$10&lt;0.2*Lookup!$B$14,0,(('SN8'!$C$10-0.2*Lookup!$B$14)^2/('SN8'!$C$10+0.8*Lookup!$B$14)))*$B$25+IF($C$10&lt;0.2*Lookup!$B$15,0,(('SN8'!$C$10-0.2*Lookup!$B$15)^2/('SN8'!$C$10+0.8*Lookup!$B$15)))*$B$26+IF($C$10&lt;0.2*Lookup!$C$13,0,(('SN8'!$C$10-0.2*Lookup!$C$13)^2/('SN8'!C$10+0.8*Lookup!$C$13)))*$C$24+IF($C$10&lt;0.2*Lookup!$C$14,0,(('SN8'!$C$10-0.2*Lookup!$C$14)^2/('SN8'!$C$10+0.8*Lookup!$C$14)))*$C$25+IF($C$10&lt;0.2*Lookup!$C$15,0,(('SN8'!$C$10-0.2*Lookup!$C$15)^2/('SN8'!$C$10+0.8*Lookup!$C$15)))*$C$26+IF($C$10&lt;0.2*Lookup!$D$13,0,(('SN8'!$C$10-0.2*Lookup!$D$13)^2/('SN8'!$C$10+0.8*Lookup!$D$13)))*$D$24+IF($C$10&lt;0.2*Lookup!$D$14,0,(('SN8'!$C$10-0.2*Lookup!$D$14)^2/('SN8'!$C$10+0.8*Lookup!$D$14)))*$D$25+IF($C$10&lt;0.2*Lookup!$D$15,0,(('SN8'!$C$10-0.2*Lookup!$D$15)^2/('SN8'!$C$10+0.8*Lookup!$D$15)))*$D$26+IF($C$10&lt;0.2*Lookup!$E$13,0,(('SN8'!$C$10-0.2*Lookup!$E$13)^2/('SN8'!$C$10+0.8*Lookup!$E$13)))*$E$24+IF($C$10&lt;0.2*Lookup!$E$14,0,(('SN8'!$C$10-0.2*Lookup!$E$14)^2/('SN8'!$C$10+0.8*Lookup!$E$14)))*$E$25+IF($C$10&lt;0.2*Lookup!$E$15,0,(('SN8'!$C$10-0.2*Lookup!$E$15)^2/('SN8'!$C$10+0.8*Lookup!$E$15)))*$E$26+(($C$10-0.2*Lookup!B17)^2/($C$10+0.8*Lookup!B17)*(F27+F28+F29+F30)))/12</f>
        <v>0</v>
      </c>
      <c r="E45" s="246">
        <f>(IF($D$10&lt;0.2*Lookup!$B$13,0,(('SN8'!$D$10-0.2*Lookup!$B$13)^2/('SN8'!$D$10+0.8*Lookup!$B$13)))*$B$24+IF($D$10&lt;0.2*Lookup!$B$14,0,(('SN8'!$D$10-0.2*Lookup!$B$14)^2/('SN8'!$D$10+0.8*Lookup!$B$14)))*$B$25+IF($D$10&lt;0.2*Lookup!$B$15,0,(('SN8'!$D$10-0.2*Lookup!$B$15)^2/('SN8'!$D$10+0.8*Lookup!$B$15)))*$B$26+IF($D$10&lt;0.2*Lookup!$C$13,0,(('SN8'!$D$10-0.2*Lookup!$C$13)^2/('SN8'!C$10+0.8*Lookup!$C$13)))*$C$24+IF($D$10&lt;0.2*Lookup!$C$14,0,(('SN8'!$D$10-0.2*Lookup!$C$14)^2/('SN8'!$D$10+0.8*Lookup!$C$14)))*$C$25+IF($D$10&lt;0.2*Lookup!$C$15,0,(('SN8'!$D$10-0.2*Lookup!$C$15)^2/('SN8'!$D$10+0.8*Lookup!$C$15)))*$C$26+IF($D$10&lt;0.2*Lookup!$D$13,0,(('SN8'!$D$10-0.2*Lookup!$D$13)^2/('SN8'!$D$10+0.8*Lookup!$D$13)))*$D$24+IF($D$10&lt;0.2*Lookup!$D$14,0,(('SN8'!$D$10-0.2*Lookup!$D$14)^2/('SN8'!$D$10+0.8*Lookup!$D$14)))*$D$25+IF($D$10&lt;0.2*Lookup!$D$15,0,(('SN8'!$D$10-0.2*Lookup!$D$15)^2/('SN8'!$D$10+0.8*Lookup!$D$15)))*$D$26+IF($D$10&lt;0.2*Lookup!$E$13,0,(('SN8'!$D$10-0.2*Lookup!$E$13)^2/('SN8'!$D$10+0.8*Lookup!$E$13)))*$E$24+IF($D$10&lt;0.2*Lookup!$E$14,0,(('SN8'!$D$10-0.2*Lookup!$E$14)^2/('SN8'!$D$10+0.8*Lookup!$E$14)))*$E$25+IF($D$10&lt;0.2*Lookup!$E$15,0,(('SN8'!$D$10-0.2*Lookup!$E$15)^2/('SN8'!$D$10+0.8*Lookup!$E$15)))*$E$26+(($D$10-0.2*Lookup!B17)^2/($D$10+0.8*Lookup!B17)*(F27+F28+F29+F30)))/12</f>
        <v>0</v>
      </c>
      <c r="F45" s="246">
        <f>(IF($E$10&lt;0.2*Lookup!$B$13,0,(('SN8'!$E$10-0.2*Lookup!$B$13)^2/('SN8'!$E$10+0.8*Lookup!$B$13)))*$B$24+IF($E$10&lt;0.2*Lookup!$B$14,0,(('SN8'!$E$10-0.2*Lookup!$B$14)^2/('SN8'!$E$10+0.8*Lookup!$B$14)))*$B$25+IF($E$10&lt;0.2*Lookup!$B$15,0,(('SN8'!$E$10-0.2*Lookup!$B$15)^2/('SN8'!$E$10+0.8*Lookup!$B$15)))*$B$26+IF($E$10&lt;0.2*Lookup!$C$13,0,(('SN8'!$E$10-0.2*Lookup!$C$13)^2/('SN8'!C$10+0.8*Lookup!$C$13)))*$C$24+IF($E$10&lt;0.2*Lookup!$C$14,0,(('SN8'!$E$10-0.2*Lookup!$C$14)^2/('SN8'!$E$10+0.8*Lookup!$C$14)))*$C$25+IF($E$10&lt;0.2*Lookup!$C$15,0,(('SN8'!$E$10-0.2*Lookup!$C$15)^2/('SN8'!$E$10+0.8*Lookup!$C$15)))*$C$26+IF($E$10&lt;0.2*Lookup!$D$13,0,(('SN8'!$E$10-0.2*Lookup!$D$13)^2/('SN8'!$E$10+0.8*Lookup!$D$13)))*$D$24+IF($E$10&lt;0.2*Lookup!$D$14,0,(('SN8'!$E$10-0.2*Lookup!$D$14)^2/('SN8'!$E$10+0.8*Lookup!$D$14)))*$D$25+IF($E$10&lt;0.2*Lookup!$D$15,0,(('SN8'!$E$10-0.2*Lookup!$D$15)^2/('SN8'!$E$10+0.8*Lookup!$D$15)))*$D$26+IF($E$10&lt;0.2*Lookup!$E$13,0,(('SN8'!$E$10-0.2*Lookup!$E$13)^2/('SN8'!$E$10+0.8*Lookup!$E$13)))*$E$24+IF($E$10&lt;0.2*Lookup!$E$14,0,(('SN8'!$E$10-0.2*Lookup!$E$14)^2/('SN8'!$E$10+0.8*Lookup!$E$14)))*$E$25+IF($E$10&lt;0.2*Lookup!$E$15,0,(('SN8'!$E$10-0.2*Lookup!$E$15)^2/('SN8'!$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79" priority="39">
      <formula>$F$67=2</formula>
    </cfRule>
  </conditionalFormatting>
  <conditionalFormatting sqref="E90:F90">
    <cfRule type="expression" dxfId="78" priority="38">
      <formula>$F$89=2</formula>
    </cfRule>
  </conditionalFormatting>
  <conditionalFormatting sqref="E103:F103">
    <cfRule type="expression" dxfId="77" priority="37">
      <formula>$F$102=2</formula>
    </cfRule>
  </conditionalFormatting>
  <conditionalFormatting sqref="E115:F115">
    <cfRule type="expression" dxfId="76" priority="36">
      <formula>$F$114=2</formula>
    </cfRule>
  </conditionalFormatting>
  <conditionalFormatting sqref="B105:F105 D108">
    <cfRule type="expression" dxfId="75" priority="35">
      <formula>$F$102=1</formula>
    </cfRule>
  </conditionalFormatting>
  <conditionalFormatting sqref="D106">
    <cfRule type="expression" dxfId="74" priority="34">
      <formula>$F$102=1</formula>
    </cfRule>
  </conditionalFormatting>
  <conditionalFormatting sqref="B117:F117 D120">
    <cfRule type="expression" dxfId="73" priority="33">
      <formula>$F$114=1</formula>
    </cfRule>
  </conditionalFormatting>
  <conditionalFormatting sqref="B82:D82 B83:B84 E82:E84">
    <cfRule type="expression" dxfId="72" priority="40">
      <formula>$F$79&gt;0</formula>
    </cfRule>
  </conditionalFormatting>
  <conditionalFormatting sqref="E97">
    <cfRule type="expression" dxfId="71" priority="32">
      <formula>$G$94=TRUE</formula>
    </cfRule>
  </conditionalFormatting>
  <conditionalFormatting sqref="D119">
    <cfRule type="expression" dxfId="70" priority="31">
      <formula>$F$114=1</formula>
    </cfRule>
  </conditionalFormatting>
  <conditionalFormatting sqref="D118">
    <cfRule type="expression" dxfId="69" priority="30">
      <formula>$F$114=1</formula>
    </cfRule>
  </conditionalFormatting>
  <conditionalFormatting sqref="D107">
    <cfRule type="expression" dxfId="68" priority="29">
      <formula>$F$102=1</formula>
    </cfRule>
  </conditionalFormatting>
  <conditionalFormatting sqref="C64">
    <cfRule type="expression" dxfId="67" priority="28">
      <formula>$C$64="n/a"</formula>
    </cfRule>
  </conditionalFormatting>
  <conditionalFormatting sqref="B82:E84">
    <cfRule type="expression" dxfId="66" priority="27">
      <formula>$F$79="N/A"</formula>
    </cfRule>
  </conditionalFormatting>
  <conditionalFormatting sqref="C61">
    <cfRule type="expression" dxfId="65" priority="24">
      <formula>C61="n/a"</formula>
    </cfRule>
    <cfRule type="expression" dxfId="64" priority="25">
      <formula>C61="No"</formula>
    </cfRule>
    <cfRule type="expression" dxfId="63" priority="26">
      <formula>C61="Yes"</formula>
    </cfRule>
  </conditionalFormatting>
  <conditionalFormatting sqref="B61">
    <cfRule type="expression" dxfId="62" priority="21">
      <formula>B61="n/a"</formula>
    </cfRule>
    <cfRule type="expression" dxfId="61" priority="22">
      <formula>B61="No"</formula>
    </cfRule>
    <cfRule type="expression" dxfId="60" priority="23">
      <formula>B61="Yes"</formula>
    </cfRule>
  </conditionalFormatting>
  <conditionalFormatting sqref="D61:F61">
    <cfRule type="expression" dxfId="59" priority="18">
      <formula>D61="n/a"</formula>
    </cfRule>
    <cfRule type="expression" dxfId="58" priority="19">
      <formula>D61="No"</formula>
    </cfRule>
    <cfRule type="expression" dxfId="57" priority="20">
      <formula>D61="Yes"</formula>
    </cfRule>
  </conditionalFormatting>
  <conditionalFormatting sqref="B70">
    <cfRule type="expression" dxfId="56" priority="15">
      <formula>B70="n/a"</formula>
    </cfRule>
    <cfRule type="expression" dxfId="55" priority="16">
      <formula>B70="No"</formula>
    </cfRule>
    <cfRule type="expression" dxfId="54" priority="17">
      <formula>B70="Yes"</formula>
    </cfRule>
  </conditionalFormatting>
  <conditionalFormatting sqref="B91">
    <cfRule type="expression" dxfId="53" priority="12">
      <formula>B91="n/a"</formula>
    </cfRule>
    <cfRule type="expression" dxfId="52" priority="13">
      <formula>B91="No"</formula>
    </cfRule>
    <cfRule type="expression" dxfId="51" priority="14">
      <formula>B91="Yes"</formula>
    </cfRule>
  </conditionalFormatting>
  <conditionalFormatting sqref="B104">
    <cfRule type="expression" dxfId="50" priority="9">
      <formula>B104="n/a"</formula>
    </cfRule>
    <cfRule type="expression" dxfId="49" priority="10">
      <formula>B104="No"</formula>
    </cfRule>
    <cfRule type="expression" dxfId="48" priority="11">
      <formula>B104="Yes"</formula>
    </cfRule>
  </conditionalFormatting>
  <conditionalFormatting sqref="B116">
    <cfRule type="expression" dxfId="47" priority="6">
      <formula>B116="n/a"</formula>
    </cfRule>
    <cfRule type="expression" dxfId="46" priority="7">
      <formula>B116="No"</formula>
    </cfRule>
    <cfRule type="expression" dxfId="45" priority="8">
      <formula>B116="Yes"</formula>
    </cfRule>
  </conditionalFormatting>
  <conditionalFormatting sqref="F75">
    <cfRule type="expression" dxfId="44" priority="5">
      <formula>$E$75&gt;=5%</formula>
    </cfRule>
  </conditionalFormatting>
  <conditionalFormatting sqref="F76">
    <cfRule type="expression" dxfId="43" priority="4">
      <formula>$E$76&gt;0</formula>
    </cfRule>
  </conditionalFormatting>
  <conditionalFormatting sqref="D64">
    <cfRule type="expression" dxfId="42" priority="3">
      <formula>$C$64="n/a"</formula>
    </cfRule>
  </conditionalFormatting>
  <conditionalFormatting sqref="E64">
    <cfRule type="expression" dxfId="41" priority="2">
      <formula>$C$64="n/a"</formula>
    </cfRule>
  </conditionalFormatting>
  <conditionalFormatting sqref="F64">
    <cfRule type="expression" dxfId="40" priority="1">
      <formula>$C$64="n/a"</formula>
    </cfRule>
  </conditionalFormatting>
  <dataValidations count="2">
    <dataValidation type="decimal" allowBlank="1" showInputMessage="1" showErrorMessage="1" errorTitle="Invalid Latitude!" error="You've entered a latitude that is not in Vermont." sqref="D5:F5" xr:uid="{CB95A147-CD1D-44CE-B9AF-A853F1204BCB}">
      <formula1>42.72</formula1>
      <formula2>45.02</formula2>
    </dataValidation>
    <dataValidation type="decimal" allowBlank="1" showInputMessage="1" showErrorMessage="1" errorTitle="Invalid Longitude" error="You've entered a longitude outside of Vermont.  Longitude values in VT should always be negative." sqref="D6:F6" xr:uid="{F55F2A7B-5530-4750-B115-65839B9B3C2B}">
      <formula1>-73.732</formula1>
      <formula2>-71.46</formula2>
    </dataValidation>
  </dataValidations>
  <hyperlinks>
    <hyperlink ref="E8" r:id="rId1" xr:uid="{1E8457C1-3EFA-483D-B473-B0DE3F10B870}"/>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3297"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83298"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83299"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83300"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83301"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83302"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83303"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83304"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83305"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83306"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83307"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83308"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83309"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83310"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83311"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83312"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83313"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83314"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83315"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83316"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83317"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83318"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83319"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83320"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83321"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27D1B1BE-F4D9-485F-B59D-C28D4B2BB44E}">
          <x14:formula1>
            <xm:f>Lookup!$G$11:$G$23</xm:f>
          </x14:formula1>
          <xm:sqref>A50:A54 C50:D54</xm:sqref>
        </x14:dataValidation>
        <x14:dataValidation type="list" allowBlank="1" showInputMessage="1" showErrorMessage="1" xr:uid="{84787369-D07F-449D-9E11-62D7E1C7767C}">
          <x14:formula1>
            <xm:f>Lookup!$G$12:$G$23</xm:f>
          </x14:formula1>
          <xm:sqref>A55</xm:sqref>
        </x14:dataValidation>
        <x14:dataValidation type="list" allowBlank="1" showInputMessage="1" showErrorMessage="1" xr:uid="{E34DA695-4E90-4871-8843-F19D395A76EE}">
          <x14:formula1>
            <xm:f>Lookup!$H$13:$H$19</xm:f>
          </x14:formula1>
          <xm:sqref>C82:D82 B82:B84</xm:sqref>
        </x14:dataValidation>
        <x14:dataValidation type="list" allowBlank="1" showInputMessage="1" showErrorMessage="1" xr:uid="{B0F11036-0618-45F4-A71F-1BA8D6938FE5}">
          <x14:formula1>
            <xm:f>Lookup!$J$4:$J$8</xm:f>
          </x14:formula1>
          <xm:sqref>E115:F115</xm:sqref>
        </x14:dataValidation>
        <x14:dataValidation type="list" allowBlank="1" showInputMessage="1" showErrorMessage="1" xr:uid="{47EA1DA3-8049-44BD-86A2-E9B2D4D7E1A9}">
          <x14:formula1>
            <xm:f>Lookup!$I$4:$I$8</xm:f>
          </x14:formula1>
          <xm:sqref>E103:F103</xm:sqref>
        </x14:dataValidation>
        <x14:dataValidation type="list" allowBlank="1" showInputMessage="1" showErrorMessage="1" xr:uid="{F321DE1E-1B2C-407A-BA40-7B2F02F6936B}">
          <x14:formula1>
            <xm:f>Lookup!$H$4:$H$7</xm:f>
          </x14:formula1>
          <xm:sqref>E90:F90</xm:sqref>
        </x14:dataValidation>
        <x14:dataValidation type="list" allowBlank="1" showInputMessage="1" showErrorMessage="1" xr:uid="{70A53C9A-9175-409B-9DB3-49CC4733D6ED}">
          <x14:formula1>
            <xm:f>Lookup!$G$3:$G$6</xm:f>
          </x14:formula1>
          <xm:sqref>E68:F68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7A91A-B65B-4133-8099-1C6E17D5CEF9}">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9'!$C$10-0.2*Lookup!$B$13)^2/('SN9'!$C$10+0.8*Lookup!$B$13)))*$B$15+IF($C$10&lt;0.2*Lookup!$B$14,0,(('SN9'!$C$10-0.2*Lookup!$B$14)^2/('SN9'!$C$10+0.8*Lookup!$B$14)))*$B$16+IF($C$10&lt;0.2*Lookup!$B$15,0,(('SN9'!$C$10-0.2*Lookup!$B$15)^2/('SN9'!$C$10+0.8*Lookup!$B$15)))*$B$17++IF($C$10&lt;0.2*Lookup!$B$17,0,(('SN9'!$C$10-0.2*Lookup!$B$17)^2/('SN9'!$C$10+0.8*Lookup!$B$17)))*$B$18+IF($C$10&lt;0.2*Lookup!$C$13,0,(('SN9'!$C$10-0.2*Lookup!$C$13)^2/('SN9'!C$10+0.8*Lookup!$C$13)))*$C$15+IF($C$10&lt;0.2*Lookup!$C$14,0,(('SN9'!$C$10-0.2*Lookup!$C$14)^2/('SN9'!$C$10+0.8*Lookup!$C$14)))*$C$16+IF($C$10&lt;0.2*Lookup!$C$15,0,(('SN9'!$C$10-0.2*Lookup!$C$15)^2/('SN9'!$C$10+0.8*Lookup!$C$15)))*$C$17+IF($C$10&lt;0.2*Lookup!$C$17,0,(('SN9'!$C$10-0.2*Lookup!$C$17)^2/('SN9'!$C$10+0.8*Lookup!$C$17)))*$C$18+IF($C$10&lt;0.2*Lookup!$D$13,0,(('SN9'!$C$10-0.2*Lookup!$D$13)^2/('SN9'!$C$10+0.8*Lookup!$D$13)))*$D$15+IF($C$10&lt;0.2*Lookup!$D$14,0,(('SN9'!$C$10-0.2*Lookup!$D$14)^2/('SN9'!$C$10+0.8*Lookup!$D$14)))*$D$16+IF($C$10&lt;0.2*Lookup!$D$15,0,(('SN9'!$C$10-0.2*Lookup!$D$15)^2/('SN9'!$C$10+0.8*Lookup!$D$15)))*$D$17+IF($C$10&lt;0.2*Lookup!$D$17,0,(('SN9'!$C$10-0.2*Lookup!$D$17)^2/('SN9'!$C$10+0.8*Lookup!$D$17)))*$D$18+IF($C$10&lt;0.2*Lookup!$E$13,0,(('SN9'!$C$10-0.2*Lookup!$E$13)^2/('SN9'!$C$10+0.8*Lookup!$E$13)))*$E$15+IF($C$10&lt;0.2*Lookup!$E$14,0,(('SN9'!$C$10-0.2*Lookup!$E$14)^2/('SN9'!$C$10+0.8*Lookup!$E$14)))*$E$16+IF($C$10&lt;0.2*Lookup!$E$15,0,(('SN9'!$C$10-0.2*Lookup!$E$15)^2/('SN9'!$C$10+0.8*Lookup!$E$15)))*$E$17+IF($C$10&lt;0.2*Lookup!$E$17,0,(('SN9'!$C$10-0.2*Lookup!$E$17)^2/('SN9'!$C$10+0.8*Lookup!$E$17)))*$E$18)/12</f>
        <v>0</v>
      </c>
      <c r="E44" s="246">
        <f>(IF($D$10&lt;0.2*Lookup!$B$13,0,(('SN9'!$D$10-0.2*Lookup!$B$13)^2/('SN9'!$D$10+0.8*Lookup!$B$13)))*$B$15+IF($D$10&lt;0.2*Lookup!$B$14,0,(('SN9'!$D$10-0.2*Lookup!$B$14)^2/('SN9'!$D$10+0.8*Lookup!$B$14)))*$B$16+IF($D$10&lt;0.2*Lookup!$B$15,0,(('SN9'!$D$10-0.2*Lookup!$B$15)^2/('SN9'!$D$10+0.8*Lookup!$B$15)))*$B$17++IF($D$10&lt;0.2*Lookup!$B$17,0,(('SN9'!$D$10-0.2*Lookup!$B$17)^2/('SN9'!$D$10+0.8*Lookup!$B$17)))*$B$18+IF($D$10&lt;0.2*Lookup!$C$13,0,(('SN9'!$D$10-0.2*Lookup!$C$13)^2/('SN9'!C$10+0.8*Lookup!$C$13)))*$C$15+IF($D$10&lt;0.2*Lookup!$C$14,0,(('SN9'!$D$10-0.2*Lookup!$C$14)^2/('SN9'!$D$10+0.8*Lookup!$C$14)))*$C$16+IF($D$10&lt;0.2*Lookup!$C$15,0,(('SN9'!$D$10-0.2*Lookup!$C$15)^2/('SN9'!$D$10+0.8*Lookup!$C$15)))*$C$17+IF($D$10&lt;0.2*Lookup!$C$17,0,(('SN9'!$D$10-0.2*Lookup!$C$17)^2/('SN9'!$D$10+0.8*Lookup!$C$17)))*$C$18+IF($D$10&lt;0.2*Lookup!$D$13,0,(('SN9'!$D$10-0.2*Lookup!$D$13)^2/('SN9'!$D$10+0.8*Lookup!$D$13)))*$D$15+IF($D$10&lt;0.2*Lookup!$D$14,0,(('SN9'!$D$10-0.2*Lookup!$D$14)^2/('SN9'!$D$10+0.8*Lookup!$D$14)))*$D$16+IF($D$10&lt;0.2*Lookup!$D$15,0,(('SN9'!$D$10-0.2*Lookup!$D$15)^2/('SN9'!$D$10+0.8*Lookup!$D$15)))*$D$17+IF($D$10&lt;0.2*Lookup!$D$17,0,(('SN9'!$D$10-0.2*Lookup!$D$17)^2/('SN9'!$D$10+0.8*Lookup!$D$17)))*$D$18+IF($D$10&lt;0.2*Lookup!$E$13,0,(('SN9'!$D$10-0.2*Lookup!$E$13)^2/('SN9'!$D$10+0.8*Lookup!$E$13)))*$E$15+IF($D$10&lt;0.2*Lookup!$E$14,0,(('SN9'!$D$10-0.2*Lookup!$E$14)^2/('SN9'!$D$10+0.8*Lookup!$E$14)))*$E$16+IF($D$10&lt;0.2*Lookup!$E$15,0,(('SN9'!$D$10-0.2*Lookup!$E$15)^2/('SN9'!$D$10+0.8*Lookup!$E$15)))*$E$17++IF($D$10&lt;0.2*Lookup!$E$17,0,(('SN9'!$D$10-0.2*Lookup!$E$17)^2/('SN9'!$D$10+0.8*Lookup!$E$17)))*$E$18)/12</f>
        <v>0</v>
      </c>
      <c r="F44" s="246">
        <f>(IF($E$10&lt;0.2*Lookup!$B$13,0,(('SN9'!$E$10-0.2*Lookup!$B$13)^2/('SN9'!$E$10+0.8*Lookup!$B$13)))*$B$15+IF($E$10&lt;0.2*Lookup!$B$14,0,(('SN9'!$E$10-0.2*Lookup!$B$14)^2/('SN9'!$E$10+0.8*Lookup!$B$14)))*$B$16+IF($E$10&lt;0.2*Lookup!$B$15,0,(('SN9'!$E$10-0.2*Lookup!$B$15)^2/('SN9'!$E$10+0.8*Lookup!$B$15)))*$B$17++IF($E$10&lt;0.2*Lookup!$B$17,0,(('SN9'!$E$10-0.2*Lookup!$B$17)^2/('SN9'!$E$10+0.8*Lookup!$B$17)))*$B$18+IF($E$10&lt;0.2*Lookup!$C$13,0,(('SN9'!$E$10-0.2*Lookup!$C$13)^2/('SN9'!C$10+0.8*Lookup!$C$13)))*$C$15+IF($E$10&lt;0.2*Lookup!$C$14,0,(('SN9'!$E$10-0.2*Lookup!$C$14)^2/('SN9'!$E$10+0.8*Lookup!$C$14)))*$C$16+IF($E$10&lt;0.2*Lookup!$C$15,0,(('SN9'!$E$10-0.2*Lookup!$C$15)^2/('SN9'!$E$10+0.8*Lookup!$C$15)))*$C$17+IF($E$10&lt;0.2*Lookup!$C$17,0,(('SN9'!$E$10-0.2*Lookup!$C$17)^2/('SN9'!$E$10+0.8*Lookup!$C$17)))*$C$18+IF($E$10&lt;0.2*Lookup!$D$13,0,(('SN9'!$E$10-0.2*Lookup!$D$13)^2/('SN9'!$E$10+0.8*Lookup!$D$13)))*$D$15+IF($E$10&lt;0.2*Lookup!$D$14,0,(('SN9'!$E$10-0.2*Lookup!$D$14)^2/('SN9'!$E$10+0.8*Lookup!$D$14)))*$D$16+IF($E$10&lt;0.2*Lookup!$D$15,0,(('SN9'!$E$10-0.2*Lookup!$D$15)^2/('SN9'!$E$10+0.8*Lookup!$D$15)))*$D$17+IF($E$10&lt;0.2*Lookup!$D$17,0,(('SN9'!$E$10-0.2*Lookup!$D$17)^2/('SN9'!$E$10+0.8*Lookup!$D$17)))*$D$18+IF($E$10&lt;0.2*Lookup!$E$13,0,(('SN9'!$E$10-0.2*Lookup!$E$13)^2/('SN9'!$E$10+0.8*Lookup!$E$13)))*$E$15+IF($E$10&lt;0.2*Lookup!$E$14,0,(('SN9'!$E$10-0.2*Lookup!$E$14)^2/('SN9'!$E$10+0.8*Lookup!$E$14)))*$E$16+IF($E$10&lt;0.2*Lookup!$E$15,0,(('SN9'!$E$10-0.2*Lookup!$E$15)^2/('SN9'!$E$10+0.8*Lookup!$E$15)))*$E$17++IF($E$10&lt;0.2*Lookup!$E$17,0,(('SN9'!$E$10-0.2*Lookup!$E$17)^2/('SN9'!$E$10+0.8*Lookup!$E$17)))*$E$18)/12</f>
        <v>0</v>
      </c>
      <c r="G44" s="60"/>
      <c r="K44" s="13"/>
      <c r="L44" s="6"/>
      <c r="M44" s="13"/>
      <c r="N44" s="13"/>
      <c r="O44" s="13"/>
    </row>
    <row r="45" spans="1:15" ht="14.4" customHeight="1">
      <c r="A45" s="390" t="s">
        <v>113</v>
      </c>
      <c r="B45" s="376"/>
      <c r="C45" s="391"/>
      <c r="D45" s="246">
        <f>(IF($C$10&lt;0.2*Lookup!$B$13,0,(('SN9'!$C$10-0.2*Lookup!$B$13)^2/('SN9'!$C$10+0.8*Lookup!$B$13)))*$B$24+IF($C$10&lt;0.2*Lookup!$B$14,0,(('SN9'!$C$10-0.2*Lookup!$B$14)^2/('SN9'!$C$10+0.8*Lookup!$B$14)))*$B$25+IF($C$10&lt;0.2*Lookup!$B$15,0,(('SN9'!$C$10-0.2*Lookup!$B$15)^2/('SN9'!$C$10+0.8*Lookup!$B$15)))*$B$26+IF($C$10&lt;0.2*Lookup!$C$13,0,(('SN9'!$C$10-0.2*Lookup!$C$13)^2/('SN9'!C$10+0.8*Lookup!$C$13)))*$C$24+IF($C$10&lt;0.2*Lookup!$C$14,0,(('SN9'!$C$10-0.2*Lookup!$C$14)^2/('SN9'!$C$10+0.8*Lookup!$C$14)))*$C$25+IF($C$10&lt;0.2*Lookup!$C$15,0,(('SN9'!$C$10-0.2*Lookup!$C$15)^2/('SN9'!$C$10+0.8*Lookup!$C$15)))*$C$26+IF($C$10&lt;0.2*Lookup!$D$13,0,(('SN9'!$C$10-0.2*Lookup!$D$13)^2/('SN9'!$C$10+0.8*Lookup!$D$13)))*$D$24+IF($C$10&lt;0.2*Lookup!$D$14,0,(('SN9'!$C$10-0.2*Lookup!$D$14)^2/('SN9'!$C$10+0.8*Lookup!$D$14)))*$D$25+IF($C$10&lt;0.2*Lookup!$D$15,0,(('SN9'!$C$10-0.2*Lookup!$D$15)^2/('SN9'!$C$10+0.8*Lookup!$D$15)))*$D$26+IF($C$10&lt;0.2*Lookup!$E$13,0,(('SN9'!$C$10-0.2*Lookup!$E$13)^2/('SN9'!$C$10+0.8*Lookup!$E$13)))*$E$24+IF($C$10&lt;0.2*Lookup!$E$14,0,(('SN9'!$C$10-0.2*Lookup!$E$14)^2/('SN9'!$C$10+0.8*Lookup!$E$14)))*$E$25+IF($C$10&lt;0.2*Lookup!$E$15,0,(('SN9'!$C$10-0.2*Lookup!$E$15)^2/('SN9'!$C$10+0.8*Lookup!$E$15)))*$E$26+(($C$10-0.2*Lookup!B17)^2/($C$10+0.8*Lookup!B17)*(F27+F28+F29+F30)))/12</f>
        <v>0</v>
      </c>
      <c r="E45" s="246">
        <f>(IF($D$10&lt;0.2*Lookup!$B$13,0,(('SN9'!$D$10-0.2*Lookup!$B$13)^2/('SN9'!$D$10+0.8*Lookup!$B$13)))*$B$24+IF($D$10&lt;0.2*Lookup!$B$14,0,(('SN9'!$D$10-0.2*Lookup!$B$14)^2/('SN9'!$D$10+0.8*Lookup!$B$14)))*$B$25+IF($D$10&lt;0.2*Lookup!$B$15,0,(('SN9'!$D$10-0.2*Lookup!$B$15)^2/('SN9'!$D$10+0.8*Lookup!$B$15)))*$B$26+IF($D$10&lt;0.2*Lookup!$C$13,0,(('SN9'!$D$10-0.2*Lookup!$C$13)^2/('SN9'!C$10+0.8*Lookup!$C$13)))*$C$24+IF($D$10&lt;0.2*Lookup!$C$14,0,(('SN9'!$D$10-0.2*Lookup!$C$14)^2/('SN9'!$D$10+0.8*Lookup!$C$14)))*$C$25+IF($D$10&lt;0.2*Lookup!$C$15,0,(('SN9'!$D$10-0.2*Lookup!$C$15)^2/('SN9'!$D$10+0.8*Lookup!$C$15)))*$C$26+IF($D$10&lt;0.2*Lookup!$D$13,0,(('SN9'!$D$10-0.2*Lookup!$D$13)^2/('SN9'!$D$10+0.8*Lookup!$D$13)))*$D$24+IF($D$10&lt;0.2*Lookup!$D$14,0,(('SN9'!$D$10-0.2*Lookup!$D$14)^2/('SN9'!$D$10+0.8*Lookup!$D$14)))*$D$25+IF($D$10&lt;0.2*Lookup!$D$15,0,(('SN9'!$D$10-0.2*Lookup!$D$15)^2/('SN9'!$D$10+0.8*Lookup!$D$15)))*$D$26+IF($D$10&lt;0.2*Lookup!$E$13,0,(('SN9'!$D$10-0.2*Lookup!$E$13)^2/('SN9'!$D$10+0.8*Lookup!$E$13)))*$E$24+IF($D$10&lt;0.2*Lookup!$E$14,0,(('SN9'!$D$10-0.2*Lookup!$E$14)^2/('SN9'!$D$10+0.8*Lookup!$E$14)))*$E$25+IF($D$10&lt;0.2*Lookup!$E$15,0,(('SN9'!$D$10-0.2*Lookup!$E$15)^2/('SN9'!$D$10+0.8*Lookup!$E$15)))*$E$26+(($D$10-0.2*Lookup!B17)^2/($D$10+0.8*Lookup!B17)*(F27+F28+F29+F30)))/12</f>
        <v>0</v>
      </c>
      <c r="F45" s="246">
        <f>(IF($E$10&lt;0.2*Lookup!$B$13,0,(('SN9'!$E$10-0.2*Lookup!$B$13)^2/('SN9'!$E$10+0.8*Lookup!$B$13)))*$B$24+IF($E$10&lt;0.2*Lookup!$B$14,0,(('SN9'!$E$10-0.2*Lookup!$B$14)^2/('SN9'!$E$10+0.8*Lookup!$B$14)))*$B$25+IF($E$10&lt;0.2*Lookup!$B$15,0,(('SN9'!$E$10-0.2*Lookup!$B$15)^2/('SN9'!$E$10+0.8*Lookup!$B$15)))*$B$26+IF($E$10&lt;0.2*Lookup!$C$13,0,(('SN9'!$E$10-0.2*Lookup!$C$13)^2/('SN9'!C$10+0.8*Lookup!$C$13)))*$C$24+IF($E$10&lt;0.2*Lookup!$C$14,0,(('SN9'!$E$10-0.2*Lookup!$C$14)^2/('SN9'!$E$10+0.8*Lookup!$C$14)))*$C$25+IF($E$10&lt;0.2*Lookup!$C$15,0,(('SN9'!$E$10-0.2*Lookup!$C$15)^2/('SN9'!$E$10+0.8*Lookup!$C$15)))*$C$26+IF($E$10&lt;0.2*Lookup!$D$13,0,(('SN9'!$E$10-0.2*Lookup!$D$13)^2/('SN9'!$E$10+0.8*Lookup!$D$13)))*$D$24+IF($E$10&lt;0.2*Lookup!$D$14,0,(('SN9'!$E$10-0.2*Lookup!$D$14)^2/('SN9'!$E$10+0.8*Lookup!$D$14)))*$D$25+IF($E$10&lt;0.2*Lookup!$D$15,0,(('SN9'!$E$10-0.2*Lookup!$D$15)^2/('SN9'!$E$10+0.8*Lookup!$D$15)))*$D$26+IF($E$10&lt;0.2*Lookup!$E$13,0,(('SN9'!$E$10-0.2*Lookup!$E$13)^2/('SN9'!$E$10+0.8*Lookup!$E$13)))*$E$24+IF($E$10&lt;0.2*Lookup!$E$14,0,(('SN9'!$E$10-0.2*Lookup!$E$14)^2/('SN9'!$E$10+0.8*Lookup!$E$14)))*$E$25+IF($E$10&lt;0.2*Lookup!$E$15,0,(('SN9'!$E$10-0.2*Lookup!$E$15)^2/('SN9'!$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39" priority="39">
      <formula>$F$67=2</formula>
    </cfRule>
  </conditionalFormatting>
  <conditionalFormatting sqref="E90:F90">
    <cfRule type="expression" dxfId="38" priority="38">
      <formula>$F$89=2</formula>
    </cfRule>
  </conditionalFormatting>
  <conditionalFormatting sqref="E103:F103">
    <cfRule type="expression" dxfId="37" priority="37">
      <formula>$F$102=2</formula>
    </cfRule>
  </conditionalFormatting>
  <conditionalFormatting sqref="E115:F115">
    <cfRule type="expression" dxfId="36" priority="36">
      <formula>$F$114=2</formula>
    </cfRule>
  </conditionalFormatting>
  <conditionalFormatting sqref="B105:F105 D108">
    <cfRule type="expression" dxfId="35" priority="35">
      <formula>$F$102=1</formula>
    </cfRule>
  </conditionalFormatting>
  <conditionalFormatting sqref="D106">
    <cfRule type="expression" dxfId="34" priority="34">
      <formula>$F$102=1</formula>
    </cfRule>
  </conditionalFormatting>
  <conditionalFormatting sqref="B117:F117 D120">
    <cfRule type="expression" dxfId="33" priority="33">
      <formula>$F$114=1</formula>
    </cfRule>
  </conditionalFormatting>
  <conditionalFormatting sqref="B82:D82 B83:B84 E82:E84">
    <cfRule type="expression" dxfId="32" priority="40">
      <formula>$F$79&gt;0</formula>
    </cfRule>
  </conditionalFormatting>
  <conditionalFormatting sqref="E97">
    <cfRule type="expression" dxfId="31" priority="32">
      <formula>$G$94=TRUE</formula>
    </cfRule>
  </conditionalFormatting>
  <conditionalFormatting sqref="D119">
    <cfRule type="expression" dxfId="30" priority="31">
      <formula>$F$114=1</formula>
    </cfRule>
  </conditionalFormatting>
  <conditionalFormatting sqref="D118">
    <cfRule type="expression" dxfId="29" priority="30">
      <formula>$F$114=1</formula>
    </cfRule>
  </conditionalFormatting>
  <conditionalFormatting sqref="D107">
    <cfRule type="expression" dxfId="28" priority="29">
      <formula>$F$102=1</formula>
    </cfRule>
  </conditionalFormatting>
  <conditionalFormatting sqref="C64">
    <cfRule type="expression" dxfId="27" priority="28">
      <formula>$C$64="n/a"</formula>
    </cfRule>
  </conditionalFormatting>
  <conditionalFormatting sqref="B82:E84">
    <cfRule type="expression" dxfId="26" priority="27">
      <formula>$F$79="N/A"</formula>
    </cfRule>
  </conditionalFormatting>
  <conditionalFormatting sqref="C61">
    <cfRule type="expression" dxfId="25" priority="24">
      <formula>C61="n/a"</formula>
    </cfRule>
    <cfRule type="expression" dxfId="24" priority="25">
      <formula>C61="No"</formula>
    </cfRule>
    <cfRule type="expression" dxfId="23" priority="26">
      <formula>C61="Yes"</formula>
    </cfRule>
  </conditionalFormatting>
  <conditionalFormatting sqref="B61">
    <cfRule type="expression" dxfId="22" priority="21">
      <formula>B61="n/a"</formula>
    </cfRule>
    <cfRule type="expression" dxfId="21" priority="22">
      <formula>B61="No"</formula>
    </cfRule>
    <cfRule type="expression" dxfId="20" priority="23">
      <formula>B61="Yes"</formula>
    </cfRule>
  </conditionalFormatting>
  <conditionalFormatting sqref="D61:F61">
    <cfRule type="expression" dxfId="19" priority="18">
      <formula>D61="n/a"</formula>
    </cfRule>
    <cfRule type="expression" dxfId="18" priority="19">
      <formula>D61="No"</formula>
    </cfRule>
    <cfRule type="expression" dxfId="17" priority="20">
      <formula>D61="Yes"</formula>
    </cfRule>
  </conditionalFormatting>
  <conditionalFormatting sqref="B70">
    <cfRule type="expression" dxfId="16" priority="15">
      <formula>B70="n/a"</formula>
    </cfRule>
    <cfRule type="expression" dxfId="15" priority="16">
      <formula>B70="No"</formula>
    </cfRule>
    <cfRule type="expression" dxfId="14" priority="17">
      <formula>B70="Yes"</formula>
    </cfRule>
  </conditionalFormatting>
  <conditionalFormatting sqref="B91">
    <cfRule type="expression" dxfId="13" priority="12">
      <formula>B91="n/a"</formula>
    </cfRule>
    <cfRule type="expression" dxfId="12" priority="13">
      <formula>B91="No"</formula>
    </cfRule>
    <cfRule type="expression" dxfId="11" priority="14">
      <formula>B91="Yes"</formula>
    </cfRule>
  </conditionalFormatting>
  <conditionalFormatting sqref="B104">
    <cfRule type="expression" dxfId="10" priority="9">
      <formula>B104="n/a"</formula>
    </cfRule>
    <cfRule type="expression" dxfId="9" priority="10">
      <formula>B104="No"</formula>
    </cfRule>
    <cfRule type="expression" dxfId="8" priority="11">
      <formula>B104="Yes"</formula>
    </cfRule>
  </conditionalFormatting>
  <conditionalFormatting sqref="B116">
    <cfRule type="expression" dxfId="7" priority="6">
      <formula>B116="n/a"</formula>
    </cfRule>
    <cfRule type="expression" dxfId="6" priority="7">
      <formula>B116="No"</formula>
    </cfRule>
    <cfRule type="expression" dxfId="5" priority="8">
      <formula>B116="Yes"</formula>
    </cfRule>
  </conditionalFormatting>
  <conditionalFormatting sqref="F75">
    <cfRule type="expression" dxfId="4" priority="5">
      <formula>$E$75&gt;=5%</formula>
    </cfRule>
  </conditionalFormatting>
  <conditionalFormatting sqref="F76">
    <cfRule type="expression" dxfId="3" priority="4">
      <formula>$E$76&gt;0</formula>
    </cfRule>
  </conditionalFormatting>
  <conditionalFormatting sqref="D64">
    <cfRule type="expression" dxfId="2" priority="3">
      <formula>$C$64="n/a"</formula>
    </cfRule>
  </conditionalFormatting>
  <conditionalFormatting sqref="E64">
    <cfRule type="expression" dxfId="1" priority="2">
      <formula>$C$64="n/a"</formula>
    </cfRule>
  </conditionalFormatting>
  <conditionalFormatting sqref="F64">
    <cfRule type="expression" dxfId="0" priority="1">
      <formula>$C$64="n/a"</formula>
    </cfRule>
  </conditionalFormatting>
  <dataValidations count="2">
    <dataValidation type="decimal" allowBlank="1" showInputMessage="1" showErrorMessage="1" errorTitle="Invalid Latitude!" error="You've entered a latitude that is not in Vermont." sqref="D5:F5" xr:uid="{FFD5F34A-5631-4310-B66C-DDF7199D777F}">
      <formula1>42.72</formula1>
      <formula2>45.02</formula2>
    </dataValidation>
    <dataValidation type="decimal" allowBlank="1" showInputMessage="1" showErrorMessage="1" errorTitle="Invalid Longitude" error="You've entered a longitude outside of Vermont.  Longitude values in VT should always be negative." sqref="D6:F6" xr:uid="{875EE2F3-647F-43E5-A3EE-F200EE9ED315}">
      <formula1>-73.732</formula1>
      <formula2>-71.46</formula2>
    </dataValidation>
  </dataValidations>
  <hyperlinks>
    <hyperlink ref="E8" r:id="rId1" xr:uid="{68B1652C-98B8-4CD2-AF92-17E8F9B6DCD6}"/>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4321"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84322"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84323"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84324"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84325"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84326"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84327"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84328"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84329"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84330"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84331"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84332"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84333"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84334"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84335"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84336"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84337"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84338"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84339"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84340"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84341"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84342"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84343"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84344"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84345"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6703E08-2A42-498D-A0DA-8D105B04E8F0}">
          <x14:formula1>
            <xm:f>Lookup!$G$11:$G$23</xm:f>
          </x14:formula1>
          <xm:sqref>A50:A54 C50:D54</xm:sqref>
        </x14:dataValidation>
        <x14:dataValidation type="list" allowBlank="1" showInputMessage="1" showErrorMessage="1" xr:uid="{13FC906E-3456-46BC-A04A-964F0599212D}">
          <x14:formula1>
            <xm:f>Lookup!$G$12:$G$23</xm:f>
          </x14:formula1>
          <xm:sqref>A55</xm:sqref>
        </x14:dataValidation>
        <x14:dataValidation type="list" allowBlank="1" showInputMessage="1" showErrorMessage="1" xr:uid="{C3449B94-B402-4DF5-A095-AB8829556681}">
          <x14:formula1>
            <xm:f>Lookup!$H$13:$H$19</xm:f>
          </x14:formula1>
          <xm:sqref>C82:D82 B82:B84</xm:sqref>
        </x14:dataValidation>
        <x14:dataValidation type="list" allowBlank="1" showInputMessage="1" showErrorMessage="1" xr:uid="{7D519EFF-B1FF-434A-BC55-99AD8762C143}">
          <x14:formula1>
            <xm:f>Lookup!$J$4:$J$8</xm:f>
          </x14:formula1>
          <xm:sqref>E115:F115</xm:sqref>
        </x14:dataValidation>
        <x14:dataValidation type="list" allowBlank="1" showInputMessage="1" showErrorMessage="1" xr:uid="{FE0398F7-AB31-44A3-B4C8-8C4B9D4CC186}">
          <x14:formula1>
            <xm:f>Lookup!$I$4:$I$8</xm:f>
          </x14:formula1>
          <xm:sqref>E103:F103</xm:sqref>
        </x14:dataValidation>
        <x14:dataValidation type="list" allowBlank="1" showInputMessage="1" showErrorMessage="1" xr:uid="{50E9E01A-AA11-4E6B-8EE9-E9A5280C48F4}">
          <x14:formula1>
            <xm:f>Lookup!$H$4:$H$7</xm:f>
          </x14:formula1>
          <xm:sqref>E90:F90</xm:sqref>
        </x14:dataValidation>
        <x14:dataValidation type="list" allowBlank="1" showInputMessage="1" showErrorMessage="1" xr:uid="{2DBA5434-A2A8-46B0-9231-13254CAB0952}">
          <x14:formula1>
            <xm:f>Lookup!$G$3:$G$6</xm:f>
          </x14:formula1>
          <xm:sqref>E68:F68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M46"/>
  <sheetViews>
    <sheetView workbookViewId="0">
      <selection activeCell="E17" sqref="E17"/>
    </sheetView>
  </sheetViews>
  <sheetFormatPr defaultRowHeight="14.4"/>
  <cols>
    <col min="1" max="1" width="20.33203125" bestFit="1" customWidth="1"/>
    <col min="7" max="8" width="23.109375" customWidth="1"/>
    <col min="9" max="9" width="32.109375" customWidth="1"/>
    <col min="10" max="10" width="25.21875" bestFit="1" customWidth="1"/>
  </cols>
  <sheetData>
    <row r="1" spans="1:13" ht="15.6">
      <c r="A1" s="12" t="s">
        <v>10</v>
      </c>
      <c r="G1" s="433" t="s">
        <v>45</v>
      </c>
      <c r="H1" s="433"/>
      <c r="I1" s="433"/>
      <c r="J1" s="433"/>
      <c r="L1" t="s">
        <v>187</v>
      </c>
      <c r="M1" t="s">
        <v>188</v>
      </c>
    </row>
    <row r="2" spans="1:13">
      <c r="A2" s="37"/>
      <c r="B2" s="434" t="s">
        <v>1</v>
      </c>
      <c r="C2" s="434"/>
      <c r="D2" s="434"/>
      <c r="E2" s="434"/>
      <c r="G2" s="51" t="s">
        <v>78</v>
      </c>
      <c r="H2" s="37" t="s">
        <v>46</v>
      </c>
      <c r="I2" s="37" t="s">
        <v>47</v>
      </c>
      <c r="J2" s="37" t="s">
        <v>48</v>
      </c>
      <c r="M2" s="19" t="s">
        <v>34</v>
      </c>
    </row>
    <row r="3" spans="1:13">
      <c r="A3" s="38" t="s">
        <v>8</v>
      </c>
      <c r="B3" s="39" t="s">
        <v>2</v>
      </c>
      <c r="C3" s="39" t="s">
        <v>3</v>
      </c>
      <c r="D3" s="39" t="s">
        <v>4</v>
      </c>
      <c r="E3" s="39" t="s">
        <v>5</v>
      </c>
      <c r="G3" s="2"/>
      <c r="H3" s="35"/>
      <c r="I3" s="35"/>
      <c r="J3" s="35"/>
      <c r="L3" s="53" t="s">
        <v>158</v>
      </c>
      <c r="M3" s="53" t="s">
        <v>191</v>
      </c>
    </row>
    <row r="4" spans="1:13">
      <c r="A4" s="4" t="s">
        <v>6</v>
      </c>
      <c r="B4" s="2">
        <v>39</v>
      </c>
      <c r="C4" s="2">
        <v>61</v>
      </c>
      <c r="D4" s="2">
        <v>74</v>
      </c>
      <c r="E4" s="2">
        <v>80</v>
      </c>
      <c r="G4" s="53" t="s">
        <v>158</v>
      </c>
      <c r="H4" s="53" t="s">
        <v>158</v>
      </c>
      <c r="I4" s="53" t="s">
        <v>158</v>
      </c>
      <c r="J4" s="53" t="s">
        <v>158</v>
      </c>
      <c r="L4" s="2" t="s">
        <v>51</v>
      </c>
      <c r="M4" t="s">
        <v>194</v>
      </c>
    </row>
    <row r="5" spans="1:13">
      <c r="A5" s="4" t="s">
        <v>38</v>
      </c>
      <c r="B5" s="2">
        <v>30</v>
      </c>
      <c r="C5" s="2">
        <v>58</v>
      </c>
      <c r="D5" s="2">
        <v>71</v>
      </c>
      <c r="E5" s="2">
        <v>78</v>
      </c>
      <c r="G5" s="52" t="s">
        <v>79</v>
      </c>
      <c r="H5" s="35" t="s">
        <v>101</v>
      </c>
      <c r="I5" s="35" t="s">
        <v>101</v>
      </c>
      <c r="J5" s="2" t="s">
        <v>51</v>
      </c>
      <c r="L5" s="35" t="s">
        <v>101</v>
      </c>
      <c r="M5" s="151" t="s">
        <v>192</v>
      </c>
    </row>
    <row r="6" spans="1:13">
      <c r="A6" s="4" t="s">
        <v>7</v>
      </c>
      <c r="B6" s="2">
        <v>30</v>
      </c>
      <c r="C6" s="2">
        <v>55</v>
      </c>
      <c r="D6" s="2">
        <v>70</v>
      </c>
      <c r="E6" s="2">
        <v>77</v>
      </c>
      <c r="G6" s="52" t="s">
        <v>161</v>
      </c>
      <c r="H6" s="2" t="s">
        <v>49</v>
      </c>
      <c r="I6" s="2" t="s">
        <v>50</v>
      </c>
      <c r="J6" s="35" t="s">
        <v>101</v>
      </c>
      <c r="L6" s="2" t="s">
        <v>116</v>
      </c>
      <c r="M6" s="152" t="s">
        <v>116</v>
      </c>
    </row>
    <row r="7" spans="1:13">
      <c r="A7" s="4" t="s">
        <v>37</v>
      </c>
      <c r="B7" s="2">
        <v>96</v>
      </c>
      <c r="C7" s="2">
        <v>96</v>
      </c>
      <c r="D7" s="2">
        <v>96</v>
      </c>
      <c r="E7" s="2">
        <v>96</v>
      </c>
      <c r="H7" s="36" t="s">
        <v>116</v>
      </c>
      <c r="I7" s="36" t="s">
        <v>160</v>
      </c>
      <c r="J7" s="2" t="s">
        <v>116</v>
      </c>
      <c r="L7" s="53" t="s">
        <v>160</v>
      </c>
      <c r="M7" s="152" t="s">
        <v>193</v>
      </c>
    </row>
    <row r="8" spans="1:13" ht="28.8">
      <c r="A8" s="18" t="s">
        <v>128</v>
      </c>
      <c r="B8" s="2">
        <v>98</v>
      </c>
      <c r="C8" s="2">
        <v>98</v>
      </c>
      <c r="D8" s="2">
        <v>98</v>
      </c>
      <c r="E8" s="2">
        <v>98</v>
      </c>
      <c r="I8" s="36" t="s">
        <v>116</v>
      </c>
      <c r="J8" s="53" t="s">
        <v>160</v>
      </c>
      <c r="L8" s="150" t="s">
        <v>50</v>
      </c>
      <c r="M8" s="153" t="s">
        <v>189</v>
      </c>
    </row>
    <row r="9" spans="1:13">
      <c r="G9" s="433" t="s">
        <v>114</v>
      </c>
      <c r="H9" s="433"/>
      <c r="I9" s="433"/>
      <c r="L9" s="2" t="s">
        <v>49</v>
      </c>
      <c r="M9" s="153" t="s">
        <v>190</v>
      </c>
    </row>
    <row r="10" spans="1:13" ht="28.8">
      <c r="A10" s="10" t="s">
        <v>11</v>
      </c>
      <c r="G10" s="50" t="s">
        <v>64</v>
      </c>
      <c r="H10" s="435" t="s">
        <v>83</v>
      </c>
      <c r="I10" s="436"/>
      <c r="J10" s="51" t="s">
        <v>98</v>
      </c>
    </row>
    <row r="11" spans="1:13">
      <c r="A11" s="37"/>
      <c r="B11" s="434" t="s">
        <v>1</v>
      </c>
      <c r="C11" s="434"/>
      <c r="D11" s="434"/>
      <c r="E11" s="434"/>
      <c r="G11" s="2" t="s">
        <v>207</v>
      </c>
      <c r="H11" s="37" t="s">
        <v>136</v>
      </c>
      <c r="I11" s="37" t="s">
        <v>137</v>
      </c>
      <c r="J11" s="105"/>
    </row>
    <row r="12" spans="1:13">
      <c r="A12" s="38" t="s">
        <v>8</v>
      </c>
      <c r="B12" s="39" t="s">
        <v>2</v>
      </c>
      <c r="C12" s="39" t="s">
        <v>3</v>
      </c>
      <c r="D12" s="39" t="s">
        <v>4</v>
      </c>
      <c r="E12" s="39" t="s">
        <v>5</v>
      </c>
      <c r="G12" s="2" t="s">
        <v>65</v>
      </c>
      <c r="H12" s="2"/>
      <c r="I12" s="2"/>
      <c r="J12" s="106" t="s">
        <v>85</v>
      </c>
    </row>
    <row r="13" spans="1:13">
      <c r="A13" s="4" t="s">
        <v>6</v>
      </c>
      <c r="B13" s="2">
        <f>1000/B4-10</f>
        <v>15.641025641025642</v>
      </c>
      <c r="C13" s="2">
        <f t="shared" ref="C13:E13" si="0">1000/C4-10</f>
        <v>6.3934426229508183</v>
      </c>
      <c r="D13" s="2">
        <f t="shared" si="0"/>
        <v>3.513513513513514</v>
      </c>
      <c r="E13" s="2">
        <f t="shared" si="0"/>
        <v>2.5</v>
      </c>
      <c r="G13" s="44" t="s">
        <v>206</v>
      </c>
      <c r="H13" s="2" t="s">
        <v>212</v>
      </c>
      <c r="I13" s="2" t="s">
        <v>138</v>
      </c>
      <c r="J13" s="106" t="s">
        <v>86</v>
      </c>
    </row>
    <row r="14" spans="1:13">
      <c r="A14" s="4" t="s">
        <v>38</v>
      </c>
      <c r="B14" s="2">
        <f t="shared" ref="B14:E15" si="1">1000/B5-10</f>
        <v>23.333333333333336</v>
      </c>
      <c r="C14" s="2">
        <f t="shared" si="1"/>
        <v>7.2413793103448292</v>
      </c>
      <c r="D14" s="2">
        <f t="shared" si="1"/>
        <v>4.0845070422535219</v>
      </c>
      <c r="E14" s="2">
        <f t="shared" si="1"/>
        <v>2.8205128205128212</v>
      </c>
      <c r="G14" s="2" t="s">
        <v>211</v>
      </c>
      <c r="H14" s="2" t="s">
        <v>84</v>
      </c>
      <c r="I14" s="2" t="s">
        <v>139</v>
      </c>
      <c r="J14" s="106" t="s">
        <v>87</v>
      </c>
    </row>
    <row r="15" spans="1:13">
      <c r="A15" s="4" t="s">
        <v>7</v>
      </c>
      <c r="B15" s="2">
        <f t="shared" si="1"/>
        <v>23.333333333333336</v>
      </c>
      <c r="C15" s="2">
        <f t="shared" ref="C15:E15" si="2">1000/C6-10</f>
        <v>8.1818181818181834</v>
      </c>
      <c r="D15" s="2">
        <f t="shared" si="2"/>
        <v>4.2857142857142865</v>
      </c>
      <c r="E15" s="2">
        <f t="shared" si="2"/>
        <v>2.9870129870129869</v>
      </c>
      <c r="G15" s="2" t="s">
        <v>66</v>
      </c>
      <c r="H15" s="2" t="s">
        <v>89</v>
      </c>
      <c r="I15" s="2" t="s">
        <v>139</v>
      </c>
      <c r="J15" s="106" t="s">
        <v>99</v>
      </c>
    </row>
    <row r="16" spans="1:13">
      <c r="A16" s="4" t="s">
        <v>37</v>
      </c>
      <c r="B16" s="2">
        <f>1000/B7-10</f>
        <v>0.41666666666666607</v>
      </c>
      <c r="C16" s="2">
        <f t="shared" ref="C16:E16" si="3">1000/C7-10</f>
        <v>0.41666666666666607</v>
      </c>
      <c r="D16" s="2">
        <f t="shared" si="3"/>
        <v>0.41666666666666607</v>
      </c>
      <c r="E16" s="2">
        <f t="shared" si="3"/>
        <v>0.41666666666666607</v>
      </c>
      <c r="G16" s="2" t="s">
        <v>27</v>
      </c>
      <c r="H16" s="2" t="s">
        <v>85</v>
      </c>
      <c r="I16" s="2" t="s">
        <v>139</v>
      </c>
      <c r="J16" s="106" t="s">
        <v>100</v>
      </c>
    </row>
    <row r="17" spans="1:9" ht="43.2">
      <c r="A17" s="18" t="s">
        <v>63</v>
      </c>
      <c r="B17" s="2">
        <f>1000/B8-10</f>
        <v>0.20408163265306101</v>
      </c>
      <c r="C17" s="2">
        <f t="shared" ref="C17:E17" si="4">1000/C8-10</f>
        <v>0.20408163265306101</v>
      </c>
      <c r="D17" s="2">
        <f t="shared" si="4"/>
        <v>0.20408163265306101</v>
      </c>
      <c r="E17" s="2">
        <f t="shared" si="4"/>
        <v>0.20408163265306101</v>
      </c>
      <c r="G17" s="2" t="s">
        <v>69</v>
      </c>
      <c r="H17" s="2" t="s">
        <v>86</v>
      </c>
      <c r="I17" s="2" t="s">
        <v>139</v>
      </c>
    </row>
    <row r="18" spans="1:9">
      <c r="G18" s="2" t="s">
        <v>26</v>
      </c>
      <c r="H18" s="2" t="s">
        <v>87</v>
      </c>
      <c r="I18" s="2" t="s">
        <v>138</v>
      </c>
    </row>
    <row r="19" spans="1:9" ht="15.6">
      <c r="A19" s="10" t="s">
        <v>12</v>
      </c>
      <c r="G19" s="2" t="s">
        <v>67</v>
      </c>
      <c r="H19" s="36" t="s">
        <v>88</v>
      </c>
      <c r="I19" s="2" t="s">
        <v>140</v>
      </c>
    </row>
    <row r="20" spans="1:9">
      <c r="A20" s="40" t="s">
        <v>1</v>
      </c>
      <c r="B20" s="39" t="s">
        <v>2</v>
      </c>
      <c r="C20" s="39" t="s">
        <v>3</v>
      </c>
      <c r="D20" s="39" t="s">
        <v>4</v>
      </c>
      <c r="E20" s="39" t="s">
        <v>5</v>
      </c>
      <c r="G20" s="2" t="s">
        <v>68</v>
      </c>
    </row>
    <row r="21" spans="1:9">
      <c r="A21" s="5" t="s">
        <v>28</v>
      </c>
      <c r="B21" s="2">
        <v>0.6</v>
      </c>
      <c r="C21" s="2">
        <v>0.35</v>
      </c>
      <c r="D21" s="2">
        <v>0.25</v>
      </c>
      <c r="E21" s="2">
        <v>0</v>
      </c>
      <c r="G21" s="2" t="s">
        <v>25</v>
      </c>
    </row>
    <row r="22" spans="1:9">
      <c r="G22" s="2" t="s">
        <v>70</v>
      </c>
    </row>
    <row r="23" spans="1:9">
      <c r="G23" s="35" t="s">
        <v>35</v>
      </c>
    </row>
    <row r="24" spans="1:9">
      <c r="G24" s="37" t="s">
        <v>115</v>
      </c>
      <c r="H24" s="37" t="s">
        <v>162</v>
      </c>
    </row>
    <row r="25" spans="1:9">
      <c r="G25" s="2"/>
      <c r="H25" s="2" t="s">
        <v>163</v>
      </c>
    </row>
    <row r="26" spans="1:9">
      <c r="G26" s="2" t="s">
        <v>122</v>
      </c>
      <c r="H26" s="2" t="s">
        <v>164</v>
      </c>
    </row>
    <row r="27" spans="1:9">
      <c r="G27" s="2" t="s">
        <v>116</v>
      </c>
    </row>
    <row r="36" spans="1:4" ht="15.6">
      <c r="A36" s="10" t="s">
        <v>20</v>
      </c>
    </row>
    <row r="37" spans="1:4">
      <c r="A37" s="6"/>
      <c r="B37" s="403" t="s">
        <v>14</v>
      </c>
      <c r="C37" s="403"/>
    </row>
    <row r="38" spans="1:4">
      <c r="A38" s="3" t="s">
        <v>15</v>
      </c>
      <c r="B38" s="3" t="s">
        <v>16</v>
      </c>
      <c r="C38" s="3" t="s">
        <v>17</v>
      </c>
    </row>
    <row r="39" spans="1:4">
      <c r="A39" s="3" t="s">
        <v>18</v>
      </c>
      <c r="B39" s="3">
        <v>35</v>
      </c>
      <c r="C39" s="3">
        <v>50</v>
      </c>
    </row>
    <row r="40" spans="1:4">
      <c r="A40" s="3" t="s">
        <v>19</v>
      </c>
      <c r="B40" s="3">
        <v>65</v>
      </c>
      <c r="C40" s="3">
        <v>85</v>
      </c>
    </row>
    <row r="41" spans="1:4">
      <c r="A41" s="7"/>
      <c r="B41" s="7"/>
      <c r="C41" s="7"/>
    </row>
    <row r="42" spans="1:4" ht="15.6">
      <c r="A42" s="11" t="s">
        <v>21</v>
      </c>
      <c r="B42" s="7"/>
      <c r="C42" s="7"/>
    </row>
    <row r="43" spans="1:4">
      <c r="A43" s="8"/>
      <c r="B43" s="403" t="s">
        <v>14</v>
      </c>
      <c r="C43" s="403"/>
      <c r="D43" s="403"/>
    </row>
    <row r="44" spans="1:4">
      <c r="A44" s="9" t="s">
        <v>15</v>
      </c>
      <c r="B44" s="3" t="s">
        <v>22</v>
      </c>
      <c r="C44" s="3" t="s">
        <v>23</v>
      </c>
      <c r="D44" s="3" t="s">
        <v>24</v>
      </c>
    </row>
    <row r="45" spans="1:4">
      <c r="A45" s="3" t="s">
        <v>18</v>
      </c>
      <c r="B45" s="3">
        <v>35</v>
      </c>
      <c r="C45" s="3">
        <v>50</v>
      </c>
      <c r="D45" s="3">
        <v>65</v>
      </c>
    </row>
    <row r="46" spans="1:4">
      <c r="A46" s="3" t="s">
        <v>19</v>
      </c>
      <c r="B46" s="3">
        <v>65</v>
      </c>
      <c r="C46" s="3">
        <v>85</v>
      </c>
      <c r="D46" s="3">
        <v>105</v>
      </c>
    </row>
  </sheetData>
  <sheetProtection algorithmName="SHA-512" hashValue="/qXECI+0Mp3mDl2Vpaoc9H3HLTKjwmuCwXTt2jbajqRdLzxz9QbSS8UO/WDOu+l3IlSrTjlnPsw4Swu0iyCpMg==" saltValue="4BPsJ1qGW5j7mjJoO55A2g==" spinCount="100000" sheet="1" objects="1" scenarios="1"/>
  <mergeCells count="7">
    <mergeCell ref="G1:J1"/>
    <mergeCell ref="B2:E2"/>
    <mergeCell ref="B11:E11"/>
    <mergeCell ref="B37:C37"/>
    <mergeCell ref="B43:D43"/>
    <mergeCell ref="G9:I9"/>
    <mergeCell ref="H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85"/>
  <sheetViews>
    <sheetView view="pageLayout" zoomScaleNormal="100" workbookViewId="0">
      <selection activeCell="D5" sqref="D5"/>
    </sheetView>
  </sheetViews>
  <sheetFormatPr defaultRowHeight="14.4"/>
  <cols>
    <col min="1" max="1" width="3.33203125" customWidth="1"/>
    <col min="2" max="2" width="11.6640625" customWidth="1"/>
    <col min="3" max="3" width="7.33203125" style="135" customWidth="1"/>
    <col min="4" max="11" width="8" customWidth="1"/>
    <col min="12" max="12" width="8" style="114" customWidth="1"/>
    <col min="13" max="14" width="6.88671875" customWidth="1"/>
    <col min="15" max="15" width="8.6640625" customWidth="1"/>
    <col min="16" max="23" width="6.88671875" customWidth="1"/>
  </cols>
  <sheetData>
    <row r="1" spans="1:16" s="121" customFormat="1" ht="16.2" customHeight="1">
      <c r="A1" s="331" t="s">
        <v>175</v>
      </c>
      <c r="B1" s="331"/>
      <c r="C1" s="335"/>
      <c r="D1" s="336"/>
      <c r="E1" s="336"/>
      <c r="F1" s="336"/>
      <c r="G1" s="337"/>
    </row>
    <row r="2" spans="1:16" s="121" customFormat="1" ht="15" customHeight="1" thickBot="1">
      <c r="C2" s="170" t="s">
        <v>200</v>
      </c>
    </row>
    <row r="3" spans="1:16" s="107" customFormat="1" ht="17.399999999999999" customHeight="1">
      <c r="A3" s="56" t="s">
        <v>151</v>
      </c>
      <c r="B3" s="57"/>
      <c r="C3" s="57"/>
      <c r="D3" s="57"/>
      <c r="E3" s="57"/>
      <c r="F3" s="57"/>
      <c r="G3" s="57"/>
      <c r="H3" s="57"/>
      <c r="I3" s="57"/>
      <c r="J3" s="57"/>
      <c r="K3" s="57"/>
      <c r="L3" s="58"/>
      <c r="N3" s="265"/>
      <c r="O3" s="265"/>
      <c r="P3" s="265"/>
    </row>
    <row r="4" spans="1:16" ht="43.8" customHeight="1" thickBot="1">
      <c r="A4" s="332" t="s">
        <v>229</v>
      </c>
      <c r="B4" s="333"/>
      <c r="C4" s="333"/>
      <c r="D4" s="333"/>
      <c r="E4" s="333"/>
      <c r="F4" s="333"/>
      <c r="G4" s="333"/>
      <c r="H4" s="333"/>
      <c r="I4" s="333"/>
      <c r="J4" s="333"/>
      <c r="K4" s="333"/>
      <c r="L4" s="334"/>
      <c r="P4" s="265"/>
    </row>
    <row r="5" spans="1:16" ht="15" customHeight="1">
      <c r="A5" s="156"/>
      <c r="B5" s="109"/>
      <c r="C5" s="138" t="s">
        <v>13</v>
      </c>
      <c r="D5" s="220" t="s">
        <v>124</v>
      </c>
      <c r="E5" s="220" t="s">
        <v>125</v>
      </c>
      <c r="F5" s="220" t="s">
        <v>126</v>
      </c>
      <c r="G5" s="220" t="s">
        <v>127</v>
      </c>
      <c r="H5" s="220" t="s">
        <v>153</v>
      </c>
      <c r="I5" s="220" t="s">
        <v>154</v>
      </c>
      <c r="J5" s="220" t="s">
        <v>155</v>
      </c>
      <c r="K5" s="220" t="s">
        <v>156</v>
      </c>
      <c r="L5" s="221" t="s">
        <v>157</v>
      </c>
      <c r="O5" s="180"/>
      <c r="P5" s="265"/>
    </row>
    <row r="6" spans="1:16" ht="15" customHeight="1">
      <c r="A6" s="330" t="s">
        <v>132</v>
      </c>
      <c r="B6" s="137" t="s">
        <v>131</v>
      </c>
      <c r="C6" s="139">
        <f t="shared" ref="C6:C11" ca="1" si="0">SUM(D6:L6)</f>
        <v>0</v>
      </c>
      <c r="D6" s="142">
        <f ca="1">IFERROR(IF(INDIRECT(D$5&amp;"!F27")&lt;0.01,ROUNDUP(INDIRECT(D$5&amp;"!F27"),2),ROUND(INDIRECT(D$5&amp;"!F27"),2)),0)</f>
        <v>0</v>
      </c>
      <c r="E6" s="142">
        <f t="shared" ref="E6:L6" ca="1" si="1">IFERROR(IF(INDIRECT(E$5&amp;"!F27")&lt;0.01,ROUNDUP(INDIRECT(E$5&amp;"!F27"),2),ROUND(INDIRECT(E$5&amp;"!F27"),2)),0)</f>
        <v>0</v>
      </c>
      <c r="F6" s="142">
        <f t="shared" ca="1" si="1"/>
        <v>0</v>
      </c>
      <c r="G6" s="142">
        <f t="shared" ca="1" si="1"/>
        <v>0</v>
      </c>
      <c r="H6" s="142">
        <f t="shared" ca="1" si="1"/>
        <v>0</v>
      </c>
      <c r="I6" s="142">
        <f t="shared" ca="1" si="1"/>
        <v>0</v>
      </c>
      <c r="J6" s="142">
        <f t="shared" ca="1" si="1"/>
        <v>0</v>
      </c>
      <c r="K6" s="142">
        <f t="shared" ca="1" si="1"/>
        <v>0</v>
      </c>
      <c r="L6" s="158">
        <f t="shared" ca="1" si="1"/>
        <v>0</v>
      </c>
      <c r="O6" s="180"/>
      <c r="P6" s="265"/>
    </row>
    <row r="7" spans="1:16" ht="15" customHeight="1">
      <c r="A7" s="330"/>
      <c r="B7" s="137" t="s">
        <v>130</v>
      </c>
      <c r="C7" s="139">
        <f t="shared" ca="1" si="0"/>
        <v>0</v>
      </c>
      <c r="D7" s="142">
        <f ca="1">IFERROR(IF(INDIRECT(D$5&amp;"!F30")&lt;0.01,ROUNDUP(INDIRECT(D$5&amp;"!F30"),2),ROUND(INDIRECT(D$5&amp;"!F30"),2)),0)</f>
        <v>0</v>
      </c>
      <c r="E7" s="142">
        <f t="shared" ref="E7:L7" ca="1" si="2">IFERROR(IF(INDIRECT(E$5&amp;"!F30")&lt;0.01,ROUNDUP(INDIRECT(E$5&amp;"!F30"),2),ROUND(INDIRECT(E$5&amp;"!F30"),2)),0)</f>
        <v>0</v>
      </c>
      <c r="F7" s="142">
        <f t="shared" ca="1" si="2"/>
        <v>0</v>
      </c>
      <c r="G7" s="142">
        <f t="shared" ca="1" si="2"/>
        <v>0</v>
      </c>
      <c r="H7" s="142">
        <f t="shared" ca="1" si="2"/>
        <v>0</v>
      </c>
      <c r="I7" s="142">
        <f t="shared" ca="1" si="2"/>
        <v>0</v>
      </c>
      <c r="J7" s="142">
        <f t="shared" ca="1" si="2"/>
        <v>0</v>
      </c>
      <c r="K7" s="142">
        <f t="shared" ca="1" si="2"/>
        <v>0</v>
      </c>
      <c r="L7" s="158">
        <f t="shared" ca="1" si="2"/>
        <v>0</v>
      </c>
    </row>
    <row r="8" spans="1:16">
      <c r="A8" s="330"/>
      <c r="B8" s="263" t="s">
        <v>129</v>
      </c>
      <c r="C8" s="139">
        <f t="shared" ca="1" si="0"/>
        <v>0</v>
      </c>
      <c r="D8" s="142">
        <f ca="1">IFERROR(IF(INDIRECT(D$5&amp;"!F28")&lt;0.01,ROUNDUP(INDIRECT(D$5&amp;"!F28"),2),ROUND(INDIRECT(D$5&amp;"!F28"),2)),0)</f>
        <v>0</v>
      </c>
      <c r="E8" s="142">
        <f t="shared" ref="E8:L8" ca="1" si="3">IFERROR(IF(INDIRECT(E$5&amp;"!F28")&lt;0.01,ROUNDUP(INDIRECT(E$5&amp;"!F28"),2),ROUND(INDIRECT(E$5&amp;"!F28"),2)),0)</f>
        <v>0</v>
      </c>
      <c r="F8" s="142">
        <f t="shared" ca="1" si="3"/>
        <v>0</v>
      </c>
      <c r="G8" s="142">
        <f t="shared" ca="1" si="3"/>
        <v>0</v>
      </c>
      <c r="H8" s="142">
        <f t="shared" ca="1" si="3"/>
        <v>0</v>
      </c>
      <c r="I8" s="142">
        <f t="shared" ca="1" si="3"/>
        <v>0</v>
      </c>
      <c r="J8" s="142">
        <f t="shared" ca="1" si="3"/>
        <v>0</v>
      </c>
      <c r="K8" s="142">
        <f t="shared" ca="1" si="3"/>
        <v>0</v>
      </c>
      <c r="L8" s="158">
        <f t="shared" ca="1" si="3"/>
        <v>0</v>
      </c>
    </row>
    <row r="9" spans="1:16" ht="28.8" customHeight="1">
      <c r="A9" s="330"/>
      <c r="B9" s="137" t="s">
        <v>249</v>
      </c>
      <c r="C9" s="139">
        <f t="shared" ca="1" si="0"/>
        <v>0</v>
      </c>
      <c r="D9" s="142">
        <f ca="1">IFERROR(IF(INDIRECT(D$5&amp;"!F31")&lt;0.01,ROUNDUP(INDIRECT(D$5&amp;"!F31"),2),ROUND(INDIRECT(D$5&amp;"!F31"),2)),0)</f>
        <v>0</v>
      </c>
      <c r="E9" s="142">
        <f t="shared" ref="E9:L9" ca="1" si="4">IFERROR(IF(INDIRECT(E$5&amp;"!F31")&lt;0.01,ROUNDUP(INDIRECT(E$5&amp;"!F31"),2),ROUND(INDIRECT(E$5&amp;"!F31"),2)),0)</f>
        <v>0</v>
      </c>
      <c r="F9" s="142">
        <f t="shared" ca="1" si="4"/>
        <v>0</v>
      </c>
      <c r="G9" s="142">
        <f t="shared" ca="1" si="4"/>
        <v>0</v>
      </c>
      <c r="H9" s="142">
        <f t="shared" ca="1" si="4"/>
        <v>0</v>
      </c>
      <c r="I9" s="142">
        <f t="shared" ca="1" si="4"/>
        <v>0</v>
      </c>
      <c r="J9" s="142">
        <f t="shared" ca="1" si="4"/>
        <v>0</v>
      </c>
      <c r="K9" s="142">
        <f t="shared" ca="1" si="4"/>
        <v>0</v>
      </c>
      <c r="L9" s="158">
        <f t="shared" ca="1" si="4"/>
        <v>0</v>
      </c>
    </row>
    <row r="10" spans="1:16" ht="15" customHeight="1">
      <c r="A10" s="330"/>
      <c r="B10" s="137" t="s">
        <v>13</v>
      </c>
      <c r="C10" s="139">
        <f t="shared" ca="1" si="0"/>
        <v>0</v>
      </c>
      <c r="D10" s="142">
        <f ca="1">SUM(D6:D9)</f>
        <v>0</v>
      </c>
      <c r="E10" s="142">
        <f t="shared" ref="E10:L10" ca="1" si="5">SUM(E6:E9)</f>
        <v>0</v>
      </c>
      <c r="F10" s="142">
        <f t="shared" ca="1" si="5"/>
        <v>0</v>
      </c>
      <c r="G10" s="142">
        <f t="shared" ca="1" si="5"/>
        <v>0</v>
      </c>
      <c r="H10" s="142">
        <f t="shared" ca="1" si="5"/>
        <v>0</v>
      </c>
      <c r="I10" s="142">
        <f t="shared" ca="1" si="5"/>
        <v>0</v>
      </c>
      <c r="J10" s="142">
        <f t="shared" ca="1" si="5"/>
        <v>0</v>
      </c>
      <c r="K10" s="142">
        <f t="shared" ca="1" si="5"/>
        <v>0</v>
      </c>
      <c r="L10" s="158">
        <f t="shared" ca="1" si="5"/>
        <v>0</v>
      </c>
    </row>
    <row r="11" spans="1:16" ht="15" customHeight="1" thickBot="1">
      <c r="A11" s="200"/>
      <c r="B11" s="199" t="s">
        <v>133</v>
      </c>
      <c r="C11" s="140">
        <f t="shared" ca="1" si="0"/>
        <v>0</v>
      </c>
      <c r="D11" s="142">
        <f ca="1">IFERROR(IF(INDIRECT(D$5&amp;"!F32")&lt;0.01,ROUNDUP(INDIRECT(D$5&amp;"!F32"),2),ROUND(INDIRECT(D$5&amp;"!F32"),2)),0)</f>
        <v>0</v>
      </c>
      <c r="E11" s="142">
        <f t="shared" ref="E11:L11" ca="1" si="6">IFERROR(IF(INDIRECT(E$5&amp;"!F32")&lt;0.01,ROUNDUP(INDIRECT(E$5&amp;"!F32"),2),ROUND(INDIRECT(E$5&amp;"!F32"),2)),0)</f>
        <v>0</v>
      </c>
      <c r="F11" s="142">
        <f t="shared" ca="1" si="6"/>
        <v>0</v>
      </c>
      <c r="G11" s="142">
        <f t="shared" ca="1" si="6"/>
        <v>0</v>
      </c>
      <c r="H11" s="142">
        <f t="shared" ca="1" si="6"/>
        <v>0</v>
      </c>
      <c r="I11" s="142">
        <f t="shared" ca="1" si="6"/>
        <v>0</v>
      </c>
      <c r="J11" s="142">
        <f t="shared" ca="1" si="6"/>
        <v>0</v>
      </c>
      <c r="K11" s="142">
        <f t="shared" ca="1" si="6"/>
        <v>0</v>
      </c>
      <c r="L11" s="158">
        <f t="shared" ca="1" si="6"/>
        <v>0</v>
      </c>
    </row>
    <row r="12" spans="1:16" s="180" customFormat="1" ht="15" customHeight="1">
      <c r="A12" s="201"/>
      <c r="B12" s="338" t="s">
        <v>230</v>
      </c>
      <c r="C12" s="339"/>
      <c r="D12" s="202">
        <f ca="1">IFERROR(INDIRECT(D$5&amp;"!D5"),0)</f>
        <v>0</v>
      </c>
      <c r="E12" s="202">
        <f t="shared" ref="E12:L12" ca="1" si="7">IFERROR(INDIRECT(E$5&amp;"!D5"),0)</f>
        <v>0</v>
      </c>
      <c r="F12" s="202">
        <f t="shared" ca="1" si="7"/>
        <v>0</v>
      </c>
      <c r="G12" s="202">
        <f t="shared" ca="1" si="7"/>
        <v>0</v>
      </c>
      <c r="H12" s="202">
        <f t="shared" ca="1" si="7"/>
        <v>0</v>
      </c>
      <c r="I12" s="202">
        <f t="shared" ca="1" si="7"/>
        <v>0</v>
      </c>
      <c r="J12" s="202">
        <f t="shared" ca="1" si="7"/>
        <v>0</v>
      </c>
      <c r="K12" s="202">
        <f t="shared" ca="1" si="7"/>
        <v>0</v>
      </c>
      <c r="L12" s="203">
        <f t="shared" ca="1" si="7"/>
        <v>0</v>
      </c>
    </row>
    <row r="13" spans="1:16" s="180" customFormat="1" ht="15" customHeight="1">
      <c r="A13" s="201"/>
      <c r="B13" s="340" t="s">
        <v>231</v>
      </c>
      <c r="C13" s="340"/>
      <c r="D13" s="198">
        <f ca="1">IFERROR(INDIRECT(D$5&amp;"!D6"),0)</f>
        <v>0</v>
      </c>
      <c r="E13" s="198">
        <f t="shared" ref="E13:L13" ca="1" si="8">IFERROR(INDIRECT(E$5&amp;"!D6"),0)</f>
        <v>0</v>
      </c>
      <c r="F13" s="198">
        <f t="shared" ca="1" si="8"/>
        <v>0</v>
      </c>
      <c r="G13" s="198">
        <f t="shared" ca="1" si="8"/>
        <v>0</v>
      </c>
      <c r="H13" s="198">
        <f t="shared" ca="1" si="8"/>
        <v>0</v>
      </c>
      <c r="I13" s="198">
        <f t="shared" ca="1" si="8"/>
        <v>0</v>
      </c>
      <c r="J13" s="198">
        <f t="shared" ca="1" si="8"/>
        <v>0</v>
      </c>
      <c r="K13" s="198">
        <f t="shared" ca="1" si="8"/>
        <v>0</v>
      </c>
      <c r="L13" s="204">
        <f t="shared" ca="1" si="8"/>
        <v>0</v>
      </c>
    </row>
    <row r="14" spans="1:16" ht="70.2" customHeight="1">
      <c r="A14" s="14"/>
      <c r="B14" s="264"/>
      <c r="C14" s="264" t="s">
        <v>250</v>
      </c>
      <c r="D14" s="274">
        <f ca="1">IFERROR(INDIRECT(D5&amp;"!D4"),"")</f>
        <v>0</v>
      </c>
      <c r="E14" s="274">
        <f t="shared" ref="E14:L14" ca="1" si="9">IFERROR(INDIRECT(E5&amp;"!D4"),"")</f>
        <v>0</v>
      </c>
      <c r="F14" s="274">
        <f t="shared" ca="1" si="9"/>
        <v>0</v>
      </c>
      <c r="G14" s="274">
        <f t="shared" ca="1" si="9"/>
        <v>0</v>
      </c>
      <c r="H14" s="274">
        <f t="shared" ca="1" si="9"/>
        <v>0</v>
      </c>
      <c r="I14" s="274">
        <f t="shared" ca="1" si="9"/>
        <v>0</v>
      </c>
      <c r="J14" s="274">
        <f t="shared" ca="1" si="9"/>
        <v>0</v>
      </c>
      <c r="K14" s="274">
        <f t="shared" ca="1" si="9"/>
        <v>0</v>
      </c>
      <c r="L14" s="275">
        <f t="shared" ca="1" si="9"/>
        <v>0</v>
      </c>
    </row>
    <row r="15" spans="1:16" s="180" customFormat="1" ht="4.2" customHeight="1" thickBot="1">
      <c r="A15" s="14"/>
      <c r="B15" s="233"/>
      <c r="C15" s="233"/>
      <c r="D15" s="274"/>
      <c r="E15" s="17"/>
      <c r="F15" s="17"/>
      <c r="G15" s="17"/>
      <c r="H15" s="17"/>
      <c r="I15" s="17"/>
      <c r="J15" s="17"/>
      <c r="K15" s="17"/>
      <c r="L15" s="70"/>
    </row>
    <row r="16" spans="1:16" ht="17.399999999999999" customHeight="1" thickBot="1">
      <c r="A16" s="56" t="s">
        <v>134</v>
      </c>
      <c r="B16" s="57"/>
      <c r="C16" s="57"/>
      <c r="D16" s="57"/>
      <c r="E16" s="57"/>
      <c r="F16" s="57"/>
      <c r="G16" s="57"/>
      <c r="H16" s="57"/>
      <c r="I16" s="57"/>
      <c r="J16" s="57"/>
      <c r="K16" s="57"/>
      <c r="L16" s="58"/>
    </row>
    <row r="17" spans="1:12">
      <c r="A17" s="14"/>
      <c r="B17" s="13"/>
      <c r="C17" s="138" t="s">
        <v>13</v>
      </c>
      <c r="D17" s="143" t="str">
        <f>D5</f>
        <v>SN1</v>
      </c>
      <c r="E17" s="147" t="str">
        <f t="shared" ref="E17:L17" si="10">E5</f>
        <v>SN2</v>
      </c>
      <c r="F17" s="147" t="str">
        <f t="shared" si="10"/>
        <v>SN3</v>
      </c>
      <c r="G17" s="147" t="str">
        <f t="shared" si="10"/>
        <v>SN4</v>
      </c>
      <c r="H17" s="147" t="str">
        <f t="shared" si="10"/>
        <v>SN5</v>
      </c>
      <c r="I17" s="147" t="str">
        <f t="shared" si="10"/>
        <v>SN6</v>
      </c>
      <c r="J17" s="147" t="str">
        <f t="shared" si="10"/>
        <v>SN7</v>
      </c>
      <c r="K17" s="147" t="str">
        <f t="shared" si="10"/>
        <v>SN8</v>
      </c>
      <c r="L17" s="157" t="str">
        <f t="shared" si="10"/>
        <v>SN9</v>
      </c>
    </row>
    <row r="18" spans="1:12">
      <c r="A18" s="14"/>
      <c r="B18" s="20" t="s">
        <v>142</v>
      </c>
      <c r="C18" s="266">
        <f ca="1">SUM(D18:L18)</f>
        <v>0</v>
      </c>
      <c r="D18" s="267">
        <f ca="1">IFERROR(INDIRECT(D$17&amp;"!B58"),0)</f>
        <v>0</v>
      </c>
      <c r="E18" s="268">
        <f t="shared" ref="E18:L18" ca="1" si="11">IFERROR(INDIRECT(E$17&amp;"!B58"),0)</f>
        <v>0</v>
      </c>
      <c r="F18" s="268">
        <f t="shared" ca="1" si="11"/>
        <v>0</v>
      </c>
      <c r="G18" s="268">
        <f t="shared" ca="1" si="11"/>
        <v>0</v>
      </c>
      <c r="H18" s="268">
        <f t="shared" ca="1" si="11"/>
        <v>0</v>
      </c>
      <c r="I18" s="268">
        <f t="shared" ca="1" si="11"/>
        <v>0</v>
      </c>
      <c r="J18" s="268">
        <f t="shared" ca="1" si="11"/>
        <v>0</v>
      </c>
      <c r="K18" s="268">
        <f t="shared" ca="1" si="11"/>
        <v>0</v>
      </c>
      <c r="L18" s="269">
        <f t="shared" ca="1" si="11"/>
        <v>0</v>
      </c>
    </row>
    <row r="19" spans="1:12">
      <c r="A19" s="14"/>
      <c r="B19" s="20" t="s">
        <v>143</v>
      </c>
      <c r="C19" s="266">
        <f ca="1">SUM(D19:L19)</f>
        <v>0</v>
      </c>
      <c r="D19" s="267">
        <f ca="1">IFERROR(INDIRECT(D$17&amp;"!B59"),0)</f>
        <v>0</v>
      </c>
      <c r="E19" s="268">
        <f t="shared" ref="E19:L19" ca="1" si="12">IFERROR(INDIRECT(E$17&amp;"!B59"),0)</f>
        <v>0</v>
      </c>
      <c r="F19" s="268">
        <f t="shared" ca="1" si="12"/>
        <v>0</v>
      </c>
      <c r="G19" s="268">
        <f t="shared" ca="1" si="12"/>
        <v>0</v>
      </c>
      <c r="H19" s="268">
        <f t="shared" ca="1" si="12"/>
        <v>0</v>
      </c>
      <c r="I19" s="268">
        <f t="shared" ca="1" si="12"/>
        <v>0</v>
      </c>
      <c r="J19" s="268">
        <f t="shared" ca="1" si="12"/>
        <v>0</v>
      </c>
      <c r="K19" s="268">
        <f t="shared" ca="1" si="12"/>
        <v>0</v>
      </c>
      <c r="L19" s="269">
        <f t="shared" ca="1" si="12"/>
        <v>0</v>
      </c>
    </row>
    <row r="20" spans="1:12" ht="15" thickBot="1">
      <c r="A20" s="14"/>
      <c r="B20" s="233" t="s">
        <v>141</v>
      </c>
      <c r="C20" s="141" t="str">
        <f ca="1">IF(C19&gt;=C18,"Yes","No")</f>
        <v>Yes</v>
      </c>
      <c r="D20" s="144" t="str">
        <f ca="1">IF(D18=0,"n/a",INDIRECT(D$5&amp;"!B61"))</f>
        <v>n/a</v>
      </c>
      <c r="E20" s="146" t="str">
        <f t="shared" ref="E20:L20" ca="1" si="13">IF(E18=0,"n/a",INDIRECT(E$5&amp;"!B61"))</f>
        <v>n/a</v>
      </c>
      <c r="F20" s="146" t="str">
        <f t="shared" ca="1" si="13"/>
        <v>n/a</v>
      </c>
      <c r="G20" s="146" t="str">
        <f t="shared" ca="1" si="13"/>
        <v>n/a</v>
      </c>
      <c r="H20" s="146" t="str">
        <f t="shared" ca="1" si="13"/>
        <v>n/a</v>
      </c>
      <c r="I20" s="146" t="str">
        <f t="shared" ca="1" si="13"/>
        <v>n/a</v>
      </c>
      <c r="J20" s="146" t="str">
        <f t="shared" ca="1" si="13"/>
        <v>n/a</v>
      </c>
      <c r="K20" s="146" t="str">
        <f t="shared" ca="1" si="13"/>
        <v>n/a</v>
      </c>
      <c r="L20" s="159" t="str">
        <f t="shared" ca="1" si="13"/>
        <v>n/a</v>
      </c>
    </row>
    <row r="21" spans="1:12" s="148" customFormat="1" ht="7.8" customHeight="1">
      <c r="A21" s="14"/>
      <c r="B21" s="233"/>
      <c r="C21" s="154"/>
      <c r="D21" s="146"/>
      <c r="E21" s="146"/>
      <c r="F21" s="146"/>
      <c r="G21" s="146"/>
      <c r="H21" s="146"/>
      <c r="I21" s="146"/>
      <c r="J21" s="146"/>
      <c r="K21" s="146"/>
      <c r="L21" s="159"/>
    </row>
    <row r="22" spans="1:12" ht="65.400000000000006" customHeight="1">
      <c r="A22" s="14"/>
      <c r="B22" s="160" t="s">
        <v>199</v>
      </c>
      <c r="C22" s="326"/>
      <c r="D22" s="327"/>
      <c r="E22" s="327"/>
      <c r="F22" s="327"/>
      <c r="G22" s="327"/>
      <c r="H22" s="327"/>
      <c r="I22" s="327"/>
      <c r="J22" s="327"/>
      <c r="K22" s="327"/>
      <c r="L22" s="328"/>
    </row>
    <row r="23" spans="1:12" s="155" customFormat="1" ht="6.6" customHeight="1" thickBot="1">
      <c r="A23" s="161"/>
      <c r="B23" s="162"/>
      <c r="C23" s="163"/>
      <c r="D23" s="163"/>
      <c r="E23" s="163"/>
      <c r="F23" s="163"/>
      <c r="G23" s="163"/>
      <c r="H23" s="163"/>
      <c r="I23" s="163"/>
      <c r="J23" s="163"/>
      <c r="K23" s="163"/>
      <c r="L23" s="164"/>
    </row>
    <row r="24" spans="1:12" ht="17.399999999999999" customHeight="1" thickBot="1">
      <c r="A24" s="56" t="s">
        <v>135</v>
      </c>
      <c r="B24" s="57"/>
      <c r="C24" s="57"/>
      <c r="D24" s="57"/>
      <c r="E24" s="57"/>
      <c r="F24" s="57"/>
      <c r="G24" s="57"/>
      <c r="H24" s="57"/>
      <c r="I24" s="57"/>
      <c r="J24" s="57"/>
      <c r="K24" s="57"/>
      <c r="L24" s="58"/>
    </row>
    <row r="25" spans="1:12">
      <c r="A25" s="14"/>
      <c r="B25" s="13"/>
      <c r="C25" s="138" t="s">
        <v>13</v>
      </c>
      <c r="D25" s="147" t="str">
        <f>D5</f>
        <v>SN1</v>
      </c>
      <c r="E25" s="147" t="str">
        <f t="shared" ref="E25:L25" si="14">E5</f>
        <v>SN2</v>
      </c>
      <c r="F25" s="147" t="str">
        <f t="shared" si="14"/>
        <v>SN3</v>
      </c>
      <c r="G25" s="147" t="str">
        <f t="shared" si="14"/>
        <v>SN4</v>
      </c>
      <c r="H25" s="147" t="str">
        <f t="shared" si="14"/>
        <v>SN5</v>
      </c>
      <c r="I25" s="147" t="str">
        <f t="shared" si="14"/>
        <v>SN6</v>
      </c>
      <c r="J25" s="147" t="str">
        <f t="shared" si="14"/>
        <v>SN7</v>
      </c>
      <c r="K25" s="147" t="str">
        <f t="shared" si="14"/>
        <v>SN8</v>
      </c>
      <c r="L25" s="157" t="str">
        <f t="shared" si="14"/>
        <v>SN9</v>
      </c>
    </row>
    <row r="26" spans="1:12">
      <c r="A26" s="14"/>
      <c r="B26" s="20" t="s">
        <v>142</v>
      </c>
      <c r="C26" s="266">
        <f ca="1">SUM(D26:L26)</f>
        <v>0</v>
      </c>
      <c r="D26" s="268">
        <f ca="1">IFERROR(INDIRECT(D$5&amp;"!C58"),0)</f>
        <v>0</v>
      </c>
      <c r="E26" s="268">
        <f t="shared" ref="E26:L26" ca="1" si="15">IFERROR(INDIRECT(E$5&amp;"!C58"),0)</f>
        <v>0</v>
      </c>
      <c r="F26" s="268">
        <f t="shared" ca="1" si="15"/>
        <v>0</v>
      </c>
      <c r="G26" s="268">
        <f t="shared" ca="1" si="15"/>
        <v>0</v>
      </c>
      <c r="H26" s="268">
        <f t="shared" ca="1" si="15"/>
        <v>0</v>
      </c>
      <c r="I26" s="268">
        <f t="shared" ca="1" si="15"/>
        <v>0</v>
      </c>
      <c r="J26" s="268">
        <f t="shared" ca="1" si="15"/>
        <v>0</v>
      </c>
      <c r="K26" s="268">
        <f t="shared" ca="1" si="15"/>
        <v>0</v>
      </c>
      <c r="L26" s="269">
        <f t="shared" ca="1" si="15"/>
        <v>0</v>
      </c>
    </row>
    <row r="27" spans="1:12">
      <c r="A27" s="14"/>
      <c r="B27" s="20" t="s">
        <v>143</v>
      </c>
      <c r="C27" s="266">
        <f ca="1">SUM(D27:L27)</f>
        <v>0</v>
      </c>
      <c r="D27" s="268">
        <f ca="1">IFERROR(INDIRECT(D$5&amp;"!C59"),0)+IFERROR(INDIRECT(D$5&amp;"!E85"),0)</f>
        <v>0</v>
      </c>
      <c r="E27" s="268">
        <f t="shared" ref="E27:L27" ca="1" si="16">IFERROR(INDIRECT(E$5&amp;"!C59"),0)+IFERROR(INDIRECT(E$5&amp;"!E85"),0)</f>
        <v>0</v>
      </c>
      <c r="F27" s="268">
        <f t="shared" ca="1" si="16"/>
        <v>0</v>
      </c>
      <c r="G27" s="268">
        <f t="shared" ca="1" si="16"/>
        <v>0</v>
      </c>
      <c r="H27" s="268">
        <f t="shared" ca="1" si="16"/>
        <v>0</v>
      </c>
      <c r="I27" s="268">
        <f t="shared" ca="1" si="16"/>
        <v>0</v>
      </c>
      <c r="J27" s="268">
        <f t="shared" ca="1" si="16"/>
        <v>0</v>
      </c>
      <c r="K27" s="268">
        <f t="shared" ca="1" si="16"/>
        <v>0</v>
      </c>
      <c r="L27" s="269">
        <f t="shared" ca="1" si="16"/>
        <v>0</v>
      </c>
    </row>
    <row r="28" spans="1:12" ht="15" thickBot="1">
      <c r="A28" s="14"/>
      <c r="B28" s="20" t="s">
        <v>141</v>
      </c>
      <c r="C28" s="141" t="str">
        <f ca="1">IF(C27&gt;=C26,"Yes",IF(COUNTIF(D28:L28,"No")&lt;1,"Yes","No"))</f>
        <v>Yes</v>
      </c>
      <c r="D28" s="146" t="str">
        <f ca="1">IF(D26=0,"n/a",INDIRECT(D$5&amp;"!E86"))</f>
        <v>n/a</v>
      </c>
      <c r="E28" s="146" t="str">
        <f t="shared" ref="E28:L28" ca="1" si="17">IF(E26=0,"n/a",INDIRECT(E$5&amp;"!E86"))</f>
        <v>n/a</v>
      </c>
      <c r="F28" s="146" t="str">
        <f t="shared" ca="1" si="17"/>
        <v>n/a</v>
      </c>
      <c r="G28" s="146" t="str">
        <f t="shared" ca="1" si="17"/>
        <v>n/a</v>
      </c>
      <c r="H28" s="146" t="str">
        <f t="shared" ca="1" si="17"/>
        <v>n/a</v>
      </c>
      <c r="I28" s="146" t="str">
        <f t="shared" ca="1" si="17"/>
        <v>n/a</v>
      </c>
      <c r="J28" s="146" t="str">
        <f t="shared" ca="1" si="17"/>
        <v>n/a</v>
      </c>
      <c r="K28" s="146" t="str">
        <f t="shared" ca="1" si="17"/>
        <v>n/a</v>
      </c>
      <c r="L28" s="159" t="str">
        <f t="shared" ca="1" si="17"/>
        <v>n/a</v>
      </c>
    </row>
    <row r="29" spans="1:12" s="136" customFormat="1" ht="7.2" customHeight="1">
      <c r="A29" s="14"/>
      <c r="B29" s="20"/>
      <c r="C29" s="154"/>
      <c r="D29" s="154"/>
      <c r="E29" s="146"/>
      <c r="F29" s="146"/>
      <c r="G29" s="146"/>
      <c r="H29" s="146"/>
      <c r="I29" s="146"/>
      <c r="J29" s="146"/>
      <c r="K29" s="146"/>
      <c r="L29" s="159"/>
    </row>
    <row r="30" spans="1:12" ht="31.2" customHeight="1">
      <c r="A30" s="314" t="s">
        <v>225</v>
      </c>
      <c r="B30" s="315"/>
      <c r="C30" s="315"/>
      <c r="D30" s="315"/>
      <c r="E30" s="315"/>
      <c r="F30" s="315"/>
      <c r="G30" s="315"/>
      <c r="H30" s="315"/>
      <c r="I30" s="315"/>
      <c r="J30" s="315"/>
      <c r="K30" s="315"/>
      <c r="L30" s="316"/>
    </row>
    <row r="31" spans="1:12" s="148" customFormat="1" ht="5.4" customHeight="1">
      <c r="A31" s="14"/>
      <c r="B31" s="165"/>
      <c r="C31" s="165"/>
      <c r="D31" s="165"/>
      <c r="E31" s="165"/>
      <c r="F31" s="165"/>
      <c r="G31" s="165"/>
      <c r="H31" s="165"/>
      <c r="I31" s="165"/>
      <c r="J31" s="165"/>
      <c r="K31" s="165"/>
      <c r="L31" s="166"/>
    </row>
    <row r="32" spans="1:12" s="148" customFormat="1" ht="78" customHeight="1">
      <c r="A32" s="14"/>
      <c r="B32" s="160" t="s">
        <v>199</v>
      </c>
      <c r="C32" s="326"/>
      <c r="D32" s="327"/>
      <c r="E32" s="327"/>
      <c r="F32" s="327"/>
      <c r="G32" s="327"/>
      <c r="H32" s="327"/>
      <c r="I32" s="327"/>
      <c r="J32" s="327"/>
      <c r="K32" s="327"/>
      <c r="L32" s="328"/>
    </row>
    <row r="33" spans="1:12" s="155" customFormat="1" ht="9" customHeight="1" thickBot="1">
      <c r="A33" s="161"/>
      <c r="B33" s="162"/>
      <c r="C33" s="163"/>
      <c r="D33" s="163"/>
      <c r="E33" s="163"/>
      <c r="F33" s="163"/>
      <c r="G33" s="163"/>
      <c r="H33" s="163"/>
      <c r="I33" s="163"/>
      <c r="J33" s="163"/>
      <c r="K33" s="163"/>
      <c r="L33" s="164"/>
    </row>
    <row r="34" spans="1:12" ht="17.399999999999999" customHeight="1" thickBot="1">
      <c r="A34" s="56" t="s">
        <v>180</v>
      </c>
      <c r="B34" s="57"/>
      <c r="C34" s="57"/>
      <c r="D34" s="57"/>
      <c r="E34" s="57"/>
      <c r="F34" s="57"/>
      <c r="G34" s="57"/>
      <c r="H34" s="57"/>
      <c r="I34" s="57"/>
      <c r="J34" s="57"/>
      <c r="K34" s="57"/>
      <c r="L34" s="58"/>
    </row>
    <row r="35" spans="1:12">
      <c r="A35" s="14"/>
      <c r="B35" s="13"/>
      <c r="C35" s="195" t="s">
        <v>13</v>
      </c>
      <c r="D35" s="7" t="str">
        <f>D5</f>
        <v>SN1</v>
      </c>
      <c r="E35" s="7" t="str">
        <f t="shared" ref="E35:L35" si="18">E5</f>
        <v>SN2</v>
      </c>
      <c r="F35" s="7" t="str">
        <f t="shared" si="18"/>
        <v>SN3</v>
      </c>
      <c r="G35" s="7" t="str">
        <f t="shared" si="18"/>
        <v>SN4</v>
      </c>
      <c r="H35" s="7" t="str">
        <f t="shared" si="18"/>
        <v>SN5</v>
      </c>
      <c r="I35" s="7" t="str">
        <f t="shared" si="18"/>
        <v>SN6</v>
      </c>
      <c r="J35" s="7" t="str">
        <f t="shared" si="18"/>
        <v>SN7</v>
      </c>
      <c r="K35" s="7" t="str">
        <f t="shared" si="18"/>
        <v>SN8</v>
      </c>
      <c r="L35" s="167" t="str">
        <f t="shared" si="18"/>
        <v>SN9</v>
      </c>
    </row>
    <row r="36" spans="1:12">
      <c r="A36" s="14"/>
      <c r="B36" s="20" t="s">
        <v>226</v>
      </c>
      <c r="C36" s="196"/>
      <c r="D36" s="181" t="str">
        <f ca="1">IFERROR(IF(INDIRECT(D$35&amp;"!F89")=2,"No","Yes"),0)</f>
        <v>Yes</v>
      </c>
      <c r="E36" s="181" t="str">
        <f t="shared" ref="E36:L36" ca="1" si="19">IFERROR(IF(INDIRECT(E$35&amp;"!F89")=2,"No","Yes"),0)</f>
        <v>Yes</v>
      </c>
      <c r="F36" s="181" t="str">
        <f t="shared" ca="1" si="19"/>
        <v>Yes</v>
      </c>
      <c r="G36" s="181" t="str">
        <f t="shared" ca="1" si="19"/>
        <v>Yes</v>
      </c>
      <c r="H36" s="181" t="str">
        <f t="shared" ca="1" si="19"/>
        <v>Yes</v>
      </c>
      <c r="I36" s="181" t="str">
        <f t="shared" ca="1" si="19"/>
        <v>Yes</v>
      </c>
      <c r="J36" s="181" t="str">
        <f t="shared" ca="1" si="19"/>
        <v>Yes</v>
      </c>
      <c r="K36" s="181" t="str">
        <f t="shared" ca="1" si="19"/>
        <v>Yes</v>
      </c>
      <c r="L36" s="74" t="str">
        <f t="shared" ca="1" si="19"/>
        <v>Yes</v>
      </c>
    </row>
    <row r="37" spans="1:12" s="136" customFormat="1" ht="31.8" customHeight="1">
      <c r="A37" s="14"/>
      <c r="B37" s="179" t="s">
        <v>186</v>
      </c>
      <c r="C37" s="196"/>
      <c r="D37" s="168" t="str">
        <f ca="1">IFERROR(IF(INDIRECT(D35&amp;"!E90")="","n/a",VLOOKUP(INDIRECT(D35&amp;"!E90"),Lookup!$L$2:$M$9,2,FALSE)),"")</f>
        <v>n/a</v>
      </c>
      <c r="E37" s="187" t="str">
        <f ca="1">IFERROR(IF(INDIRECT(E35&amp;"!E90")="","n/a",VLOOKUP(INDIRECT(E35&amp;"!E90"),Lookup!$L$2:$M$9,2,FALSE)),"")</f>
        <v>n/a</v>
      </c>
      <c r="F37" s="187" t="str">
        <f ca="1">IFERROR(IF(INDIRECT(F35&amp;"!E90")="","n/a",VLOOKUP(INDIRECT(F35&amp;"!E90"),Lookup!$L$2:$M$9,2,FALSE)),"")</f>
        <v>n/a</v>
      </c>
      <c r="G37" s="187" t="str">
        <f ca="1">IFERROR(IF(INDIRECT(G35&amp;"!E90")="","n/a",VLOOKUP(INDIRECT(G35&amp;"!E90"),Lookup!$L$2:$M$9,2,FALSE)),"")</f>
        <v>n/a</v>
      </c>
      <c r="H37" s="187" t="str">
        <f ca="1">IFERROR(IF(INDIRECT(H35&amp;"!E90")="","n/a",VLOOKUP(INDIRECT(H35&amp;"!E90"),Lookup!$L$2:$M$9,2,FALSE)),"")</f>
        <v>n/a</v>
      </c>
      <c r="I37" s="187" t="str">
        <f ca="1">IFERROR(IF(INDIRECT(I35&amp;"!E90")="","n/a",VLOOKUP(INDIRECT(I35&amp;"!E90"),Lookup!$L$2:$M$9,2,FALSE)),"")</f>
        <v>n/a</v>
      </c>
      <c r="J37" s="187" t="str">
        <f ca="1">IFERROR(IF(INDIRECT(J35&amp;"!E90")="","n/a",VLOOKUP(INDIRECT(J35&amp;"!E90"),Lookup!$L$2:$M$9,2,FALSE)),"")</f>
        <v>n/a</v>
      </c>
      <c r="K37" s="187" t="str">
        <f ca="1">IFERROR(IF(INDIRECT(K35&amp;"!E90")="","n/a",VLOOKUP(INDIRECT(K35&amp;"!E90"),Lookup!$L$2:$M$9,2,FALSE)),"")</f>
        <v>n/a</v>
      </c>
      <c r="L37" s="188" t="str">
        <f ca="1">IFERROR(IF(INDIRECT(L35&amp;"!E90")="","n/a",VLOOKUP(INDIRECT(L35&amp;"!E90"),Lookup!$L$2:$M$9,2,FALSE)),"")</f>
        <v>n/a</v>
      </c>
    </row>
    <row r="38" spans="1:12" ht="31.2" customHeight="1">
      <c r="A38" s="14"/>
      <c r="B38" s="179" t="s">
        <v>182</v>
      </c>
      <c r="C38" s="196"/>
      <c r="D38" s="168" t="str">
        <f ca="1">IF(D36="Yes",IF(INDIRECT(D$35&amp;"!B91")="Yes","Hydrologic Condition Method",IF(INDIRECT(D$35&amp;"!G94")=TRUE(),"Alternate Extended Detention","Extended Detention")),"n/a")</f>
        <v>Hydrologic Condition Method</v>
      </c>
      <c r="E38" s="168" t="str">
        <f t="shared" ref="E38:L38" ca="1" si="20">IF(E36="Yes",IF(INDIRECT(E$35&amp;"!B91")="Yes","Hydrologic Condition Method",IF(INDIRECT(E$35&amp;"!G94")=TRUE(),"Alternate Extended Detention","Extended Detention")),"n/a")</f>
        <v>Hydrologic Condition Method</v>
      </c>
      <c r="F38" s="168" t="str">
        <f t="shared" ca="1" si="20"/>
        <v>Hydrologic Condition Method</v>
      </c>
      <c r="G38" s="168" t="str">
        <f t="shared" ca="1" si="20"/>
        <v>Hydrologic Condition Method</v>
      </c>
      <c r="H38" s="168" t="str">
        <f t="shared" ca="1" si="20"/>
        <v>Hydrologic Condition Method</v>
      </c>
      <c r="I38" s="168" t="str">
        <f t="shared" ca="1" si="20"/>
        <v>Hydrologic Condition Method</v>
      </c>
      <c r="J38" s="168" t="str">
        <f t="shared" ca="1" si="20"/>
        <v>Hydrologic Condition Method</v>
      </c>
      <c r="K38" s="168" t="str">
        <f t="shared" ca="1" si="20"/>
        <v>Hydrologic Condition Method</v>
      </c>
      <c r="L38" s="169" t="str">
        <f t="shared" ca="1" si="20"/>
        <v>Hydrologic Condition Method</v>
      </c>
    </row>
    <row r="39" spans="1:12" s="180" customFormat="1" ht="14.4" customHeight="1">
      <c r="A39" s="14"/>
      <c r="B39" s="190" t="s">
        <v>228</v>
      </c>
      <c r="C39" s="270">
        <f ca="1">SUM(D39:L39)</f>
        <v>0</v>
      </c>
      <c r="D39" s="271">
        <f ca="1">IFERROR(INDIRECT(D$5&amp;"!D58"),0)</f>
        <v>0</v>
      </c>
      <c r="E39" s="273">
        <f t="shared" ref="E39:L39" ca="1" si="21">IFERROR(INDIRECT(E$5&amp;"!D58"),0)</f>
        <v>0</v>
      </c>
      <c r="F39" s="273">
        <f t="shared" ca="1" si="21"/>
        <v>0</v>
      </c>
      <c r="G39" s="273">
        <f t="shared" ca="1" si="21"/>
        <v>0</v>
      </c>
      <c r="H39" s="273">
        <f t="shared" ca="1" si="21"/>
        <v>0</v>
      </c>
      <c r="I39" s="273">
        <f t="shared" ca="1" si="21"/>
        <v>0</v>
      </c>
      <c r="J39" s="273">
        <f t="shared" ca="1" si="21"/>
        <v>0</v>
      </c>
      <c r="K39" s="273">
        <f t="shared" ca="1" si="21"/>
        <v>0</v>
      </c>
      <c r="L39" s="279">
        <f t="shared" ca="1" si="21"/>
        <v>0</v>
      </c>
    </row>
    <row r="40" spans="1:12" s="180" customFormat="1" ht="14.4" customHeight="1" thickBot="1">
      <c r="A40" s="14"/>
      <c r="B40" s="190" t="s">
        <v>227</v>
      </c>
      <c r="C40" s="272">
        <f ca="1">SUM(D40:L40)</f>
        <v>0</v>
      </c>
      <c r="D40" s="273">
        <f ca="1">IFERROR(INDIRECT(D35&amp;"!D59"),0)</f>
        <v>0</v>
      </c>
      <c r="E40" s="273">
        <f t="shared" ref="E40:L40" ca="1" si="22">IFERROR(INDIRECT(E35&amp;"!D59"),0)</f>
        <v>0</v>
      </c>
      <c r="F40" s="273">
        <f t="shared" ca="1" si="22"/>
        <v>0</v>
      </c>
      <c r="G40" s="273">
        <f t="shared" ca="1" si="22"/>
        <v>0</v>
      </c>
      <c r="H40" s="273">
        <f t="shared" ca="1" si="22"/>
        <v>0</v>
      </c>
      <c r="I40" s="273">
        <f t="shared" ca="1" si="22"/>
        <v>0</v>
      </c>
      <c r="J40" s="273">
        <f t="shared" ca="1" si="22"/>
        <v>0</v>
      </c>
      <c r="K40" s="273">
        <f t="shared" ca="1" si="22"/>
        <v>0</v>
      </c>
      <c r="L40" s="279">
        <f t="shared" ca="1" si="22"/>
        <v>0</v>
      </c>
    </row>
    <row r="41" spans="1:12" ht="13.8" customHeight="1">
      <c r="A41" s="14"/>
      <c r="B41" s="13"/>
      <c r="C41" s="13"/>
      <c r="D41" s="13"/>
      <c r="E41" s="13"/>
      <c r="F41" s="13"/>
      <c r="G41" s="13"/>
      <c r="H41" s="13"/>
      <c r="I41" s="13"/>
      <c r="J41" s="13"/>
      <c r="K41" s="13"/>
      <c r="L41" s="60"/>
    </row>
    <row r="42" spans="1:12" s="148" customFormat="1" ht="78" customHeight="1">
      <c r="A42" s="14"/>
      <c r="B42" s="160" t="s">
        <v>199</v>
      </c>
      <c r="C42" s="326"/>
      <c r="D42" s="327"/>
      <c r="E42" s="327"/>
      <c r="F42" s="327"/>
      <c r="G42" s="327"/>
      <c r="H42" s="327"/>
      <c r="I42" s="327"/>
      <c r="J42" s="327"/>
      <c r="K42" s="327"/>
      <c r="L42" s="329"/>
    </row>
    <row r="43" spans="1:12" s="148" customFormat="1" ht="17.399999999999999" customHeight="1" thickBot="1">
      <c r="A43" s="16"/>
      <c r="B43" s="186"/>
      <c r="C43" s="163"/>
      <c r="D43" s="163"/>
      <c r="E43" s="163"/>
      <c r="F43" s="163"/>
      <c r="G43" s="163"/>
      <c r="H43" s="163"/>
      <c r="I43" s="163"/>
      <c r="J43" s="163"/>
      <c r="K43" s="163"/>
      <c r="L43" s="164"/>
    </row>
    <row r="44" spans="1:12" ht="15.6">
      <c r="A44" s="56" t="s">
        <v>183</v>
      </c>
      <c r="B44" s="57"/>
      <c r="C44" s="57"/>
      <c r="D44" s="57"/>
      <c r="E44" s="57"/>
      <c r="F44" s="57"/>
      <c r="G44" s="57"/>
      <c r="H44" s="57"/>
      <c r="I44" s="57"/>
      <c r="J44" s="57"/>
      <c r="K44" s="57"/>
      <c r="L44" s="58"/>
    </row>
    <row r="45" spans="1:12">
      <c r="A45" s="14"/>
      <c r="B45" s="13"/>
      <c r="C45" s="13"/>
      <c r="D45" s="7" t="str">
        <f>D5</f>
        <v>SN1</v>
      </c>
      <c r="E45" s="7" t="str">
        <f t="shared" ref="E45:L45" si="23">E5</f>
        <v>SN2</v>
      </c>
      <c r="F45" s="7" t="str">
        <f t="shared" si="23"/>
        <v>SN3</v>
      </c>
      <c r="G45" s="7" t="str">
        <f t="shared" si="23"/>
        <v>SN4</v>
      </c>
      <c r="H45" s="7" t="str">
        <f t="shared" si="23"/>
        <v>SN5</v>
      </c>
      <c r="I45" s="7" t="str">
        <f t="shared" si="23"/>
        <v>SN6</v>
      </c>
      <c r="J45" s="7" t="str">
        <f t="shared" si="23"/>
        <v>SN7</v>
      </c>
      <c r="K45" s="7" t="str">
        <f t="shared" si="23"/>
        <v>SN8</v>
      </c>
      <c r="L45" s="167" t="str">
        <f t="shared" si="23"/>
        <v>SN9</v>
      </c>
    </row>
    <row r="46" spans="1:12">
      <c r="A46" s="14"/>
      <c r="B46" s="20"/>
      <c r="C46" s="183" t="s">
        <v>226</v>
      </c>
      <c r="D46" s="7" t="str">
        <f ca="1">IFERROR(IF(INDIRECT(D45&amp;"!F102")=1,"Yes","No"),0)</f>
        <v>Yes</v>
      </c>
      <c r="E46" s="7" t="str">
        <f t="shared" ref="E46:L46" ca="1" si="24">IFERROR(IF(INDIRECT(E45&amp;"!F102")=1,"Yes","No"),0)</f>
        <v>Yes</v>
      </c>
      <c r="F46" s="7" t="str">
        <f t="shared" ca="1" si="24"/>
        <v>Yes</v>
      </c>
      <c r="G46" s="7" t="str">
        <f t="shared" ca="1" si="24"/>
        <v>Yes</v>
      </c>
      <c r="H46" s="7" t="str">
        <f t="shared" ca="1" si="24"/>
        <v>Yes</v>
      </c>
      <c r="I46" s="7" t="str">
        <f t="shared" ca="1" si="24"/>
        <v>Yes</v>
      </c>
      <c r="J46" s="7" t="str">
        <f t="shared" ca="1" si="24"/>
        <v>Yes</v>
      </c>
      <c r="K46" s="7" t="str">
        <f t="shared" ca="1" si="24"/>
        <v>Yes</v>
      </c>
      <c r="L46" s="167" t="str">
        <f t="shared" ca="1" si="24"/>
        <v>Yes</v>
      </c>
    </row>
    <row r="47" spans="1:12">
      <c r="A47" s="14"/>
      <c r="B47" s="13"/>
      <c r="C47" s="20" t="s">
        <v>196</v>
      </c>
      <c r="D47" s="7">
        <f ca="1">IFERROR(INDIRECT(D$45&amp;"!D106"),"")</f>
        <v>0</v>
      </c>
      <c r="E47" s="7">
        <f t="shared" ref="E47:L47" ca="1" si="25">IFERROR(INDIRECT(E$45&amp;"!D106"),"")</f>
        <v>0</v>
      </c>
      <c r="F47" s="7">
        <f t="shared" ca="1" si="25"/>
        <v>0</v>
      </c>
      <c r="G47" s="7">
        <f t="shared" ca="1" si="25"/>
        <v>0</v>
      </c>
      <c r="H47" s="7">
        <f t="shared" ca="1" si="25"/>
        <v>0</v>
      </c>
      <c r="I47" s="7">
        <f t="shared" ca="1" si="25"/>
        <v>0</v>
      </c>
      <c r="J47" s="7">
        <f t="shared" ca="1" si="25"/>
        <v>0</v>
      </c>
      <c r="K47" s="7">
        <f t="shared" ca="1" si="25"/>
        <v>0</v>
      </c>
      <c r="L47" s="167">
        <f t="shared" ca="1" si="25"/>
        <v>0</v>
      </c>
    </row>
    <row r="48" spans="1:12">
      <c r="A48" s="14"/>
      <c r="B48" s="13"/>
      <c r="C48" s="20" t="s">
        <v>197</v>
      </c>
      <c r="D48" s="7">
        <f ca="1">IFERROR(INDIRECT(D$45&amp;"!D108"),"")</f>
        <v>0</v>
      </c>
      <c r="E48" s="7">
        <f t="shared" ref="E48:L48" ca="1" si="26">IFERROR(INDIRECT(E$45&amp;"!D108"),"")</f>
        <v>0</v>
      </c>
      <c r="F48" s="7">
        <f t="shared" ca="1" si="26"/>
        <v>0</v>
      </c>
      <c r="G48" s="7">
        <f t="shared" ca="1" si="26"/>
        <v>0</v>
      </c>
      <c r="H48" s="7">
        <f t="shared" ca="1" si="26"/>
        <v>0</v>
      </c>
      <c r="I48" s="7">
        <f t="shared" ca="1" si="26"/>
        <v>0</v>
      </c>
      <c r="J48" s="7">
        <f t="shared" ca="1" si="26"/>
        <v>0</v>
      </c>
      <c r="K48" s="7">
        <f t="shared" ca="1" si="26"/>
        <v>0</v>
      </c>
      <c r="L48" s="167">
        <f t="shared" ca="1" si="26"/>
        <v>0</v>
      </c>
    </row>
    <row r="49" spans="1:12" ht="29.4" customHeight="1">
      <c r="A49" s="14"/>
      <c r="B49" s="13"/>
      <c r="C49" s="183" t="s">
        <v>186</v>
      </c>
      <c r="D49" s="168" t="str">
        <f ca="1">IFERROR(IF(INDIRECT(D$45&amp;"!E103")="","n/a",VLOOKUP(INDIRECT(D$45&amp;"!E103"),Lookup!$L$2:$M$9,2,FALSE)),"")</f>
        <v>n/a</v>
      </c>
      <c r="E49" s="168" t="str">
        <f ca="1">IFERROR(IF(INDIRECT(E$45&amp;"!E103")="","n/a",VLOOKUP(INDIRECT(E$45&amp;"!E103"),Lookup!$L$2:$M$9,2,FALSE)),"")</f>
        <v>n/a</v>
      </c>
      <c r="F49" s="168" t="str">
        <f ca="1">IFERROR(IF(INDIRECT(F$45&amp;"!E103")="","n/a",VLOOKUP(INDIRECT(F$45&amp;"!E103"),Lookup!$L$2:$M$9,2,FALSE)),"")</f>
        <v>n/a</v>
      </c>
      <c r="G49" s="168" t="str">
        <f ca="1">IFERROR(IF(INDIRECT(G$45&amp;"!E103")="","n/a",VLOOKUP(INDIRECT(G$45&amp;"!E103"),Lookup!$L$2:$M$9,2,FALSE)),"")</f>
        <v>n/a</v>
      </c>
      <c r="H49" s="168" t="str">
        <f ca="1">IFERROR(IF(INDIRECT(H$45&amp;"!E103")="","n/a",VLOOKUP(INDIRECT(H$45&amp;"!E103"),Lookup!$L$2:$M$9,2,FALSE)),"")</f>
        <v>n/a</v>
      </c>
      <c r="I49" s="168" t="str">
        <f ca="1">IFERROR(IF(INDIRECT(I$45&amp;"!E103")="","n/a",VLOOKUP(INDIRECT(I$45&amp;"!E103"),Lookup!$L$2:$M$9,2,FALSE)),"")</f>
        <v>n/a</v>
      </c>
      <c r="J49" s="168" t="str">
        <f ca="1">IFERROR(IF(INDIRECT(J$45&amp;"!E103")="","n/a",VLOOKUP(INDIRECT(J$45&amp;"!E103"),Lookup!$L$2:$M$9,2,FALSE)),"")</f>
        <v>n/a</v>
      </c>
      <c r="K49" s="168" t="str">
        <f ca="1">IFERROR(IF(INDIRECT(K$45&amp;"!E103")="","n/a",VLOOKUP(INDIRECT(K$45&amp;"!E103"),Lookup!$L$2:$M$9,2,FALSE)),"")</f>
        <v>n/a</v>
      </c>
      <c r="L49" s="169" t="str">
        <f ca="1">IFERROR(IF(INDIRECT(L$45&amp;"!E103")="","n/a",VLOOKUP(INDIRECT(L$45&amp;"!E103"),Lookup!$L$2:$M$9,2,FALSE)),"")</f>
        <v>n/a</v>
      </c>
    </row>
    <row r="50" spans="1:12">
      <c r="A50" s="14"/>
      <c r="B50" s="13"/>
      <c r="C50" s="13"/>
      <c r="D50" s="13"/>
      <c r="E50" s="13"/>
      <c r="F50" s="13"/>
      <c r="G50" s="13"/>
      <c r="H50" s="13"/>
      <c r="I50" s="13"/>
      <c r="J50" s="13"/>
      <c r="K50" s="13"/>
      <c r="L50" s="60"/>
    </row>
    <row r="51" spans="1:12" s="148" customFormat="1" ht="78" customHeight="1">
      <c r="A51" s="14"/>
      <c r="B51" s="160" t="s">
        <v>199</v>
      </c>
      <c r="C51" s="326"/>
      <c r="D51" s="327"/>
      <c r="E51" s="327"/>
      <c r="F51" s="327"/>
      <c r="G51" s="327"/>
      <c r="H51" s="327"/>
      <c r="I51" s="327"/>
      <c r="J51" s="327"/>
      <c r="K51" s="327"/>
      <c r="L51" s="328"/>
    </row>
    <row r="52" spans="1:12" s="148" customFormat="1" ht="15" thickBot="1">
      <c r="A52" s="16"/>
      <c r="B52" s="17"/>
      <c r="C52" s="17"/>
      <c r="D52" s="17"/>
      <c r="E52" s="17"/>
      <c r="F52" s="17"/>
      <c r="G52" s="17"/>
      <c r="H52" s="17"/>
      <c r="I52" s="17"/>
      <c r="J52" s="17"/>
      <c r="K52" s="17"/>
      <c r="L52" s="70"/>
    </row>
    <row r="53" spans="1:12" ht="15.6">
      <c r="A53" s="56" t="s">
        <v>195</v>
      </c>
      <c r="B53" s="57"/>
      <c r="C53" s="57"/>
      <c r="D53" s="57"/>
      <c r="E53" s="57"/>
      <c r="F53" s="57"/>
      <c r="G53" s="57"/>
      <c r="H53" s="57"/>
      <c r="I53" s="57"/>
      <c r="J53" s="57"/>
      <c r="K53" s="57"/>
      <c r="L53" s="58"/>
    </row>
    <row r="54" spans="1:12">
      <c r="A54" s="14"/>
      <c r="B54" s="13"/>
      <c r="C54" s="13"/>
      <c r="D54" s="7" t="str">
        <f>D5</f>
        <v>SN1</v>
      </c>
      <c r="E54" s="7" t="str">
        <f t="shared" ref="E54:L54" si="27">E5</f>
        <v>SN2</v>
      </c>
      <c r="F54" s="7" t="str">
        <f t="shared" si="27"/>
        <v>SN3</v>
      </c>
      <c r="G54" s="7" t="str">
        <f t="shared" si="27"/>
        <v>SN4</v>
      </c>
      <c r="H54" s="7" t="str">
        <f t="shared" si="27"/>
        <v>SN5</v>
      </c>
      <c r="I54" s="7" t="str">
        <f t="shared" si="27"/>
        <v>SN6</v>
      </c>
      <c r="J54" s="7" t="str">
        <f t="shared" si="27"/>
        <v>SN7</v>
      </c>
      <c r="K54" s="7" t="str">
        <f t="shared" si="27"/>
        <v>SN8</v>
      </c>
      <c r="L54" s="167" t="str">
        <f t="shared" si="27"/>
        <v>SN9</v>
      </c>
    </row>
    <row r="55" spans="1:12">
      <c r="A55" s="14"/>
      <c r="B55" s="20"/>
      <c r="C55" s="149" t="s">
        <v>226</v>
      </c>
      <c r="D55" s="7" t="str">
        <f ca="1">IFERROR(IF(INDIRECT(D54&amp;"!F114")=1,"Yes","No"),"")</f>
        <v>Yes</v>
      </c>
      <c r="E55" s="7" t="str">
        <f t="shared" ref="E55:L55" ca="1" si="28">IFERROR(IF(INDIRECT(E54&amp;"!F114")=1,"Yes","No"),"")</f>
        <v>Yes</v>
      </c>
      <c r="F55" s="7" t="str">
        <f t="shared" ca="1" si="28"/>
        <v>Yes</v>
      </c>
      <c r="G55" s="7" t="str">
        <f t="shared" ca="1" si="28"/>
        <v>Yes</v>
      </c>
      <c r="H55" s="7" t="str">
        <f t="shared" ca="1" si="28"/>
        <v>Yes</v>
      </c>
      <c r="I55" s="7" t="str">
        <f t="shared" ca="1" si="28"/>
        <v>Yes</v>
      </c>
      <c r="J55" s="7" t="str">
        <f t="shared" ca="1" si="28"/>
        <v>Yes</v>
      </c>
      <c r="K55" s="7" t="str">
        <f t="shared" ca="1" si="28"/>
        <v>Yes</v>
      </c>
      <c r="L55" s="167" t="str">
        <f t="shared" ca="1" si="28"/>
        <v>Yes</v>
      </c>
    </row>
    <row r="56" spans="1:12">
      <c r="A56" s="14"/>
      <c r="B56" s="13"/>
      <c r="C56" s="20" t="s">
        <v>196</v>
      </c>
      <c r="D56" s="7">
        <f ca="1">IFERROR(INDIRECT(D$45&amp;"!D118"),"")</f>
        <v>0</v>
      </c>
      <c r="E56" s="7">
        <f t="shared" ref="E56:L56" ca="1" si="29">IFERROR(INDIRECT(E$45&amp;"!D118"),"")</f>
        <v>0</v>
      </c>
      <c r="F56" s="7">
        <f t="shared" ca="1" si="29"/>
        <v>0</v>
      </c>
      <c r="G56" s="7">
        <f t="shared" ca="1" si="29"/>
        <v>0</v>
      </c>
      <c r="H56" s="7">
        <f t="shared" ca="1" si="29"/>
        <v>0</v>
      </c>
      <c r="I56" s="7">
        <f t="shared" ca="1" si="29"/>
        <v>0</v>
      </c>
      <c r="J56" s="7">
        <f t="shared" ca="1" si="29"/>
        <v>0</v>
      </c>
      <c r="K56" s="7">
        <f t="shared" ca="1" si="29"/>
        <v>0</v>
      </c>
      <c r="L56" s="167">
        <f t="shared" ca="1" si="29"/>
        <v>0</v>
      </c>
    </row>
    <row r="57" spans="1:12">
      <c r="A57" s="14"/>
      <c r="B57" s="13"/>
      <c r="C57" s="20" t="s">
        <v>197</v>
      </c>
      <c r="D57" s="7">
        <f ca="1">IFERROR(INDIRECT(D$45&amp;"!D120"),"")</f>
        <v>0</v>
      </c>
      <c r="E57" s="7">
        <f t="shared" ref="E57:L57" ca="1" si="30">IFERROR(INDIRECT(E$45&amp;"!D120"),"")</f>
        <v>0</v>
      </c>
      <c r="F57" s="7">
        <f t="shared" ca="1" si="30"/>
        <v>0</v>
      </c>
      <c r="G57" s="7">
        <f t="shared" ca="1" si="30"/>
        <v>0</v>
      </c>
      <c r="H57" s="7">
        <f t="shared" ca="1" si="30"/>
        <v>0</v>
      </c>
      <c r="I57" s="7">
        <f t="shared" ca="1" si="30"/>
        <v>0</v>
      </c>
      <c r="J57" s="7">
        <f t="shared" ca="1" si="30"/>
        <v>0</v>
      </c>
      <c r="K57" s="7">
        <f t="shared" ca="1" si="30"/>
        <v>0</v>
      </c>
      <c r="L57" s="167">
        <f t="shared" ca="1" si="30"/>
        <v>0</v>
      </c>
    </row>
    <row r="58" spans="1:12" ht="27" customHeight="1">
      <c r="A58" s="14"/>
      <c r="B58" s="13"/>
      <c r="C58" s="149" t="s">
        <v>186</v>
      </c>
      <c r="D58" s="168" t="str">
        <f ca="1">IFERROR(IF(INDIRECT(D$45&amp;"!E115")="","n/a",VLOOKUP(INDIRECT(D$45&amp;"!E115"),Lookup!$L$2:$M$9,2,FALSE)),"")</f>
        <v>n/a</v>
      </c>
      <c r="E58" s="168" t="str">
        <f ca="1">IFERROR(IF(INDIRECT(E$45&amp;"!E115")="","n/a",VLOOKUP(INDIRECT(E$45&amp;"!E115"),Lookup!$L$2:$M$9,2,FALSE)),"")</f>
        <v>n/a</v>
      </c>
      <c r="F58" s="168" t="str">
        <f ca="1">IFERROR(IF(INDIRECT(F$45&amp;"!E115")="","n/a",VLOOKUP(INDIRECT(F$45&amp;"!E115"),Lookup!$L$2:$M$9,2,FALSE)),"")</f>
        <v>n/a</v>
      </c>
      <c r="G58" s="168" t="str">
        <f ca="1">IFERROR(IF(INDIRECT(G$45&amp;"!E115")="","n/a",VLOOKUP(INDIRECT(G$45&amp;"!E115"),Lookup!$L$2:$M$9,2,FALSE)),"")</f>
        <v>n/a</v>
      </c>
      <c r="H58" s="168" t="str">
        <f ca="1">IFERROR(IF(INDIRECT(H$45&amp;"!E115")="","n/a",VLOOKUP(INDIRECT(H$45&amp;"!E115"),Lookup!$L$2:$M$9,2,FALSE)),"")</f>
        <v>n/a</v>
      </c>
      <c r="I58" s="168" t="str">
        <f ca="1">IFERROR(IF(INDIRECT(I$45&amp;"!E115")="","n/a",VLOOKUP(INDIRECT(I$45&amp;"!E115"),Lookup!$L$2:$M$9,2,FALSE)),"")</f>
        <v>n/a</v>
      </c>
      <c r="J58" s="168" t="str">
        <f ca="1">IFERROR(IF(INDIRECT(J$45&amp;"!E115")="","n/a",VLOOKUP(INDIRECT(J$45&amp;"!E115"),Lookup!$L$2:$M$9,2,FALSE)),"")</f>
        <v>n/a</v>
      </c>
      <c r="K58" s="168" t="str">
        <f ca="1">IFERROR(IF(INDIRECT(K$45&amp;"!E115")="","n/a",VLOOKUP(INDIRECT(K$45&amp;"!E115"),Lookup!$L$2:$M$9,2,FALSE)),"")</f>
        <v>n/a</v>
      </c>
      <c r="L58" s="169" t="str">
        <f ca="1">IFERROR(IF(INDIRECT(L$45&amp;"!E115")="","n/a",VLOOKUP(INDIRECT(L$45&amp;"!E115"),Lookup!$L$2:$M$9,2,FALSE)),"")</f>
        <v>n/a</v>
      </c>
    </row>
    <row r="59" spans="1:12">
      <c r="A59" s="14"/>
      <c r="B59" s="13"/>
      <c r="C59" s="13"/>
      <c r="D59" s="13"/>
      <c r="E59" s="13"/>
      <c r="F59" s="13"/>
      <c r="G59" s="13"/>
      <c r="H59" s="13"/>
      <c r="I59" s="13"/>
      <c r="J59" s="13"/>
      <c r="K59" s="13"/>
      <c r="L59" s="60"/>
    </row>
    <row r="60" spans="1:12" ht="78" customHeight="1">
      <c r="A60" s="14"/>
      <c r="B60" s="160" t="s">
        <v>199</v>
      </c>
      <c r="C60" s="326"/>
      <c r="D60" s="327"/>
      <c r="E60" s="327"/>
      <c r="F60" s="327"/>
      <c r="G60" s="327"/>
      <c r="H60" s="327"/>
      <c r="I60" s="327"/>
      <c r="J60" s="327"/>
      <c r="K60" s="327"/>
      <c r="L60" s="328"/>
    </row>
    <row r="61" spans="1:12" ht="15" thickBot="1">
      <c r="A61" s="16"/>
      <c r="B61" s="17"/>
      <c r="C61" s="17"/>
      <c r="D61" s="17"/>
      <c r="E61" s="17"/>
      <c r="F61" s="17"/>
      <c r="G61" s="17"/>
      <c r="H61" s="17"/>
      <c r="I61" s="17"/>
      <c r="J61" s="17"/>
      <c r="K61" s="17"/>
      <c r="L61" s="70"/>
    </row>
    <row r="62" spans="1:12" ht="15.6">
      <c r="A62" s="56" t="s">
        <v>205</v>
      </c>
      <c r="B62" s="57"/>
      <c r="C62" s="57"/>
      <c r="D62" s="57"/>
      <c r="E62" s="57"/>
      <c r="F62" s="57"/>
      <c r="G62" s="57"/>
      <c r="H62" s="57"/>
      <c r="I62" s="57"/>
      <c r="J62" s="57"/>
      <c r="K62" s="57"/>
      <c r="L62" s="58"/>
    </row>
    <row r="63" spans="1:12" ht="95.4" customHeight="1">
      <c r="A63" s="317"/>
      <c r="B63" s="318"/>
      <c r="C63" s="318"/>
      <c r="D63" s="318"/>
      <c r="E63" s="318"/>
      <c r="F63" s="318"/>
      <c r="G63" s="318"/>
      <c r="H63" s="318"/>
      <c r="I63" s="318"/>
      <c r="J63" s="318"/>
      <c r="K63" s="318"/>
      <c r="L63" s="319"/>
    </row>
    <row r="64" spans="1:12">
      <c r="A64" s="320"/>
      <c r="B64" s="321"/>
      <c r="C64" s="321"/>
      <c r="D64" s="321"/>
      <c r="E64" s="321"/>
      <c r="F64" s="321"/>
      <c r="G64" s="321"/>
      <c r="H64" s="321"/>
      <c r="I64" s="321"/>
      <c r="J64" s="321"/>
      <c r="K64" s="321"/>
      <c r="L64" s="322"/>
    </row>
    <row r="65" spans="1:12">
      <c r="A65" s="320"/>
      <c r="B65" s="321"/>
      <c r="C65" s="321"/>
      <c r="D65" s="321"/>
      <c r="E65" s="321"/>
      <c r="F65" s="321"/>
      <c r="G65" s="321"/>
      <c r="H65" s="321"/>
      <c r="I65" s="321"/>
      <c r="J65" s="321"/>
      <c r="K65" s="321"/>
      <c r="L65" s="322"/>
    </row>
    <row r="66" spans="1:12">
      <c r="A66" s="320"/>
      <c r="B66" s="321"/>
      <c r="C66" s="321"/>
      <c r="D66" s="321"/>
      <c r="E66" s="321"/>
      <c r="F66" s="321"/>
      <c r="G66" s="321"/>
      <c r="H66" s="321"/>
      <c r="I66" s="321"/>
      <c r="J66" s="321"/>
      <c r="K66" s="321"/>
      <c r="L66" s="322"/>
    </row>
    <row r="67" spans="1:12">
      <c r="A67" s="320"/>
      <c r="B67" s="321"/>
      <c r="C67" s="321"/>
      <c r="D67" s="321"/>
      <c r="E67" s="321"/>
      <c r="F67" s="321"/>
      <c r="G67" s="321"/>
      <c r="H67" s="321"/>
      <c r="I67" s="321"/>
      <c r="J67" s="321"/>
      <c r="K67" s="321"/>
      <c r="L67" s="322"/>
    </row>
    <row r="68" spans="1:12">
      <c r="A68" s="320"/>
      <c r="B68" s="321"/>
      <c r="C68" s="321"/>
      <c r="D68" s="321"/>
      <c r="E68" s="321"/>
      <c r="F68" s="321"/>
      <c r="G68" s="321"/>
      <c r="H68" s="321"/>
      <c r="I68" s="321"/>
      <c r="J68" s="321"/>
      <c r="K68" s="321"/>
      <c r="L68" s="322"/>
    </row>
    <row r="69" spans="1:12">
      <c r="A69" s="320"/>
      <c r="B69" s="321"/>
      <c r="C69" s="321"/>
      <c r="D69" s="321"/>
      <c r="E69" s="321"/>
      <c r="F69" s="321"/>
      <c r="G69" s="321"/>
      <c r="H69" s="321"/>
      <c r="I69" s="321"/>
      <c r="J69" s="321"/>
      <c r="K69" s="321"/>
      <c r="L69" s="322"/>
    </row>
    <row r="70" spans="1:12">
      <c r="A70" s="320"/>
      <c r="B70" s="321"/>
      <c r="C70" s="321"/>
      <c r="D70" s="321"/>
      <c r="E70" s="321"/>
      <c r="F70" s="321"/>
      <c r="G70" s="321"/>
      <c r="H70" s="321"/>
      <c r="I70" s="321"/>
      <c r="J70" s="321"/>
      <c r="K70" s="321"/>
      <c r="L70" s="322"/>
    </row>
    <row r="71" spans="1:12">
      <c r="A71" s="320"/>
      <c r="B71" s="321"/>
      <c r="C71" s="321"/>
      <c r="D71" s="321"/>
      <c r="E71" s="321"/>
      <c r="F71" s="321"/>
      <c r="G71" s="321"/>
      <c r="H71" s="321"/>
      <c r="I71" s="321"/>
      <c r="J71" s="321"/>
      <c r="K71" s="321"/>
      <c r="L71" s="322"/>
    </row>
    <row r="72" spans="1:12">
      <c r="A72" s="320"/>
      <c r="B72" s="321"/>
      <c r="C72" s="321"/>
      <c r="D72" s="321"/>
      <c r="E72" s="321"/>
      <c r="F72" s="321"/>
      <c r="G72" s="321"/>
      <c r="H72" s="321"/>
      <c r="I72" s="321"/>
      <c r="J72" s="321"/>
      <c r="K72" s="321"/>
      <c r="L72" s="322"/>
    </row>
    <row r="73" spans="1:12">
      <c r="A73" s="320"/>
      <c r="B73" s="321"/>
      <c r="C73" s="321"/>
      <c r="D73" s="321"/>
      <c r="E73" s="321"/>
      <c r="F73" s="321"/>
      <c r="G73" s="321"/>
      <c r="H73" s="321"/>
      <c r="I73" s="321"/>
      <c r="J73" s="321"/>
      <c r="K73" s="321"/>
      <c r="L73" s="322"/>
    </row>
    <row r="74" spans="1:12">
      <c r="A74" s="320"/>
      <c r="B74" s="321"/>
      <c r="C74" s="321"/>
      <c r="D74" s="321"/>
      <c r="E74" s="321"/>
      <c r="F74" s="321"/>
      <c r="G74" s="321"/>
      <c r="H74" s="321"/>
      <c r="I74" s="321"/>
      <c r="J74" s="321"/>
      <c r="K74" s="321"/>
      <c r="L74" s="322"/>
    </row>
    <row r="75" spans="1:12">
      <c r="A75" s="320"/>
      <c r="B75" s="321"/>
      <c r="C75" s="321"/>
      <c r="D75" s="321"/>
      <c r="E75" s="321"/>
      <c r="F75" s="321"/>
      <c r="G75" s="321"/>
      <c r="H75" s="321"/>
      <c r="I75" s="321"/>
      <c r="J75" s="321"/>
      <c r="K75" s="321"/>
      <c r="L75" s="322"/>
    </row>
    <row r="76" spans="1:12">
      <c r="A76" s="320"/>
      <c r="B76" s="321"/>
      <c r="C76" s="321"/>
      <c r="D76" s="321"/>
      <c r="E76" s="321"/>
      <c r="F76" s="321"/>
      <c r="G76" s="321"/>
      <c r="H76" s="321"/>
      <c r="I76" s="321"/>
      <c r="J76" s="321"/>
      <c r="K76" s="321"/>
      <c r="L76" s="322"/>
    </row>
    <row r="77" spans="1:12">
      <c r="A77" s="320"/>
      <c r="B77" s="321"/>
      <c r="C77" s="321"/>
      <c r="D77" s="321"/>
      <c r="E77" s="321"/>
      <c r="F77" s="321"/>
      <c r="G77" s="321"/>
      <c r="H77" s="321"/>
      <c r="I77" s="321"/>
      <c r="J77" s="321"/>
      <c r="K77" s="321"/>
      <c r="L77" s="322"/>
    </row>
    <row r="78" spans="1:12">
      <c r="A78" s="320"/>
      <c r="B78" s="321"/>
      <c r="C78" s="321"/>
      <c r="D78" s="321"/>
      <c r="E78" s="321"/>
      <c r="F78" s="321"/>
      <c r="G78" s="321"/>
      <c r="H78" s="321"/>
      <c r="I78" s="321"/>
      <c r="J78" s="321"/>
      <c r="K78" s="321"/>
      <c r="L78" s="322"/>
    </row>
    <row r="79" spans="1:12">
      <c r="A79" s="320"/>
      <c r="B79" s="321"/>
      <c r="C79" s="321"/>
      <c r="D79" s="321"/>
      <c r="E79" s="321"/>
      <c r="F79" s="321"/>
      <c r="G79" s="321"/>
      <c r="H79" s="321"/>
      <c r="I79" s="321"/>
      <c r="J79" s="321"/>
      <c r="K79" s="321"/>
      <c r="L79" s="322"/>
    </row>
    <row r="80" spans="1:12">
      <c r="A80" s="320"/>
      <c r="B80" s="321"/>
      <c r="C80" s="321"/>
      <c r="D80" s="321"/>
      <c r="E80" s="321"/>
      <c r="F80" s="321"/>
      <c r="G80" s="321"/>
      <c r="H80" s="321"/>
      <c r="I80" s="321"/>
      <c r="J80" s="321"/>
      <c r="K80" s="321"/>
      <c r="L80" s="322"/>
    </row>
    <row r="81" spans="1:12">
      <c r="A81" s="320"/>
      <c r="B81" s="321"/>
      <c r="C81" s="321"/>
      <c r="D81" s="321"/>
      <c r="E81" s="321"/>
      <c r="F81" s="321"/>
      <c r="G81" s="321"/>
      <c r="H81" s="321"/>
      <c r="I81" s="321"/>
      <c r="J81" s="321"/>
      <c r="K81" s="321"/>
      <c r="L81" s="322"/>
    </row>
    <row r="82" spans="1:12">
      <c r="A82" s="320"/>
      <c r="B82" s="321"/>
      <c r="C82" s="321"/>
      <c r="D82" s="321"/>
      <c r="E82" s="321"/>
      <c r="F82" s="321"/>
      <c r="G82" s="321"/>
      <c r="H82" s="321"/>
      <c r="I82" s="321"/>
      <c r="J82" s="321"/>
      <c r="K82" s="321"/>
      <c r="L82" s="322"/>
    </row>
    <row r="83" spans="1:12">
      <c r="A83" s="320"/>
      <c r="B83" s="321"/>
      <c r="C83" s="321"/>
      <c r="D83" s="321"/>
      <c r="E83" s="321"/>
      <c r="F83" s="321"/>
      <c r="G83" s="321"/>
      <c r="H83" s="321"/>
      <c r="I83" s="321"/>
      <c r="J83" s="321"/>
      <c r="K83" s="321"/>
      <c r="L83" s="322"/>
    </row>
    <row r="84" spans="1:12">
      <c r="A84" s="320"/>
      <c r="B84" s="321"/>
      <c r="C84" s="321"/>
      <c r="D84" s="321"/>
      <c r="E84" s="321"/>
      <c r="F84" s="321"/>
      <c r="G84" s="321"/>
      <c r="H84" s="321"/>
      <c r="I84" s="321"/>
      <c r="J84" s="321"/>
      <c r="K84" s="321"/>
      <c r="L84" s="322"/>
    </row>
    <row r="85" spans="1:12" ht="15" thickBot="1">
      <c r="A85" s="323"/>
      <c r="B85" s="324"/>
      <c r="C85" s="324"/>
      <c r="D85" s="324"/>
      <c r="E85" s="324"/>
      <c r="F85" s="324"/>
      <c r="G85" s="324"/>
      <c r="H85" s="324"/>
      <c r="I85" s="324"/>
      <c r="J85" s="324"/>
      <c r="K85" s="324"/>
      <c r="L85" s="325"/>
    </row>
  </sheetData>
  <sheetProtection algorithmName="SHA-512" hashValue="h6TNLhshjpz40prBnTEEI40PLr1UTRL39Itrojr1WpObuv0XDmrwMQ+79KuGXSn/wkZrKe+vGK7Ue4FeyLp9gw==" saltValue="XKMCv3xFjOL+raFt/Ib4PA==" spinCount="100000" sheet="1" objects="1" scenarios="1"/>
  <mergeCells count="13">
    <mergeCell ref="A6:A10"/>
    <mergeCell ref="A1:B1"/>
    <mergeCell ref="A4:L4"/>
    <mergeCell ref="C22:L22"/>
    <mergeCell ref="C1:G1"/>
    <mergeCell ref="B12:C12"/>
    <mergeCell ref="B13:C13"/>
    <mergeCell ref="A30:L30"/>
    <mergeCell ref="A63:L85"/>
    <mergeCell ref="C32:L32"/>
    <mergeCell ref="C42:L42"/>
    <mergeCell ref="C51:L51"/>
    <mergeCell ref="C60:L60"/>
  </mergeCells>
  <conditionalFormatting sqref="D29">
    <cfRule type="expression" dxfId="454" priority="108">
      <formula>D29="n/a"</formula>
    </cfRule>
    <cfRule type="expression" dxfId="453" priority="109">
      <formula>D29="Yes"</formula>
    </cfRule>
    <cfRule type="expression" dxfId="452" priority="110">
      <formula>D29="No"</formula>
    </cfRule>
  </conditionalFormatting>
  <conditionalFormatting sqref="D20:E20">
    <cfRule type="expression" dxfId="451" priority="100">
      <formula>D20="Yes"</formula>
    </cfRule>
    <cfRule type="expression" dxfId="450" priority="101">
      <formula>D20="No"</formula>
    </cfRule>
  </conditionalFormatting>
  <conditionalFormatting sqref="C20">
    <cfRule type="expression" dxfId="449" priority="91">
      <formula>C20="n/a"</formula>
    </cfRule>
    <cfRule type="expression" dxfId="448" priority="92">
      <formula>C20="Yes"</formula>
    </cfRule>
    <cfRule type="expression" dxfId="447" priority="93">
      <formula>C20="No"</formula>
    </cfRule>
  </conditionalFormatting>
  <conditionalFormatting sqref="C28:C29">
    <cfRule type="expression" dxfId="446" priority="88">
      <formula>C28="n/a"</formula>
    </cfRule>
    <cfRule type="expression" dxfId="445" priority="89">
      <formula>C28="Yes"</formula>
    </cfRule>
    <cfRule type="expression" dxfId="444" priority="90">
      <formula>C28="No"</formula>
    </cfRule>
  </conditionalFormatting>
  <conditionalFormatting sqref="D6:D13">
    <cfRule type="expression" dxfId="443" priority="85">
      <formula>D$11&gt;0</formula>
    </cfRule>
  </conditionalFormatting>
  <conditionalFormatting sqref="E5:L11">
    <cfRule type="expression" dxfId="442" priority="79">
      <formula>E$11=0</formula>
    </cfRule>
    <cfRule type="expression" dxfId="441" priority="81">
      <formula>E$11&gt;0</formula>
    </cfRule>
  </conditionalFormatting>
  <conditionalFormatting sqref="E6:L11">
    <cfRule type="expression" dxfId="440" priority="80">
      <formula>E$11&gt;0</formula>
    </cfRule>
  </conditionalFormatting>
  <conditionalFormatting sqref="E17:E20">
    <cfRule type="expression" dxfId="439" priority="73">
      <formula>E$11&gt;0</formula>
    </cfRule>
    <cfRule type="expression" dxfId="438" priority="78">
      <formula>E$11=0</formula>
    </cfRule>
  </conditionalFormatting>
  <conditionalFormatting sqref="D20">
    <cfRule type="expression" dxfId="437" priority="77">
      <formula>D$11=0</formula>
    </cfRule>
  </conditionalFormatting>
  <conditionalFormatting sqref="D17:D20">
    <cfRule type="expression" dxfId="436" priority="74">
      <formula>D$11=0</formula>
    </cfRule>
    <cfRule type="expression" dxfId="435" priority="76">
      <formula>D$11&gt;0</formula>
    </cfRule>
  </conditionalFormatting>
  <conditionalFormatting sqref="D18:D19">
    <cfRule type="expression" dxfId="434" priority="75">
      <formula>D$11&gt;0</formula>
    </cfRule>
  </conditionalFormatting>
  <conditionalFormatting sqref="E18:E19">
    <cfRule type="expression" dxfId="433" priority="72">
      <formula>E$11&gt;0</formula>
    </cfRule>
  </conditionalFormatting>
  <conditionalFormatting sqref="F20:L20">
    <cfRule type="expression" dxfId="432" priority="70">
      <formula>F20="Yes"</formula>
    </cfRule>
    <cfRule type="expression" dxfId="431" priority="71">
      <formula>F20="No"</formula>
    </cfRule>
  </conditionalFormatting>
  <conditionalFormatting sqref="F17:L20">
    <cfRule type="expression" dxfId="430" priority="68">
      <formula>F$11&gt;0</formula>
    </cfRule>
    <cfRule type="expression" dxfId="429" priority="69">
      <formula>F$11=0</formula>
    </cfRule>
  </conditionalFormatting>
  <conditionalFormatting sqref="F18:L19">
    <cfRule type="expression" dxfId="428" priority="67">
      <formula>F$11&gt;0</formula>
    </cfRule>
  </conditionalFormatting>
  <conditionalFormatting sqref="F28">
    <cfRule type="expression" dxfId="427" priority="65">
      <formula>F28="Yes"</formula>
    </cfRule>
    <cfRule type="expression" dxfId="426" priority="66">
      <formula>F28="No"</formula>
    </cfRule>
  </conditionalFormatting>
  <conditionalFormatting sqref="F25:F26 F28">
    <cfRule type="expression" dxfId="425" priority="63">
      <formula>F$11&gt;0</formula>
    </cfRule>
    <cfRule type="expression" dxfId="424" priority="64">
      <formula>F$11=0</formula>
    </cfRule>
  </conditionalFormatting>
  <conditionalFormatting sqref="F26">
    <cfRule type="expression" dxfId="423" priority="62">
      <formula>F$11&gt;0</formula>
    </cfRule>
  </conditionalFormatting>
  <conditionalFormatting sqref="E28">
    <cfRule type="expression" dxfId="422" priority="60">
      <formula>E28="Yes"</formula>
    </cfRule>
    <cfRule type="expression" dxfId="421" priority="61">
      <formula>E28="No"</formula>
    </cfRule>
  </conditionalFormatting>
  <conditionalFormatting sqref="E25:E26 E28">
    <cfRule type="expression" dxfId="420" priority="58">
      <formula>E$11&gt;0</formula>
    </cfRule>
    <cfRule type="expression" dxfId="419" priority="59">
      <formula>E$11=0</formula>
    </cfRule>
  </conditionalFormatting>
  <conditionalFormatting sqref="E26">
    <cfRule type="expression" dxfId="418" priority="57">
      <formula>E$11&gt;0</formula>
    </cfRule>
  </conditionalFormatting>
  <conditionalFormatting sqref="G28:L28">
    <cfRule type="expression" dxfId="417" priority="55">
      <formula>G28="Yes"</formula>
    </cfRule>
    <cfRule type="expression" dxfId="416" priority="56">
      <formula>G28="No"</formula>
    </cfRule>
  </conditionalFormatting>
  <conditionalFormatting sqref="G25:L26 G28:L28">
    <cfRule type="expression" dxfId="415" priority="53">
      <formula>G$11&gt;0</formula>
    </cfRule>
    <cfRule type="expression" dxfId="414" priority="54">
      <formula>G$11=0</formula>
    </cfRule>
  </conditionalFormatting>
  <conditionalFormatting sqref="G26:L26">
    <cfRule type="expression" dxfId="413" priority="52">
      <formula>G$11&gt;0</formula>
    </cfRule>
  </conditionalFormatting>
  <conditionalFormatting sqref="D35:D40">
    <cfRule type="expression" dxfId="412" priority="10">
      <formula>D$11&gt;0</formula>
    </cfRule>
    <cfRule type="expression" dxfId="411" priority="51">
      <formula>D$11=0</formula>
    </cfRule>
  </conditionalFormatting>
  <conditionalFormatting sqref="D36:D40">
    <cfRule type="expression" dxfId="410" priority="49">
      <formula>D$11&gt;0</formula>
    </cfRule>
  </conditionalFormatting>
  <conditionalFormatting sqref="E35:L36">
    <cfRule type="expression" dxfId="409" priority="47">
      <formula>E$11&gt;0</formula>
    </cfRule>
    <cfRule type="expression" dxfId="408" priority="48">
      <formula>E$11=0</formula>
    </cfRule>
  </conditionalFormatting>
  <conditionalFormatting sqref="E36:L36">
    <cfRule type="expression" dxfId="407" priority="46">
      <formula>E$11&gt;0</formula>
    </cfRule>
  </conditionalFormatting>
  <conditionalFormatting sqref="D45:D49">
    <cfRule type="expression" dxfId="406" priority="44">
      <formula>D$11&gt;0</formula>
    </cfRule>
    <cfRule type="expression" dxfId="405" priority="45">
      <formula>D$11=0</formula>
    </cfRule>
  </conditionalFormatting>
  <conditionalFormatting sqref="D46:D49">
    <cfRule type="expression" dxfId="404" priority="43">
      <formula>D$11&gt;0</formula>
    </cfRule>
  </conditionalFormatting>
  <conditionalFormatting sqref="E45:L49">
    <cfRule type="expression" dxfId="403" priority="41">
      <formula>E$11&gt;0</formula>
    </cfRule>
    <cfRule type="expression" dxfId="402" priority="42">
      <formula>E$11=0</formula>
    </cfRule>
  </conditionalFormatting>
  <conditionalFormatting sqref="E46:L49">
    <cfRule type="expression" dxfId="401" priority="40">
      <formula>E$11&gt;0</formula>
    </cfRule>
  </conditionalFormatting>
  <conditionalFormatting sqref="D54:D58">
    <cfRule type="expression" dxfId="400" priority="38">
      <formula>D$11&gt;0</formula>
    </cfRule>
    <cfRule type="expression" dxfId="399" priority="39">
      <formula>D$11=0</formula>
    </cfRule>
  </conditionalFormatting>
  <conditionalFormatting sqref="D55:D58">
    <cfRule type="expression" dxfId="398" priority="37">
      <formula>D$11&gt;0</formula>
    </cfRule>
  </conditionalFormatting>
  <conditionalFormatting sqref="E54:L54">
    <cfRule type="expression" dxfId="397" priority="35">
      <formula>E$11&gt;0</formula>
    </cfRule>
    <cfRule type="expression" dxfId="396" priority="36">
      <formula>E$11=0</formula>
    </cfRule>
  </conditionalFormatting>
  <conditionalFormatting sqref="E55:L58">
    <cfRule type="expression" dxfId="395" priority="31">
      <formula>E$11&gt;0</formula>
    </cfRule>
  </conditionalFormatting>
  <conditionalFormatting sqref="E55:L58">
    <cfRule type="expression" dxfId="394" priority="32">
      <formula>E$11&gt;0</formula>
    </cfRule>
    <cfRule type="expression" dxfId="393" priority="33">
      <formula>E$11=0</formula>
    </cfRule>
  </conditionalFormatting>
  <conditionalFormatting sqref="E37:L37">
    <cfRule type="expression" dxfId="392" priority="28">
      <formula>E$11&gt;0</formula>
    </cfRule>
  </conditionalFormatting>
  <conditionalFormatting sqref="E37:L37">
    <cfRule type="expression" dxfId="391" priority="29">
      <formula>E$11&gt;0</formula>
    </cfRule>
    <cfRule type="expression" dxfId="390" priority="30">
      <formula>E$11=0</formula>
    </cfRule>
  </conditionalFormatting>
  <conditionalFormatting sqref="E38:E40">
    <cfRule type="expression" dxfId="389" priority="26">
      <formula>E$11&gt;0</formula>
    </cfRule>
    <cfRule type="expression" dxfId="388" priority="27">
      <formula>E$11=0</formula>
    </cfRule>
  </conditionalFormatting>
  <conditionalFormatting sqref="E38:E40">
    <cfRule type="expression" dxfId="387" priority="25">
      <formula>E$11&gt;0</formula>
    </cfRule>
  </conditionalFormatting>
  <conditionalFormatting sqref="F38:F40">
    <cfRule type="expression" dxfId="386" priority="23">
      <formula>F$11&gt;0</formula>
    </cfRule>
    <cfRule type="expression" dxfId="385" priority="24">
      <formula>F$11=0</formula>
    </cfRule>
  </conditionalFormatting>
  <conditionalFormatting sqref="F38:F40">
    <cfRule type="expression" dxfId="384" priority="22">
      <formula>F$11&gt;0</formula>
    </cfRule>
  </conditionalFormatting>
  <conditionalFormatting sqref="G38:L40">
    <cfRule type="expression" dxfId="383" priority="20">
      <formula>G$11&gt;0</formula>
    </cfRule>
    <cfRule type="expression" dxfId="382" priority="21">
      <formula>G$11=0</formula>
    </cfRule>
  </conditionalFormatting>
  <conditionalFormatting sqref="G38:L40">
    <cfRule type="expression" dxfId="381" priority="19">
      <formula>G$11&gt;0</formula>
    </cfRule>
  </conditionalFormatting>
  <conditionalFormatting sqref="D28">
    <cfRule type="expression" dxfId="380" priority="17">
      <formula>D28="Yes"</formula>
    </cfRule>
    <cfRule type="expression" dxfId="379" priority="18">
      <formula>D28="No"</formula>
    </cfRule>
  </conditionalFormatting>
  <conditionalFormatting sqref="D25:D28">
    <cfRule type="expression" dxfId="378" priority="15">
      <formula>D$11&gt;0</formula>
    </cfRule>
    <cfRule type="expression" dxfId="377" priority="16">
      <formula>D$11=0</formula>
    </cfRule>
  </conditionalFormatting>
  <conditionalFormatting sqref="D26:D27">
    <cfRule type="expression" dxfId="376" priority="14">
      <formula>D$11&gt;0</formula>
    </cfRule>
  </conditionalFormatting>
  <conditionalFormatting sqref="E27:L27">
    <cfRule type="expression" dxfId="375" priority="12">
      <formula>E$11&gt;0</formula>
    </cfRule>
    <cfRule type="expression" dxfId="374" priority="13">
      <formula>E$11=0</formula>
    </cfRule>
  </conditionalFormatting>
  <conditionalFormatting sqref="E27:L27">
    <cfRule type="expression" dxfId="373" priority="11">
      <formula>E$11&gt;0</formula>
    </cfRule>
  </conditionalFormatting>
  <conditionalFormatting sqref="D5:D13">
    <cfRule type="expression" dxfId="372" priority="82">
      <formula>D$11=0</formula>
    </cfRule>
    <cfRule type="expression" dxfId="371" priority="86">
      <formula>D$11&gt;0</formula>
    </cfRule>
  </conditionalFormatting>
  <conditionalFormatting sqref="E12:L13">
    <cfRule type="expression" dxfId="370" priority="8">
      <formula>E$11&gt;0</formula>
    </cfRule>
  </conditionalFormatting>
  <conditionalFormatting sqref="E12:L13">
    <cfRule type="expression" dxfId="369" priority="7">
      <formula>E$11=0</formula>
    </cfRule>
    <cfRule type="expression" dxfId="368" priority="9">
      <formula>E$11&gt;0</formula>
    </cfRule>
  </conditionalFormatting>
  <conditionalFormatting sqref="D14">
    <cfRule type="expression" dxfId="367" priority="5">
      <formula>D$11&gt;0</formula>
    </cfRule>
    <cfRule type="expression" dxfId="366" priority="6">
      <formula>D$11=0</formula>
    </cfRule>
  </conditionalFormatting>
  <conditionalFormatting sqref="E14:K14">
    <cfRule type="expression" dxfId="365" priority="3">
      <formula>E$11&gt;0</formula>
    </cfRule>
    <cfRule type="expression" dxfId="364" priority="4">
      <formula>E$11=0</formula>
    </cfRule>
  </conditionalFormatting>
  <conditionalFormatting sqref="L14">
    <cfRule type="expression" dxfId="363" priority="1">
      <formula>$L$11&gt;0</formula>
    </cfRule>
    <cfRule type="expression" dxfId="362" priority="2">
      <formula>$L$12=0</formula>
    </cfRule>
  </conditionalFormatting>
  <pageMargins left="0.5" right="0.5" top="0.75" bottom="0.75" header="0.3" footer="0.3"/>
  <pageSetup orientation="portrait" r:id="rId1"/>
  <headerFooter>
    <oddHeader>&amp;C&amp;"-,Bold"&amp;14Vermont Operational Stormwater Permit - Standards Compliance Workbook</oddHeader>
    <oddFooter>&amp;LLast Updated 8/28/2018&amp;R&amp;A: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25"/>
  <sheetViews>
    <sheetView view="pageLayout" zoomScaleNormal="100" workbookViewId="0">
      <selection activeCell="E28" sqref="E28"/>
    </sheetView>
  </sheetViews>
  <sheetFormatPr defaultRowHeight="14.4"/>
  <cols>
    <col min="1" max="1" width="21.88671875" customWidth="1"/>
    <col min="2" max="6" width="12.21875" customWidth="1"/>
    <col min="7" max="7" width="7.21875" customWidth="1"/>
    <col min="9" max="9" width="8.6640625" customWidth="1"/>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230" t="s">
        <v>2</v>
      </c>
      <c r="C14" s="230" t="s">
        <v>3</v>
      </c>
      <c r="D14" s="230" t="s">
        <v>4</v>
      </c>
      <c r="E14" s="230" t="s">
        <v>5</v>
      </c>
      <c r="F14" s="229"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s="180" customFormat="1" ht="13.8" customHeight="1">
      <c r="A19" s="68"/>
      <c r="B19" s="236"/>
      <c r="C19" s="236"/>
      <c r="D19" s="252"/>
      <c r="E19" s="242" t="s">
        <v>246</v>
      </c>
      <c r="F19" s="255">
        <v>0</v>
      </c>
      <c r="G19" s="60"/>
      <c r="H19" s="19"/>
      <c r="I19" s="19"/>
      <c r="J19" s="34"/>
      <c r="K19" s="13"/>
      <c r="L19" s="6"/>
      <c r="M19" s="13"/>
      <c r="N19" s="13"/>
      <c r="O19" s="13"/>
    </row>
    <row r="20" spans="1:15" s="180" customFormat="1"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230" t="s">
        <v>2</v>
      </c>
      <c r="C23" s="230" t="s">
        <v>3</v>
      </c>
      <c r="D23" s="230" t="s">
        <v>4</v>
      </c>
      <c r="E23" s="230" t="s">
        <v>5</v>
      </c>
      <c r="F23" s="229"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s="180" customFormat="1">
      <c r="A27" s="232" t="s">
        <v>240</v>
      </c>
      <c r="B27" s="237">
        <v>0</v>
      </c>
      <c r="C27" s="237">
        <v>0</v>
      </c>
      <c r="D27" s="237">
        <v>0</v>
      </c>
      <c r="E27" s="237">
        <v>0</v>
      </c>
      <c r="F27" s="238">
        <f>SUM(B27:E27)</f>
        <v>0</v>
      </c>
      <c r="G27" s="244">
        <f>IF(F32=0,0,F27/($F$32-$F$19))</f>
        <v>0</v>
      </c>
      <c r="L27" s="6"/>
      <c r="M27" s="13"/>
      <c r="N27" s="13"/>
      <c r="O27" s="13"/>
    </row>
    <row r="28" spans="1:15" s="180" customFormat="1" ht="43.2">
      <c r="A28" s="235" t="s">
        <v>241</v>
      </c>
      <c r="B28" s="234">
        <v>0</v>
      </c>
      <c r="C28" s="234">
        <v>0</v>
      </c>
      <c r="D28" s="234">
        <v>0</v>
      </c>
      <c r="E28" s="234">
        <v>0</v>
      </c>
      <c r="F28" s="222">
        <f>SUM(B28:E28)</f>
        <v>0</v>
      </c>
      <c r="G28" s="245">
        <f>IF(F32=0,0,F28/($F$32-$F$19))</f>
        <v>0</v>
      </c>
      <c r="L28" s="6"/>
      <c r="M28" s="13"/>
      <c r="N28" s="13"/>
      <c r="O28" s="13"/>
    </row>
    <row r="29" spans="1:15" s="180" customFormat="1">
      <c r="A29" s="235"/>
      <c r="B29" s="257"/>
      <c r="C29" s="257"/>
      <c r="D29" s="257"/>
      <c r="E29" s="258" t="s">
        <v>244</v>
      </c>
      <c r="F29" s="256">
        <v>0</v>
      </c>
      <c r="G29" s="244">
        <f>IF(F32=0,0,F29/($F$32-$F$19))</f>
        <v>0</v>
      </c>
      <c r="L29" s="6"/>
      <c r="M29" s="13"/>
      <c r="N29" s="13"/>
      <c r="O29" s="13"/>
    </row>
    <row r="30" spans="1:15" s="180" customFormat="1">
      <c r="A30" s="14"/>
      <c r="B30" s="259"/>
      <c r="C30" s="259"/>
      <c r="D30" s="259"/>
      <c r="E30" s="260" t="s">
        <v>39</v>
      </c>
      <c r="F30" s="256">
        <v>0</v>
      </c>
      <c r="G30" s="244">
        <f>IF(F32=0,0,F30/($F$32-$F$19))</f>
        <v>0</v>
      </c>
      <c r="H30" s="19"/>
      <c r="I30" s="19"/>
      <c r="J30" s="34"/>
      <c r="K30" s="13"/>
      <c r="L30" s="6"/>
      <c r="M30" s="13"/>
      <c r="N30" s="13"/>
      <c r="O30" s="13"/>
    </row>
    <row r="31" spans="1:15" s="180" customFormat="1">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s="180" customFormat="1" ht="7.2" customHeight="1">
      <c r="A33" s="14"/>
      <c r="B33" s="13"/>
      <c r="C33" s="13"/>
      <c r="D33" s="236"/>
      <c r="E33" s="145"/>
      <c r="F33" s="236"/>
      <c r="G33" s="60"/>
      <c r="H33" s="1"/>
      <c r="I33" s="33"/>
      <c r="J33" s="33"/>
      <c r="K33" s="13"/>
      <c r="L33" s="6"/>
      <c r="M33" s="13"/>
      <c r="N33" s="13"/>
      <c r="O33" s="13"/>
    </row>
    <row r="34" spans="1:15" s="180" customFormat="1">
      <c r="A34" s="14"/>
      <c r="B34" s="13"/>
      <c r="C34" s="13"/>
      <c r="D34" s="236"/>
      <c r="E34" s="241" t="s">
        <v>219</v>
      </c>
      <c r="F34" s="223">
        <f>F31+F30+F28+F27</f>
        <v>0</v>
      </c>
      <c r="G34" s="60"/>
      <c r="H34" s="1"/>
      <c r="I34" s="33"/>
      <c r="J34" s="33"/>
      <c r="K34" s="13"/>
      <c r="L34" s="6"/>
      <c r="M34" s="13"/>
      <c r="N34" s="13"/>
      <c r="O34" s="13"/>
    </row>
    <row r="35" spans="1:15" s="180" customFormat="1">
      <c r="A35" s="14"/>
      <c r="B35" s="13"/>
      <c r="C35" s="13"/>
      <c r="D35" s="236"/>
      <c r="E35" s="242" t="s">
        <v>201</v>
      </c>
      <c r="F35" s="240">
        <f>IF(F18-(F27+F28+F30+F29+F31)&lt;0,0,F18-(F27+F28+F30+F29+F31))</f>
        <v>0</v>
      </c>
      <c r="G35" s="244">
        <f>IF(F18=0,0,F35/F18)</f>
        <v>0</v>
      </c>
      <c r="H35" s="1"/>
      <c r="I35" s="33"/>
      <c r="J35" s="33"/>
      <c r="K35" s="13"/>
      <c r="L35" s="6"/>
      <c r="M35" s="13"/>
      <c r="N35" s="13"/>
      <c r="O35" s="13"/>
    </row>
    <row r="36" spans="1:15" s="180" customFormat="1">
      <c r="A36" s="14"/>
      <c r="B36" s="13"/>
      <c r="C36" s="13"/>
      <c r="D36" s="236"/>
      <c r="E36" s="242" t="s">
        <v>242</v>
      </c>
      <c r="F36" s="240">
        <f>IF((F18-F29-F28-F30)&lt;0,0,(F18-F29-F28-F30))</f>
        <v>0</v>
      </c>
      <c r="G36" s="244">
        <f>IF(F18-F28-F29=0,0,F36/(F18-F28-F29))</f>
        <v>0</v>
      </c>
      <c r="H36" s="1"/>
      <c r="I36" s="33"/>
      <c r="J36" s="33"/>
      <c r="K36" s="13"/>
      <c r="L36" s="6"/>
      <c r="M36" s="13"/>
      <c r="N36" s="13"/>
      <c r="O36" s="13"/>
    </row>
    <row r="37" spans="1:15" s="180" customFormat="1" ht="7.2" customHeight="1">
      <c r="A37" s="14"/>
      <c r="B37" s="13"/>
      <c r="C37" s="13"/>
      <c r="D37" s="236"/>
      <c r="E37" s="239"/>
      <c r="F37" s="19"/>
      <c r="G37" s="60"/>
      <c r="H37" s="1"/>
      <c r="I37" s="33"/>
      <c r="J37" s="33"/>
      <c r="K37" s="13"/>
      <c r="L37" s="6"/>
      <c r="M37" s="13"/>
      <c r="N37" s="13"/>
      <c r="O37" s="13"/>
    </row>
    <row r="38" spans="1:15" s="119" customFormat="1"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1'!$C$10-0.2*Lookup!$B$13)^2/('SN1'!$C$10+0.8*Lookup!$B$13)))*$B$15+IF($C$10&lt;0.2*Lookup!$B$14,0,(('SN1'!$C$10-0.2*Lookup!$B$14)^2/('SN1'!$C$10+0.8*Lookup!$B$14)))*$B$16+IF($C$10&lt;0.2*Lookup!$B$15,0,(('SN1'!$C$10-0.2*Lookup!$B$15)^2/('SN1'!$C$10+0.8*Lookup!$B$15)))*$B$17++IF($C$10&lt;0.2*Lookup!$B$17,0,(('SN1'!$C$10-0.2*Lookup!$B$17)^2/('SN1'!$C$10+0.8*Lookup!$B$17)))*$B$18+IF($C$10&lt;0.2*Lookup!$C$13,0,(('SN1'!$C$10-0.2*Lookup!$C$13)^2/('SN1'!C$10+0.8*Lookup!$C$13)))*$C$15+IF($C$10&lt;0.2*Lookup!$C$14,0,(('SN1'!$C$10-0.2*Lookup!$C$14)^2/('SN1'!$C$10+0.8*Lookup!$C$14)))*$C$16+IF($C$10&lt;0.2*Lookup!$C$15,0,(('SN1'!$C$10-0.2*Lookup!$C$15)^2/('SN1'!$C$10+0.8*Lookup!$C$15)))*$C$17+IF($C$10&lt;0.2*Lookup!$C$17,0,(('SN1'!$C$10-0.2*Lookup!$C$17)^2/('SN1'!$C$10+0.8*Lookup!$C$17)))*$C$18+IF($C$10&lt;0.2*Lookup!$D$13,0,(('SN1'!$C$10-0.2*Lookup!$D$13)^2/('SN1'!$C$10+0.8*Lookup!$D$13)))*$D$15+IF($C$10&lt;0.2*Lookup!$D$14,0,(('SN1'!$C$10-0.2*Lookup!$D$14)^2/('SN1'!$C$10+0.8*Lookup!$D$14)))*$D$16+IF($C$10&lt;0.2*Lookup!$D$15,0,(('SN1'!$C$10-0.2*Lookup!$D$15)^2/('SN1'!$C$10+0.8*Lookup!$D$15)))*$D$17+IF($C$10&lt;0.2*Lookup!$D$17,0,(('SN1'!$C$10-0.2*Lookup!$D$17)^2/('SN1'!$C$10+0.8*Lookup!$D$17)))*$D$18+IF($C$10&lt;0.2*Lookup!$E$13,0,(('SN1'!$C$10-0.2*Lookup!$E$13)^2/('SN1'!$C$10+0.8*Lookup!$E$13)))*$E$15+IF($C$10&lt;0.2*Lookup!$E$14,0,(('SN1'!$C$10-0.2*Lookup!$E$14)^2/('SN1'!$C$10+0.8*Lookup!$E$14)))*$E$16+IF($C$10&lt;0.2*Lookup!$E$15,0,(('SN1'!$C$10-0.2*Lookup!$E$15)^2/('SN1'!$C$10+0.8*Lookup!$E$15)))*$E$17+IF($C$10&lt;0.2*Lookup!$E$17,0,(('SN1'!$C$10-0.2*Lookup!$E$17)^2/('SN1'!$C$10+0.8*Lookup!$E$17)))*$E$18)/12</f>
        <v>0</v>
      </c>
      <c r="E44" s="246">
        <f>(IF($D$10&lt;0.2*Lookup!$B$13,0,(('SN1'!$D$10-0.2*Lookup!$B$13)^2/('SN1'!$D$10+0.8*Lookup!$B$13)))*$B$15+IF($D$10&lt;0.2*Lookup!$B$14,0,(('SN1'!$D$10-0.2*Lookup!$B$14)^2/('SN1'!$D$10+0.8*Lookup!$B$14)))*$B$16+IF($D$10&lt;0.2*Lookup!$B$15,0,(('SN1'!$D$10-0.2*Lookup!$B$15)^2/('SN1'!$D$10+0.8*Lookup!$B$15)))*$B$17++IF($D$10&lt;0.2*Lookup!$B$17,0,(('SN1'!$D$10-0.2*Lookup!$B$17)^2/('SN1'!$D$10+0.8*Lookup!$B$17)))*$B$18+IF($D$10&lt;0.2*Lookup!$C$13,0,(('SN1'!$D$10-0.2*Lookup!$C$13)^2/('SN1'!C$10+0.8*Lookup!$C$13)))*$C$15+IF($D$10&lt;0.2*Lookup!$C$14,0,(('SN1'!$D$10-0.2*Lookup!$C$14)^2/('SN1'!$D$10+0.8*Lookup!$C$14)))*$C$16+IF($D$10&lt;0.2*Lookup!$C$15,0,(('SN1'!$D$10-0.2*Lookup!$C$15)^2/('SN1'!$D$10+0.8*Lookup!$C$15)))*$C$17+IF($D$10&lt;0.2*Lookup!$C$17,0,(('SN1'!$D$10-0.2*Lookup!$C$17)^2/('SN1'!$D$10+0.8*Lookup!$C$17)))*$C$18+IF($D$10&lt;0.2*Lookup!$D$13,0,(('SN1'!$D$10-0.2*Lookup!$D$13)^2/('SN1'!$D$10+0.8*Lookup!$D$13)))*$D$15+IF($D$10&lt;0.2*Lookup!$D$14,0,(('SN1'!$D$10-0.2*Lookup!$D$14)^2/('SN1'!$D$10+0.8*Lookup!$D$14)))*$D$16+IF($D$10&lt;0.2*Lookup!$D$15,0,(('SN1'!$D$10-0.2*Lookup!$D$15)^2/('SN1'!$D$10+0.8*Lookup!$D$15)))*$D$17+IF($D$10&lt;0.2*Lookup!$D$17,0,(('SN1'!$D$10-0.2*Lookup!$D$17)^2/('SN1'!$D$10+0.8*Lookup!$D$17)))*$D$18+IF($D$10&lt;0.2*Lookup!$E$13,0,(('SN1'!$D$10-0.2*Lookup!$E$13)^2/('SN1'!$D$10+0.8*Lookup!$E$13)))*$E$15+IF($D$10&lt;0.2*Lookup!$E$14,0,(('SN1'!$D$10-0.2*Lookup!$E$14)^2/('SN1'!$D$10+0.8*Lookup!$E$14)))*$E$16+IF($D$10&lt;0.2*Lookup!$E$15,0,(('SN1'!$D$10-0.2*Lookup!$E$15)^2/('SN1'!$D$10+0.8*Lookup!$E$15)))*$E$17++IF($D$10&lt;0.2*Lookup!$E$17,0,(('SN1'!$D$10-0.2*Lookup!$E$17)^2/('SN1'!$D$10+0.8*Lookup!$E$17)))*$E$18)/12</f>
        <v>0</v>
      </c>
      <c r="F44" s="246">
        <f>(IF($E$10&lt;0.2*Lookup!$B$13,0,(('SN1'!$E$10-0.2*Lookup!$B$13)^2/('SN1'!$E$10+0.8*Lookup!$B$13)))*$B$15+IF($E$10&lt;0.2*Lookup!$B$14,0,(('SN1'!$E$10-0.2*Lookup!$B$14)^2/('SN1'!$E$10+0.8*Lookup!$B$14)))*$B$16+IF($E$10&lt;0.2*Lookup!$B$15,0,(('SN1'!$E$10-0.2*Lookup!$B$15)^2/('SN1'!$E$10+0.8*Lookup!$B$15)))*$B$17++IF($E$10&lt;0.2*Lookup!$B$17,0,(('SN1'!$E$10-0.2*Lookup!$B$17)^2/('SN1'!$E$10+0.8*Lookup!$B$17)))*$B$18+IF($E$10&lt;0.2*Lookup!$C$13,0,(('SN1'!$E$10-0.2*Lookup!$C$13)^2/('SN1'!C$10+0.8*Lookup!$C$13)))*$C$15+IF($E$10&lt;0.2*Lookup!$C$14,0,(('SN1'!$E$10-0.2*Lookup!$C$14)^2/('SN1'!$E$10+0.8*Lookup!$C$14)))*$C$16+IF($E$10&lt;0.2*Lookup!$C$15,0,(('SN1'!$E$10-0.2*Lookup!$C$15)^2/('SN1'!$E$10+0.8*Lookup!$C$15)))*$C$17+IF($E$10&lt;0.2*Lookup!$C$17,0,(('SN1'!$E$10-0.2*Lookup!$C$17)^2/('SN1'!$E$10+0.8*Lookup!$C$17)))*$C$18+IF($E$10&lt;0.2*Lookup!$D$13,0,(('SN1'!$E$10-0.2*Lookup!$D$13)^2/('SN1'!$E$10+0.8*Lookup!$D$13)))*$D$15+IF($E$10&lt;0.2*Lookup!$D$14,0,(('SN1'!$E$10-0.2*Lookup!$D$14)^2/('SN1'!$E$10+0.8*Lookup!$D$14)))*$D$16+IF($E$10&lt;0.2*Lookup!$D$15,0,(('SN1'!$E$10-0.2*Lookup!$D$15)^2/('SN1'!$E$10+0.8*Lookup!$D$15)))*$D$17+IF($E$10&lt;0.2*Lookup!$D$17,0,(('SN1'!$E$10-0.2*Lookup!$D$17)^2/('SN1'!$E$10+0.8*Lookup!$D$17)))*$D$18+IF($E$10&lt;0.2*Lookup!$E$13,0,(('SN1'!$E$10-0.2*Lookup!$E$13)^2/('SN1'!$E$10+0.8*Lookup!$E$13)))*$E$15+IF($E$10&lt;0.2*Lookup!$E$14,0,(('SN1'!$E$10-0.2*Lookup!$E$14)^2/('SN1'!$E$10+0.8*Lookup!$E$14)))*$E$16+IF($E$10&lt;0.2*Lookup!$E$15,0,(('SN1'!$E$10-0.2*Lookup!$E$15)^2/('SN1'!$E$10+0.8*Lookup!$E$15)))*$E$17++IF($E$10&lt;0.2*Lookup!$E$17,0,(('SN1'!$E$10-0.2*Lookup!$E$17)^2/('SN1'!$E$10+0.8*Lookup!$E$17)))*$E$18)/12</f>
        <v>0</v>
      </c>
      <c r="G44" s="60"/>
      <c r="K44" s="13"/>
      <c r="L44" s="6"/>
      <c r="M44" s="13"/>
      <c r="N44" s="13"/>
      <c r="O44" s="13"/>
    </row>
    <row r="45" spans="1:15" ht="14.4" customHeight="1">
      <c r="A45" s="390" t="s">
        <v>113</v>
      </c>
      <c r="B45" s="376"/>
      <c r="C45" s="391"/>
      <c r="D45" s="246">
        <f>(IF($C$10&lt;0.2*Lookup!$B$13,0,(('SN1'!$C$10-0.2*Lookup!$B$13)^2/('SN1'!$C$10+0.8*Lookup!$B$13)))*$B$24+IF($C$10&lt;0.2*Lookup!$B$14,0,(('SN1'!$C$10-0.2*Lookup!$B$14)^2/('SN1'!$C$10+0.8*Lookup!$B$14)))*$B$25+IF($C$10&lt;0.2*Lookup!$B$15,0,(('SN1'!$C$10-0.2*Lookup!$B$15)^2/('SN1'!$C$10+0.8*Lookup!$B$15)))*$B$26+IF($C$10&lt;0.2*Lookup!$C$13,0,(('SN1'!$C$10-0.2*Lookup!$C$13)^2/('SN1'!C$10+0.8*Lookup!$C$13)))*$C$24+IF($C$10&lt;0.2*Lookup!$C$14,0,(('SN1'!$C$10-0.2*Lookup!$C$14)^2/('SN1'!$C$10+0.8*Lookup!$C$14)))*$C$25+IF($C$10&lt;0.2*Lookup!$C$15,0,(('SN1'!$C$10-0.2*Lookup!$C$15)^2/('SN1'!$C$10+0.8*Lookup!$C$15)))*$C$26+IF($C$10&lt;0.2*Lookup!$D$13,0,(('SN1'!$C$10-0.2*Lookup!$D$13)^2/('SN1'!$C$10+0.8*Lookup!$D$13)))*$D$24+IF($C$10&lt;0.2*Lookup!$D$14,0,(('SN1'!$C$10-0.2*Lookup!$D$14)^2/('SN1'!$C$10+0.8*Lookup!$D$14)))*$D$25+IF($C$10&lt;0.2*Lookup!$D$15,0,(('SN1'!$C$10-0.2*Lookup!$D$15)^2/('SN1'!$C$10+0.8*Lookup!$D$15)))*$D$26+IF($C$10&lt;0.2*Lookup!$E$13,0,(('SN1'!$C$10-0.2*Lookup!$E$13)^2/('SN1'!$C$10+0.8*Lookup!$E$13)))*$E$24+IF($C$10&lt;0.2*Lookup!$E$14,0,(('SN1'!$C$10-0.2*Lookup!$E$14)^2/('SN1'!$C$10+0.8*Lookup!$E$14)))*$E$25+IF($C$10&lt;0.2*Lookup!$E$15,0,(('SN1'!$C$10-0.2*Lookup!$E$15)^2/('SN1'!$C$10+0.8*Lookup!$E$15)))*$E$26+(($C$10-0.2*Lookup!B17)^2/($C$10+0.8*Lookup!B17)*(F27+F28+F29+F30)))/12</f>
        <v>0</v>
      </c>
      <c r="E45" s="246">
        <f>(IF($D$10&lt;0.2*Lookup!$B$13,0,(('SN1'!$D$10-0.2*Lookup!$B$13)^2/('SN1'!$D$10+0.8*Lookup!$B$13)))*$B$24+IF($D$10&lt;0.2*Lookup!$B$14,0,(('SN1'!$D$10-0.2*Lookup!$B$14)^2/('SN1'!$D$10+0.8*Lookup!$B$14)))*$B$25+IF($D$10&lt;0.2*Lookup!$B$15,0,(('SN1'!$D$10-0.2*Lookup!$B$15)^2/('SN1'!$D$10+0.8*Lookup!$B$15)))*$B$26+IF($D$10&lt;0.2*Lookup!$C$13,0,(('SN1'!$D$10-0.2*Lookup!$C$13)^2/('SN1'!C$10+0.8*Lookup!$C$13)))*$C$24+IF($D$10&lt;0.2*Lookup!$C$14,0,(('SN1'!$D$10-0.2*Lookup!$C$14)^2/('SN1'!$D$10+0.8*Lookup!$C$14)))*$C$25+IF($D$10&lt;0.2*Lookup!$C$15,0,(('SN1'!$D$10-0.2*Lookup!$C$15)^2/('SN1'!$D$10+0.8*Lookup!$C$15)))*$C$26+IF($D$10&lt;0.2*Lookup!$D$13,0,(('SN1'!$D$10-0.2*Lookup!$D$13)^2/('SN1'!$D$10+0.8*Lookup!$D$13)))*$D$24+IF($D$10&lt;0.2*Lookup!$D$14,0,(('SN1'!$D$10-0.2*Lookup!$D$14)^2/('SN1'!$D$10+0.8*Lookup!$D$14)))*$D$25+IF($D$10&lt;0.2*Lookup!$D$15,0,(('SN1'!$D$10-0.2*Lookup!$D$15)^2/('SN1'!$D$10+0.8*Lookup!$D$15)))*$D$26+IF($D$10&lt;0.2*Lookup!$E$13,0,(('SN1'!$D$10-0.2*Lookup!$E$13)^2/('SN1'!$D$10+0.8*Lookup!$E$13)))*$E$24+IF($D$10&lt;0.2*Lookup!$E$14,0,(('SN1'!$D$10-0.2*Lookup!$E$14)^2/('SN1'!$D$10+0.8*Lookup!$E$14)))*$E$25+IF($D$10&lt;0.2*Lookup!$E$15,0,(('SN1'!$D$10-0.2*Lookup!$E$15)^2/('SN1'!$D$10+0.8*Lookup!$E$15)))*$E$26+(($D$10-0.2*Lookup!B17)^2/($D$10+0.8*Lookup!B17)*(F27+F28+F29+F30)))/12</f>
        <v>0</v>
      </c>
      <c r="F45" s="246">
        <f>(IF($E$10&lt;0.2*Lookup!$B$13,0,(('SN1'!$E$10-0.2*Lookup!$B$13)^2/('SN1'!$E$10+0.8*Lookup!$B$13)))*$B$24+IF($E$10&lt;0.2*Lookup!$B$14,0,(('SN1'!$E$10-0.2*Lookup!$B$14)^2/('SN1'!$E$10+0.8*Lookup!$B$14)))*$B$25+IF($E$10&lt;0.2*Lookup!$B$15,0,(('SN1'!$E$10-0.2*Lookup!$B$15)^2/('SN1'!$E$10+0.8*Lookup!$B$15)))*$B$26+IF($E$10&lt;0.2*Lookup!$C$13,0,(('SN1'!$E$10-0.2*Lookup!$C$13)^2/('SN1'!C$10+0.8*Lookup!$C$13)))*$C$24+IF($E$10&lt;0.2*Lookup!$C$14,0,(('SN1'!$E$10-0.2*Lookup!$C$14)^2/('SN1'!$E$10+0.8*Lookup!$C$14)))*$C$25+IF($E$10&lt;0.2*Lookup!$C$15,0,(('SN1'!$E$10-0.2*Lookup!$C$15)^2/('SN1'!$E$10+0.8*Lookup!$C$15)))*$C$26+IF($E$10&lt;0.2*Lookup!$D$13,0,(('SN1'!$E$10-0.2*Lookup!$D$13)^2/('SN1'!$E$10+0.8*Lookup!$D$13)))*$D$24+IF($E$10&lt;0.2*Lookup!$D$14,0,(('SN1'!$E$10-0.2*Lookup!$D$14)^2/('SN1'!$E$10+0.8*Lookup!$D$14)))*$D$25+IF($E$10&lt;0.2*Lookup!$D$15,0,(('SN1'!$E$10-0.2*Lookup!$D$15)^2/('SN1'!$E$10+0.8*Lookup!$D$15)))*$D$26+IF($E$10&lt;0.2*Lookup!$E$13,0,(('SN1'!$E$10-0.2*Lookup!$E$13)^2/('SN1'!$E$10+0.8*Lookup!$E$13)))*$E$24+IF($E$10&lt;0.2*Lookup!$E$14,0,(('SN1'!$E$10-0.2*Lookup!$E$14)^2/('SN1'!$E$10+0.8*Lookup!$E$14)))*$E$25+IF($E$10&lt;0.2*Lookup!$E$15,0,(('SN1'!$E$10-0.2*Lookup!$E$15)^2/('SN1'!$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s="104" customFormat="1"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H59" s="18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120"/>
      <c r="D69" s="120"/>
      <c r="E69" s="122"/>
      <c r="F69" s="122"/>
      <c r="G69" s="60"/>
      <c r="K69" s="24"/>
      <c r="L69" s="6"/>
      <c r="M69" s="13"/>
      <c r="N69" s="13"/>
      <c r="O69" s="13"/>
    </row>
    <row r="70" spans="1:15" ht="42.6" customHeight="1">
      <c r="A70" s="69"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s="180" customFormat="1"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s="180" customFormat="1"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214"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s="104" customFormat="1" ht="10.8" customHeight="1">
      <c r="A80" s="214"/>
      <c r="B80" s="13"/>
      <c r="C80" s="63"/>
      <c r="D80" s="13"/>
      <c r="E80" s="13"/>
      <c r="F80" s="13"/>
      <c r="G80" s="60"/>
      <c r="K80" s="13"/>
      <c r="L80" s="6"/>
      <c r="M80" s="13"/>
      <c r="N80" s="13"/>
      <c r="O80" s="13"/>
    </row>
    <row r="81" spans="1:15" s="104" customFormat="1" ht="28.8" customHeight="1">
      <c r="A81" s="394" t="str">
        <f>IF(B82="","","NOTE: Please include a copy of the appropriate STP worksheet(s) with the application.")</f>
        <v/>
      </c>
      <c r="B81" s="382" t="s">
        <v>159</v>
      </c>
      <c r="C81" s="383"/>
      <c r="D81" s="384"/>
      <c r="E81" s="212" t="s">
        <v>146</v>
      </c>
      <c r="F81" s="213" t="s">
        <v>137</v>
      </c>
      <c r="G81" s="60"/>
      <c r="K81" s="13"/>
      <c r="L81" s="6"/>
      <c r="M81" s="13"/>
      <c r="N81" s="13"/>
      <c r="O81" s="13"/>
    </row>
    <row r="82" spans="1:15">
      <c r="A82" s="394"/>
      <c r="B82" s="381"/>
      <c r="C82" s="381"/>
      <c r="D82" s="381"/>
      <c r="E82" s="278"/>
      <c r="F82" s="108" t="str">
        <f>IF(B82="","",VLOOKUP(B82,Lookup!$H$13:$I$19,2,FALSE))</f>
        <v/>
      </c>
      <c r="G82" s="60"/>
    </row>
    <row r="83" spans="1:15" s="104" customFormat="1">
      <c r="A83" s="394"/>
      <c r="B83" s="381"/>
      <c r="C83" s="381"/>
      <c r="D83" s="381"/>
      <c r="E83" s="278"/>
      <c r="F83" s="108" t="str">
        <f>IF(B83="","",VLOOKUP(B83,Lookup!$H$13:$I$19,2,FALSE))</f>
        <v/>
      </c>
      <c r="G83" s="60"/>
    </row>
    <row r="84" spans="1:15" s="114" customFormat="1">
      <c r="A84" s="394"/>
      <c r="B84" s="381"/>
      <c r="C84" s="381"/>
      <c r="D84" s="381"/>
      <c r="E84" s="278"/>
      <c r="F84" s="108" t="str">
        <f>IF(B84="","",VLOOKUP(B84,Lookup!$H$13:$I$19,2,FALSE))</f>
        <v/>
      </c>
      <c r="G84" s="60"/>
    </row>
    <row r="85" spans="1:15" s="114" customFormat="1" ht="15.6">
      <c r="A85" s="118"/>
      <c r="B85" s="19"/>
      <c r="C85" s="19"/>
      <c r="D85" s="1" t="s">
        <v>152</v>
      </c>
      <c r="E85" s="277">
        <f>SUM(E82:E84)</f>
        <v>0</v>
      </c>
      <c r="F85" s="13" t="s">
        <v>90</v>
      </c>
      <c r="G85" s="60"/>
    </row>
    <row r="86" spans="1:15" s="114" customFormat="1"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103"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s="107" customFormat="1" ht="14.4" customHeight="1">
      <c r="A95" s="418"/>
      <c r="B95" s="419"/>
      <c r="C95" s="419"/>
      <c r="D95" s="13"/>
      <c r="E95" s="428" t="s">
        <v>181</v>
      </c>
      <c r="F95" s="428"/>
      <c r="G95" s="429"/>
    </row>
    <row r="96" spans="1:15" s="107" customFormat="1">
      <c r="A96" s="115"/>
      <c r="B96" s="116"/>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s="180" customFormat="1" ht="28.8" customHeight="1">
      <c r="A111" s="193" t="s">
        <v>223</v>
      </c>
      <c r="B111" s="71" t="str">
        <f>E65</f>
        <v>need rainfall</v>
      </c>
      <c r="C111" s="367" t="s">
        <v>224</v>
      </c>
      <c r="D111" s="368"/>
      <c r="E111" s="72">
        <f>IF(E40=0,0,(F40^0.8)*(((1000/IF(B111&gt;95,95,IF(B111&lt;50,50,B111)))-9)^0.7)/(1140*E40^0.5)*60)</f>
        <v>0</v>
      </c>
      <c r="F111" s="420" t="s">
        <v>102</v>
      </c>
      <c r="G111" s="189"/>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s="180" customFormat="1" ht="32.4" customHeight="1">
      <c r="A123" s="193" t="s">
        <v>223</v>
      </c>
      <c r="B123" s="71" t="str">
        <f>F65</f>
        <v>need rainfall</v>
      </c>
      <c r="C123" s="367" t="s">
        <v>224</v>
      </c>
      <c r="D123" s="368"/>
      <c r="E123" s="72">
        <f>IF(E40=0,0,(F40^0.8)*(((1000/IF(B123&gt;95,95,IF(B123&lt;50,50,B123)))-9)^0.7)/(1140*E40^0.5)*60)</f>
        <v>0</v>
      </c>
      <c r="F123" s="369" t="s">
        <v>102</v>
      </c>
      <c r="G123" s="189"/>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A99:G99"/>
    <mergeCell ref="F111:F112"/>
    <mergeCell ref="C104:G104"/>
    <mergeCell ref="C52:D52"/>
    <mergeCell ref="A21:G21"/>
    <mergeCell ref="B31:E31"/>
    <mergeCell ref="B105:F105"/>
    <mergeCell ref="E94:F94"/>
    <mergeCell ref="E95:G96"/>
    <mergeCell ref="F97:G97"/>
    <mergeCell ref="E93:F93"/>
    <mergeCell ref="C90:D90"/>
    <mergeCell ref="C91:G91"/>
    <mergeCell ref="C51:D51"/>
    <mergeCell ref="C116:G116"/>
    <mergeCell ref="B113:G113"/>
    <mergeCell ref="A110:G110"/>
    <mergeCell ref="A87:G87"/>
    <mergeCell ref="C53:D53"/>
    <mergeCell ref="D78:E78"/>
    <mergeCell ref="B83:D83"/>
    <mergeCell ref="B84:D84"/>
    <mergeCell ref="C75:D75"/>
    <mergeCell ref="C76:D76"/>
    <mergeCell ref="C77:G77"/>
    <mergeCell ref="E90:F90"/>
    <mergeCell ref="A94:C95"/>
    <mergeCell ref="E115:F115"/>
    <mergeCell ref="B101:G101"/>
    <mergeCell ref="C100:D100"/>
    <mergeCell ref="G14:G15"/>
    <mergeCell ref="C68:D68"/>
    <mergeCell ref="E68:F68"/>
    <mergeCell ref="C70:G70"/>
    <mergeCell ref="B82:D82"/>
    <mergeCell ref="B81:D81"/>
    <mergeCell ref="A48:G48"/>
    <mergeCell ref="A22:F22"/>
    <mergeCell ref="A44:C44"/>
    <mergeCell ref="A45:C45"/>
    <mergeCell ref="C54:D54"/>
    <mergeCell ref="A81:A84"/>
    <mergeCell ref="A38:G38"/>
    <mergeCell ref="A39:B41"/>
    <mergeCell ref="C49:D49"/>
    <mergeCell ref="C50:D50"/>
    <mergeCell ref="D2:F2"/>
    <mergeCell ref="B71:G71"/>
    <mergeCell ref="B88:G88"/>
    <mergeCell ref="D3:F3"/>
    <mergeCell ref="B125:G125"/>
    <mergeCell ref="B97:C97"/>
    <mergeCell ref="C103:D103"/>
    <mergeCell ref="E103:F103"/>
    <mergeCell ref="C124:D124"/>
    <mergeCell ref="C112:D112"/>
    <mergeCell ref="C123:D123"/>
    <mergeCell ref="F123:F124"/>
    <mergeCell ref="C111:D111"/>
    <mergeCell ref="A122:G122"/>
    <mergeCell ref="B117:F117"/>
    <mergeCell ref="C115:D115"/>
    <mergeCell ref="A13:F13"/>
    <mergeCell ref="D4:F4"/>
    <mergeCell ref="D5:F5"/>
    <mergeCell ref="D6:F6"/>
    <mergeCell ref="B8:D8"/>
  </mergeCells>
  <conditionalFormatting sqref="E68:F68">
    <cfRule type="expression" dxfId="361" priority="63">
      <formula>$F$67=2</formula>
    </cfRule>
  </conditionalFormatting>
  <conditionalFormatting sqref="E90:F90">
    <cfRule type="expression" dxfId="360" priority="62">
      <formula>$F$89=2</formula>
    </cfRule>
  </conditionalFormatting>
  <conditionalFormatting sqref="E103:F103">
    <cfRule type="expression" dxfId="359" priority="60">
      <formula>$F$102=2</formula>
    </cfRule>
  </conditionalFormatting>
  <conditionalFormatting sqref="E115:F115">
    <cfRule type="expression" dxfId="358" priority="58">
      <formula>$F$114=2</formula>
    </cfRule>
  </conditionalFormatting>
  <conditionalFormatting sqref="B105:F105 D108">
    <cfRule type="expression" dxfId="357" priority="52">
      <formula>$F$102=1</formula>
    </cfRule>
  </conditionalFormatting>
  <conditionalFormatting sqref="D106">
    <cfRule type="expression" dxfId="356" priority="51">
      <formula>$F$102=1</formula>
    </cfRule>
  </conditionalFormatting>
  <conditionalFormatting sqref="B117:F117 D120">
    <cfRule type="expression" dxfId="355" priority="50">
      <formula>$F$114=1</formula>
    </cfRule>
  </conditionalFormatting>
  <conditionalFormatting sqref="B82:D82 B83:B84 E82:E84">
    <cfRule type="expression" dxfId="354" priority="66">
      <formula>$F$79&gt;0</formula>
    </cfRule>
  </conditionalFormatting>
  <conditionalFormatting sqref="E97">
    <cfRule type="expression" dxfId="353" priority="47">
      <formula>$G$94=TRUE</formula>
    </cfRule>
  </conditionalFormatting>
  <conditionalFormatting sqref="D119">
    <cfRule type="expression" dxfId="352" priority="45">
      <formula>$F$114=1</formula>
    </cfRule>
  </conditionalFormatting>
  <conditionalFormatting sqref="D118">
    <cfRule type="expression" dxfId="351" priority="44">
      <formula>$F$114=1</formula>
    </cfRule>
  </conditionalFormatting>
  <conditionalFormatting sqref="D107">
    <cfRule type="expression" dxfId="350" priority="43">
      <formula>$F$102=1</formula>
    </cfRule>
  </conditionalFormatting>
  <conditionalFormatting sqref="C64">
    <cfRule type="expression" dxfId="349" priority="42">
      <formula>$C$64="n/a"</formula>
    </cfRule>
  </conditionalFormatting>
  <conditionalFormatting sqref="B82:E84">
    <cfRule type="expression" dxfId="348" priority="41">
      <formula>$F$79="N/A"</formula>
    </cfRule>
  </conditionalFormatting>
  <conditionalFormatting sqref="C61">
    <cfRule type="expression" dxfId="347" priority="31">
      <formula>C61="n/a"</formula>
    </cfRule>
    <cfRule type="expression" dxfId="346" priority="36">
      <formula>C61="No"</formula>
    </cfRule>
    <cfRule type="expression" dxfId="345" priority="39">
      <formula>C61="Yes"</formula>
    </cfRule>
  </conditionalFormatting>
  <conditionalFormatting sqref="B61">
    <cfRule type="expression" dxfId="344" priority="28">
      <formula>B61="n/a"</formula>
    </cfRule>
    <cfRule type="expression" dxfId="343" priority="29">
      <formula>B61="No"</formula>
    </cfRule>
    <cfRule type="expression" dxfId="342" priority="30">
      <formula>B61="Yes"</formula>
    </cfRule>
  </conditionalFormatting>
  <conditionalFormatting sqref="D61:F61">
    <cfRule type="expression" dxfId="341" priority="25">
      <formula>D61="n/a"</formula>
    </cfRule>
    <cfRule type="expression" dxfId="340" priority="26">
      <formula>D61="No"</formula>
    </cfRule>
    <cfRule type="expression" dxfId="339" priority="27">
      <formula>D61="Yes"</formula>
    </cfRule>
  </conditionalFormatting>
  <conditionalFormatting sqref="B70">
    <cfRule type="expression" dxfId="338" priority="19">
      <formula>B70="n/a"</formula>
    </cfRule>
    <cfRule type="expression" dxfId="337" priority="20">
      <formula>B70="No"</formula>
    </cfRule>
    <cfRule type="expression" dxfId="336" priority="21">
      <formula>B70="Yes"</formula>
    </cfRule>
  </conditionalFormatting>
  <conditionalFormatting sqref="B91">
    <cfRule type="expression" dxfId="335" priority="16">
      <formula>B91="n/a"</formula>
    </cfRule>
    <cfRule type="expression" dxfId="334" priority="17">
      <formula>B91="No"</formula>
    </cfRule>
    <cfRule type="expression" dxfId="333" priority="18">
      <formula>B91="Yes"</formula>
    </cfRule>
  </conditionalFormatting>
  <conditionalFormatting sqref="B104">
    <cfRule type="expression" dxfId="332" priority="13">
      <formula>B104="n/a"</formula>
    </cfRule>
    <cfRule type="expression" dxfId="331" priority="14">
      <formula>B104="No"</formula>
    </cfRule>
    <cfRule type="expression" dxfId="330" priority="15">
      <formula>B104="Yes"</formula>
    </cfRule>
  </conditionalFormatting>
  <conditionalFormatting sqref="B116">
    <cfRule type="expression" dxfId="329" priority="10">
      <formula>B116="n/a"</formula>
    </cfRule>
    <cfRule type="expression" dxfId="328" priority="11">
      <formula>B116="No"</formula>
    </cfRule>
    <cfRule type="expression" dxfId="327" priority="12">
      <formula>B116="Yes"</formula>
    </cfRule>
  </conditionalFormatting>
  <conditionalFormatting sqref="F75">
    <cfRule type="expression" dxfId="326" priority="9">
      <formula>$E$75&gt;=5%</formula>
    </cfRule>
  </conditionalFormatting>
  <conditionalFormatting sqref="F76">
    <cfRule type="expression" dxfId="325" priority="8">
      <formula>$E$76&gt;0</formula>
    </cfRule>
  </conditionalFormatting>
  <conditionalFormatting sqref="D64">
    <cfRule type="expression" dxfId="324" priority="7">
      <formula>$C$64="n/a"</formula>
    </cfRule>
  </conditionalFormatting>
  <conditionalFormatting sqref="E64">
    <cfRule type="expression" dxfId="321" priority="2">
      <formula>$C$64="n/a"</formula>
    </cfRule>
  </conditionalFormatting>
  <conditionalFormatting sqref="F64">
    <cfRule type="expression" dxfId="320" priority="1">
      <formula>$C$64="n/a"</formula>
    </cfRule>
  </conditionalFormatting>
  <dataValidations disablePrompts="1" count="2">
    <dataValidation type="decimal" allowBlank="1" showInputMessage="1" showErrorMessage="1" errorTitle="Invalid Longitude" error="You've entered a longitude outside of Vermont.  Longitude values in VT should always be negative." sqref="D6:F6" xr:uid="{00000000-0002-0000-0200-000000000000}">
      <formula1>-73.732</formula1>
      <formula2>-71.46</formula2>
    </dataValidation>
    <dataValidation type="decimal" allowBlank="1" showInputMessage="1" showErrorMessage="1" errorTitle="Invalid Latitude!" error="You've entered a latitude that is not in Vermont." sqref="D5:F5" xr:uid="{00000000-0002-0000-0200-000001000000}">
      <formula1>42.72</formula1>
      <formula2>45.02</formula2>
    </dataValidation>
  </dataValidations>
  <hyperlinks>
    <hyperlink ref="E8" r:id="rId1" xr:uid="{00000000-0004-0000-0200-000000000000}"/>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ignoredErrors>
    <ignoredError sqref="D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4341" r:id="rId5" name="Group Box 5">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342" r:id="rId6" name="Option Button 6">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343" r:id="rId7" name="Option Button 7">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346" r:id="rId8" name="Group Box 10">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347" r:id="rId9" name="Option Button 11">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348" r:id="rId10" name="Option Button 12">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358" r:id="rId11" name="Group Box 22">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360" r:id="rId12" name="Option Button 24">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362" r:id="rId13" name="Option Button 26">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365" r:id="rId14" name="Group Box 29">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366" r:id="rId15" name="Option Button 30">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367" r:id="rId16" name="Option Button 31">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393" r:id="rId17" name="Group Box 57">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394" r:id="rId18" name="Option Button 58">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395" r:id="rId19" name="Option Button 59">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416" r:id="rId20" name="Check Box 80">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418" r:id="rId21" name="Group Box 82">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419" r:id="rId22" name="Option Button 83">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422" r:id="rId23" name="Option Button 86">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430" r:id="rId24" name="Group Box 94">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437" r:id="rId25" name="Group Box 10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438" r:id="rId26" name="Option Button 10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439" r:id="rId27" name="Option Button 10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442" r:id="rId28" name="Option Button 106">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443" r:id="rId29" name="Option Button 107">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200-000002000000}">
          <x14:formula1>
            <xm:f>Lookup!$G$3:$G$6</xm:f>
          </x14:formula1>
          <xm:sqref>E68:F68</xm:sqref>
        </x14:dataValidation>
        <x14:dataValidation type="list" allowBlank="1" showInputMessage="1" showErrorMessage="1" xr:uid="{00000000-0002-0000-0200-000003000000}">
          <x14:formula1>
            <xm:f>Lookup!$H$4:$H$7</xm:f>
          </x14:formula1>
          <xm:sqref>E90:F90</xm:sqref>
        </x14:dataValidation>
        <x14:dataValidation type="list" allowBlank="1" showInputMessage="1" showErrorMessage="1" xr:uid="{00000000-0002-0000-0200-000005000000}">
          <x14:formula1>
            <xm:f>Lookup!$I$4:$I$8</xm:f>
          </x14:formula1>
          <xm:sqref>E103:F103</xm:sqref>
        </x14:dataValidation>
        <x14:dataValidation type="list" allowBlank="1" showInputMessage="1" showErrorMessage="1" xr:uid="{00000000-0002-0000-0200-000006000000}">
          <x14:formula1>
            <xm:f>Lookup!$J$4:$J$8</xm:f>
          </x14:formula1>
          <xm:sqref>E115:F115</xm:sqref>
        </x14:dataValidation>
        <x14:dataValidation type="list" allowBlank="1" showInputMessage="1" showErrorMessage="1" xr:uid="{00000000-0002-0000-0200-000007000000}">
          <x14:formula1>
            <xm:f>Lookup!$H$13:$H$19</xm:f>
          </x14:formula1>
          <xm:sqref>C82:D82 B82:B84</xm:sqref>
        </x14:dataValidation>
        <x14:dataValidation type="list" allowBlank="1" showInputMessage="1" showErrorMessage="1" xr:uid="{00000000-0002-0000-0200-000008000000}">
          <x14:formula1>
            <xm:f>Lookup!$G$12:$G$23</xm:f>
          </x14:formula1>
          <xm:sqref>A55</xm:sqref>
        </x14:dataValidation>
        <x14:dataValidation type="list" allowBlank="1" showInputMessage="1" showErrorMessage="1" xr:uid="{00000000-0002-0000-0200-000009000000}">
          <x14:formula1>
            <xm:f>Lookup!$G$11:$G$23</xm:f>
          </x14:formula1>
          <xm:sqref>A50:A54 C50:D54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2325E-D600-4920-99D3-99792AE1B17A}">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2'!$C$10-0.2*Lookup!$B$13)^2/('SN2'!$C$10+0.8*Lookup!$B$13)))*$B$15+IF($C$10&lt;0.2*Lookup!$B$14,0,(('SN2'!$C$10-0.2*Lookup!$B$14)^2/('SN2'!$C$10+0.8*Lookup!$B$14)))*$B$16+IF($C$10&lt;0.2*Lookup!$B$15,0,(('SN2'!$C$10-0.2*Lookup!$B$15)^2/('SN2'!$C$10+0.8*Lookup!$B$15)))*$B$17++IF($C$10&lt;0.2*Lookup!$B$17,0,(('SN2'!$C$10-0.2*Lookup!$B$17)^2/('SN2'!$C$10+0.8*Lookup!$B$17)))*$B$18+IF($C$10&lt;0.2*Lookup!$C$13,0,(('SN2'!$C$10-0.2*Lookup!$C$13)^2/('SN2'!C$10+0.8*Lookup!$C$13)))*$C$15+IF($C$10&lt;0.2*Lookup!$C$14,0,(('SN2'!$C$10-0.2*Lookup!$C$14)^2/('SN2'!$C$10+0.8*Lookup!$C$14)))*$C$16+IF($C$10&lt;0.2*Lookup!$C$15,0,(('SN2'!$C$10-0.2*Lookup!$C$15)^2/('SN2'!$C$10+0.8*Lookup!$C$15)))*$C$17+IF($C$10&lt;0.2*Lookup!$C$17,0,(('SN2'!$C$10-0.2*Lookup!$C$17)^2/('SN2'!$C$10+0.8*Lookup!$C$17)))*$C$18+IF($C$10&lt;0.2*Lookup!$D$13,0,(('SN2'!$C$10-0.2*Lookup!$D$13)^2/('SN2'!$C$10+0.8*Lookup!$D$13)))*$D$15+IF($C$10&lt;0.2*Lookup!$D$14,0,(('SN2'!$C$10-0.2*Lookup!$D$14)^2/('SN2'!$C$10+0.8*Lookup!$D$14)))*$D$16+IF($C$10&lt;0.2*Lookup!$D$15,0,(('SN2'!$C$10-0.2*Lookup!$D$15)^2/('SN2'!$C$10+0.8*Lookup!$D$15)))*$D$17+IF($C$10&lt;0.2*Lookup!$D$17,0,(('SN2'!$C$10-0.2*Lookup!$D$17)^2/('SN2'!$C$10+0.8*Lookup!$D$17)))*$D$18+IF($C$10&lt;0.2*Lookup!$E$13,0,(('SN2'!$C$10-0.2*Lookup!$E$13)^2/('SN2'!$C$10+0.8*Lookup!$E$13)))*$E$15+IF($C$10&lt;0.2*Lookup!$E$14,0,(('SN2'!$C$10-0.2*Lookup!$E$14)^2/('SN2'!$C$10+0.8*Lookup!$E$14)))*$E$16+IF($C$10&lt;0.2*Lookup!$E$15,0,(('SN2'!$C$10-0.2*Lookup!$E$15)^2/('SN2'!$C$10+0.8*Lookup!$E$15)))*$E$17+IF($C$10&lt;0.2*Lookup!$E$17,0,(('SN2'!$C$10-0.2*Lookup!$E$17)^2/('SN2'!$C$10+0.8*Lookup!$E$17)))*$E$18)/12</f>
        <v>0</v>
      </c>
      <c r="E44" s="246">
        <f>(IF($D$10&lt;0.2*Lookup!$B$13,0,(('SN2'!$D$10-0.2*Lookup!$B$13)^2/('SN2'!$D$10+0.8*Lookup!$B$13)))*$B$15+IF($D$10&lt;0.2*Lookup!$B$14,0,(('SN2'!$D$10-0.2*Lookup!$B$14)^2/('SN2'!$D$10+0.8*Lookup!$B$14)))*$B$16+IF($D$10&lt;0.2*Lookup!$B$15,0,(('SN2'!$D$10-0.2*Lookup!$B$15)^2/('SN2'!$D$10+0.8*Lookup!$B$15)))*$B$17++IF($D$10&lt;0.2*Lookup!$B$17,0,(('SN2'!$D$10-0.2*Lookup!$B$17)^2/('SN2'!$D$10+0.8*Lookup!$B$17)))*$B$18+IF($D$10&lt;0.2*Lookup!$C$13,0,(('SN2'!$D$10-0.2*Lookup!$C$13)^2/('SN2'!C$10+0.8*Lookup!$C$13)))*$C$15+IF($D$10&lt;0.2*Lookup!$C$14,0,(('SN2'!$D$10-0.2*Lookup!$C$14)^2/('SN2'!$D$10+0.8*Lookup!$C$14)))*$C$16+IF($D$10&lt;0.2*Lookup!$C$15,0,(('SN2'!$D$10-0.2*Lookup!$C$15)^2/('SN2'!$D$10+0.8*Lookup!$C$15)))*$C$17+IF($D$10&lt;0.2*Lookup!$C$17,0,(('SN2'!$D$10-0.2*Lookup!$C$17)^2/('SN2'!$D$10+0.8*Lookup!$C$17)))*$C$18+IF($D$10&lt;0.2*Lookup!$D$13,0,(('SN2'!$D$10-0.2*Lookup!$D$13)^2/('SN2'!$D$10+0.8*Lookup!$D$13)))*$D$15+IF($D$10&lt;0.2*Lookup!$D$14,0,(('SN2'!$D$10-0.2*Lookup!$D$14)^2/('SN2'!$D$10+0.8*Lookup!$D$14)))*$D$16+IF($D$10&lt;0.2*Lookup!$D$15,0,(('SN2'!$D$10-0.2*Lookup!$D$15)^2/('SN2'!$D$10+0.8*Lookup!$D$15)))*$D$17+IF($D$10&lt;0.2*Lookup!$D$17,0,(('SN2'!$D$10-0.2*Lookup!$D$17)^2/('SN2'!$D$10+0.8*Lookup!$D$17)))*$D$18+IF($D$10&lt;0.2*Lookup!$E$13,0,(('SN2'!$D$10-0.2*Lookup!$E$13)^2/('SN2'!$D$10+0.8*Lookup!$E$13)))*$E$15+IF($D$10&lt;0.2*Lookup!$E$14,0,(('SN2'!$D$10-0.2*Lookup!$E$14)^2/('SN2'!$D$10+0.8*Lookup!$E$14)))*$E$16+IF($D$10&lt;0.2*Lookup!$E$15,0,(('SN2'!$D$10-0.2*Lookup!$E$15)^2/('SN2'!$D$10+0.8*Lookup!$E$15)))*$E$17++IF($D$10&lt;0.2*Lookup!$E$17,0,(('SN2'!$D$10-0.2*Lookup!$E$17)^2/('SN2'!$D$10+0.8*Lookup!$E$17)))*$E$18)/12</f>
        <v>0</v>
      </c>
      <c r="F44" s="246">
        <f>(IF($E$10&lt;0.2*Lookup!$B$13,0,(('SN2'!$E$10-0.2*Lookup!$B$13)^2/('SN2'!$E$10+0.8*Lookup!$B$13)))*$B$15+IF($E$10&lt;0.2*Lookup!$B$14,0,(('SN2'!$E$10-0.2*Lookup!$B$14)^2/('SN2'!$E$10+0.8*Lookup!$B$14)))*$B$16+IF($E$10&lt;0.2*Lookup!$B$15,0,(('SN2'!$E$10-0.2*Lookup!$B$15)^2/('SN2'!$E$10+0.8*Lookup!$B$15)))*$B$17++IF($E$10&lt;0.2*Lookup!$B$17,0,(('SN2'!$E$10-0.2*Lookup!$B$17)^2/('SN2'!$E$10+0.8*Lookup!$B$17)))*$B$18+IF($E$10&lt;0.2*Lookup!$C$13,0,(('SN2'!$E$10-0.2*Lookup!$C$13)^2/('SN2'!C$10+0.8*Lookup!$C$13)))*$C$15+IF($E$10&lt;0.2*Lookup!$C$14,0,(('SN2'!$E$10-0.2*Lookup!$C$14)^2/('SN2'!$E$10+0.8*Lookup!$C$14)))*$C$16+IF($E$10&lt;0.2*Lookup!$C$15,0,(('SN2'!$E$10-0.2*Lookup!$C$15)^2/('SN2'!$E$10+0.8*Lookup!$C$15)))*$C$17+IF($E$10&lt;0.2*Lookup!$C$17,0,(('SN2'!$E$10-0.2*Lookup!$C$17)^2/('SN2'!$E$10+0.8*Lookup!$C$17)))*$C$18+IF($E$10&lt;0.2*Lookup!$D$13,0,(('SN2'!$E$10-0.2*Lookup!$D$13)^2/('SN2'!$E$10+0.8*Lookup!$D$13)))*$D$15+IF($E$10&lt;0.2*Lookup!$D$14,0,(('SN2'!$E$10-0.2*Lookup!$D$14)^2/('SN2'!$E$10+0.8*Lookup!$D$14)))*$D$16+IF($E$10&lt;0.2*Lookup!$D$15,0,(('SN2'!$E$10-0.2*Lookup!$D$15)^2/('SN2'!$E$10+0.8*Lookup!$D$15)))*$D$17+IF($E$10&lt;0.2*Lookup!$D$17,0,(('SN2'!$E$10-0.2*Lookup!$D$17)^2/('SN2'!$E$10+0.8*Lookup!$D$17)))*$D$18+IF($E$10&lt;0.2*Lookup!$E$13,0,(('SN2'!$E$10-0.2*Lookup!$E$13)^2/('SN2'!$E$10+0.8*Lookup!$E$13)))*$E$15+IF($E$10&lt;0.2*Lookup!$E$14,0,(('SN2'!$E$10-0.2*Lookup!$E$14)^2/('SN2'!$E$10+0.8*Lookup!$E$14)))*$E$16+IF($E$10&lt;0.2*Lookup!$E$15,0,(('SN2'!$E$10-0.2*Lookup!$E$15)^2/('SN2'!$E$10+0.8*Lookup!$E$15)))*$E$17++IF($E$10&lt;0.2*Lookup!$E$17,0,(('SN2'!$E$10-0.2*Lookup!$E$17)^2/('SN2'!$E$10+0.8*Lookup!$E$17)))*$E$18)/12</f>
        <v>0</v>
      </c>
      <c r="G44" s="60"/>
      <c r="K44" s="13"/>
      <c r="L44" s="6"/>
      <c r="M44" s="13"/>
      <c r="N44" s="13"/>
      <c r="O44" s="13"/>
    </row>
    <row r="45" spans="1:15" ht="14.4" customHeight="1">
      <c r="A45" s="390" t="s">
        <v>113</v>
      </c>
      <c r="B45" s="376"/>
      <c r="C45" s="391"/>
      <c r="D45" s="246">
        <f>(IF($C$10&lt;0.2*Lookup!$B$13,0,(('SN2'!$C$10-0.2*Lookup!$B$13)^2/('SN2'!$C$10+0.8*Lookup!$B$13)))*$B$24+IF($C$10&lt;0.2*Lookup!$B$14,0,(('SN2'!$C$10-0.2*Lookup!$B$14)^2/('SN2'!$C$10+0.8*Lookup!$B$14)))*$B$25+IF($C$10&lt;0.2*Lookup!$B$15,0,(('SN2'!$C$10-0.2*Lookup!$B$15)^2/('SN2'!$C$10+0.8*Lookup!$B$15)))*$B$26+IF($C$10&lt;0.2*Lookup!$C$13,0,(('SN2'!$C$10-0.2*Lookup!$C$13)^2/('SN2'!C$10+0.8*Lookup!$C$13)))*$C$24+IF($C$10&lt;0.2*Lookup!$C$14,0,(('SN2'!$C$10-0.2*Lookup!$C$14)^2/('SN2'!$C$10+0.8*Lookup!$C$14)))*$C$25+IF($C$10&lt;0.2*Lookup!$C$15,0,(('SN2'!$C$10-0.2*Lookup!$C$15)^2/('SN2'!$C$10+0.8*Lookup!$C$15)))*$C$26+IF($C$10&lt;0.2*Lookup!$D$13,0,(('SN2'!$C$10-0.2*Lookup!$D$13)^2/('SN2'!$C$10+0.8*Lookup!$D$13)))*$D$24+IF($C$10&lt;0.2*Lookup!$D$14,0,(('SN2'!$C$10-0.2*Lookup!$D$14)^2/('SN2'!$C$10+0.8*Lookup!$D$14)))*$D$25+IF($C$10&lt;0.2*Lookup!$D$15,0,(('SN2'!$C$10-0.2*Lookup!$D$15)^2/('SN2'!$C$10+0.8*Lookup!$D$15)))*$D$26+IF($C$10&lt;0.2*Lookup!$E$13,0,(('SN2'!$C$10-0.2*Lookup!$E$13)^2/('SN2'!$C$10+0.8*Lookup!$E$13)))*$E$24+IF($C$10&lt;0.2*Lookup!$E$14,0,(('SN2'!$C$10-0.2*Lookup!$E$14)^2/('SN2'!$C$10+0.8*Lookup!$E$14)))*$E$25+IF($C$10&lt;0.2*Lookup!$E$15,0,(('SN2'!$C$10-0.2*Lookup!$E$15)^2/('SN2'!$C$10+0.8*Lookup!$E$15)))*$E$26+(($C$10-0.2*Lookup!B17)^2/($C$10+0.8*Lookup!B17)*(F27+F28+F29+F30)))/12</f>
        <v>0</v>
      </c>
      <c r="E45" s="246">
        <f>(IF($D$10&lt;0.2*Lookup!$B$13,0,(('SN2'!$D$10-0.2*Lookup!$B$13)^2/('SN2'!$D$10+0.8*Lookup!$B$13)))*$B$24+IF($D$10&lt;0.2*Lookup!$B$14,0,(('SN2'!$D$10-0.2*Lookup!$B$14)^2/('SN2'!$D$10+0.8*Lookup!$B$14)))*$B$25+IF($D$10&lt;0.2*Lookup!$B$15,0,(('SN2'!$D$10-0.2*Lookup!$B$15)^2/('SN2'!$D$10+0.8*Lookup!$B$15)))*$B$26+IF($D$10&lt;0.2*Lookup!$C$13,0,(('SN2'!$D$10-0.2*Lookup!$C$13)^2/('SN2'!C$10+0.8*Lookup!$C$13)))*$C$24+IF($D$10&lt;0.2*Lookup!$C$14,0,(('SN2'!$D$10-0.2*Lookup!$C$14)^2/('SN2'!$D$10+0.8*Lookup!$C$14)))*$C$25+IF($D$10&lt;0.2*Lookup!$C$15,0,(('SN2'!$D$10-0.2*Lookup!$C$15)^2/('SN2'!$D$10+0.8*Lookup!$C$15)))*$C$26+IF($D$10&lt;0.2*Lookup!$D$13,0,(('SN2'!$D$10-0.2*Lookup!$D$13)^2/('SN2'!$D$10+0.8*Lookup!$D$13)))*$D$24+IF($D$10&lt;0.2*Lookup!$D$14,0,(('SN2'!$D$10-0.2*Lookup!$D$14)^2/('SN2'!$D$10+0.8*Lookup!$D$14)))*$D$25+IF($D$10&lt;0.2*Lookup!$D$15,0,(('SN2'!$D$10-0.2*Lookup!$D$15)^2/('SN2'!$D$10+0.8*Lookup!$D$15)))*$D$26+IF($D$10&lt;0.2*Lookup!$E$13,0,(('SN2'!$D$10-0.2*Lookup!$E$13)^2/('SN2'!$D$10+0.8*Lookup!$E$13)))*$E$24+IF($D$10&lt;0.2*Lookup!$E$14,0,(('SN2'!$D$10-0.2*Lookup!$E$14)^2/('SN2'!$D$10+0.8*Lookup!$E$14)))*$E$25+IF($D$10&lt;0.2*Lookup!$E$15,0,(('SN2'!$D$10-0.2*Lookup!$E$15)^2/('SN2'!$D$10+0.8*Lookup!$E$15)))*$E$26+(($D$10-0.2*Lookup!B17)^2/($D$10+0.8*Lookup!B17)*(F27+F28+F29+F30)))/12</f>
        <v>0</v>
      </c>
      <c r="F45" s="246">
        <f>(IF($E$10&lt;0.2*Lookup!$B$13,0,(('SN2'!$E$10-0.2*Lookup!$B$13)^2/('SN2'!$E$10+0.8*Lookup!$B$13)))*$B$24+IF($E$10&lt;0.2*Lookup!$B$14,0,(('SN2'!$E$10-0.2*Lookup!$B$14)^2/('SN2'!$E$10+0.8*Lookup!$B$14)))*$B$25+IF($E$10&lt;0.2*Lookup!$B$15,0,(('SN2'!$E$10-0.2*Lookup!$B$15)^2/('SN2'!$E$10+0.8*Lookup!$B$15)))*$B$26+IF($E$10&lt;0.2*Lookup!$C$13,0,(('SN2'!$E$10-0.2*Lookup!$C$13)^2/('SN2'!C$10+0.8*Lookup!$C$13)))*$C$24+IF($E$10&lt;0.2*Lookup!$C$14,0,(('SN2'!$E$10-0.2*Lookup!$C$14)^2/('SN2'!$E$10+0.8*Lookup!$C$14)))*$C$25+IF($E$10&lt;0.2*Lookup!$C$15,0,(('SN2'!$E$10-0.2*Lookup!$C$15)^2/('SN2'!$E$10+0.8*Lookup!$C$15)))*$C$26+IF($E$10&lt;0.2*Lookup!$D$13,0,(('SN2'!$E$10-0.2*Lookup!$D$13)^2/('SN2'!$E$10+0.8*Lookup!$D$13)))*$D$24+IF($E$10&lt;0.2*Lookup!$D$14,0,(('SN2'!$E$10-0.2*Lookup!$D$14)^2/('SN2'!$E$10+0.8*Lookup!$D$14)))*$D$25+IF($E$10&lt;0.2*Lookup!$D$15,0,(('SN2'!$E$10-0.2*Lookup!$D$15)^2/('SN2'!$E$10+0.8*Lookup!$D$15)))*$D$26+IF($E$10&lt;0.2*Lookup!$E$13,0,(('SN2'!$E$10-0.2*Lookup!$E$13)^2/('SN2'!$E$10+0.8*Lookup!$E$13)))*$E$24+IF($E$10&lt;0.2*Lookup!$E$14,0,(('SN2'!$E$10-0.2*Lookup!$E$14)^2/('SN2'!$E$10+0.8*Lookup!$E$14)))*$E$25+IF($E$10&lt;0.2*Lookup!$E$15,0,(('SN2'!$E$10-0.2*Lookup!$E$15)^2/('SN2'!$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319" priority="39">
      <formula>$F$67=2</formula>
    </cfRule>
  </conditionalFormatting>
  <conditionalFormatting sqref="E90:F90">
    <cfRule type="expression" dxfId="318" priority="38">
      <formula>$F$89=2</formula>
    </cfRule>
  </conditionalFormatting>
  <conditionalFormatting sqref="E103:F103">
    <cfRule type="expression" dxfId="317" priority="37">
      <formula>$F$102=2</formula>
    </cfRule>
  </conditionalFormatting>
  <conditionalFormatting sqref="E115:F115">
    <cfRule type="expression" dxfId="316" priority="36">
      <formula>$F$114=2</formula>
    </cfRule>
  </conditionalFormatting>
  <conditionalFormatting sqref="B105:F105 D108">
    <cfRule type="expression" dxfId="315" priority="35">
      <formula>$F$102=1</formula>
    </cfRule>
  </conditionalFormatting>
  <conditionalFormatting sqref="D106">
    <cfRule type="expression" dxfId="314" priority="34">
      <formula>$F$102=1</formula>
    </cfRule>
  </conditionalFormatting>
  <conditionalFormatting sqref="B117:F117 D120">
    <cfRule type="expression" dxfId="313" priority="33">
      <formula>$F$114=1</formula>
    </cfRule>
  </conditionalFormatting>
  <conditionalFormatting sqref="B82:D82 B83:B84 E82:E84">
    <cfRule type="expression" dxfId="312" priority="40">
      <formula>$F$79&gt;0</formula>
    </cfRule>
  </conditionalFormatting>
  <conditionalFormatting sqref="E97">
    <cfRule type="expression" dxfId="311" priority="32">
      <formula>$G$94=TRUE</formula>
    </cfRule>
  </conditionalFormatting>
  <conditionalFormatting sqref="D119">
    <cfRule type="expression" dxfId="310" priority="31">
      <formula>$F$114=1</formula>
    </cfRule>
  </conditionalFormatting>
  <conditionalFormatting sqref="D118">
    <cfRule type="expression" dxfId="309" priority="30">
      <formula>$F$114=1</formula>
    </cfRule>
  </conditionalFormatting>
  <conditionalFormatting sqref="D107">
    <cfRule type="expression" dxfId="308" priority="29">
      <formula>$F$102=1</formula>
    </cfRule>
  </conditionalFormatting>
  <conditionalFormatting sqref="C64">
    <cfRule type="expression" dxfId="307" priority="28">
      <formula>$C$64="n/a"</formula>
    </cfRule>
  </conditionalFormatting>
  <conditionalFormatting sqref="B82:E84">
    <cfRule type="expression" dxfId="306" priority="27">
      <formula>$F$79="N/A"</formula>
    </cfRule>
  </conditionalFormatting>
  <conditionalFormatting sqref="C61">
    <cfRule type="expression" dxfId="305" priority="24">
      <formula>C61="n/a"</formula>
    </cfRule>
    <cfRule type="expression" dxfId="304" priority="25">
      <formula>C61="No"</formula>
    </cfRule>
    <cfRule type="expression" dxfId="303" priority="26">
      <formula>C61="Yes"</formula>
    </cfRule>
  </conditionalFormatting>
  <conditionalFormatting sqref="B61">
    <cfRule type="expression" dxfId="302" priority="21">
      <formula>B61="n/a"</formula>
    </cfRule>
    <cfRule type="expression" dxfId="301" priority="22">
      <formula>B61="No"</formula>
    </cfRule>
    <cfRule type="expression" dxfId="300" priority="23">
      <formula>B61="Yes"</formula>
    </cfRule>
  </conditionalFormatting>
  <conditionalFormatting sqref="D61:F61">
    <cfRule type="expression" dxfId="299" priority="18">
      <formula>D61="n/a"</formula>
    </cfRule>
    <cfRule type="expression" dxfId="298" priority="19">
      <formula>D61="No"</formula>
    </cfRule>
    <cfRule type="expression" dxfId="297" priority="20">
      <formula>D61="Yes"</formula>
    </cfRule>
  </conditionalFormatting>
  <conditionalFormatting sqref="B70">
    <cfRule type="expression" dxfId="296" priority="15">
      <formula>B70="n/a"</formula>
    </cfRule>
    <cfRule type="expression" dxfId="295" priority="16">
      <formula>B70="No"</formula>
    </cfRule>
    <cfRule type="expression" dxfId="294" priority="17">
      <formula>B70="Yes"</formula>
    </cfRule>
  </conditionalFormatting>
  <conditionalFormatting sqref="B91">
    <cfRule type="expression" dxfId="293" priority="12">
      <formula>B91="n/a"</formula>
    </cfRule>
    <cfRule type="expression" dxfId="292" priority="13">
      <formula>B91="No"</formula>
    </cfRule>
    <cfRule type="expression" dxfId="291" priority="14">
      <formula>B91="Yes"</formula>
    </cfRule>
  </conditionalFormatting>
  <conditionalFormatting sqref="B104">
    <cfRule type="expression" dxfId="290" priority="9">
      <formula>B104="n/a"</formula>
    </cfRule>
    <cfRule type="expression" dxfId="289" priority="10">
      <formula>B104="No"</formula>
    </cfRule>
    <cfRule type="expression" dxfId="288" priority="11">
      <formula>B104="Yes"</formula>
    </cfRule>
  </conditionalFormatting>
  <conditionalFormatting sqref="B116">
    <cfRule type="expression" dxfId="287" priority="6">
      <formula>B116="n/a"</formula>
    </cfRule>
    <cfRule type="expression" dxfId="286" priority="7">
      <formula>B116="No"</formula>
    </cfRule>
    <cfRule type="expression" dxfId="285" priority="8">
      <formula>B116="Yes"</formula>
    </cfRule>
  </conditionalFormatting>
  <conditionalFormatting sqref="F75">
    <cfRule type="expression" dxfId="284" priority="5">
      <formula>$E$75&gt;=5%</formula>
    </cfRule>
  </conditionalFormatting>
  <conditionalFormatting sqref="F76">
    <cfRule type="expression" dxfId="283" priority="4">
      <formula>$E$76&gt;0</formula>
    </cfRule>
  </conditionalFormatting>
  <conditionalFormatting sqref="D64">
    <cfRule type="expression" dxfId="282" priority="3">
      <formula>$C$64="n/a"</formula>
    </cfRule>
  </conditionalFormatting>
  <conditionalFormatting sqref="E64">
    <cfRule type="expression" dxfId="281" priority="2">
      <formula>$C$64="n/a"</formula>
    </cfRule>
  </conditionalFormatting>
  <conditionalFormatting sqref="F64">
    <cfRule type="expression" dxfId="280" priority="1">
      <formula>$C$64="n/a"</formula>
    </cfRule>
  </conditionalFormatting>
  <dataValidations count="2">
    <dataValidation type="decimal" allowBlank="1" showInputMessage="1" showErrorMessage="1" errorTitle="Invalid Latitude!" error="You've entered a latitude that is not in Vermont." sqref="D5:F5" xr:uid="{EB312517-5725-4C72-8DB6-7DF1072C29CF}">
      <formula1>42.72</formula1>
      <formula2>45.02</formula2>
    </dataValidation>
    <dataValidation type="decimal" allowBlank="1" showInputMessage="1" showErrorMessage="1" errorTitle="Invalid Longitude" error="You've entered a longitude outside of Vermont.  Longitude values in VT should always be negative." sqref="D6:F6" xr:uid="{EA21A15B-1B4D-411B-92F9-2BB1D045B1B8}">
      <formula1>-73.732</formula1>
      <formula2>-71.46</formula2>
    </dataValidation>
  </dataValidations>
  <hyperlinks>
    <hyperlink ref="E8" r:id="rId1" xr:uid="{D1C6D085-EC62-4949-9103-3AC4CCEC168A}"/>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715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7715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7715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7715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7715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7715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7715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7716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7716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7716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7716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7716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7716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7716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7716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7716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7716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7717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7717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7717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7717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7717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7717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7717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7717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CF1C0E8F-B0FD-4006-9942-9FA72FC7059E}">
          <x14:formula1>
            <xm:f>Lookup!$G$11:$G$23</xm:f>
          </x14:formula1>
          <xm:sqref>A50:A54 C50:D54</xm:sqref>
        </x14:dataValidation>
        <x14:dataValidation type="list" allowBlank="1" showInputMessage="1" showErrorMessage="1" xr:uid="{42CDF46C-72DD-4E46-B05D-1A588A509908}">
          <x14:formula1>
            <xm:f>Lookup!$G$12:$G$23</xm:f>
          </x14:formula1>
          <xm:sqref>A55</xm:sqref>
        </x14:dataValidation>
        <x14:dataValidation type="list" allowBlank="1" showInputMessage="1" showErrorMessage="1" xr:uid="{B3D8F46D-6408-4A93-82A9-CCDC77CDC2F1}">
          <x14:formula1>
            <xm:f>Lookup!$H$13:$H$19</xm:f>
          </x14:formula1>
          <xm:sqref>C82:D82 B82:B84</xm:sqref>
        </x14:dataValidation>
        <x14:dataValidation type="list" allowBlank="1" showInputMessage="1" showErrorMessage="1" xr:uid="{A5113858-84A8-4F94-9B8D-2F76BF5D0CCD}">
          <x14:formula1>
            <xm:f>Lookup!$J$4:$J$8</xm:f>
          </x14:formula1>
          <xm:sqref>E115:F115</xm:sqref>
        </x14:dataValidation>
        <x14:dataValidation type="list" allowBlank="1" showInputMessage="1" showErrorMessage="1" xr:uid="{4EB77DA9-0B3F-46C9-BBE8-911AC2145EC1}">
          <x14:formula1>
            <xm:f>Lookup!$I$4:$I$8</xm:f>
          </x14:formula1>
          <xm:sqref>E103:F103</xm:sqref>
        </x14:dataValidation>
        <x14:dataValidation type="list" allowBlank="1" showInputMessage="1" showErrorMessage="1" xr:uid="{D3F201EC-694A-4A86-BD90-FE229DF6E5EF}">
          <x14:formula1>
            <xm:f>Lookup!$H$4:$H$7</xm:f>
          </x14:formula1>
          <xm:sqref>E90:F90</xm:sqref>
        </x14:dataValidation>
        <x14:dataValidation type="list" allowBlank="1" showInputMessage="1" showErrorMessage="1" xr:uid="{B8A3EF0C-A419-4B95-881B-BE1A4C328590}">
          <x14:formula1>
            <xm:f>Lookup!$G$3:$G$6</xm:f>
          </x14:formula1>
          <xm:sqref>E68:F68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630DB-C4C0-4D60-8632-23F63002137B}">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3'!$C$10-0.2*Lookup!$B$13)^2/('SN3'!$C$10+0.8*Lookup!$B$13)))*$B$15+IF($C$10&lt;0.2*Lookup!$B$14,0,(('SN3'!$C$10-0.2*Lookup!$B$14)^2/('SN3'!$C$10+0.8*Lookup!$B$14)))*$B$16+IF($C$10&lt;0.2*Lookup!$B$15,0,(('SN3'!$C$10-0.2*Lookup!$B$15)^2/('SN3'!$C$10+0.8*Lookup!$B$15)))*$B$17++IF($C$10&lt;0.2*Lookup!$B$17,0,(('SN3'!$C$10-0.2*Lookup!$B$17)^2/('SN3'!$C$10+0.8*Lookup!$B$17)))*$B$18+IF($C$10&lt;0.2*Lookup!$C$13,0,(('SN3'!$C$10-0.2*Lookup!$C$13)^2/('SN3'!C$10+0.8*Lookup!$C$13)))*$C$15+IF($C$10&lt;0.2*Lookup!$C$14,0,(('SN3'!$C$10-0.2*Lookup!$C$14)^2/('SN3'!$C$10+0.8*Lookup!$C$14)))*$C$16+IF($C$10&lt;0.2*Lookup!$C$15,0,(('SN3'!$C$10-0.2*Lookup!$C$15)^2/('SN3'!$C$10+0.8*Lookup!$C$15)))*$C$17+IF($C$10&lt;0.2*Lookup!$C$17,0,(('SN3'!$C$10-0.2*Lookup!$C$17)^2/('SN3'!$C$10+0.8*Lookup!$C$17)))*$C$18+IF($C$10&lt;0.2*Lookup!$D$13,0,(('SN3'!$C$10-0.2*Lookup!$D$13)^2/('SN3'!$C$10+0.8*Lookup!$D$13)))*$D$15+IF($C$10&lt;0.2*Lookup!$D$14,0,(('SN3'!$C$10-0.2*Lookup!$D$14)^2/('SN3'!$C$10+0.8*Lookup!$D$14)))*$D$16+IF($C$10&lt;0.2*Lookup!$D$15,0,(('SN3'!$C$10-0.2*Lookup!$D$15)^2/('SN3'!$C$10+0.8*Lookup!$D$15)))*$D$17+IF($C$10&lt;0.2*Lookup!$D$17,0,(('SN3'!$C$10-0.2*Lookup!$D$17)^2/('SN3'!$C$10+0.8*Lookup!$D$17)))*$D$18+IF($C$10&lt;0.2*Lookup!$E$13,0,(('SN3'!$C$10-0.2*Lookup!$E$13)^2/('SN3'!$C$10+0.8*Lookup!$E$13)))*$E$15+IF($C$10&lt;0.2*Lookup!$E$14,0,(('SN3'!$C$10-0.2*Lookup!$E$14)^2/('SN3'!$C$10+0.8*Lookup!$E$14)))*$E$16+IF($C$10&lt;0.2*Lookup!$E$15,0,(('SN3'!$C$10-0.2*Lookup!$E$15)^2/('SN3'!$C$10+0.8*Lookup!$E$15)))*$E$17+IF($C$10&lt;0.2*Lookup!$E$17,0,(('SN3'!$C$10-0.2*Lookup!$E$17)^2/('SN3'!$C$10+0.8*Lookup!$E$17)))*$E$18)/12</f>
        <v>0</v>
      </c>
      <c r="E44" s="246">
        <f>(IF($D$10&lt;0.2*Lookup!$B$13,0,(('SN3'!$D$10-0.2*Lookup!$B$13)^2/('SN3'!$D$10+0.8*Lookup!$B$13)))*$B$15+IF($D$10&lt;0.2*Lookup!$B$14,0,(('SN3'!$D$10-0.2*Lookup!$B$14)^2/('SN3'!$D$10+0.8*Lookup!$B$14)))*$B$16+IF($D$10&lt;0.2*Lookup!$B$15,0,(('SN3'!$D$10-0.2*Lookup!$B$15)^2/('SN3'!$D$10+0.8*Lookup!$B$15)))*$B$17++IF($D$10&lt;0.2*Lookup!$B$17,0,(('SN3'!$D$10-0.2*Lookup!$B$17)^2/('SN3'!$D$10+0.8*Lookup!$B$17)))*$B$18+IF($D$10&lt;0.2*Lookup!$C$13,0,(('SN3'!$D$10-0.2*Lookup!$C$13)^2/('SN3'!C$10+0.8*Lookup!$C$13)))*$C$15+IF($D$10&lt;0.2*Lookup!$C$14,0,(('SN3'!$D$10-0.2*Lookup!$C$14)^2/('SN3'!$D$10+0.8*Lookup!$C$14)))*$C$16+IF($D$10&lt;0.2*Lookup!$C$15,0,(('SN3'!$D$10-0.2*Lookup!$C$15)^2/('SN3'!$D$10+0.8*Lookup!$C$15)))*$C$17+IF($D$10&lt;0.2*Lookup!$C$17,0,(('SN3'!$D$10-0.2*Lookup!$C$17)^2/('SN3'!$D$10+0.8*Lookup!$C$17)))*$C$18+IF($D$10&lt;0.2*Lookup!$D$13,0,(('SN3'!$D$10-0.2*Lookup!$D$13)^2/('SN3'!$D$10+0.8*Lookup!$D$13)))*$D$15+IF($D$10&lt;0.2*Lookup!$D$14,0,(('SN3'!$D$10-0.2*Lookup!$D$14)^2/('SN3'!$D$10+0.8*Lookup!$D$14)))*$D$16+IF($D$10&lt;0.2*Lookup!$D$15,0,(('SN3'!$D$10-0.2*Lookup!$D$15)^2/('SN3'!$D$10+0.8*Lookup!$D$15)))*$D$17+IF($D$10&lt;0.2*Lookup!$D$17,0,(('SN3'!$D$10-0.2*Lookup!$D$17)^2/('SN3'!$D$10+0.8*Lookup!$D$17)))*$D$18+IF($D$10&lt;0.2*Lookup!$E$13,0,(('SN3'!$D$10-0.2*Lookup!$E$13)^2/('SN3'!$D$10+0.8*Lookup!$E$13)))*$E$15+IF($D$10&lt;0.2*Lookup!$E$14,0,(('SN3'!$D$10-0.2*Lookup!$E$14)^2/('SN3'!$D$10+0.8*Lookup!$E$14)))*$E$16+IF($D$10&lt;0.2*Lookup!$E$15,0,(('SN3'!$D$10-0.2*Lookup!$E$15)^2/('SN3'!$D$10+0.8*Lookup!$E$15)))*$E$17++IF($D$10&lt;0.2*Lookup!$E$17,0,(('SN3'!$D$10-0.2*Lookup!$E$17)^2/('SN3'!$D$10+0.8*Lookup!$E$17)))*$E$18)/12</f>
        <v>0</v>
      </c>
      <c r="F44" s="246">
        <f>(IF($E$10&lt;0.2*Lookup!$B$13,0,(('SN3'!$E$10-0.2*Lookup!$B$13)^2/('SN3'!$E$10+0.8*Lookup!$B$13)))*$B$15+IF($E$10&lt;0.2*Lookup!$B$14,0,(('SN3'!$E$10-0.2*Lookup!$B$14)^2/('SN3'!$E$10+0.8*Lookup!$B$14)))*$B$16+IF($E$10&lt;0.2*Lookup!$B$15,0,(('SN3'!$E$10-0.2*Lookup!$B$15)^2/('SN3'!$E$10+0.8*Lookup!$B$15)))*$B$17++IF($E$10&lt;0.2*Lookup!$B$17,0,(('SN3'!$E$10-0.2*Lookup!$B$17)^2/('SN3'!$E$10+0.8*Lookup!$B$17)))*$B$18+IF($E$10&lt;0.2*Lookup!$C$13,0,(('SN3'!$E$10-0.2*Lookup!$C$13)^2/('SN3'!C$10+0.8*Lookup!$C$13)))*$C$15+IF($E$10&lt;0.2*Lookup!$C$14,0,(('SN3'!$E$10-0.2*Lookup!$C$14)^2/('SN3'!$E$10+0.8*Lookup!$C$14)))*$C$16+IF($E$10&lt;0.2*Lookup!$C$15,0,(('SN3'!$E$10-0.2*Lookup!$C$15)^2/('SN3'!$E$10+0.8*Lookup!$C$15)))*$C$17+IF($E$10&lt;0.2*Lookup!$C$17,0,(('SN3'!$E$10-0.2*Lookup!$C$17)^2/('SN3'!$E$10+0.8*Lookup!$C$17)))*$C$18+IF($E$10&lt;0.2*Lookup!$D$13,0,(('SN3'!$E$10-0.2*Lookup!$D$13)^2/('SN3'!$E$10+0.8*Lookup!$D$13)))*$D$15+IF($E$10&lt;0.2*Lookup!$D$14,0,(('SN3'!$E$10-0.2*Lookup!$D$14)^2/('SN3'!$E$10+0.8*Lookup!$D$14)))*$D$16+IF($E$10&lt;0.2*Lookup!$D$15,0,(('SN3'!$E$10-0.2*Lookup!$D$15)^2/('SN3'!$E$10+0.8*Lookup!$D$15)))*$D$17+IF($E$10&lt;0.2*Lookup!$D$17,0,(('SN3'!$E$10-0.2*Lookup!$D$17)^2/('SN3'!$E$10+0.8*Lookup!$D$17)))*$D$18+IF($E$10&lt;0.2*Lookup!$E$13,0,(('SN3'!$E$10-0.2*Lookup!$E$13)^2/('SN3'!$E$10+0.8*Lookup!$E$13)))*$E$15+IF($E$10&lt;0.2*Lookup!$E$14,0,(('SN3'!$E$10-0.2*Lookup!$E$14)^2/('SN3'!$E$10+0.8*Lookup!$E$14)))*$E$16+IF($E$10&lt;0.2*Lookup!$E$15,0,(('SN3'!$E$10-0.2*Lookup!$E$15)^2/('SN3'!$E$10+0.8*Lookup!$E$15)))*$E$17++IF($E$10&lt;0.2*Lookup!$E$17,0,(('SN3'!$E$10-0.2*Lookup!$E$17)^2/('SN3'!$E$10+0.8*Lookup!$E$17)))*$E$18)/12</f>
        <v>0</v>
      </c>
      <c r="G44" s="60"/>
      <c r="K44" s="13"/>
      <c r="L44" s="6"/>
      <c r="M44" s="13"/>
      <c r="N44" s="13"/>
      <c r="O44" s="13"/>
    </row>
    <row r="45" spans="1:15" ht="14.4" customHeight="1">
      <c r="A45" s="390" t="s">
        <v>113</v>
      </c>
      <c r="B45" s="376"/>
      <c r="C45" s="391"/>
      <c r="D45" s="246">
        <f>(IF($C$10&lt;0.2*Lookup!$B$13,0,(('SN3'!$C$10-0.2*Lookup!$B$13)^2/('SN3'!$C$10+0.8*Lookup!$B$13)))*$B$24+IF($C$10&lt;0.2*Lookup!$B$14,0,(('SN3'!$C$10-0.2*Lookup!$B$14)^2/('SN3'!$C$10+0.8*Lookup!$B$14)))*$B$25+IF($C$10&lt;0.2*Lookup!$B$15,0,(('SN3'!$C$10-0.2*Lookup!$B$15)^2/('SN3'!$C$10+0.8*Lookup!$B$15)))*$B$26+IF($C$10&lt;0.2*Lookup!$C$13,0,(('SN3'!$C$10-0.2*Lookup!$C$13)^2/('SN3'!C$10+0.8*Lookup!$C$13)))*$C$24+IF($C$10&lt;0.2*Lookup!$C$14,0,(('SN3'!$C$10-0.2*Lookup!$C$14)^2/('SN3'!$C$10+0.8*Lookup!$C$14)))*$C$25+IF($C$10&lt;0.2*Lookup!$C$15,0,(('SN3'!$C$10-0.2*Lookup!$C$15)^2/('SN3'!$C$10+0.8*Lookup!$C$15)))*$C$26+IF($C$10&lt;0.2*Lookup!$D$13,0,(('SN3'!$C$10-0.2*Lookup!$D$13)^2/('SN3'!$C$10+0.8*Lookup!$D$13)))*$D$24+IF($C$10&lt;0.2*Lookup!$D$14,0,(('SN3'!$C$10-0.2*Lookup!$D$14)^2/('SN3'!$C$10+0.8*Lookup!$D$14)))*$D$25+IF($C$10&lt;0.2*Lookup!$D$15,0,(('SN3'!$C$10-0.2*Lookup!$D$15)^2/('SN3'!$C$10+0.8*Lookup!$D$15)))*$D$26+IF($C$10&lt;0.2*Lookup!$E$13,0,(('SN3'!$C$10-0.2*Lookup!$E$13)^2/('SN3'!$C$10+0.8*Lookup!$E$13)))*$E$24+IF($C$10&lt;0.2*Lookup!$E$14,0,(('SN3'!$C$10-0.2*Lookup!$E$14)^2/('SN3'!$C$10+0.8*Lookup!$E$14)))*$E$25+IF($C$10&lt;0.2*Lookup!$E$15,0,(('SN3'!$C$10-0.2*Lookup!$E$15)^2/('SN3'!$C$10+0.8*Lookup!$E$15)))*$E$26+(($C$10-0.2*Lookup!B17)^2/($C$10+0.8*Lookup!B17)*(F27+F28+F29+F30)))/12</f>
        <v>0</v>
      </c>
      <c r="E45" s="246">
        <f>(IF($D$10&lt;0.2*Lookup!$B$13,0,(('SN3'!$D$10-0.2*Lookup!$B$13)^2/('SN3'!$D$10+0.8*Lookup!$B$13)))*$B$24+IF($D$10&lt;0.2*Lookup!$B$14,0,(('SN3'!$D$10-0.2*Lookup!$B$14)^2/('SN3'!$D$10+0.8*Lookup!$B$14)))*$B$25+IF($D$10&lt;0.2*Lookup!$B$15,0,(('SN3'!$D$10-0.2*Lookup!$B$15)^2/('SN3'!$D$10+0.8*Lookup!$B$15)))*$B$26+IF($D$10&lt;0.2*Lookup!$C$13,0,(('SN3'!$D$10-0.2*Lookup!$C$13)^2/('SN3'!C$10+0.8*Lookup!$C$13)))*$C$24+IF($D$10&lt;0.2*Lookup!$C$14,0,(('SN3'!$D$10-0.2*Lookup!$C$14)^2/('SN3'!$D$10+0.8*Lookup!$C$14)))*$C$25+IF($D$10&lt;0.2*Lookup!$C$15,0,(('SN3'!$D$10-0.2*Lookup!$C$15)^2/('SN3'!$D$10+0.8*Lookup!$C$15)))*$C$26+IF($D$10&lt;0.2*Lookup!$D$13,0,(('SN3'!$D$10-0.2*Lookup!$D$13)^2/('SN3'!$D$10+0.8*Lookup!$D$13)))*$D$24+IF($D$10&lt;0.2*Lookup!$D$14,0,(('SN3'!$D$10-0.2*Lookup!$D$14)^2/('SN3'!$D$10+0.8*Lookup!$D$14)))*$D$25+IF($D$10&lt;0.2*Lookup!$D$15,0,(('SN3'!$D$10-0.2*Lookup!$D$15)^2/('SN3'!$D$10+0.8*Lookup!$D$15)))*$D$26+IF($D$10&lt;0.2*Lookup!$E$13,0,(('SN3'!$D$10-0.2*Lookup!$E$13)^2/('SN3'!$D$10+0.8*Lookup!$E$13)))*$E$24+IF($D$10&lt;0.2*Lookup!$E$14,0,(('SN3'!$D$10-0.2*Lookup!$E$14)^2/('SN3'!$D$10+0.8*Lookup!$E$14)))*$E$25+IF($D$10&lt;0.2*Lookup!$E$15,0,(('SN3'!$D$10-0.2*Lookup!$E$15)^2/('SN3'!$D$10+0.8*Lookup!$E$15)))*$E$26+(($D$10-0.2*Lookup!B17)^2/($D$10+0.8*Lookup!B17)*(F27+F28+F29+F30)))/12</f>
        <v>0</v>
      </c>
      <c r="F45" s="246">
        <f>(IF($E$10&lt;0.2*Lookup!$B$13,0,(('SN3'!$E$10-0.2*Lookup!$B$13)^2/('SN3'!$E$10+0.8*Lookup!$B$13)))*$B$24+IF($E$10&lt;0.2*Lookup!$B$14,0,(('SN3'!$E$10-0.2*Lookup!$B$14)^2/('SN3'!$E$10+0.8*Lookup!$B$14)))*$B$25+IF($E$10&lt;0.2*Lookup!$B$15,0,(('SN3'!$E$10-0.2*Lookup!$B$15)^2/('SN3'!$E$10+0.8*Lookup!$B$15)))*$B$26+IF($E$10&lt;0.2*Lookup!$C$13,0,(('SN3'!$E$10-0.2*Lookup!$C$13)^2/('SN3'!C$10+0.8*Lookup!$C$13)))*$C$24+IF($E$10&lt;0.2*Lookup!$C$14,0,(('SN3'!$E$10-0.2*Lookup!$C$14)^2/('SN3'!$E$10+0.8*Lookup!$C$14)))*$C$25+IF($E$10&lt;0.2*Lookup!$C$15,0,(('SN3'!$E$10-0.2*Lookup!$C$15)^2/('SN3'!$E$10+0.8*Lookup!$C$15)))*$C$26+IF($E$10&lt;0.2*Lookup!$D$13,0,(('SN3'!$E$10-0.2*Lookup!$D$13)^2/('SN3'!$E$10+0.8*Lookup!$D$13)))*$D$24+IF($E$10&lt;0.2*Lookup!$D$14,0,(('SN3'!$E$10-0.2*Lookup!$D$14)^2/('SN3'!$E$10+0.8*Lookup!$D$14)))*$D$25+IF($E$10&lt;0.2*Lookup!$D$15,0,(('SN3'!$E$10-0.2*Lookup!$D$15)^2/('SN3'!$E$10+0.8*Lookup!$D$15)))*$D$26+IF($E$10&lt;0.2*Lookup!$E$13,0,(('SN3'!$E$10-0.2*Lookup!$E$13)^2/('SN3'!$E$10+0.8*Lookup!$E$13)))*$E$24+IF($E$10&lt;0.2*Lookup!$E$14,0,(('SN3'!$E$10-0.2*Lookup!$E$14)^2/('SN3'!$E$10+0.8*Lookup!$E$14)))*$E$25+IF($E$10&lt;0.2*Lookup!$E$15,0,(('SN3'!$E$10-0.2*Lookup!$E$15)^2/('SN3'!$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279" priority="39">
      <formula>$F$67=2</formula>
    </cfRule>
  </conditionalFormatting>
  <conditionalFormatting sqref="E90:F90">
    <cfRule type="expression" dxfId="278" priority="38">
      <formula>$F$89=2</formula>
    </cfRule>
  </conditionalFormatting>
  <conditionalFormatting sqref="E103:F103">
    <cfRule type="expression" dxfId="277" priority="37">
      <formula>$F$102=2</formula>
    </cfRule>
  </conditionalFormatting>
  <conditionalFormatting sqref="E115:F115">
    <cfRule type="expression" dxfId="276" priority="36">
      <formula>$F$114=2</formula>
    </cfRule>
  </conditionalFormatting>
  <conditionalFormatting sqref="B105:F105 D108">
    <cfRule type="expression" dxfId="275" priority="35">
      <formula>$F$102=1</formula>
    </cfRule>
  </conditionalFormatting>
  <conditionalFormatting sqref="D106">
    <cfRule type="expression" dxfId="274" priority="34">
      <formula>$F$102=1</formula>
    </cfRule>
  </conditionalFormatting>
  <conditionalFormatting sqref="B117:F117 D120">
    <cfRule type="expression" dxfId="273" priority="33">
      <formula>$F$114=1</formula>
    </cfRule>
  </conditionalFormatting>
  <conditionalFormatting sqref="B82:D82 B83:B84 E82:E84">
    <cfRule type="expression" dxfId="272" priority="40">
      <formula>$F$79&gt;0</formula>
    </cfRule>
  </conditionalFormatting>
  <conditionalFormatting sqref="E97">
    <cfRule type="expression" dxfId="271" priority="32">
      <formula>$G$94=TRUE</formula>
    </cfRule>
  </conditionalFormatting>
  <conditionalFormatting sqref="D119">
    <cfRule type="expression" dxfId="270" priority="31">
      <formula>$F$114=1</formula>
    </cfRule>
  </conditionalFormatting>
  <conditionalFormatting sqref="D118">
    <cfRule type="expression" dxfId="269" priority="30">
      <formula>$F$114=1</formula>
    </cfRule>
  </conditionalFormatting>
  <conditionalFormatting sqref="D107">
    <cfRule type="expression" dxfId="268" priority="29">
      <formula>$F$102=1</formula>
    </cfRule>
  </conditionalFormatting>
  <conditionalFormatting sqref="C64">
    <cfRule type="expression" dxfId="267" priority="28">
      <formula>$C$64="n/a"</formula>
    </cfRule>
  </conditionalFormatting>
  <conditionalFormatting sqref="B82:E84">
    <cfRule type="expression" dxfId="266" priority="27">
      <formula>$F$79="N/A"</formula>
    </cfRule>
  </conditionalFormatting>
  <conditionalFormatting sqref="C61">
    <cfRule type="expression" dxfId="265" priority="24">
      <formula>C61="n/a"</formula>
    </cfRule>
    <cfRule type="expression" dxfId="264" priority="25">
      <formula>C61="No"</formula>
    </cfRule>
    <cfRule type="expression" dxfId="263" priority="26">
      <formula>C61="Yes"</formula>
    </cfRule>
  </conditionalFormatting>
  <conditionalFormatting sqref="B61">
    <cfRule type="expression" dxfId="262" priority="21">
      <formula>B61="n/a"</formula>
    </cfRule>
    <cfRule type="expression" dxfId="261" priority="22">
      <formula>B61="No"</formula>
    </cfRule>
    <cfRule type="expression" dxfId="260" priority="23">
      <formula>B61="Yes"</formula>
    </cfRule>
  </conditionalFormatting>
  <conditionalFormatting sqref="D61:F61">
    <cfRule type="expression" dxfId="259" priority="18">
      <formula>D61="n/a"</formula>
    </cfRule>
    <cfRule type="expression" dxfId="258" priority="19">
      <formula>D61="No"</formula>
    </cfRule>
    <cfRule type="expression" dxfId="257" priority="20">
      <formula>D61="Yes"</formula>
    </cfRule>
  </conditionalFormatting>
  <conditionalFormatting sqref="B70">
    <cfRule type="expression" dxfId="256" priority="15">
      <formula>B70="n/a"</formula>
    </cfRule>
    <cfRule type="expression" dxfId="255" priority="16">
      <formula>B70="No"</formula>
    </cfRule>
    <cfRule type="expression" dxfId="254" priority="17">
      <formula>B70="Yes"</formula>
    </cfRule>
  </conditionalFormatting>
  <conditionalFormatting sqref="B91">
    <cfRule type="expression" dxfId="253" priority="12">
      <formula>B91="n/a"</formula>
    </cfRule>
    <cfRule type="expression" dxfId="252" priority="13">
      <formula>B91="No"</formula>
    </cfRule>
    <cfRule type="expression" dxfId="251" priority="14">
      <formula>B91="Yes"</formula>
    </cfRule>
  </conditionalFormatting>
  <conditionalFormatting sqref="B104">
    <cfRule type="expression" dxfId="250" priority="9">
      <formula>B104="n/a"</formula>
    </cfRule>
    <cfRule type="expression" dxfId="249" priority="10">
      <formula>B104="No"</formula>
    </cfRule>
    <cfRule type="expression" dxfId="248" priority="11">
      <formula>B104="Yes"</formula>
    </cfRule>
  </conditionalFormatting>
  <conditionalFormatting sqref="B116">
    <cfRule type="expression" dxfId="247" priority="6">
      <formula>B116="n/a"</formula>
    </cfRule>
    <cfRule type="expression" dxfId="246" priority="7">
      <formula>B116="No"</formula>
    </cfRule>
    <cfRule type="expression" dxfId="245" priority="8">
      <formula>B116="Yes"</formula>
    </cfRule>
  </conditionalFormatting>
  <conditionalFormatting sqref="F75">
    <cfRule type="expression" dxfId="244" priority="5">
      <formula>$E$75&gt;=5%</formula>
    </cfRule>
  </conditionalFormatting>
  <conditionalFormatting sqref="F76">
    <cfRule type="expression" dxfId="243" priority="4">
      <formula>$E$76&gt;0</formula>
    </cfRule>
  </conditionalFormatting>
  <conditionalFormatting sqref="D64">
    <cfRule type="expression" dxfId="242" priority="3">
      <formula>$C$64="n/a"</formula>
    </cfRule>
  </conditionalFormatting>
  <conditionalFormatting sqref="E64">
    <cfRule type="expression" dxfId="241" priority="2">
      <formula>$C$64="n/a"</formula>
    </cfRule>
  </conditionalFormatting>
  <conditionalFormatting sqref="F64">
    <cfRule type="expression" dxfId="240" priority="1">
      <formula>$C$64="n/a"</formula>
    </cfRule>
  </conditionalFormatting>
  <dataValidations count="2">
    <dataValidation type="decimal" allowBlank="1" showInputMessage="1" showErrorMessage="1" errorTitle="Invalid Longitude" error="You've entered a longitude outside of Vermont.  Longitude values in VT should always be negative." sqref="D6:F6" xr:uid="{09116D03-1FC1-4706-8381-642F4ABEF019}">
      <formula1>-73.732</formula1>
      <formula2>-71.46</formula2>
    </dataValidation>
    <dataValidation type="decimal" allowBlank="1" showInputMessage="1" showErrorMessage="1" errorTitle="Invalid Latitude!" error="You've entered a latitude that is not in Vermont." sqref="D5:F5" xr:uid="{AC2631F8-CDA1-47D3-93B9-568CF45D9EF2}">
      <formula1>42.72</formula1>
      <formula2>45.02</formula2>
    </dataValidation>
  </dataValidations>
  <hyperlinks>
    <hyperlink ref="E8" r:id="rId1" xr:uid="{B3A24DB3-C061-49E7-AD78-E9219E2121B7}"/>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8177"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78178"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78179"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78180"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78181"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78182"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78183"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78184"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78185"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78186"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78187"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78188"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78189"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78190"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78191"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78192"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78193"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78194"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78195"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78196"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78197"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78198"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78199"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78200"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78201"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A4300635-6F03-46FC-8756-4987A6599437}">
          <x14:formula1>
            <xm:f>Lookup!$G$3:$G$6</xm:f>
          </x14:formula1>
          <xm:sqref>E68:F68</xm:sqref>
        </x14:dataValidation>
        <x14:dataValidation type="list" allowBlank="1" showInputMessage="1" showErrorMessage="1" xr:uid="{FBBD4E1F-4CD6-4852-83A7-612B47B6FBFD}">
          <x14:formula1>
            <xm:f>Lookup!$H$4:$H$7</xm:f>
          </x14:formula1>
          <xm:sqref>E90:F90</xm:sqref>
        </x14:dataValidation>
        <x14:dataValidation type="list" allowBlank="1" showInputMessage="1" showErrorMessage="1" xr:uid="{B5F65860-3281-4F14-BC4D-9158C7EA0370}">
          <x14:formula1>
            <xm:f>Lookup!$I$4:$I$8</xm:f>
          </x14:formula1>
          <xm:sqref>E103:F103</xm:sqref>
        </x14:dataValidation>
        <x14:dataValidation type="list" allowBlank="1" showInputMessage="1" showErrorMessage="1" xr:uid="{9CD0DAB2-C9B5-4583-A419-E985809DF9B1}">
          <x14:formula1>
            <xm:f>Lookup!$J$4:$J$8</xm:f>
          </x14:formula1>
          <xm:sqref>E115:F115</xm:sqref>
        </x14:dataValidation>
        <x14:dataValidation type="list" allowBlank="1" showInputMessage="1" showErrorMessage="1" xr:uid="{904C8E4F-CFE4-481E-B3EB-EADEEB99A3E7}">
          <x14:formula1>
            <xm:f>Lookup!$H$13:$H$19</xm:f>
          </x14:formula1>
          <xm:sqref>C82:D82 B82:B84</xm:sqref>
        </x14:dataValidation>
        <x14:dataValidation type="list" allowBlank="1" showInputMessage="1" showErrorMessage="1" xr:uid="{CA71F023-21C1-4ADD-940B-ED303BE0A9D5}">
          <x14:formula1>
            <xm:f>Lookup!$G$12:$G$23</xm:f>
          </x14:formula1>
          <xm:sqref>A55</xm:sqref>
        </x14:dataValidation>
        <x14:dataValidation type="list" allowBlank="1" showInputMessage="1" showErrorMessage="1" xr:uid="{4727A31B-CFEF-4FF0-B9CF-459E87170FB0}">
          <x14:formula1>
            <xm:f>Lookup!$G$11:$G$23</xm:f>
          </x14:formula1>
          <xm:sqref>A50:A54 C50:D54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1F07D-266D-4531-9526-E07D16B60588}">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4'!$C$10-0.2*Lookup!$B$13)^2/('SN4'!$C$10+0.8*Lookup!$B$13)))*$B$15+IF($C$10&lt;0.2*Lookup!$B$14,0,(('SN4'!$C$10-0.2*Lookup!$B$14)^2/('SN4'!$C$10+0.8*Lookup!$B$14)))*$B$16+IF($C$10&lt;0.2*Lookup!$B$15,0,(('SN4'!$C$10-0.2*Lookup!$B$15)^2/('SN4'!$C$10+0.8*Lookup!$B$15)))*$B$17++IF($C$10&lt;0.2*Lookup!$B$17,0,(('SN4'!$C$10-0.2*Lookup!$B$17)^2/('SN4'!$C$10+0.8*Lookup!$B$17)))*$B$18+IF($C$10&lt;0.2*Lookup!$C$13,0,(('SN4'!$C$10-0.2*Lookup!$C$13)^2/('SN4'!C$10+0.8*Lookup!$C$13)))*$C$15+IF($C$10&lt;0.2*Lookup!$C$14,0,(('SN4'!$C$10-0.2*Lookup!$C$14)^2/('SN4'!$C$10+0.8*Lookup!$C$14)))*$C$16+IF($C$10&lt;0.2*Lookup!$C$15,0,(('SN4'!$C$10-0.2*Lookup!$C$15)^2/('SN4'!$C$10+0.8*Lookup!$C$15)))*$C$17+IF($C$10&lt;0.2*Lookup!$C$17,0,(('SN4'!$C$10-0.2*Lookup!$C$17)^2/('SN4'!$C$10+0.8*Lookup!$C$17)))*$C$18+IF($C$10&lt;0.2*Lookup!$D$13,0,(('SN4'!$C$10-0.2*Lookup!$D$13)^2/('SN4'!$C$10+0.8*Lookup!$D$13)))*$D$15+IF($C$10&lt;0.2*Lookup!$D$14,0,(('SN4'!$C$10-0.2*Lookup!$D$14)^2/('SN4'!$C$10+0.8*Lookup!$D$14)))*$D$16+IF($C$10&lt;0.2*Lookup!$D$15,0,(('SN4'!$C$10-0.2*Lookup!$D$15)^2/('SN4'!$C$10+0.8*Lookup!$D$15)))*$D$17+IF($C$10&lt;0.2*Lookup!$D$17,0,(('SN4'!$C$10-0.2*Lookup!$D$17)^2/('SN4'!$C$10+0.8*Lookup!$D$17)))*$D$18+IF($C$10&lt;0.2*Lookup!$E$13,0,(('SN4'!$C$10-0.2*Lookup!$E$13)^2/('SN4'!$C$10+0.8*Lookup!$E$13)))*$E$15+IF($C$10&lt;0.2*Lookup!$E$14,0,(('SN4'!$C$10-0.2*Lookup!$E$14)^2/('SN4'!$C$10+0.8*Lookup!$E$14)))*$E$16+IF($C$10&lt;0.2*Lookup!$E$15,0,(('SN4'!$C$10-0.2*Lookup!$E$15)^2/('SN4'!$C$10+0.8*Lookup!$E$15)))*$E$17+IF($C$10&lt;0.2*Lookup!$E$17,0,(('SN4'!$C$10-0.2*Lookup!$E$17)^2/('SN4'!$C$10+0.8*Lookup!$E$17)))*$E$18)/12</f>
        <v>0</v>
      </c>
      <c r="E44" s="246">
        <f>(IF($D$10&lt;0.2*Lookup!$B$13,0,(('SN4'!$D$10-0.2*Lookup!$B$13)^2/('SN4'!$D$10+0.8*Lookup!$B$13)))*$B$15+IF($D$10&lt;0.2*Lookup!$B$14,0,(('SN4'!$D$10-0.2*Lookup!$B$14)^2/('SN4'!$D$10+0.8*Lookup!$B$14)))*$B$16+IF($D$10&lt;0.2*Lookup!$B$15,0,(('SN4'!$D$10-0.2*Lookup!$B$15)^2/('SN4'!$D$10+0.8*Lookup!$B$15)))*$B$17++IF($D$10&lt;0.2*Lookup!$B$17,0,(('SN4'!$D$10-0.2*Lookup!$B$17)^2/('SN4'!$D$10+0.8*Lookup!$B$17)))*$B$18+IF($D$10&lt;0.2*Lookup!$C$13,0,(('SN4'!$D$10-0.2*Lookup!$C$13)^2/('SN4'!C$10+0.8*Lookup!$C$13)))*$C$15+IF($D$10&lt;0.2*Lookup!$C$14,0,(('SN4'!$D$10-0.2*Lookup!$C$14)^2/('SN4'!$D$10+0.8*Lookup!$C$14)))*$C$16+IF($D$10&lt;0.2*Lookup!$C$15,0,(('SN4'!$D$10-0.2*Lookup!$C$15)^2/('SN4'!$D$10+0.8*Lookup!$C$15)))*$C$17+IF($D$10&lt;0.2*Lookup!$C$17,0,(('SN4'!$D$10-0.2*Lookup!$C$17)^2/('SN4'!$D$10+0.8*Lookup!$C$17)))*$C$18+IF($D$10&lt;0.2*Lookup!$D$13,0,(('SN4'!$D$10-0.2*Lookup!$D$13)^2/('SN4'!$D$10+0.8*Lookup!$D$13)))*$D$15+IF($D$10&lt;0.2*Lookup!$D$14,0,(('SN4'!$D$10-0.2*Lookup!$D$14)^2/('SN4'!$D$10+0.8*Lookup!$D$14)))*$D$16+IF($D$10&lt;0.2*Lookup!$D$15,0,(('SN4'!$D$10-0.2*Lookup!$D$15)^2/('SN4'!$D$10+0.8*Lookup!$D$15)))*$D$17+IF($D$10&lt;0.2*Lookup!$D$17,0,(('SN4'!$D$10-0.2*Lookup!$D$17)^2/('SN4'!$D$10+0.8*Lookup!$D$17)))*$D$18+IF($D$10&lt;0.2*Lookup!$E$13,0,(('SN4'!$D$10-0.2*Lookup!$E$13)^2/('SN4'!$D$10+0.8*Lookup!$E$13)))*$E$15+IF($D$10&lt;0.2*Lookup!$E$14,0,(('SN4'!$D$10-0.2*Lookup!$E$14)^2/('SN4'!$D$10+0.8*Lookup!$E$14)))*$E$16+IF($D$10&lt;0.2*Lookup!$E$15,0,(('SN4'!$D$10-0.2*Lookup!$E$15)^2/('SN4'!$D$10+0.8*Lookup!$E$15)))*$E$17++IF($D$10&lt;0.2*Lookup!$E$17,0,(('SN4'!$D$10-0.2*Lookup!$E$17)^2/('SN4'!$D$10+0.8*Lookup!$E$17)))*$E$18)/12</f>
        <v>0</v>
      </c>
      <c r="F44" s="246">
        <f>(IF($E$10&lt;0.2*Lookup!$B$13,0,(('SN4'!$E$10-0.2*Lookup!$B$13)^2/('SN4'!$E$10+0.8*Lookup!$B$13)))*$B$15+IF($E$10&lt;0.2*Lookup!$B$14,0,(('SN4'!$E$10-0.2*Lookup!$B$14)^2/('SN4'!$E$10+0.8*Lookup!$B$14)))*$B$16+IF($E$10&lt;0.2*Lookup!$B$15,0,(('SN4'!$E$10-0.2*Lookup!$B$15)^2/('SN4'!$E$10+0.8*Lookup!$B$15)))*$B$17++IF($E$10&lt;0.2*Lookup!$B$17,0,(('SN4'!$E$10-0.2*Lookup!$B$17)^2/('SN4'!$E$10+0.8*Lookup!$B$17)))*$B$18+IF($E$10&lt;0.2*Lookup!$C$13,0,(('SN4'!$E$10-0.2*Lookup!$C$13)^2/('SN4'!C$10+0.8*Lookup!$C$13)))*$C$15+IF($E$10&lt;0.2*Lookup!$C$14,0,(('SN4'!$E$10-0.2*Lookup!$C$14)^2/('SN4'!$E$10+0.8*Lookup!$C$14)))*$C$16+IF($E$10&lt;0.2*Lookup!$C$15,0,(('SN4'!$E$10-0.2*Lookup!$C$15)^2/('SN4'!$E$10+0.8*Lookup!$C$15)))*$C$17+IF($E$10&lt;0.2*Lookup!$C$17,0,(('SN4'!$E$10-0.2*Lookup!$C$17)^2/('SN4'!$E$10+0.8*Lookup!$C$17)))*$C$18+IF($E$10&lt;0.2*Lookup!$D$13,0,(('SN4'!$E$10-0.2*Lookup!$D$13)^2/('SN4'!$E$10+0.8*Lookup!$D$13)))*$D$15+IF($E$10&lt;0.2*Lookup!$D$14,0,(('SN4'!$E$10-0.2*Lookup!$D$14)^2/('SN4'!$E$10+0.8*Lookup!$D$14)))*$D$16+IF($E$10&lt;0.2*Lookup!$D$15,0,(('SN4'!$E$10-0.2*Lookup!$D$15)^2/('SN4'!$E$10+0.8*Lookup!$D$15)))*$D$17+IF($E$10&lt;0.2*Lookup!$D$17,0,(('SN4'!$E$10-0.2*Lookup!$D$17)^2/('SN4'!$E$10+0.8*Lookup!$D$17)))*$D$18+IF($E$10&lt;0.2*Lookup!$E$13,0,(('SN4'!$E$10-0.2*Lookup!$E$13)^2/('SN4'!$E$10+0.8*Lookup!$E$13)))*$E$15+IF($E$10&lt;0.2*Lookup!$E$14,0,(('SN4'!$E$10-0.2*Lookup!$E$14)^2/('SN4'!$E$10+0.8*Lookup!$E$14)))*$E$16+IF($E$10&lt;0.2*Lookup!$E$15,0,(('SN4'!$E$10-0.2*Lookup!$E$15)^2/('SN4'!$E$10+0.8*Lookup!$E$15)))*$E$17++IF($E$10&lt;0.2*Lookup!$E$17,0,(('SN4'!$E$10-0.2*Lookup!$E$17)^2/('SN4'!$E$10+0.8*Lookup!$E$17)))*$E$18)/12</f>
        <v>0</v>
      </c>
      <c r="G44" s="60"/>
      <c r="K44" s="13"/>
      <c r="L44" s="6"/>
      <c r="M44" s="13"/>
      <c r="N44" s="13"/>
      <c r="O44" s="13"/>
    </row>
    <row r="45" spans="1:15" ht="14.4" customHeight="1">
      <c r="A45" s="390" t="s">
        <v>113</v>
      </c>
      <c r="B45" s="376"/>
      <c r="C45" s="391"/>
      <c r="D45" s="246">
        <f>(IF($C$10&lt;0.2*Lookup!$B$13,0,(('SN4'!$C$10-0.2*Lookup!$B$13)^2/('SN4'!$C$10+0.8*Lookup!$B$13)))*$B$24+IF($C$10&lt;0.2*Lookup!$B$14,0,(('SN4'!$C$10-0.2*Lookup!$B$14)^2/('SN4'!$C$10+0.8*Lookup!$B$14)))*$B$25+IF($C$10&lt;0.2*Lookup!$B$15,0,(('SN4'!$C$10-0.2*Lookup!$B$15)^2/('SN4'!$C$10+0.8*Lookup!$B$15)))*$B$26+IF($C$10&lt;0.2*Lookup!$C$13,0,(('SN4'!$C$10-0.2*Lookup!$C$13)^2/('SN4'!C$10+0.8*Lookup!$C$13)))*$C$24+IF($C$10&lt;0.2*Lookup!$C$14,0,(('SN4'!$C$10-0.2*Lookup!$C$14)^2/('SN4'!$C$10+0.8*Lookup!$C$14)))*$C$25+IF($C$10&lt;0.2*Lookup!$C$15,0,(('SN4'!$C$10-0.2*Lookup!$C$15)^2/('SN4'!$C$10+0.8*Lookup!$C$15)))*$C$26+IF($C$10&lt;0.2*Lookup!$D$13,0,(('SN4'!$C$10-0.2*Lookup!$D$13)^2/('SN4'!$C$10+0.8*Lookup!$D$13)))*$D$24+IF($C$10&lt;0.2*Lookup!$D$14,0,(('SN4'!$C$10-0.2*Lookup!$D$14)^2/('SN4'!$C$10+0.8*Lookup!$D$14)))*$D$25+IF($C$10&lt;0.2*Lookup!$D$15,0,(('SN4'!$C$10-0.2*Lookup!$D$15)^2/('SN4'!$C$10+0.8*Lookup!$D$15)))*$D$26+IF($C$10&lt;0.2*Lookup!$E$13,0,(('SN4'!$C$10-0.2*Lookup!$E$13)^2/('SN4'!$C$10+0.8*Lookup!$E$13)))*$E$24+IF($C$10&lt;0.2*Lookup!$E$14,0,(('SN4'!$C$10-0.2*Lookup!$E$14)^2/('SN4'!$C$10+0.8*Lookup!$E$14)))*$E$25+IF($C$10&lt;0.2*Lookup!$E$15,0,(('SN4'!$C$10-0.2*Lookup!$E$15)^2/('SN4'!$C$10+0.8*Lookup!$E$15)))*$E$26+(($C$10-0.2*Lookup!B17)^2/($C$10+0.8*Lookup!B17)*(F27+F28+F29+F30)))/12</f>
        <v>0</v>
      </c>
      <c r="E45" s="246">
        <f>(IF($D$10&lt;0.2*Lookup!$B$13,0,(('SN4'!$D$10-0.2*Lookup!$B$13)^2/('SN4'!$D$10+0.8*Lookup!$B$13)))*$B$24+IF($D$10&lt;0.2*Lookup!$B$14,0,(('SN4'!$D$10-0.2*Lookup!$B$14)^2/('SN4'!$D$10+0.8*Lookup!$B$14)))*$B$25+IF($D$10&lt;0.2*Lookup!$B$15,0,(('SN4'!$D$10-0.2*Lookup!$B$15)^2/('SN4'!$D$10+0.8*Lookup!$B$15)))*$B$26+IF($D$10&lt;0.2*Lookup!$C$13,0,(('SN4'!$D$10-0.2*Lookup!$C$13)^2/('SN4'!C$10+0.8*Lookup!$C$13)))*$C$24+IF($D$10&lt;0.2*Lookup!$C$14,0,(('SN4'!$D$10-0.2*Lookup!$C$14)^2/('SN4'!$D$10+0.8*Lookup!$C$14)))*$C$25+IF($D$10&lt;0.2*Lookup!$C$15,0,(('SN4'!$D$10-0.2*Lookup!$C$15)^2/('SN4'!$D$10+0.8*Lookup!$C$15)))*$C$26+IF($D$10&lt;0.2*Lookup!$D$13,0,(('SN4'!$D$10-0.2*Lookup!$D$13)^2/('SN4'!$D$10+0.8*Lookup!$D$13)))*$D$24+IF($D$10&lt;0.2*Lookup!$D$14,0,(('SN4'!$D$10-0.2*Lookup!$D$14)^2/('SN4'!$D$10+0.8*Lookup!$D$14)))*$D$25+IF($D$10&lt;0.2*Lookup!$D$15,0,(('SN4'!$D$10-0.2*Lookup!$D$15)^2/('SN4'!$D$10+0.8*Lookup!$D$15)))*$D$26+IF($D$10&lt;0.2*Lookup!$E$13,0,(('SN4'!$D$10-0.2*Lookup!$E$13)^2/('SN4'!$D$10+0.8*Lookup!$E$13)))*$E$24+IF($D$10&lt;0.2*Lookup!$E$14,0,(('SN4'!$D$10-0.2*Lookup!$E$14)^2/('SN4'!$D$10+0.8*Lookup!$E$14)))*$E$25+IF($D$10&lt;0.2*Lookup!$E$15,0,(('SN4'!$D$10-0.2*Lookup!$E$15)^2/('SN4'!$D$10+0.8*Lookup!$E$15)))*$E$26+(($D$10-0.2*Lookup!B17)^2/($D$10+0.8*Lookup!B17)*(F27+F28+F29+F30)))/12</f>
        <v>0</v>
      </c>
      <c r="F45" s="246">
        <f>(IF($E$10&lt;0.2*Lookup!$B$13,0,(('SN4'!$E$10-0.2*Lookup!$B$13)^2/('SN4'!$E$10+0.8*Lookup!$B$13)))*$B$24+IF($E$10&lt;0.2*Lookup!$B$14,0,(('SN4'!$E$10-0.2*Lookup!$B$14)^2/('SN4'!$E$10+0.8*Lookup!$B$14)))*$B$25+IF($E$10&lt;0.2*Lookup!$B$15,0,(('SN4'!$E$10-0.2*Lookup!$B$15)^2/('SN4'!$E$10+0.8*Lookup!$B$15)))*$B$26+IF($E$10&lt;0.2*Lookup!$C$13,0,(('SN4'!$E$10-0.2*Lookup!$C$13)^2/('SN4'!C$10+0.8*Lookup!$C$13)))*$C$24+IF($E$10&lt;0.2*Lookup!$C$14,0,(('SN4'!$E$10-0.2*Lookup!$C$14)^2/('SN4'!$E$10+0.8*Lookup!$C$14)))*$C$25+IF($E$10&lt;0.2*Lookup!$C$15,0,(('SN4'!$E$10-0.2*Lookup!$C$15)^2/('SN4'!$E$10+0.8*Lookup!$C$15)))*$C$26+IF($E$10&lt;0.2*Lookup!$D$13,0,(('SN4'!$E$10-0.2*Lookup!$D$13)^2/('SN4'!$E$10+0.8*Lookup!$D$13)))*$D$24+IF($E$10&lt;0.2*Lookup!$D$14,0,(('SN4'!$E$10-0.2*Lookup!$D$14)^2/('SN4'!$E$10+0.8*Lookup!$D$14)))*$D$25+IF($E$10&lt;0.2*Lookup!$D$15,0,(('SN4'!$E$10-0.2*Lookup!$D$15)^2/('SN4'!$E$10+0.8*Lookup!$D$15)))*$D$26+IF($E$10&lt;0.2*Lookup!$E$13,0,(('SN4'!$E$10-0.2*Lookup!$E$13)^2/('SN4'!$E$10+0.8*Lookup!$E$13)))*$E$24+IF($E$10&lt;0.2*Lookup!$E$14,0,(('SN4'!$E$10-0.2*Lookup!$E$14)^2/('SN4'!$E$10+0.8*Lookup!$E$14)))*$E$25+IF($E$10&lt;0.2*Lookup!$E$15,0,(('SN4'!$E$10-0.2*Lookup!$E$15)^2/('SN4'!$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239" priority="39">
      <formula>$F$67=2</formula>
    </cfRule>
  </conditionalFormatting>
  <conditionalFormatting sqref="E90:F90">
    <cfRule type="expression" dxfId="238" priority="38">
      <formula>$F$89=2</formula>
    </cfRule>
  </conditionalFormatting>
  <conditionalFormatting sqref="E103:F103">
    <cfRule type="expression" dxfId="237" priority="37">
      <formula>$F$102=2</formula>
    </cfRule>
  </conditionalFormatting>
  <conditionalFormatting sqref="E115:F115">
    <cfRule type="expression" dxfId="236" priority="36">
      <formula>$F$114=2</formula>
    </cfRule>
  </conditionalFormatting>
  <conditionalFormatting sqref="B105:F105 D108">
    <cfRule type="expression" dxfId="235" priority="35">
      <formula>$F$102=1</formula>
    </cfRule>
  </conditionalFormatting>
  <conditionalFormatting sqref="D106">
    <cfRule type="expression" dxfId="234" priority="34">
      <formula>$F$102=1</formula>
    </cfRule>
  </conditionalFormatting>
  <conditionalFormatting sqref="B117:F117 D120">
    <cfRule type="expression" dxfId="233" priority="33">
      <formula>$F$114=1</formula>
    </cfRule>
  </conditionalFormatting>
  <conditionalFormatting sqref="B82:D82 B83:B84 E82:E84">
    <cfRule type="expression" dxfId="232" priority="40">
      <formula>$F$79&gt;0</formula>
    </cfRule>
  </conditionalFormatting>
  <conditionalFormatting sqref="E97">
    <cfRule type="expression" dxfId="231" priority="32">
      <formula>$G$94=TRUE</formula>
    </cfRule>
  </conditionalFormatting>
  <conditionalFormatting sqref="D119">
    <cfRule type="expression" dxfId="230" priority="31">
      <formula>$F$114=1</formula>
    </cfRule>
  </conditionalFormatting>
  <conditionalFormatting sqref="D118">
    <cfRule type="expression" dxfId="229" priority="30">
      <formula>$F$114=1</formula>
    </cfRule>
  </conditionalFormatting>
  <conditionalFormatting sqref="D107">
    <cfRule type="expression" dxfId="228" priority="29">
      <formula>$F$102=1</formula>
    </cfRule>
  </conditionalFormatting>
  <conditionalFormatting sqref="C64">
    <cfRule type="expression" dxfId="227" priority="28">
      <formula>$C$64="n/a"</formula>
    </cfRule>
  </conditionalFormatting>
  <conditionalFormatting sqref="B82:E84">
    <cfRule type="expression" dxfId="226" priority="27">
      <formula>$F$79="N/A"</formula>
    </cfRule>
  </conditionalFormatting>
  <conditionalFormatting sqref="C61">
    <cfRule type="expression" dxfId="225" priority="24">
      <formula>C61="n/a"</formula>
    </cfRule>
    <cfRule type="expression" dxfId="224" priority="25">
      <formula>C61="No"</formula>
    </cfRule>
    <cfRule type="expression" dxfId="223" priority="26">
      <formula>C61="Yes"</formula>
    </cfRule>
  </conditionalFormatting>
  <conditionalFormatting sqref="B61">
    <cfRule type="expression" dxfId="222" priority="21">
      <formula>B61="n/a"</formula>
    </cfRule>
    <cfRule type="expression" dxfId="221" priority="22">
      <formula>B61="No"</formula>
    </cfRule>
    <cfRule type="expression" dxfId="220" priority="23">
      <formula>B61="Yes"</formula>
    </cfRule>
  </conditionalFormatting>
  <conditionalFormatting sqref="D61:F61">
    <cfRule type="expression" dxfId="219" priority="18">
      <formula>D61="n/a"</formula>
    </cfRule>
    <cfRule type="expression" dxfId="218" priority="19">
      <formula>D61="No"</formula>
    </cfRule>
    <cfRule type="expression" dxfId="217" priority="20">
      <formula>D61="Yes"</formula>
    </cfRule>
  </conditionalFormatting>
  <conditionalFormatting sqref="B70">
    <cfRule type="expression" dxfId="216" priority="15">
      <formula>B70="n/a"</formula>
    </cfRule>
    <cfRule type="expression" dxfId="215" priority="16">
      <formula>B70="No"</formula>
    </cfRule>
    <cfRule type="expression" dxfId="214" priority="17">
      <formula>B70="Yes"</formula>
    </cfRule>
  </conditionalFormatting>
  <conditionalFormatting sqref="B91">
    <cfRule type="expression" dxfId="213" priority="12">
      <formula>B91="n/a"</formula>
    </cfRule>
    <cfRule type="expression" dxfId="212" priority="13">
      <formula>B91="No"</formula>
    </cfRule>
    <cfRule type="expression" dxfId="211" priority="14">
      <formula>B91="Yes"</formula>
    </cfRule>
  </conditionalFormatting>
  <conditionalFormatting sqref="B104">
    <cfRule type="expression" dxfId="210" priority="9">
      <formula>B104="n/a"</formula>
    </cfRule>
    <cfRule type="expression" dxfId="209" priority="10">
      <formula>B104="No"</formula>
    </cfRule>
    <cfRule type="expression" dxfId="208" priority="11">
      <formula>B104="Yes"</formula>
    </cfRule>
  </conditionalFormatting>
  <conditionalFormatting sqref="B116">
    <cfRule type="expression" dxfId="207" priority="6">
      <formula>B116="n/a"</formula>
    </cfRule>
    <cfRule type="expression" dxfId="206" priority="7">
      <formula>B116="No"</formula>
    </cfRule>
    <cfRule type="expression" dxfId="205" priority="8">
      <formula>B116="Yes"</formula>
    </cfRule>
  </conditionalFormatting>
  <conditionalFormatting sqref="F75">
    <cfRule type="expression" dxfId="204" priority="5">
      <formula>$E$75&gt;=5%</formula>
    </cfRule>
  </conditionalFormatting>
  <conditionalFormatting sqref="F76">
    <cfRule type="expression" dxfId="203" priority="4">
      <formula>$E$76&gt;0</formula>
    </cfRule>
  </conditionalFormatting>
  <conditionalFormatting sqref="D64">
    <cfRule type="expression" dxfId="202" priority="3">
      <formula>$C$64="n/a"</formula>
    </cfRule>
  </conditionalFormatting>
  <conditionalFormatting sqref="E64">
    <cfRule type="expression" dxfId="201" priority="2">
      <formula>$C$64="n/a"</formula>
    </cfRule>
  </conditionalFormatting>
  <conditionalFormatting sqref="F64">
    <cfRule type="expression" dxfId="200" priority="1">
      <formula>$C$64="n/a"</formula>
    </cfRule>
  </conditionalFormatting>
  <dataValidations count="2">
    <dataValidation type="decimal" allowBlank="1" showInputMessage="1" showErrorMessage="1" errorTitle="Invalid Latitude!" error="You've entered a latitude that is not in Vermont." sqref="D5:F5" xr:uid="{69C8CD36-8013-4BDA-861E-1816579AF7B9}">
      <formula1>42.72</formula1>
      <formula2>45.02</formula2>
    </dataValidation>
    <dataValidation type="decimal" allowBlank="1" showInputMessage="1" showErrorMessage="1" errorTitle="Invalid Longitude" error="You've entered a longitude outside of Vermont.  Longitude values in VT should always be negative." sqref="D6:F6" xr:uid="{4A8BBFBF-4FF3-4F97-A16B-9F09D305DF6C}">
      <formula1>-73.732</formula1>
      <formula2>-71.46</formula2>
    </dataValidation>
  </dataValidations>
  <hyperlinks>
    <hyperlink ref="E8" r:id="rId1" xr:uid="{2FABC428-D5D2-4015-B3DB-8A4738A3257D}"/>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79201"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79202"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79203"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79204"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79205"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79206"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79207"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79208"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79209"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79210"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79211"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79212"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79213"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79214"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79215"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79216"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79217"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79218"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79219"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79220"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79221"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79222"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79223"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79224"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79225"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8B1E5EC3-BCEC-44F7-8050-A9961A2CBAB3}">
          <x14:formula1>
            <xm:f>Lookup!$G$11:$G$23</xm:f>
          </x14:formula1>
          <xm:sqref>A50:A54 C50:D54</xm:sqref>
        </x14:dataValidation>
        <x14:dataValidation type="list" allowBlank="1" showInputMessage="1" showErrorMessage="1" xr:uid="{C96E2342-2758-4D63-860F-226B8C666D6D}">
          <x14:formula1>
            <xm:f>Lookup!$G$12:$G$23</xm:f>
          </x14:formula1>
          <xm:sqref>A55</xm:sqref>
        </x14:dataValidation>
        <x14:dataValidation type="list" allowBlank="1" showInputMessage="1" showErrorMessage="1" xr:uid="{24642506-2E64-4C50-9048-259D62665C9C}">
          <x14:formula1>
            <xm:f>Lookup!$H$13:$H$19</xm:f>
          </x14:formula1>
          <xm:sqref>C82:D82 B82:B84</xm:sqref>
        </x14:dataValidation>
        <x14:dataValidation type="list" allowBlank="1" showInputMessage="1" showErrorMessage="1" xr:uid="{DD88B7D6-72A0-442D-8DCC-19B9443D6201}">
          <x14:formula1>
            <xm:f>Lookup!$J$4:$J$8</xm:f>
          </x14:formula1>
          <xm:sqref>E115:F115</xm:sqref>
        </x14:dataValidation>
        <x14:dataValidation type="list" allowBlank="1" showInputMessage="1" showErrorMessage="1" xr:uid="{CB39D452-3513-4437-800F-4663FE5EE77D}">
          <x14:formula1>
            <xm:f>Lookup!$I$4:$I$8</xm:f>
          </x14:formula1>
          <xm:sqref>E103:F103</xm:sqref>
        </x14:dataValidation>
        <x14:dataValidation type="list" allowBlank="1" showInputMessage="1" showErrorMessage="1" xr:uid="{06284A23-8F57-410E-AD00-8E9157487F9E}">
          <x14:formula1>
            <xm:f>Lookup!$H$4:$H$7</xm:f>
          </x14:formula1>
          <xm:sqref>E90:F90</xm:sqref>
        </x14:dataValidation>
        <x14:dataValidation type="list" allowBlank="1" showInputMessage="1" showErrorMessage="1" xr:uid="{BD007861-31F0-4DD8-87B5-D3A5ABFF227E}">
          <x14:formula1>
            <xm:f>Lookup!$G$3:$G$6</xm:f>
          </x14:formula1>
          <xm:sqref>E68:F68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E3A4-9D06-4F64-BF47-B75C92CFDDDA}">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5'!$C$10-0.2*Lookup!$B$13)^2/('SN5'!$C$10+0.8*Lookup!$B$13)))*$B$15+IF($C$10&lt;0.2*Lookup!$B$14,0,(('SN5'!$C$10-0.2*Lookup!$B$14)^2/('SN5'!$C$10+0.8*Lookup!$B$14)))*$B$16+IF($C$10&lt;0.2*Lookup!$B$15,0,(('SN5'!$C$10-0.2*Lookup!$B$15)^2/('SN5'!$C$10+0.8*Lookup!$B$15)))*$B$17++IF($C$10&lt;0.2*Lookup!$B$17,0,(('SN5'!$C$10-0.2*Lookup!$B$17)^2/('SN5'!$C$10+0.8*Lookup!$B$17)))*$B$18+IF($C$10&lt;0.2*Lookup!$C$13,0,(('SN5'!$C$10-0.2*Lookup!$C$13)^2/('SN5'!C$10+0.8*Lookup!$C$13)))*$C$15+IF($C$10&lt;0.2*Lookup!$C$14,0,(('SN5'!$C$10-0.2*Lookup!$C$14)^2/('SN5'!$C$10+0.8*Lookup!$C$14)))*$C$16+IF($C$10&lt;0.2*Lookup!$C$15,0,(('SN5'!$C$10-0.2*Lookup!$C$15)^2/('SN5'!$C$10+0.8*Lookup!$C$15)))*$C$17+IF($C$10&lt;0.2*Lookup!$C$17,0,(('SN5'!$C$10-0.2*Lookup!$C$17)^2/('SN5'!$C$10+0.8*Lookup!$C$17)))*$C$18+IF($C$10&lt;0.2*Lookup!$D$13,0,(('SN5'!$C$10-0.2*Lookup!$D$13)^2/('SN5'!$C$10+0.8*Lookup!$D$13)))*$D$15+IF($C$10&lt;0.2*Lookup!$D$14,0,(('SN5'!$C$10-0.2*Lookup!$D$14)^2/('SN5'!$C$10+0.8*Lookup!$D$14)))*$D$16+IF($C$10&lt;0.2*Lookup!$D$15,0,(('SN5'!$C$10-0.2*Lookup!$D$15)^2/('SN5'!$C$10+0.8*Lookup!$D$15)))*$D$17+IF($C$10&lt;0.2*Lookup!$D$17,0,(('SN5'!$C$10-0.2*Lookup!$D$17)^2/('SN5'!$C$10+0.8*Lookup!$D$17)))*$D$18+IF($C$10&lt;0.2*Lookup!$E$13,0,(('SN5'!$C$10-0.2*Lookup!$E$13)^2/('SN5'!$C$10+0.8*Lookup!$E$13)))*$E$15+IF($C$10&lt;0.2*Lookup!$E$14,0,(('SN5'!$C$10-0.2*Lookup!$E$14)^2/('SN5'!$C$10+0.8*Lookup!$E$14)))*$E$16+IF($C$10&lt;0.2*Lookup!$E$15,0,(('SN5'!$C$10-0.2*Lookup!$E$15)^2/('SN5'!$C$10+0.8*Lookup!$E$15)))*$E$17+IF($C$10&lt;0.2*Lookup!$E$17,0,(('SN5'!$C$10-0.2*Lookup!$E$17)^2/('SN5'!$C$10+0.8*Lookup!$E$17)))*$E$18)/12</f>
        <v>0</v>
      </c>
      <c r="E44" s="246">
        <f>(IF($D$10&lt;0.2*Lookup!$B$13,0,(('SN5'!$D$10-0.2*Lookup!$B$13)^2/('SN5'!$D$10+0.8*Lookup!$B$13)))*$B$15+IF($D$10&lt;0.2*Lookup!$B$14,0,(('SN5'!$D$10-0.2*Lookup!$B$14)^2/('SN5'!$D$10+0.8*Lookup!$B$14)))*$B$16+IF($D$10&lt;0.2*Lookup!$B$15,0,(('SN5'!$D$10-0.2*Lookup!$B$15)^2/('SN5'!$D$10+0.8*Lookup!$B$15)))*$B$17++IF($D$10&lt;0.2*Lookup!$B$17,0,(('SN5'!$D$10-0.2*Lookup!$B$17)^2/('SN5'!$D$10+0.8*Lookup!$B$17)))*$B$18+IF($D$10&lt;0.2*Lookup!$C$13,0,(('SN5'!$D$10-0.2*Lookup!$C$13)^2/('SN5'!C$10+0.8*Lookup!$C$13)))*$C$15+IF($D$10&lt;0.2*Lookup!$C$14,0,(('SN5'!$D$10-0.2*Lookup!$C$14)^2/('SN5'!$D$10+0.8*Lookup!$C$14)))*$C$16+IF($D$10&lt;0.2*Lookup!$C$15,0,(('SN5'!$D$10-0.2*Lookup!$C$15)^2/('SN5'!$D$10+0.8*Lookup!$C$15)))*$C$17+IF($D$10&lt;0.2*Lookup!$C$17,0,(('SN5'!$D$10-0.2*Lookup!$C$17)^2/('SN5'!$D$10+0.8*Lookup!$C$17)))*$C$18+IF($D$10&lt;0.2*Lookup!$D$13,0,(('SN5'!$D$10-0.2*Lookup!$D$13)^2/('SN5'!$D$10+0.8*Lookup!$D$13)))*$D$15+IF($D$10&lt;0.2*Lookup!$D$14,0,(('SN5'!$D$10-0.2*Lookup!$D$14)^2/('SN5'!$D$10+0.8*Lookup!$D$14)))*$D$16+IF($D$10&lt;0.2*Lookup!$D$15,0,(('SN5'!$D$10-0.2*Lookup!$D$15)^2/('SN5'!$D$10+0.8*Lookup!$D$15)))*$D$17+IF($D$10&lt;0.2*Lookup!$D$17,0,(('SN5'!$D$10-0.2*Lookup!$D$17)^2/('SN5'!$D$10+0.8*Lookup!$D$17)))*$D$18+IF($D$10&lt;0.2*Lookup!$E$13,0,(('SN5'!$D$10-0.2*Lookup!$E$13)^2/('SN5'!$D$10+0.8*Lookup!$E$13)))*$E$15+IF($D$10&lt;0.2*Lookup!$E$14,0,(('SN5'!$D$10-0.2*Lookup!$E$14)^2/('SN5'!$D$10+0.8*Lookup!$E$14)))*$E$16+IF($D$10&lt;0.2*Lookup!$E$15,0,(('SN5'!$D$10-0.2*Lookup!$E$15)^2/('SN5'!$D$10+0.8*Lookup!$E$15)))*$E$17++IF($D$10&lt;0.2*Lookup!$E$17,0,(('SN5'!$D$10-0.2*Lookup!$E$17)^2/('SN5'!$D$10+0.8*Lookup!$E$17)))*$E$18)/12</f>
        <v>0</v>
      </c>
      <c r="F44" s="246">
        <f>(IF($E$10&lt;0.2*Lookup!$B$13,0,(('SN5'!$E$10-0.2*Lookup!$B$13)^2/('SN5'!$E$10+0.8*Lookup!$B$13)))*$B$15+IF($E$10&lt;0.2*Lookup!$B$14,0,(('SN5'!$E$10-0.2*Lookup!$B$14)^2/('SN5'!$E$10+0.8*Lookup!$B$14)))*$B$16+IF($E$10&lt;0.2*Lookup!$B$15,0,(('SN5'!$E$10-0.2*Lookup!$B$15)^2/('SN5'!$E$10+0.8*Lookup!$B$15)))*$B$17++IF($E$10&lt;0.2*Lookup!$B$17,0,(('SN5'!$E$10-0.2*Lookup!$B$17)^2/('SN5'!$E$10+0.8*Lookup!$B$17)))*$B$18+IF($E$10&lt;0.2*Lookup!$C$13,0,(('SN5'!$E$10-0.2*Lookup!$C$13)^2/('SN5'!C$10+0.8*Lookup!$C$13)))*$C$15+IF($E$10&lt;0.2*Lookup!$C$14,0,(('SN5'!$E$10-0.2*Lookup!$C$14)^2/('SN5'!$E$10+0.8*Lookup!$C$14)))*$C$16+IF($E$10&lt;0.2*Lookup!$C$15,0,(('SN5'!$E$10-0.2*Lookup!$C$15)^2/('SN5'!$E$10+0.8*Lookup!$C$15)))*$C$17+IF($E$10&lt;0.2*Lookup!$C$17,0,(('SN5'!$E$10-0.2*Lookup!$C$17)^2/('SN5'!$E$10+0.8*Lookup!$C$17)))*$C$18+IF($E$10&lt;0.2*Lookup!$D$13,0,(('SN5'!$E$10-0.2*Lookup!$D$13)^2/('SN5'!$E$10+0.8*Lookup!$D$13)))*$D$15+IF($E$10&lt;0.2*Lookup!$D$14,0,(('SN5'!$E$10-0.2*Lookup!$D$14)^2/('SN5'!$E$10+0.8*Lookup!$D$14)))*$D$16+IF($E$10&lt;0.2*Lookup!$D$15,0,(('SN5'!$E$10-0.2*Lookup!$D$15)^2/('SN5'!$E$10+0.8*Lookup!$D$15)))*$D$17+IF($E$10&lt;0.2*Lookup!$D$17,0,(('SN5'!$E$10-0.2*Lookup!$D$17)^2/('SN5'!$E$10+0.8*Lookup!$D$17)))*$D$18+IF($E$10&lt;0.2*Lookup!$E$13,0,(('SN5'!$E$10-0.2*Lookup!$E$13)^2/('SN5'!$E$10+0.8*Lookup!$E$13)))*$E$15+IF($E$10&lt;0.2*Lookup!$E$14,0,(('SN5'!$E$10-0.2*Lookup!$E$14)^2/('SN5'!$E$10+0.8*Lookup!$E$14)))*$E$16+IF($E$10&lt;0.2*Lookup!$E$15,0,(('SN5'!$E$10-0.2*Lookup!$E$15)^2/('SN5'!$E$10+0.8*Lookup!$E$15)))*$E$17++IF($E$10&lt;0.2*Lookup!$E$17,0,(('SN5'!$E$10-0.2*Lookup!$E$17)^2/('SN5'!$E$10+0.8*Lookup!$E$17)))*$E$18)/12</f>
        <v>0</v>
      </c>
      <c r="G44" s="60"/>
      <c r="K44" s="13"/>
      <c r="L44" s="6"/>
      <c r="M44" s="13"/>
      <c r="N44" s="13"/>
      <c r="O44" s="13"/>
    </row>
    <row r="45" spans="1:15" ht="14.4" customHeight="1">
      <c r="A45" s="390" t="s">
        <v>113</v>
      </c>
      <c r="B45" s="376"/>
      <c r="C45" s="391"/>
      <c r="D45" s="246">
        <f>(IF($C$10&lt;0.2*Lookup!$B$13,0,(('SN5'!$C$10-0.2*Lookup!$B$13)^2/('SN5'!$C$10+0.8*Lookup!$B$13)))*$B$24+IF($C$10&lt;0.2*Lookup!$B$14,0,(('SN5'!$C$10-0.2*Lookup!$B$14)^2/('SN5'!$C$10+0.8*Lookup!$B$14)))*$B$25+IF($C$10&lt;0.2*Lookup!$B$15,0,(('SN5'!$C$10-0.2*Lookup!$B$15)^2/('SN5'!$C$10+0.8*Lookup!$B$15)))*$B$26+IF($C$10&lt;0.2*Lookup!$C$13,0,(('SN5'!$C$10-0.2*Lookup!$C$13)^2/('SN5'!C$10+0.8*Lookup!$C$13)))*$C$24+IF($C$10&lt;0.2*Lookup!$C$14,0,(('SN5'!$C$10-0.2*Lookup!$C$14)^2/('SN5'!$C$10+0.8*Lookup!$C$14)))*$C$25+IF($C$10&lt;0.2*Lookup!$C$15,0,(('SN5'!$C$10-0.2*Lookup!$C$15)^2/('SN5'!$C$10+0.8*Lookup!$C$15)))*$C$26+IF($C$10&lt;0.2*Lookup!$D$13,0,(('SN5'!$C$10-0.2*Lookup!$D$13)^2/('SN5'!$C$10+0.8*Lookup!$D$13)))*$D$24+IF($C$10&lt;0.2*Lookup!$D$14,0,(('SN5'!$C$10-0.2*Lookup!$D$14)^2/('SN5'!$C$10+0.8*Lookup!$D$14)))*$D$25+IF($C$10&lt;0.2*Lookup!$D$15,0,(('SN5'!$C$10-0.2*Lookup!$D$15)^2/('SN5'!$C$10+0.8*Lookup!$D$15)))*$D$26+IF($C$10&lt;0.2*Lookup!$E$13,0,(('SN5'!$C$10-0.2*Lookup!$E$13)^2/('SN5'!$C$10+0.8*Lookup!$E$13)))*$E$24+IF($C$10&lt;0.2*Lookup!$E$14,0,(('SN5'!$C$10-0.2*Lookup!$E$14)^2/('SN5'!$C$10+0.8*Lookup!$E$14)))*$E$25+IF($C$10&lt;0.2*Lookup!$E$15,0,(('SN5'!$C$10-0.2*Lookup!$E$15)^2/('SN5'!$C$10+0.8*Lookup!$E$15)))*$E$26+(($C$10-0.2*Lookup!B17)^2/($C$10+0.8*Lookup!B17)*(F27+F28+F29+F30)))/12</f>
        <v>0</v>
      </c>
      <c r="E45" s="246">
        <f>(IF($D$10&lt;0.2*Lookup!$B$13,0,(('SN5'!$D$10-0.2*Lookup!$B$13)^2/('SN5'!$D$10+0.8*Lookup!$B$13)))*$B$24+IF($D$10&lt;0.2*Lookup!$B$14,0,(('SN5'!$D$10-0.2*Lookup!$B$14)^2/('SN5'!$D$10+0.8*Lookup!$B$14)))*$B$25+IF($D$10&lt;0.2*Lookup!$B$15,0,(('SN5'!$D$10-0.2*Lookup!$B$15)^2/('SN5'!$D$10+0.8*Lookup!$B$15)))*$B$26+IF($D$10&lt;0.2*Lookup!$C$13,0,(('SN5'!$D$10-0.2*Lookup!$C$13)^2/('SN5'!C$10+0.8*Lookup!$C$13)))*$C$24+IF($D$10&lt;0.2*Lookup!$C$14,0,(('SN5'!$D$10-0.2*Lookup!$C$14)^2/('SN5'!$D$10+0.8*Lookup!$C$14)))*$C$25+IF($D$10&lt;0.2*Lookup!$C$15,0,(('SN5'!$D$10-0.2*Lookup!$C$15)^2/('SN5'!$D$10+0.8*Lookup!$C$15)))*$C$26+IF($D$10&lt;0.2*Lookup!$D$13,0,(('SN5'!$D$10-0.2*Lookup!$D$13)^2/('SN5'!$D$10+0.8*Lookup!$D$13)))*$D$24+IF($D$10&lt;0.2*Lookup!$D$14,0,(('SN5'!$D$10-0.2*Lookup!$D$14)^2/('SN5'!$D$10+0.8*Lookup!$D$14)))*$D$25+IF($D$10&lt;0.2*Lookup!$D$15,0,(('SN5'!$D$10-0.2*Lookup!$D$15)^2/('SN5'!$D$10+0.8*Lookup!$D$15)))*$D$26+IF($D$10&lt;0.2*Lookup!$E$13,0,(('SN5'!$D$10-0.2*Lookup!$E$13)^2/('SN5'!$D$10+0.8*Lookup!$E$13)))*$E$24+IF($D$10&lt;0.2*Lookup!$E$14,0,(('SN5'!$D$10-0.2*Lookup!$E$14)^2/('SN5'!$D$10+0.8*Lookup!$E$14)))*$E$25+IF($D$10&lt;0.2*Lookup!$E$15,0,(('SN5'!$D$10-0.2*Lookup!$E$15)^2/('SN5'!$D$10+0.8*Lookup!$E$15)))*$E$26+(($D$10-0.2*Lookup!B17)^2/($D$10+0.8*Lookup!B17)*(F27+F28+F29+F30)))/12</f>
        <v>0</v>
      </c>
      <c r="F45" s="246">
        <f>(IF($E$10&lt;0.2*Lookup!$B$13,0,(('SN5'!$E$10-0.2*Lookup!$B$13)^2/('SN5'!$E$10+0.8*Lookup!$B$13)))*$B$24+IF($E$10&lt;0.2*Lookup!$B$14,0,(('SN5'!$E$10-0.2*Lookup!$B$14)^2/('SN5'!$E$10+0.8*Lookup!$B$14)))*$B$25+IF($E$10&lt;0.2*Lookup!$B$15,0,(('SN5'!$E$10-0.2*Lookup!$B$15)^2/('SN5'!$E$10+0.8*Lookup!$B$15)))*$B$26+IF($E$10&lt;0.2*Lookup!$C$13,0,(('SN5'!$E$10-0.2*Lookup!$C$13)^2/('SN5'!C$10+0.8*Lookup!$C$13)))*$C$24+IF($E$10&lt;0.2*Lookup!$C$14,0,(('SN5'!$E$10-0.2*Lookup!$C$14)^2/('SN5'!$E$10+0.8*Lookup!$C$14)))*$C$25+IF($E$10&lt;0.2*Lookup!$C$15,0,(('SN5'!$E$10-0.2*Lookup!$C$15)^2/('SN5'!$E$10+0.8*Lookup!$C$15)))*$C$26+IF($E$10&lt;0.2*Lookup!$D$13,0,(('SN5'!$E$10-0.2*Lookup!$D$13)^2/('SN5'!$E$10+0.8*Lookup!$D$13)))*$D$24+IF($E$10&lt;0.2*Lookup!$D$14,0,(('SN5'!$E$10-0.2*Lookup!$D$14)^2/('SN5'!$E$10+0.8*Lookup!$D$14)))*$D$25+IF($E$10&lt;0.2*Lookup!$D$15,0,(('SN5'!$E$10-0.2*Lookup!$D$15)^2/('SN5'!$E$10+0.8*Lookup!$D$15)))*$D$26+IF($E$10&lt;0.2*Lookup!$E$13,0,(('SN5'!$E$10-0.2*Lookup!$E$13)^2/('SN5'!$E$10+0.8*Lookup!$E$13)))*$E$24+IF($E$10&lt;0.2*Lookup!$E$14,0,(('SN5'!$E$10-0.2*Lookup!$E$14)^2/('SN5'!$E$10+0.8*Lookup!$E$14)))*$E$25+IF($E$10&lt;0.2*Lookup!$E$15,0,(('SN5'!$E$10-0.2*Lookup!$E$15)^2/('SN5'!$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199" priority="39">
      <formula>$F$67=2</formula>
    </cfRule>
  </conditionalFormatting>
  <conditionalFormatting sqref="E90:F90">
    <cfRule type="expression" dxfId="198" priority="38">
      <formula>$F$89=2</formula>
    </cfRule>
  </conditionalFormatting>
  <conditionalFormatting sqref="E103:F103">
    <cfRule type="expression" dxfId="197" priority="37">
      <formula>$F$102=2</formula>
    </cfRule>
  </conditionalFormatting>
  <conditionalFormatting sqref="E115:F115">
    <cfRule type="expression" dxfId="196" priority="36">
      <formula>$F$114=2</formula>
    </cfRule>
  </conditionalFormatting>
  <conditionalFormatting sqref="B105:F105 D108">
    <cfRule type="expression" dxfId="195" priority="35">
      <formula>$F$102=1</formula>
    </cfRule>
  </conditionalFormatting>
  <conditionalFormatting sqref="D106">
    <cfRule type="expression" dxfId="194" priority="34">
      <formula>$F$102=1</formula>
    </cfRule>
  </conditionalFormatting>
  <conditionalFormatting sqref="B117:F117 D120">
    <cfRule type="expression" dxfId="193" priority="33">
      <formula>$F$114=1</formula>
    </cfRule>
  </conditionalFormatting>
  <conditionalFormatting sqref="B82:D82 B83:B84 E82:E84">
    <cfRule type="expression" dxfId="192" priority="40">
      <formula>$F$79&gt;0</formula>
    </cfRule>
  </conditionalFormatting>
  <conditionalFormatting sqref="E97">
    <cfRule type="expression" dxfId="191" priority="32">
      <formula>$G$94=TRUE</formula>
    </cfRule>
  </conditionalFormatting>
  <conditionalFormatting sqref="D119">
    <cfRule type="expression" dxfId="190" priority="31">
      <formula>$F$114=1</formula>
    </cfRule>
  </conditionalFormatting>
  <conditionalFormatting sqref="D118">
    <cfRule type="expression" dxfId="189" priority="30">
      <formula>$F$114=1</formula>
    </cfRule>
  </conditionalFormatting>
  <conditionalFormatting sqref="D107">
    <cfRule type="expression" dxfId="188" priority="29">
      <formula>$F$102=1</formula>
    </cfRule>
  </conditionalFormatting>
  <conditionalFormatting sqref="C64">
    <cfRule type="expression" dxfId="187" priority="28">
      <formula>$C$64="n/a"</formula>
    </cfRule>
  </conditionalFormatting>
  <conditionalFormatting sqref="B82:E84">
    <cfRule type="expression" dxfId="186" priority="27">
      <formula>$F$79="N/A"</formula>
    </cfRule>
  </conditionalFormatting>
  <conditionalFormatting sqref="C61">
    <cfRule type="expression" dxfId="185" priority="24">
      <formula>C61="n/a"</formula>
    </cfRule>
    <cfRule type="expression" dxfId="184" priority="25">
      <formula>C61="No"</formula>
    </cfRule>
    <cfRule type="expression" dxfId="183" priority="26">
      <formula>C61="Yes"</formula>
    </cfRule>
  </conditionalFormatting>
  <conditionalFormatting sqref="B61">
    <cfRule type="expression" dxfId="182" priority="21">
      <formula>B61="n/a"</formula>
    </cfRule>
    <cfRule type="expression" dxfId="181" priority="22">
      <formula>B61="No"</formula>
    </cfRule>
    <cfRule type="expression" dxfId="180" priority="23">
      <formula>B61="Yes"</formula>
    </cfRule>
  </conditionalFormatting>
  <conditionalFormatting sqref="D61:F61">
    <cfRule type="expression" dxfId="179" priority="18">
      <formula>D61="n/a"</formula>
    </cfRule>
    <cfRule type="expression" dxfId="178" priority="19">
      <formula>D61="No"</formula>
    </cfRule>
    <cfRule type="expression" dxfId="177" priority="20">
      <formula>D61="Yes"</formula>
    </cfRule>
  </conditionalFormatting>
  <conditionalFormatting sqref="B70">
    <cfRule type="expression" dxfId="176" priority="15">
      <formula>B70="n/a"</formula>
    </cfRule>
    <cfRule type="expression" dxfId="175" priority="16">
      <formula>B70="No"</formula>
    </cfRule>
    <cfRule type="expression" dxfId="174" priority="17">
      <formula>B70="Yes"</formula>
    </cfRule>
  </conditionalFormatting>
  <conditionalFormatting sqref="B91">
    <cfRule type="expression" dxfId="173" priority="12">
      <formula>B91="n/a"</formula>
    </cfRule>
    <cfRule type="expression" dxfId="172" priority="13">
      <formula>B91="No"</formula>
    </cfRule>
    <cfRule type="expression" dxfId="171" priority="14">
      <formula>B91="Yes"</formula>
    </cfRule>
  </conditionalFormatting>
  <conditionalFormatting sqref="B104">
    <cfRule type="expression" dxfId="170" priority="9">
      <formula>B104="n/a"</formula>
    </cfRule>
    <cfRule type="expression" dxfId="169" priority="10">
      <formula>B104="No"</formula>
    </cfRule>
    <cfRule type="expression" dxfId="168" priority="11">
      <formula>B104="Yes"</formula>
    </cfRule>
  </conditionalFormatting>
  <conditionalFormatting sqref="B116">
    <cfRule type="expression" dxfId="167" priority="6">
      <formula>B116="n/a"</formula>
    </cfRule>
    <cfRule type="expression" dxfId="166" priority="7">
      <formula>B116="No"</formula>
    </cfRule>
    <cfRule type="expression" dxfId="165" priority="8">
      <formula>B116="Yes"</formula>
    </cfRule>
  </conditionalFormatting>
  <conditionalFormatting sqref="F75">
    <cfRule type="expression" dxfId="164" priority="5">
      <formula>$E$75&gt;=5%</formula>
    </cfRule>
  </conditionalFormatting>
  <conditionalFormatting sqref="F76">
    <cfRule type="expression" dxfId="163" priority="4">
      <formula>$E$76&gt;0</formula>
    </cfRule>
  </conditionalFormatting>
  <conditionalFormatting sqref="D64">
    <cfRule type="expression" dxfId="162" priority="3">
      <formula>$C$64="n/a"</formula>
    </cfRule>
  </conditionalFormatting>
  <conditionalFormatting sqref="E64">
    <cfRule type="expression" dxfId="161" priority="2">
      <formula>$C$64="n/a"</formula>
    </cfRule>
  </conditionalFormatting>
  <conditionalFormatting sqref="F64">
    <cfRule type="expression" dxfId="160" priority="1">
      <formula>$C$64="n/a"</formula>
    </cfRule>
  </conditionalFormatting>
  <dataValidations count="2">
    <dataValidation type="decimal" allowBlank="1" showInputMessage="1" showErrorMessage="1" errorTitle="Invalid Latitude!" error="You've entered a latitude that is not in Vermont." sqref="D5:F5" xr:uid="{C6BEB8A1-134F-44CB-BE4A-1DF3A3D98FFB}">
      <formula1>42.72</formula1>
      <formula2>45.02</formula2>
    </dataValidation>
    <dataValidation type="decimal" allowBlank="1" showInputMessage="1" showErrorMessage="1" errorTitle="Invalid Longitude" error="You've entered a longitude outside of Vermont.  Longitude values in VT should always be negative." sqref="D6:F6" xr:uid="{A4E1CB08-98EF-467D-951E-6A7EEE9409C4}">
      <formula1>-73.732</formula1>
      <formula2>-71.46</formula2>
    </dataValidation>
  </dataValidations>
  <hyperlinks>
    <hyperlink ref="E8" r:id="rId1" xr:uid="{81C4A64E-A995-4B0A-BD0C-9A68194E7FD1}"/>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022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8022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8022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8022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8022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8023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8023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8023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8023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8023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8023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8023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8023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8023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8023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8024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8024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8024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8024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8024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8024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8024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8024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8024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8024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BCFB998E-4C11-41F3-BF2D-F22E43BC10CA}">
          <x14:formula1>
            <xm:f>Lookup!$G$11:$G$23</xm:f>
          </x14:formula1>
          <xm:sqref>A50:A54 C50:D54</xm:sqref>
        </x14:dataValidation>
        <x14:dataValidation type="list" allowBlank="1" showInputMessage="1" showErrorMessage="1" xr:uid="{EB178DE7-BBF5-4AC8-BF4C-91A3FBD09138}">
          <x14:formula1>
            <xm:f>Lookup!$G$12:$G$23</xm:f>
          </x14:formula1>
          <xm:sqref>A55</xm:sqref>
        </x14:dataValidation>
        <x14:dataValidation type="list" allowBlank="1" showInputMessage="1" showErrorMessage="1" xr:uid="{2BD9CB22-9190-42D2-93AC-E3B915912218}">
          <x14:formula1>
            <xm:f>Lookup!$H$13:$H$19</xm:f>
          </x14:formula1>
          <xm:sqref>C82:D82 B82:B84</xm:sqref>
        </x14:dataValidation>
        <x14:dataValidation type="list" allowBlank="1" showInputMessage="1" showErrorMessage="1" xr:uid="{08DCC686-F05E-4F5B-B0AB-4D68DC1F43DF}">
          <x14:formula1>
            <xm:f>Lookup!$J$4:$J$8</xm:f>
          </x14:formula1>
          <xm:sqref>E115:F115</xm:sqref>
        </x14:dataValidation>
        <x14:dataValidation type="list" allowBlank="1" showInputMessage="1" showErrorMessage="1" xr:uid="{B73D252F-1290-42F8-B506-167230907CF9}">
          <x14:formula1>
            <xm:f>Lookup!$I$4:$I$8</xm:f>
          </x14:formula1>
          <xm:sqref>E103:F103</xm:sqref>
        </x14:dataValidation>
        <x14:dataValidation type="list" allowBlank="1" showInputMessage="1" showErrorMessage="1" xr:uid="{24F7E392-623D-45E4-A519-CEBAD7AF5F6C}">
          <x14:formula1>
            <xm:f>Lookup!$H$4:$H$7</xm:f>
          </x14:formula1>
          <xm:sqref>E90:F90</xm:sqref>
        </x14:dataValidation>
        <x14:dataValidation type="list" allowBlank="1" showInputMessage="1" showErrorMessage="1" xr:uid="{9CE17D0E-39D8-42C4-BAE2-F0614E4769F6}">
          <x14:formula1>
            <xm:f>Lookup!$G$3:$G$6</xm:f>
          </x14:formula1>
          <xm:sqref>E68:F68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38E7-9A08-400D-ABA8-9CB4DEF152E4}">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6'!$C$10-0.2*Lookup!$B$13)^2/('SN6'!$C$10+0.8*Lookup!$B$13)))*$B$15+IF($C$10&lt;0.2*Lookup!$B$14,0,(('SN6'!$C$10-0.2*Lookup!$B$14)^2/('SN6'!$C$10+0.8*Lookup!$B$14)))*$B$16+IF($C$10&lt;0.2*Lookup!$B$15,0,(('SN6'!$C$10-0.2*Lookup!$B$15)^2/('SN6'!$C$10+0.8*Lookup!$B$15)))*$B$17++IF($C$10&lt;0.2*Lookup!$B$17,0,(('SN6'!$C$10-0.2*Lookup!$B$17)^2/('SN6'!$C$10+0.8*Lookup!$B$17)))*$B$18+IF($C$10&lt;0.2*Lookup!$C$13,0,(('SN6'!$C$10-0.2*Lookup!$C$13)^2/('SN6'!C$10+0.8*Lookup!$C$13)))*$C$15+IF($C$10&lt;0.2*Lookup!$C$14,0,(('SN6'!$C$10-0.2*Lookup!$C$14)^2/('SN6'!$C$10+0.8*Lookup!$C$14)))*$C$16+IF($C$10&lt;0.2*Lookup!$C$15,0,(('SN6'!$C$10-0.2*Lookup!$C$15)^2/('SN6'!$C$10+0.8*Lookup!$C$15)))*$C$17+IF($C$10&lt;0.2*Lookup!$C$17,0,(('SN6'!$C$10-0.2*Lookup!$C$17)^2/('SN6'!$C$10+0.8*Lookup!$C$17)))*$C$18+IF($C$10&lt;0.2*Lookup!$D$13,0,(('SN6'!$C$10-0.2*Lookup!$D$13)^2/('SN6'!$C$10+0.8*Lookup!$D$13)))*$D$15+IF($C$10&lt;0.2*Lookup!$D$14,0,(('SN6'!$C$10-0.2*Lookup!$D$14)^2/('SN6'!$C$10+0.8*Lookup!$D$14)))*$D$16+IF($C$10&lt;0.2*Lookup!$D$15,0,(('SN6'!$C$10-0.2*Lookup!$D$15)^2/('SN6'!$C$10+0.8*Lookup!$D$15)))*$D$17+IF($C$10&lt;0.2*Lookup!$D$17,0,(('SN6'!$C$10-0.2*Lookup!$D$17)^2/('SN6'!$C$10+0.8*Lookup!$D$17)))*$D$18+IF($C$10&lt;0.2*Lookup!$E$13,0,(('SN6'!$C$10-0.2*Lookup!$E$13)^2/('SN6'!$C$10+0.8*Lookup!$E$13)))*$E$15+IF($C$10&lt;0.2*Lookup!$E$14,0,(('SN6'!$C$10-0.2*Lookup!$E$14)^2/('SN6'!$C$10+0.8*Lookup!$E$14)))*$E$16+IF($C$10&lt;0.2*Lookup!$E$15,0,(('SN6'!$C$10-0.2*Lookup!$E$15)^2/('SN6'!$C$10+0.8*Lookup!$E$15)))*$E$17+IF($C$10&lt;0.2*Lookup!$E$17,0,(('SN6'!$C$10-0.2*Lookup!$E$17)^2/('SN6'!$C$10+0.8*Lookup!$E$17)))*$E$18)/12</f>
        <v>0</v>
      </c>
      <c r="E44" s="246">
        <f>(IF($D$10&lt;0.2*Lookup!$B$13,0,(('SN6'!$D$10-0.2*Lookup!$B$13)^2/('SN6'!$D$10+0.8*Lookup!$B$13)))*$B$15+IF($D$10&lt;0.2*Lookup!$B$14,0,(('SN6'!$D$10-0.2*Lookup!$B$14)^2/('SN6'!$D$10+0.8*Lookup!$B$14)))*$B$16+IF($D$10&lt;0.2*Lookup!$B$15,0,(('SN6'!$D$10-0.2*Lookup!$B$15)^2/('SN6'!$D$10+0.8*Lookup!$B$15)))*$B$17++IF($D$10&lt;0.2*Lookup!$B$17,0,(('SN6'!$D$10-0.2*Lookup!$B$17)^2/('SN6'!$D$10+0.8*Lookup!$B$17)))*$B$18+IF($D$10&lt;0.2*Lookup!$C$13,0,(('SN6'!$D$10-0.2*Lookup!$C$13)^2/('SN6'!C$10+0.8*Lookup!$C$13)))*$C$15+IF($D$10&lt;0.2*Lookup!$C$14,0,(('SN6'!$D$10-0.2*Lookup!$C$14)^2/('SN6'!$D$10+0.8*Lookup!$C$14)))*$C$16+IF($D$10&lt;0.2*Lookup!$C$15,0,(('SN6'!$D$10-0.2*Lookup!$C$15)^2/('SN6'!$D$10+0.8*Lookup!$C$15)))*$C$17+IF($D$10&lt;0.2*Lookup!$C$17,0,(('SN6'!$D$10-0.2*Lookup!$C$17)^2/('SN6'!$D$10+0.8*Lookup!$C$17)))*$C$18+IF($D$10&lt;0.2*Lookup!$D$13,0,(('SN6'!$D$10-0.2*Lookup!$D$13)^2/('SN6'!$D$10+0.8*Lookup!$D$13)))*$D$15+IF($D$10&lt;0.2*Lookup!$D$14,0,(('SN6'!$D$10-0.2*Lookup!$D$14)^2/('SN6'!$D$10+0.8*Lookup!$D$14)))*$D$16+IF($D$10&lt;0.2*Lookup!$D$15,0,(('SN6'!$D$10-0.2*Lookup!$D$15)^2/('SN6'!$D$10+0.8*Lookup!$D$15)))*$D$17+IF($D$10&lt;0.2*Lookup!$D$17,0,(('SN6'!$D$10-0.2*Lookup!$D$17)^2/('SN6'!$D$10+0.8*Lookup!$D$17)))*$D$18+IF($D$10&lt;0.2*Lookup!$E$13,0,(('SN6'!$D$10-0.2*Lookup!$E$13)^2/('SN6'!$D$10+0.8*Lookup!$E$13)))*$E$15+IF($D$10&lt;0.2*Lookup!$E$14,0,(('SN6'!$D$10-0.2*Lookup!$E$14)^2/('SN6'!$D$10+0.8*Lookup!$E$14)))*$E$16+IF($D$10&lt;0.2*Lookup!$E$15,0,(('SN6'!$D$10-0.2*Lookup!$E$15)^2/('SN6'!$D$10+0.8*Lookup!$E$15)))*$E$17++IF($D$10&lt;0.2*Lookup!$E$17,0,(('SN6'!$D$10-0.2*Lookup!$E$17)^2/('SN6'!$D$10+0.8*Lookup!$E$17)))*$E$18)/12</f>
        <v>0</v>
      </c>
      <c r="F44" s="246">
        <f>(IF($E$10&lt;0.2*Lookup!$B$13,0,(('SN6'!$E$10-0.2*Lookup!$B$13)^2/('SN6'!$E$10+0.8*Lookup!$B$13)))*$B$15+IF($E$10&lt;0.2*Lookup!$B$14,0,(('SN6'!$E$10-0.2*Lookup!$B$14)^2/('SN6'!$E$10+0.8*Lookup!$B$14)))*$B$16+IF($E$10&lt;0.2*Lookup!$B$15,0,(('SN6'!$E$10-0.2*Lookup!$B$15)^2/('SN6'!$E$10+0.8*Lookup!$B$15)))*$B$17++IF($E$10&lt;0.2*Lookup!$B$17,0,(('SN6'!$E$10-0.2*Lookup!$B$17)^2/('SN6'!$E$10+0.8*Lookup!$B$17)))*$B$18+IF($E$10&lt;0.2*Lookup!$C$13,0,(('SN6'!$E$10-0.2*Lookup!$C$13)^2/('SN6'!C$10+0.8*Lookup!$C$13)))*$C$15+IF($E$10&lt;0.2*Lookup!$C$14,0,(('SN6'!$E$10-0.2*Lookup!$C$14)^2/('SN6'!$E$10+0.8*Lookup!$C$14)))*$C$16+IF($E$10&lt;0.2*Lookup!$C$15,0,(('SN6'!$E$10-0.2*Lookup!$C$15)^2/('SN6'!$E$10+0.8*Lookup!$C$15)))*$C$17+IF($E$10&lt;0.2*Lookup!$C$17,0,(('SN6'!$E$10-0.2*Lookup!$C$17)^2/('SN6'!$E$10+0.8*Lookup!$C$17)))*$C$18+IF($E$10&lt;0.2*Lookup!$D$13,0,(('SN6'!$E$10-0.2*Lookup!$D$13)^2/('SN6'!$E$10+0.8*Lookup!$D$13)))*$D$15+IF($E$10&lt;0.2*Lookup!$D$14,0,(('SN6'!$E$10-0.2*Lookup!$D$14)^2/('SN6'!$E$10+0.8*Lookup!$D$14)))*$D$16+IF($E$10&lt;0.2*Lookup!$D$15,0,(('SN6'!$E$10-0.2*Lookup!$D$15)^2/('SN6'!$E$10+0.8*Lookup!$D$15)))*$D$17+IF($E$10&lt;0.2*Lookup!$D$17,0,(('SN6'!$E$10-0.2*Lookup!$D$17)^2/('SN6'!$E$10+0.8*Lookup!$D$17)))*$D$18+IF($E$10&lt;0.2*Lookup!$E$13,0,(('SN6'!$E$10-0.2*Lookup!$E$13)^2/('SN6'!$E$10+0.8*Lookup!$E$13)))*$E$15+IF($E$10&lt;0.2*Lookup!$E$14,0,(('SN6'!$E$10-0.2*Lookup!$E$14)^2/('SN6'!$E$10+0.8*Lookup!$E$14)))*$E$16+IF($E$10&lt;0.2*Lookup!$E$15,0,(('SN6'!$E$10-0.2*Lookup!$E$15)^2/('SN6'!$E$10+0.8*Lookup!$E$15)))*$E$17++IF($E$10&lt;0.2*Lookup!$E$17,0,(('SN6'!$E$10-0.2*Lookup!$E$17)^2/('SN6'!$E$10+0.8*Lookup!$E$17)))*$E$18)/12</f>
        <v>0</v>
      </c>
      <c r="G44" s="60"/>
      <c r="K44" s="13"/>
      <c r="L44" s="6"/>
      <c r="M44" s="13"/>
      <c r="N44" s="13"/>
      <c r="O44" s="13"/>
    </row>
    <row r="45" spans="1:15" ht="14.4" customHeight="1">
      <c r="A45" s="390" t="s">
        <v>113</v>
      </c>
      <c r="B45" s="376"/>
      <c r="C45" s="391"/>
      <c r="D45" s="246">
        <f>(IF($C$10&lt;0.2*Lookup!$B$13,0,(('SN6'!$C$10-0.2*Lookup!$B$13)^2/('SN6'!$C$10+0.8*Lookup!$B$13)))*$B$24+IF($C$10&lt;0.2*Lookup!$B$14,0,(('SN6'!$C$10-0.2*Lookup!$B$14)^2/('SN6'!$C$10+0.8*Lookup!$B$14)))*$B$25+IF($C$10&lt;0.2*Lookup!$B$15,0,(('SN6'!$C$10-0.2*Lookup!$B$15)^2/('SN6'!$C$10+0.8*Lookup!$B$15)))*$B$26+IF($C$10&lt;0.2*Lookup!$C$13,0,(('SN6'!$C$10-0.2*Lookup!$C$13)^2/('SN6'!C$10+0.8*Lookup!$C$13)))*$C$24+IF($C$10&lt;0.2*Lookup!$C$14,0,(('SN6'!$C$10-0.2*Lookup!$C$14)^2/('SN6'!$C$10+0.8*Lookup!$C$14)))*$C$25+IF($C$10&lt;0.2*Lookup!$C$15,0,(('SN6'!$C$10-0.2*Lookup!$C$15)^2/('SN6'!$C$10+0.8*Lookup!$C$15)))*$C$26+IF($C$10&lt;0.2*Lookup!$D$13,0,(('SN6'!$C$10-0.2*Lookup!$D$13)^2/('SN6'!$C$10+0.8*Lookup!$D$13)))*$D$24+IF($C$10&lt;0.2*Lookup!$D$14,0,(('SN6'!$C$10-0.2*Lookup!$D$14)^2/('SN6'!$C$10+0.8*Lookup!$D$14)))*$D$25+IF($C$10&lt;0.2*Lookup!$D$15,0,(('SN6'!$C$10-0.2*Lookup!$D$15)^2/('SN6'!$C$10+0.8*Lookup!$D$15)))*$D$26+IF($C$10&lt;0.2*Lookup!$E$13,0,(('SN6'!$C$10-0.2*Lookup!$E$13)^2/('SN6'!$C$10+0.8*Lookup!$E$13)))*$E$24+IF($C$10&lt;0.2*Lookup!$E$14,0,(('SN6'!$C$10-0.2*Lookup!$E$14)^2/('SN6'!$C$10+0.8*Lookup!$E$14)))*$E$25+IF($C$10&lt;0.2*Lookup!$E$15,0,(('SN6'!$C$10-0.2*Lookup!$E$15)^2/('SN6'!$C$10+0.8*Lookup!$E$15)))*$E$26+(($C$10-0.2*Lookup!B17)^2/($C$10+0.8*Lookup!B17)*(F27+F28+F29+F30)))/12</f>
        <v>0</v>
      </c>
      <c r="E45" s="246">
        <f>(IF($D$10&lt;0.2*Lookup!$B$13,0,(('SN6'!$D$10-0.2*Lookup!$B$13)^2/('SN6'!$D$10+0.8*Lookup!$B$13)))*$B$24+IF($D$10&lt;0.2*Lookup!$B$14,0,(('SN6'!$D$10-0.2*Lookup!$B$14)^2/('SN6'!$D$10+0.8*Lookup!$B$14)))*$B$25+IF($D$10&lt;0.2*Lookup!$B$15,0,(('SN6'!$D$10-0.2*Lookup!$B$15)^2/('SN6'!$D$10+0.8*Lookup!$B$15)))*$B$26+IF($D$10&lt;0.2*Lookup!$C$13,0,(('SN6'!$D$10-0.2*Lookup!$C$13)^2/('SN6'!C$10+0.8*Lookup!$C$13)))*$C$24+IF($D$10&lt;0.2*Lookup!$C$14,0,(('SN6'!$D$10-0.2*Lookup!$C$14)^2/('SN6'!$D$10+0.8*Lookup!$C$14)))*$C$25+IF($D$10&lt;0.2*Lookup!$C$15,0,(('SN6'!$D$10-0.2*Lookup!$C$15)^2/('SN6'!$D$10+0.8*Lookup!$C$15)))*$C$26+IF($D$10&lt;0.2*Lookup!$D$13,0,(('SN6'!$D$10-0.2*Lookup!$D$13)^2/('SN6'!$D$10+0.8*Lookup!$D$13)))*$D$24+IF($D$10&lt;0.2*Lookup!$D$14,0,(('SN6'!$D$10-0.2*Lookup!$D$14)^2/('SN6'!$D$10+0.8*Lookup!$D$14)))*$D$25+IF($D$10&lt;0.2*Lookup!$D$15,0,(('SN6'!$D$10-0.2*Lookup!$D$15)^2/('SN6'!$D$10+0.8*Lookup!$D$15)))*$D$26+IF($D$10&lt;0.2*Lookup!$E$13,0,(('SN6'!$D$10-0.2*Lookup!$E$13)^2/('SN6'!$D$10+0.8*Lookup!$E$13)))*$E$24+IF($D$10&lt;0.2*Lookup!$E$14,0,(('SN6'!$D$10-0.2*Lookup!$E$14)^2/('SN6'!$D$10+0.8*Lookup!$E$14)))*$E$25+IF($D$10&lt;0.2*Lookup!$E$15,0,(('SN6'!$D$10-0.2*Lookup!$E$15)^2/('SN6'!$D$10+0.8*Lookup!$E$15)))*$E$26+(($D$10-0.2*Lookup!B17)^2/($D$10+0.8*Lookup!B17)*(F27+F28+F29+F30)))/12</f>
        <v>0</v>
      </c>
      <c r="F45" s="246">
        <f>(IF($E$10&lt;0.2*Lookup!$B$13,0,(('SN6'!$E$10-0.2*Lookup!$B$13)^2/('SN6'!$E$10+0.8*Lookup!$B$13)))*$B$24+IF($E$10&lt;0.2*Lookup!$B$14,0,(('SN6'!$E$10-0.2*Lookup!$B$14)^2/('SN6'!$E$10+0.8*Lookup!$B$14)))*$B$25+IF($E$10&lt;0.2*Lookup!$B$15,0,(('SN6'!$E$10-0.2*Lookup!$B$15)^2/('SN6'!$E$10+0.8*Lookup!$B$15)))*$B$26+IF($E$10&lt;0.2*Lookup!$C$13,0,(('SN6'!$E$10-0.2*Lookup!$C$13)^2/('SN6'!C$10+0.8*Lookup!$C$13)))*$C$24+IF($E$10&lt;0.2*Lookup!$C$14,0,(('SN6'!$E$10-0.2*Lookup!$C$14)^2/('SN6'!$E$10+0.8*Lookup!$C$14)))*$C$25+IF($E$10&lt;0.2*Lookup!$C$15,0,(('SN6'!$E$10-0.2*Lookup!$C$15)^2/('SN6'!$E$10+0.8*Lookup!$C$15)))*$C$26+IF($E$10&lt;0.2*Lookup!$D$13,0,(('SN6'!$E$10-0.2*Lookup!$D$13)^2/('SN6'!$E$10+0.8*Lookup!$D$13)))*$D$24+IF($E$10&lt;0.2*Lookup!$D$14,0,(('SN6'!$E$10-0.2*Lookup!$D$14)^2/('SN6'!$E$10+0.8*Lookup!$D$14)))*$D$25+IF($E$10&lt;0.2*Lookup!$D$15,0,(('SN6'!$E$10-0.2*Lookup!$D$15)^2/('SN6'!$E$10+0.8*Lookup!$D$15)))*$D$26+IF($E$10&lt;0.2*Lookup!$E$13,0,(('SN6'!$E$10-0.2*Lookup!$E$13)^2/('SN6'!$E$10+0.8*Lookup!$E$13)))*$E$24+IF($E$10&lt;0.2*Lookup!$E$14,0,(('SN6'!$E$10-0.2*Lookup!$E$14)^2/('SN6'!$E$10+0.8*Lookup!$E$14)))*$E$25+IF($E$10&lt;0.2*Lookup!$E$15,0,(('SN6'!$E$10-0.2*Lookup!$E$15)^2/('SN6'!$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159" priority="39">
      <formula>$F$67=2</formula>
    </cfRule>
  </conditionalFormatting>
  <conditionalFormatting sqref="E90:F90">
    <cfRule type="expression" dxfId="158" priority="38">
      <formula>$F$89=2</formula>
    </cfRule>
  </conditionalFormatting>
  <conditionalFormatting sqref="E103:F103">
    <cfRule type="expression" dxfId="157" priority="37">
      <formula>$F$102=2</formula>
    </cfRule>
  </conditionalFormatting>
  <conditionalFormatting sqref="E115:F115">
    <cfRule type="expression" dxfId="156" priority="36">
      <formula>$F$114=2</formula>
    </cfRule>
  </conditionalFormatting>
  <conditionalFormatting sqref="B105:F105 D108">
    <cfRule type="expression" dxfId="155" priority="35">
      <formula>$F$102=1</formula>
    </cfRule>
  </conditionalFormatting>
  <conditionalFormatting sqref="D106">
    <cfRule type="expression" dxfId="154" priority="34">
      <formula>$F$102=1</formula>
    </cfRule>
  </conditionalFormatting>
  <conditionalFormatting sqref="B117:F117 D120">
    <cfRule type="expression" dxfId="153" priority="33">
      <formula>$F$114=1</formula>
    </cfRule>
  </conditionalFormatting>
  <conditionalFormatting sqref="B82:D82 B83:B84 E82:E84">
    <cfRule type="expression" dxfId="152" priority="40">
      <formula>$F$79&gt;0</formula>
    </cfRule>
  </conditionalFormatting>
  <conditionalFormatting sqref="E97">
    <cfRule type="expression" dxfId="151" priority="32">
      <formula>$G$94=TRUE</formula>
    </cfRule>
  </conditionalFormatting>
  <conditionalFormatting sqref="D119">
    <cfRule type="expression" dxfId="150" priority="31">
      <formula>$F$114=1</formula>
    </cfRule>
  </conditionalFormatting>
  <conditionalFormatting sqref="D118">
    <cfRule type="expression" dxfId="149" priority="30">
      <formula>$F$114=1</formula>
    </cfRule>
  </conditionalFormatting>
  <conditionalFormatting sqref="D107">
    <cfRule type="expression" dxfId="148" priority="29">
      <formula>$F$102=1</formula>
    </cfRule>
  </conditionalFormatting>
  <conditionalFormatting sqref="C64">
    <cfRule type="expression" dxfId="147" priority="28">
      <formula>$C$64="n/a"</formula>
    </cfRule>
  </conditionalFormatting>
  <conditionalFormatting sqref="B82:E84">
    <cfRule type="expression" dxfId="146" priority="27">
      <formula>$F$79="N/A"</formula>
    </cfRule>
  </conditionalFormatting>
  <conditionalFormatting sqref="C61">
    <cfRule type="expression" dxfId="145" priority="24">
      <formula>C61="n/a"</formula>
    </cfRule>
    <cfRule type="expression" dxfId="144" priority="25">
      <formula>C61="No"</formula>
    </cfRule>
    <cfRule type="expression" dxfId="143" priority="26">
      <formula>C61="Yes"</formula>
    </cfRule>
  </conditionalFormatting>
  <conditionalFormatting sqref="B61">
    <cfRule type="expression" dxfId="142" priority="21">
      <formula>B61="n/a"</formula>
    </cfRule>
    <cfRule type="expression" dxfId="141" priority="22">
      <formula>B61="No"</formula>
    </cfRule>
    <cfRule type="expression" dxfId="140" priority="23">
      <formula>B61="Yes"</formula>
    </cfRule>
  </conditionalFormatting>
  <conditionalFormatting sqref="D61:F61">
    <cfRule type="expression" dxfId="139" priority="18">
      <formula>D61="n/a"</formula>
    </cfRule>
    <cfRule type="expression" dxfId="138" priority="19">
      <formula>D61="No"</formula>
    </cfRule>
    <cfRule type="expression" dxfId="137" priority="20">
      <formula>D61="Yes"</formula>
    </cfRule>
  </conditionalFormatting>
  <conditionalFormatting sqref="B70">
    <cfRule type="expression" dxfId="136" priority="15">
      <formula>B70="n/a"</formula>
    </cfRule>
    <cfRule type="expression" dxfId="135" priority="16">
      <formula>B70="No"</formula>
    </cfRule>
    <cfRule type="expression" dxfId="134" priority="17">
      <formula>B70="Yes"</formula>
    </cfRule>
  </conditionalFormatting>
  <conditionalFormatting sqref="B91">
    <cfRule type="expression" dxfId="133" priority="12">
      <formula>B91="n/a"</formula>
    </cfRule>
    <cfRule type="expression" dxfId="132" priority="13">
      <formula>B91="No"</formula>
    </cfRule>
    <cfRule type="expression" dxfId="131" priority="14">
      <formula>B91="Yes"</formula>
    </cfRule>
  </conditionalFormatting>
  <conditionalFormatting sqref="B104">
    <cfRule type="expression" dxfId="130" priority="9">
      <formula>B104="n/a"</formula>
    </cfRule>
    <cfRule type="expression" dxfId="129" priority="10">
      <formula>B104="No"</formula>
    </cfRule>
    <cfRule type="expression" dxfId="128" priority="11">
      <formula>B104="Yes"</formula>
    </cfRule>
  </conditionalFormatting>
  <conditionalFormatting sqref="B116">
    <cfRule type="expression" dxfId="127" priority="6">
      <formula>B116="n/a"</formula>
    </cfRule>
    <cfRule type="expression" dxfId="126" priority="7">
      <formula>B116="No"</formula>
    </cfRule>
    <cfRule type="expression" dxfId="125" priority="8">
      <formula>B116="Yes"</formula>
    </cfRule>
  </conditionalFormatting>
  <conditionalFormatting sqref="F75">
    <cfRule type="expression" dxfId="124" priority="5">
      <formula>$E$75&gt;=5%</formula>
    </cfRule>
  </conditionalFormatting>
  <conditionalFormatting sqref="F76">
    <cfRule type="expression" dxfId="123" priority="4">
      <formula>$E$76&gt;0</formula>
    </cfRule>
  </conditionalFormatting>
  <conditionalFormatting sqref="D64">
    <cfRule type="expression" dxfId="122" priority="3">
      <formula>$C$64="n/a"</formula>
    </cfRule>
  </conditionalFormatting>
  <conditionalFormatting sqref="E64">
    <cfRule type="expression" dxfId="121" priority="2">
      <formula>$C$64="n/a"</formula>
    </cfRule>
  </conditionalFormatting>
  <conditionalFormatting sqref="F64">
    <cfRule type="expression" dxfId="120" priority="1">
      <formula>$C$64="n/a"</formula>
    </cfRule>
  </conditionalFormatting>
  <dataValidations count="2">
    <dataValidation type="decimal" allowBlank="1" showInputMessage="1" showErrorMessage="1" errorTitle="Invalid Latitude!" error="You've entered a latitude that is not in Vermont." sqref="D5:F5" xr:uid="{71F672F8-FEDC-467B-B1EE-03513D65AA2F}">
      <formula1>42.72</formula1>
      <formula2>45.02</formula2>
    </dataValidation>
    <dataValidation type="decimal" allowBlank="1" showInputMessage="1" showErrorMessage="1" errorTitle="Invalid Longitude" error="You've entered a longitude outside of Vermont.  Longitude values in VT should always be negative." sqref="D6:F6" xr:uid="{FEDD723E-6D89-4274-8F25-162D41B7BFE2}">
      <formula1>-73.732</formula1>
      <formula2>-71.46</formula2>
    </dataValidation>
  </dataValidations>
  <hyperlinks>
    <hyperlink ref="E8" r:id="rId1" xr:uid="{5FC1898D-DE6D-471D-A954-B2BB5089CFEA}"/>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1249"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81250"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81251"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81252"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81253"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81254"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81255"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81256"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81257"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81258"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81259"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81260"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81261"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81262"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81263"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81264"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81265"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81266"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81267"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81268"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81269"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81270"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81271"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81272"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81273"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4A3FF124-768C-4B73-BC09-EA4566BA5B6F}">
          <x14:formula1>
            <xm:f>Lookup!$G$11:$G$23</xm:f>
          </x14:formula1>
          <xm:sqref>A50:A54 C50:D54</xm:sqref>
        </x14:dataValidation>
        <x14:dataValidation type="list" allowBlank="1" showInputMessage="1" showErrorMessage="1" xr:uid="{96DE1FBF-67ED-4E85-81BA-24F8DE1EFECD}">
          <x14:formula1>
            <xm:f>Lookup!$G$12:$G$23</xm:f>
          </x14:formula1>
          <xm:sqref>A55</xm:sqref>
        </x14:dataValidation>
        <x14:dataValidation type="list" allowBlank="1" showInputMessage="1" showErrorMessage="1" xr:uid="{7476EC22-5A46-47B7-9EE1-6ACACA7FF1CD}">
          <x14:formula1>
            <xm:f>Lookup!$H$13:$H$19</xm:f>
          </x14:formula1>
          <xm:sqref>C82:D82 B82:B84</xm:sqref>
        </x14:dataValidation>
        <x14:dataValidation type="list" allowBlank="1" showInputMessage="1" showErrorMessage="1" xr:uid="{D64D8AEF-0CF5-488A-A77F-15C9DA10E917}">
          <x14:formula1>
            <xm:f>Lookup!$J$4:$J$8</xm:f>
          </x14:formula1>
          <xm:sqref>E115:F115</xm:sqref>
        </x14:dataValidation>
        <x14:dataValidation type="list" allowBlank="1" showInputMessage="1" showErrorMessage="1" xr:uid="{7C1F457F-49B8-4CE8-AFBE-D7DEB4D43192}">
          <x14:formula1>
            <xm:f>Lookup!$I$4:$I$8</xm:f>
          </x14:formula1>
          <xm:sqref>E103:F103</xm:sqref>
        </x14:dataValidation>
        <x14:dataValidation type="list" allowBlank="1" showInputMessage="1" showErrorMessage="1" xr:uid="{CF4EBC8B-7AF7-4E00-BFEC-BE2482B386BC}">
          <x14:formula1>
            <xm:f>Lookup!$H$4:$H$7</xm:f>
          </x14:formula1>
          <xm:sqref>E90:F90</xm:sqref>
        </x14:dataValidation>
        <x14:dataValidation type="list" allowBlank="1" showInputMessage="1" showErrorMessage="1" xr:uid="{686232BB-86D2-4997-85B5-4B70A300FB57}">
          <x14:formula1>
            <xm:f>Lookup!$G$3:$G$6</xm:f>
          </x14:formula1>
          <xm:sqref>E68:F68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BAE3-3EFE-4212-AE16-6B37DC24754B}">
  <dimension ref="A1:O125"/>
  <sheetViews>
    <sheetView view="pageLayout" zoomScaleNormal="100" workbookViewId="0">
      <selection activeCell="E28" sqref="E28"/>
    </sheetView>
  </sheetViews>
  <sheetFormatPr defaultRowHeight="14.4"/>
  <cols>
    <col min="1" max="1" width="21.88671875" style="180" customWidth="1"/>
    <col min="2" max="6" width="12.21875" style="180" customWidth="1"/>
    <col min="7" max="7" width="7.21875" style="180" customWidth="1"/>
    <col min="8" max="8" width="8.88671875" style="180"/>
    <col min="9" max="9" width="8.6640625" style="180" customWidth="1"/>
    <col min="10" max="16384" width="8.88671875" style="180"/>
  </cols>
  <sheetData>
    <row r="1" spans="1:15" ht="18">
      <c r="A1" s="96" t="s">
        <v>32</v>
      </c>
      <c r="B1" s="97"/>
      <c r="C1" s="97"/>
      <c r="D1" s="97"/>
      <c r="E1" s="97"/>
      <c r="F1" s="97"/>
      <c r="G1" s="98"/>
      <c r="H1" s="32"/>
      <c r="I1" s="21"/>
      <c r="J1" s="21"/>
    </row>
    <row r="2" spans="1:15">
      <c r="A2" s="14"/>
      <c r="B2" s="13"/>
      <c r="C2" s="45" t="s">
        <v>29</v>
      </c>
      <c r="D2" s="351" t="str">
        <f>IF(Summary!C1="","",Summary!C1)</f>
        <v/>
      </c>
      <c r="E2" s="351"/>
      <c r="F2" s="351"/>
      <c r="G2" s="99"/>
      <c r="H2" s="22"/>
      <c r="I2" s="22"/>
      <c r="J2" s="22"/>
    </row>
    <row r="3" spans="1:15">
      <c r="A3" s="14"/>
      <c r="B3" s="13"/>
      <c r="C3" s="45" t="s">
        <v>30</v>
      </c>
      <c r="D3" s="355"/>
      <c r="E3" s="356"/>
      <c r="F3" s="357"/>
      <c r="G3" s="99"/>
      <c r="H3" s="22"/>
      <c r="I3" s="22"/>
      <c r="J3" s="22"/>
    </row>
    <row r="4" spans="1:15">
      <c r="A4" s="14"/>
      <c r="B4" s="13"/>
      <c r="C4" s="45" t="s">
        <v>31</v>
      </c>
      <c r="D4" s="343"/>
      <c r="E4" s="344"/>
      <c r="F4" s="345"/>
      <c r="G4" s="99"/>
      <c r="H4" s="22"/>
      <c r="I4" s="22"/>
      <c r="J4" s="22"/>
    </row>
    <row r="5" spans="1:15">
      <c r="A5" s="14"/>
      <c r="B5" s="13"/>
      <c r="C5" s="45" t="s">
        <v>171</v>
      </c>
      <c r="D5" s="346"/>
      <c r="E5" s="346"/>
      <c r="F5" s="346"/>
      <c r="G5" s="99"/>
      <c r="H5" s="22"/>
      <c r="I5" s="22"/>
      <c r="J5" s="22"/>
    </row>
    <row r="6" spans="1:15" ht="15.6" customHeight="1">
      <c r="A6" s="14"/>
      <c r="B6" s="13"/>
      <c r="C6" s="46" t="s">
        <v>176</v>
      </c>
      <c r="D6" s="347"/>
      <c r="E6" s="348"/>
      <c r="F6" s="349"/>
      <c r="G6" s="99"/>
      <c r="H6" s="22"/>
      <c r="I6" s="22"/>
      <c r="J6" s="22"/>
    </row>
    <row r="7" spans="1:15" ht="9.6" customHeight="1">
      <c r="A7" s="14"/>
      <c r="B7" s="13"/>
      <c r="C7" s="13"/>
      <c r="D7" s="13"/>
      <c r="E7" s="13"/>
      <c r="F7" s="15"/>
      <c r="G7" s="99"/>
      <c r="H7" s="22"/>
      <c r="I7" s="22"/>
      <c r="J7" s="22"/>
    </row>
    <row r="8" spans="1:15" ht="18">
      <c r="A8" s="91" t="s">
        <v>53</v>
      </c>
      <c r="B8" s="350" t="s">
        <v>40</v>
      </c>
      <c r="C8" s="350"/>
      <c r="D8" s="350"/>
      <c r="E8" s="76" t="s">
        <v>41</v>
      </c>
      <c r="F8" s="13"/>
      <c r="G8" s="60"/>
      <c r="K8" s="23"/>
      <c r="L8" s="13"/>
      <c r="M8" s="13"/>
      <c r="N8" s="13"/>
      <c r="O8" s="13"/>
    </row>
    <row r="9" spans="1:15">
      <c r="A9" s="130" t="s">
        <v>52</v>
      </c>
      <c r="B9" s="131" t="s">
        <v>54</v>
      </c>
      <c r="C9" s="132" t="s">
        <v>55</v>
      </c>
      <c r="D9" s="132" t="s">
        <v>56</v>
      </c>
      <c r="E9" s="132" t="s">
        <v>57</v>
      </c>
      <c r="F9" s="13"/>
      <c r="G9" s="60"/>
      <c r="K9" s="13"/>
      <c r="L9" s="13"/>
      <c r="M9" s="13"/>
      <c r="N9" s="13"/>
    </row>
    <row r="10" spans="1:15">
      <c r="A10" s="61" t="s">
        <v>0</v>
      </c>
      <c r="B10" s="210">
        <v>1</v>
      </c>
      <c r="C10" s="211">
        <v>0</v>
      </c>
      <c r="D10" s="211">
        <v>0</v>
      </c>
      <c r="E10" s="211">
        <v>0</v>
      </c>
      <c r="F10" s="13"/>
      <c r="G10" s="60"/>
      <c r="K10" s="13"/>
      <c r="L10" s="13"/>
      <c r="M10" s="13"/>
      <c r="N10" s="13"/>
    </row>
    <row r="11" spans="1:15" ht="12.6" customHeight="1" thickBot="1">
      <c r="A11" s="100"/>
      <c r="B11" s="101"/>
      <c r="C11" s="102"/>
      <c r="D11" s="102"/>
      <c r="E11" s="102"/>
      <c r="F11" s="102"/>
      <c r="G11" s="70"/>
      <c r="K11" s="13"/>
      <c r="L11" s="6"/>
      <c r="M11" s="13"/>
      <c r="N11" s="13"/>
      <c r="O11" s="13"/>
    </row>
    <row r="12" spans="1:15" ht="15.6">
      <c r="A12" s="77" t="s">
        <v>82</v>
      </c>
      <c r="B12" s="94"/>
      <c r="C12" s="95"/>
      <c r="D12" s="95"/>
      <c r="E12" s="95"/>
      <c r="F12" s="95"/>
      <c r="G12" s="58"/>
      <c r="K12" s="13"/>
      <c r="L12" s="6"/>
      <c r="M12" s="13"/>
      <c r="N12" s="13"/>
      <c r="O12" s="13"/>
    </row>
    <row r="13" spans="1:15" ht="15.6">
      <c r="A13" s="341" t="s">
        <v>58</v>
      </c>
      <c r="B13" s="342"/>
      <c r="C13" s="342"/>
      <c r="D13" s="342"/>
      <c r="E13" s="342"/>
      <c r="F13" s="342"/>
      <c r="G13" s="60"/>
      <c r="K13" s="13"/>
      <c r="L13" s="6"/>
      <c r="M13" s="13"/>
      <c r="N13" s="13"/>
      <c r="O13" s="13"/>
    </row>
    <row r="14" spans="1:15">
      <c r="A14" s="231" t="s">
        <v>8</v>
      </c>
      <c r="B14" s="303" t="s">
        <v>2</v>
      </c>
      <c r="C14" s="303" t="s">
        <v>3</v>
      </c>
      <c r="D14" s="303" t="s">
        <v>4</v>
      </c>
      <c r="E14" s="303" t="s">
        <v>5</v>
      </c>
      <c r="F14" s="296" t="s">
        <v>13</v>
      </c>
      <c r="G14" s="375"/>
      <c r="H14" s="19"/>
      <c r="I14" s="19"/>
      <c r="J14" s="19"/>
      <c r="K14" s="13"/>
      <c r="L14" s="13"/>
      <c r="M14" s="13"/>
      <c r="N14" s="13"/>
      <c r="O14" s="13"/>
    </row>
    <row r="15" spans="1:15" ht="15.6">
      <c r="A15" s="111" t="s">
        <v>6</v>
      </c>
      <c r="B15" s="209">
        <v>0</v>
      </c>
      <c r="C15" s="209">
        <v>0</v>
      </c>
      <c r="D15" s="209">
        <v>0</v>
      </c>
      <c r="E15" s="209">
        <v>0</v>
      </c>
      <c r="F15" s="133">
        <f t="shared" ref="F15:F18" si="0">SUM(B15:E15)</f>
        <v>0</v>
      </c>
      <c r="G15" s="375"/>
      <c r="H15" s="19"/>
      <c r="I15" s="19"/>
      <c r="J15" s="19"/>
      <c r="K15" s="10"/>
      <c r="L15" s="13"/>
      <c r="M15" s="13"/>
      <c r="N15" s="13"/>
      <c r="O15" s="13"/>
    </row>
    <row r="16" spans="1:15">
      <c r="A16" s="111" t="s">
        <v>38</v>
      </c>
      <c r="B16" s="209">
        <v>0</v>
      </c>
      <c r="C16" s="209">
        <v>0</v>
      </c>
      <c r="D16" s="209">
        <v>0</v>
      </c>
      <c r="E16" s="209">
        <v>0</v>
      </c>
      <c r="F16" s="133">
        <f t="shared" si="0"/>
        <v>0</v>
      </c>
      <c r="G16" s="60"/>
      <c r="H16" s="1"/>
      <c r="I16" s="33"/>
      <c r="J16" s="33"/>
      <c r="K16" s="13"/>
      <c r="L16" s="22"/>
      <c r="M16" s="13"/>
      <c r="N16" s="13"/>
      <c r="O16" s="13"/>
    </row>
    <row r="17" spans="1:15">
      <c r="A17" s="111" t="s">
        <v>7</v>
      </c>
      <c r="B17" s="209">
        <v>0</v>
      </c>
      <c r="C17" s="209">
        <v>0</v>
      </c>
      <c r="D17" s="209">
        <v>0</v>
      </c>
      <c r="E17" s="209">
        <v>0</v>
      </c>
      <c r="F17" s="133">
        <f t="shared" si="0"/>
        <v>0</v>
      </c>
      <c r="G17" s="60"/>
      <c r="H17" s="1"/>
      <c r="I17" s="33"/>
      <c r="J17" s="33"/>
      <c r="K17" s="13"/>
      <c r="L17" s="22"/>
      <c r="M17" s="13"/>
      <c r="N17" s="13"/>
      <c r="O17" s="13"/>
    </row>
    <row r="18" spans="1:15">
      <c r="A18" s="217" t="s">
        <v>248</v>
      </c>
      <c r="B18" s="209">
        <v>0</v>
      </c>
      <c r="C18" s="209">
        <v>0</v>
      </c>
      <c r="D18" s="209">
        <v>0</v>
      </c>
      <c r="E18" s="209">
        <v>0</v>
      </c>
      <c r="F18" s="133">
        <f t="shared" si="0"/>
        <v>0</v>
      </c>
      <c r="G18" s="60"/>
      <c r="H18" s="19"/>
      <c r="I18" s="19"/>
      <c r="J18" s="34"/>
      <c r="K18" s="13"/>
      <c r="L18" s="22"/>
      <c r="M18" s="13"/>
      <c r="N18" s="13"/>
      <c r="O18" s="13"/>
    </row>
    <row r="19" spans="1:15" ht="13.8" customHeight="1">
      <c r="A19" s="68"/>
      <c r="B19" s="236"/>
      <c r="C19" s="236"/>
      <c r="D19" s="252"/>
      <c r="E19" s="242" t="s">
        <v>246</v>
      </c>
      <c r="F19" s="255">
        <v>0</v>
      </c>
      <c r="G19" s="60"/>
      <c r="H19" s="19"/>
      <c r="I19" s="19"/>
      <c r="J19" s="34"/>
      <c r="K19" s="13"/>
      <c r="L19" s="6"/>
      <c r="M19" s="13"/>
      <c r="N19" s="13"/>
      <c r="O19" s="13"/>
    </row>
    <row r="20" spans="1:15" ht="13.8" customHeight="1">
      <c r="A20" s="68"/>
      <c r="B20" s="236"/>
      <c r="C20" s="236"/>
      <c r="D20" s="236"/>
      <c r="E20" s="242" t="s">
        <v>247</v>
      </c>
      <c r="F20" s="253">
        <f>SUM(F15:F19)</f>
        <v>0</v>
      </c>
      <c r="G20" s="60"/>
      <c r="H20" s="19"/>
      <c r="I20" s="19"/>
      <c r="J20" s="34"/>
      <c r="K20" s="13"/>
      <c r="L20" s="6"/>
      <c r="M20" s="13"/>
      <c r="N20" s="13"/>
      <c r="O20" s="13"/>
    </row>
    <row r="21" spans="1:15" ht="28.2" customHeight="1">
      <c r="A21" s="422" t="str">
        <f>IF(F18=0,IF(F28+F29+F30&gt;0,"Existing and/or redeveloped impervious has been defined in post development. User must define existing impervious in pre development.",""),"")</f>
        <v/>
      </c>
      <c r="B21" s="423"/>
      <c r="C21" s="423"/>
      <c r="D21" s="423"/>
      <c r="E21" s="423"/>
      <c r="F21" s="423"/>
      <c r="G21" s="424"/>
      <c r="H21" s="19"/>
      <c r="I21" s="19"/>
      <c r="J21" s="34"/>
      <c r="K21" s="13"/>
      <c r="L21" s="6"/>
      <c r="M21" s="13"/>
      <c r="N21" s="13"/>
      <c r="O21" s="13"/>
    </row>
    <row r="22" spans="1:15" ht="15.6">
      <c r="A22" s="388" t="s">
        <v>123</v>
      </c>
      <c r="B22" s="389"/>
      <c r="C22" s="389"/>
      <c r="D22" s="389"/>
      <c r="E22" s="389"/>
      <c r="F22" s="389"/>
      <c r="G22" s="243" t="s">
        <v>243</v>
      </c>
      <c r="H22" s="19"/>
      <c r="I22" s="19"/>
      <c r="J22" s="34"/>
      <c r="K22" s="13"/>
      <c r="L22" s="6"/>
      <c r="M22" s="13"/>
      <c r="N22" s="13"/>
      <c r="O22" s="13"/>
    </row>
    <row r="23" spans="1:15" ht="13.8" customHeight="1">
      <c r="A23" s="231" t="s">
        <v>8</v>
      </c>
      <c r="B23" s="303" t="s">
        <v>2</v>
      </c>
      <c r="C23" s="303" t="s">
        <v>3</v>
      </c>
      <c r="D23" s="303" t="s">
        <v>4</v>
      </c>
      <c r="E23" s="303" t="s">
        <v>5</v>
      </c>
      <c r="F23" s="296" t="s">
        <v>13</v>
      </c>
      <c r="G23" s="60"/>
      <c r="L23" s="6"/>
      <c r="M23" s="13"/>
      <c r="N23" s="13"/>
      <c r="O23" s="13"/>
    </row>
    <row r="24" spans="1:15">
      <c r="A24" s="111" t="s">
        <v>6</v>
      </c>
      <c r="B24" s="209">
        <v>0</v>
      </c>
      <c r="C24" s="209">
        <v>0</v>
      </c>
      <c r="D24" s="209">
        <v>0</v>
      </c>
      <c r="E24" s="209">
        <v>0</v>
      </c>
      <c r="F24" s="133">
        <f>SUM(B24:E24)</f>
        <v>0</v>
      </c>
      <c r="G24" s="60"/>
      <c r="L24" s="13"/>
      <c r="M24" s="13"/>
      <c r="N24" s="13"/>
      <c r="O24" s="13"/>
    </row>
    <row r="25" spans="1:15">
      <c r="A25" s="111" t="s">
        <v>38</v>
      </c>
      <c r="B25" s="209">
        <v>0</v>
      </c>
      <c r="C25" s="209">
        <v>0</v>
      </c>
      <c r="D25" s="209">
        <v>0</v>
      </c>
      <c r="E25" s="209">
        <v>0</v>
      </c>
      <c r="F25" s="133">
        <f>SUM(B25:E25)</f>
        <v>0</v>
      </c>
      <c r="G25" s="60"/>
      <c r="L25" s="13"/>
      <c r="M25" s="13"/>
      <c r="N25" s="13"/>
      <c r="O25" s="13"/>
    </row>
    <row r="26" spans="1:15">
      <c r="A26" s="111" t="s">
        <v>7</v>
      </c>
      <c r="B26" s="209">
        <v>0</v>
      </c>
      <c r="C26" s="209">
        <v>0</v>
      </c>
      <c r="D26" s="209">
        <v>0</v>
      </c>
      <c r="E26" s="209">
        <v>0</v>
      </c>
      <c r="F26" s="133">
        <f>SUM(B26:E26)</f>
        <v>0</v>
      </c>
      <c r="G26" s="60"/>
      <c r="L26" s="6"/>
      <c r="M26" s="13"/>
      <c r="N26" s="13"/>
      <c r="O26" s="13"/>
    </row>
    <row r="27" spans="1:15">
      <c r="A27" s="232" t="s">
        <v>240</v>
      </c>
      <c r="B27" s="237">
        <v>0</v>
      </c>
      <c r="C27" s="237">
        <v>0</v>
      </c>
      <c r="D27" s="237">
        <v>0</v>
      </c>
      <c r="E27" s="237">
        <v>0</v>
      </c>
      <c r="F27" s="238">
        <f>SUM(B27:E27)</f>
        <v>0</v>
      </c>
      <c r="G27" s="244">
        <f>IF(F32=0,0,F27/($F$32-$F$19))</f>
        <v>0</v>
      </c>
      <c r="L27" s="6"/>
      <c r="M27" s="13"/>
      <c r="N27" s="13"/>
      <c r="O27" s="13"/>
    </row>
    <row r="28" spans="1:15" ht="43.2">
      <c r="A28" s="235" t="s">
        <v>241</v>
      </c>
      <c r="B28" s="234">
        <v>0</v>
      </c>
      <c r="C28" s="234">
        <v>0</v>
      </c>
      <c r="D28" s="234">
        <v>0</v>
      </c>
      <c r="E28" s="234">
        <v>0</v>
      </c>
      <c r="F28" s="222">
        <f>SUM(B28:E28)</f>
        <v>0</v>
      </c>
      <c r="G28" s="245">
        <f>IF(F32=0,0,F28/($F$32-$F$19))</f>
        <v>0</v>
      </c>
      <c r="L28" s="6"/>
      <c r="M28" s="13"/>
      <c r="N28" s="13"/>
      <c r="O28" s="13"/>
    </row>
    <row r="29" spans="1:15">
      <c r="A29" s="235"/>
      <c r="B29" s="257"/>
      <c r="C29" s="257"/>
      <c r="D29" s="257"/>
      <c r="E29" s="258" t="s">
        <v>244</v>
      </c>
      <c r="F29" s="256">
        <v>0</v>
      </c>
      <c r="G29" s="244">
        <f>IF(F32=0,0,F29/($F$32-$F$19))</f>
        <v>0</v>
      </c>
      <c r="L29" s="6"/>
      <c r="M29" s="13"/>
      <c r="N29" s="13"/>
      <c r="O29" s="13"/>
    </row>
    <row r="30" spans="1:15">
      <c r="A30" s="14"/>
      <c r="B30" s="259"/>
      <c r="C30" s="259"/>
      <c r="D30" s="259"/>
      <c r="E30" s="260" t="s">
        <v>39</v>
      </c>
      <c r="F30" s="256">
        <v>0</v>
      </c>
      <c r="G30" s="244">
        <f>IF(F32=0,0,F30/($F$32-$F$19))</f>
        <v>0</v>
      </c>
      <c r="H30" s="19"/>
      <c r="I30" s="19"/>
      <c r="J30" s="34"/>
      <c r="K30" s="13"/>
      <c r="L30" s="6"/>
      <c r="M30" s="13"/>
      <c r="N30" s="13"/>
      <c r="O30" s="13"/>
    </row>
    <row r="31" spans="1:15">
      <c r="A31" s="14"/>
      <c r="B31" s="425" t="s">
        <v>245</v>
      </c>
      <c r="C31" s="425"/>
      <c r="D31" s="425"/>
      <c r="E31" s="425"/>
      <c r="F31" s="254">
        <f>F19</f>
        <v>0</v>
      </c>
      <c r="G31" s="244"/>
      <c r="H31" s="19"/>
      <c r="I31" s="19"/>
      <c r="J31" s="34"/>
      <c r="K31" s="13"/>
      <c r="L31" s="6"/>
      <c r="M31" s="13"/>
      <c r="N31" s="13"/>
      <c r="O31" s="13"/>
    </row>
    <row r="32" spans="1:15">
      <c r="A32" s="14"/>
      <c r="B32" s="259"/>
      <c r="C32" s="259"/>
      <c r="D32" s="261"/>
      <c r="E32" s="262" t="s">
        <v>9</v>
      </c>
      <c r="F32" s="223">
        <f>SUM(F24:F31)</f>
        <v>0</v>
      </c>
      <c r="G32" s="60"/>
      <c r="H32" s="1"/>
      <c r="I32" s="33"/>
      <c r="J32" s="33"/>
      <c r="K32" s="13"/>
      <c r="L32" s="6"/>
      <c r="M32" s="13"/>
      <c r="N32" s="13"/>
      <c r="O32" s="13"/>
    </row>
    <row r="33" spans="1:15" ht="7.2" customHeight="1">
      <c r="A33" s="14"/>
      <c r="B33" s="13"/>
      <c r="C33" s="13"/>
      <c r="D33" s="236"/>
      <c r="E33" s="145"/>
      <c r="F33" s="236"/>
      <c r="G33" s="60"/>
      <c r="H33" s="1"/>
      <c r="I33" s="33"/>
      <c r="J33" s="33"/>
      <c r="K33" s="13"/>
      <c r="L33" s="6"/>
      <c r="M33" s="13"/>
      <c r="N33" s="13"/>
      <c r="O33" s="13"/>
    </row>
    <row r="34" spans="1:15">
      <c r="A34" s="14"/>
      <c r="B34" s="13"/>
      <c r="C34" s="13"/>
      <c r="D34" s="236"/>
      <c r="E34" s="241" t="s">
        <v>219</v>
      </c>
      <c r="F34" s="223">
        <f>F31+F30+F28+F27</f>
        <v>0</v>
      </c>
      <c r="G34" s="60"/>
      <c r="H34" s="1"/>
      <c r="I34" s="33"/>
      <c r="J34" s="33"/>
      <c r="K34" s="13"/>
      <c r="L34" s="6"/>
      <c r="M34" s="13"/>
      <c r="N34" s="13"/>
      <c r="O34" s="13"/>
    </row>
    <row r="35" spans="1:15">
      <c r="A35" s="14"/>
      <c r="B35" s="13"/>
      <c r="C35" s="13"/>
      <c r="D35" s="236"/>
      <c r="E35" s="242" t="s">
        <v>201</v>
      </c>
      <c r="F35" s="240">
        <f>IF(F18-(F27+F28+F30+F29+F31)&lt;0,0,F18-(F27+F28+F30+F29+F31))</f>
        <v>0</v>
      </c>
      <c r="G35" s="244">
        <f>IF(F18=0,0,F35/F18)</f>
        <v>0</v>
      </c>
      <c r="H35" s="1"/>
      <c r="I35" s="33"/>
      <c r="J35" s="33"/>
      <c r="K35" s="13"/>
      <c r="L35" s="6"/>
      <c r="M35" s="13"/>
      <c r="N35" s="13"/>
      <c r="O35" s="13"/>
    </row>
    <row r="36" spans="1:15">
      <c r="A36" s="14"/>
      <c r="B36" s="13"/>
      <c r="C36" s="13"/>
      <c r="D36" s="236"/>
      <c r="E36" s="242" t="s">
        <v>242</v>
      </c>
      <c r="F36" s="240">
        <f>IF((F18-F29-F28-F30)&lt;0,0,(F18-F29-F28-F30))</f>
        <v>0</v>
      </c>
      <c r="G36" s="244">
        <f>IF(F18-F28-F29=0,0,F36/(F18-F28-F29))</f>
        <v>0</v>
      </c>
      <c r="H36" s="1"/>
      <c r="I36" s="33"/>
      <c r="J36" s="33"/>
      <c r="K36" s="13"/>
      <c r="L36" s="6"/>
      <c r="M36" s="13"/>
      <c r="N36" s="13"/>
      <c r="O36" s="13"/>
    </row>
    <row r="37" spans="1:15" ht="7.2" customHeight="1">
      <c r="A37" s="14"/>
      <c r="B37" s="13"/>
      <c r="C37" s="13"/>
      <c r="D37" s="236"/>
      <c r="E37" s="239"/>
      <c r="F37" s="19"/>
      <c r="G37" s="60"/>
      <c r="H37" s="1"/>
      <c r="I37" s="33"/>
      <c r="J37" s="33"/>
      <c r="K37" s="13"/>
      <c r="L37" s="6"/>
      <c r="M37" s="13"/>
      <c r="N37" s="13"/>
      <c r="O37" s="13"/>
    </row>
    <row r="38" spans="1:15" ht="30.6" customHeight="1" thickBot="1">
      <c r="A38" s="395" t="str">
        <f>IF(F32=F20,"","WARNING: Pre development and post development areas don't match, so evaluation of the Hydrologic Condition Method is not appropriate within this drainage area. Designer may consider HCM across drainage areas.")</f>
        <v/>
      </c>
      <c r="B38" s="396"/>
      <c r="C38" s="396"/>
      <c r="D38" s="396"/>
      <c r="E38" s="396"/>
      <c r="F38" s="396"/>
      <c r="G38" s="397"/>
      <c r="H38" s="1"/>
      <c r="I38" s="33"/>
      <c r="J38" s="33"/>
      <c r="K38" s="13"/>
      <c r="L38" s="6"/>
      <c r="M38" s="13"/>
      <c r="N38" s="13"/>
      <c r="O38" s="13"/>
    </row>
    <row r="39" spans="1:15" ht="43.2">
      <c r="A39" s="398" t="s">
        <v>239</v>
      </c>
      <c r="B39" s="399"/>
      <c r="C39" s="57"/>
      <c r="D39" s="224"/>
      <c r="E39" s="225" t="s">
        <v>218</v>
      </c>
      <c r="F39" s="226" t="s">
        <v>217</v>
      </c>
      <c r="G39" s="58"/>
      <c r="H39" s="1"/>
      <c r="I39" s="33"/>
      <c r="K39" s="13"/>
      <c r="L39" s="6"/>
      <c r="M39" s="13"/>
      <c r="N39" s="13"/>
      <c r="O39" s="13"/>
    </row>
    <row r="40" spans="1:15" ht="14.4" customHeight="1">
      <c r="A40" s="400"/>
      <c r="B40" s="401"/>
      <c r="C40" s="13"/>
      <c r="D40" s="20" t="s">
        <v>215</v>
      </c>
      <c r="E40" s="197">
        <v>0</v>
      </c>
      <c r="F40" s="171">
        <v>0</v>
      </c>
      <c r="G40" s="60"/>
      <c r="H40" s="1"/>
      <c r="I40" s="33"/>
      <c r="J40" s="33"/>
      <c r="K40" s="13"/>
      <c r="L40" s="6"/>
      <c r="M40" s="13"/>
      <c r="N40" s="13"/>
      <c r="O40" s="13"/>
    </row>
    <row r="41" spans="1:15" ht="14.4" customHeight="1">
      <c r="A41" s="400"/>
      <c r="B41" s="401"/>
      <c r="C41" s="13"/>
      <c r="D41" s="20" t="s">
        <v>216</v>
      </c>
      <c r="E41" s="197">
        <v>0</v>
      </c>
      <c r="F41" s="171">
        <v>0</v>
      </c>
      <c r="G41" s="60"/>
      <c r="H41" s="1"/>
      <c r="I41" s="33"/>
      <c r="J41" s="33"/>
      <c r="K41" s="13"/>
      <c r="L41" s="6"/>
      <c r="M41" s="13"/>
      <c r="N41" s="13"/>
      <c r="O41" s="13"/>
    </row>
    <row r="42" spans="1:15" ht="7.2" customHeight="1" thickBot="1">
      <c r="A42" s="16"/>
      <c r="B42" s="92"/>
      <c r="C42" s="191"/>
      <c r="D42" s="191"/>
      <c r="E42" s="191"/>
      <c r="F42" s="192"/>
      <c r="G42" s="70"/>
      <c r="H42" s="1"/>
      <c r="I42" s="33"/>
      <c r="J42" s="33"/>
      <c r="K42" s="13"/>
      <c r="L42" s="6"/>
      <c r="M42" s="13"/>
      <c r="N42" s="13"/>
      <c r="O42" s="13"/>
    </row>
    <row r="43" spans="1:15" ht="14.4" customHeight="1">
      <c r="A43" s="56" t="s">
        <v>59</v>
      </c>
      <c r="B43" s="228"/>
      <c r="C43" s="57"/>
      <c r="D43" s="123" t="s">
        <v>60</v>
      </c>
      <c r="E43" s="123" t="s">
        <v>61</v>
      </c>
      <c r="F43" s="123" t="s">
        <v>62</v>
      </c>
      <c r="G43" s="58"/>
      <c r="K43" s="10"/>
      <c r="L43" s="13"/>
      <c r="M43" s="13"/>
      <c r="N43" s="13"/>
      <c r="O43" s="13"/>
    </row>
    <row r="44" spans="1:15" ht="14.4" customHeight="1">
      <c r="A44" s="390" t="s">
        <v>112</v>
      </c>
      <c r="B44" s="376"/>
      <c r="C44" s="391"/>
      <c r="D44" s="246">
        <f>(IF($C$10&lt;0.2*Lookup!$B$13,0,(('SN7'!$C$10-0.2*Lookup!$B$13)^2/('SN7'!$C$10+0.8*Lookup!$B$13)))*$B$15+IF($C$10&lt;0.2*Lookup!$B$14,0,(('SN7'!$C$10-0.2*Lookup!$B$14)^2/('SN7'!$C$10+0.8*Lookup!$B$14)))*$B$16+IF($C$10&lt;0.2*Lookup!$B$15,0,(('SN7'!$C$10-0.2*Lookup!$B$15)^2/('SN7'!$C$10+0.8*Lookup!$B$15)))*$B$17++IF($C$10&lt;0.2*Lookup!$B$17,0,(('SN7'!$C$10-0.2*Lookup!$B$17)^2/('SN7'!$C$10+0.8*Lookup!$B$17)))*$B$18+IF($C$10&lt;0.2*Lookup!$C$13,0,(('SN7'!$C$10-0.2*Lookup!$C$13)^2/('SN7'!C$10+0.8*Lookup!$C$13)))*$C$15+IF($C$10&lt;0.2*Lookup!$C$14,0,(('SN7'!$C$10-0.2*Lookup!$C$14)^2/('SN7'!$C$10+0.8*Lookup!$C$14)))*$C$16+IF($C$10&lt;0.2*Lookup!$C$15,0,(('SN7'!$C$10-0.2*Lookup!$C$15)^2/('SN7'!$C$10+0.8*Lookup!$C$15)))*$C$17+IF($C$10&lt;0.2*Lookup!$C$17,0,(('SN7'!$C$10-0.2*Lookup!$C$17)^2/('SN7'!$C$10+0.8*Lookup!$C$17)))*$C$18+IF($C$10&lt;0.2*Lookup!$D$13,0,(('SN7'!$C$10-0.2*Lookup!$D$13)^2/('SN7'!$C$10+0.8*Lookup!$D$13)))*$D$15+IF($C$10&lt;0.2*Lookup!$D$14,0,(('SN7'!$C$10-0.2*Lookup!$D$14)^2/('SN7'!$C$10+0.8*Lookup!$D$14)))*$D$16+IF($C$10&lt;0.2*Lookup!$D$15,0,(('SN7'!$C$10-0.2*Lookup!$D$15)^2/('SN7'!$C$10+0.8*Lookup!$D$15)))*$D$17+IF($C$10&lt;0.2*Lookup!$D$17,0,(('SN7'!$C$10-0.2*Lookup!$D$17)^2/('SN7'!$C$10+0.8*Lookup!$D$17)))*$D$18+IF($C$10&lt;0.2*Lookup!$E$13,0,(('SN7'!$C$10-0.2*Lookup!$E$13)^2/('SN7'!$C$10+0.8*Lookup!$E$13)))*$E$15+IF($C$10&lt;0.2*Lookup!$E$14,0,(('SN7'!$C$10-0.2*Lookup!$E$14)^2/('SN7'!$C$10+0.8*Lookup!$E$14)))*$E$16+IF($C$10&lt;0.2*Lookup!$E$15,0,(('SN7'!$C$10-0.2*Lookup!$E$15)^2/('SN7'!$C$10+0.8*Lookup!$E$15)))*$E$17+IF($C$10&lt;0.2*Lookup!$E$17,0,(('SN7'!$C$10-0.2*Lookup!$E$17)^2/('SN7'!$C$10+0.8*Lookup!$E$17)))*$E$18)/12</f>
        <v>0</v>
      </c>
      <c r="E44" s="246">
        <f>(IF($D$10&lt;0.2*Lookup!$B$13,0,(('SN7'!$D$10-0.2*Lookup!$B$13)^2/('SN7'!$D$10+0.8*Lookup!$B$13)))*$B$15+IF($D$10&lt;0.2*Lookup!$B$14,0,(('SN7'!$D$10-0.2*Lookup!$B$14)^2/('SN7'!$D$10+0.8*Lookup!$B$14)))*$B$16+IF($D$10&lt;0.2*Lookup!$B$15,0,(('SN7'!$D$10-0.2*Lookup!$B$15)^2/('SN7'!$D$10+0.8*Lookup!$B$15)))*$B$17++IF($D$10&lt;0.2*Lookup!$B$17,0,(('SN7'!$D$10-0.2*Lookup!$B$17)^2/('SN7'!$D$10+0.8*Lookup!$B$17)))*$B$18+IF($D$10&lt;0.2*Lookup!$C$13,0,(('SN7'!$D$10-0.2*Lookup!$C$13)^2/('SN7'!C$10+0.8*Lookup!$C$13)))*$C$15+IF($D$10&lt;0.2*Lookup!$C$14,0,(('SN7'!$D$10-0.2*Lookup!$C$14)^2/('SN7'!$D$10+0.8*Lookup!$C$14)))*$C$16+IF($D$10&lt;0.2*Lookup!$C$15,0,(('SN7'!$D$10-0.2*Lookup!$C$15)^2/('SN7'!$D$10+0.8*Lookup!$C$15)))*$C$17+IF($D$10&lt;0.2*Lookup!$C$17,0,(('SN7'!$D$10-0.2*Lookup!$C$17)^2/('SN7'!$D$10+0.8*Lookup!$C$17)))*$C$18+IF($D$10&lt;0.2*Lookup!$D$13,0,(('SN7'!$D$10-0.2*Lookup!$D$13)^2/('SN7'!$D$10+0.8*Lookup!$D$13)))*$D$15+IF($D$10&lt;0.2*Lookup!$D$14,0,(('SN7'!$D$10-0.2*Lookup!$D$14)^2/('SN7'!$D$10+0.8*Lookup!$D$14)))*$D$16+IF($D$10&lt;0.2*Lookup!$D$15,0,(('SN7'!$D$10-0.2*Lookup!$D$15)^2/('SN7'!$D$10+0.8*Lookup!$D$15)))*$D$17+IF($D$10&lt;0.2*Lookup!$D$17,0,(('SN7'!$D$10-0.2*Lookup!$D$17)^2/('SN7'!$D$10+0.8*Lookup!$D$17)))*$D$18+IF($D$10&lt;0.2*Lookup!$E$13,0,(('SN7'!$D$10-0.2*Lookup!$E$13)^2/('SN7'!$D$10+0.8*Lookup!$E$13)))*$E$15+IF($D$10&lt;0.2*Lookup!$E$14,0,(('SN7'!$D$10-0.2*Lookup!$E$14)^2/('SN7'!$D$10+0.8*Lookup!$E$14)))*$E$16+IF($D$10&lt;0.2*Lookup!$E$15,0,(('SN7'!$D$10-0.2*Lookup!$E$15)^2/('SN7'!$D$10+0.8*Lookup!$E$15)))*$E$17++IF($D$10&lt;0.2*Lookup!$E$17,0,(('SN7'!$D$10-0.2*Lookup!$E$17)^2/('SN7'!$D$10+0.8*Lookup!$E$17)))*$E$18)/12</f>
        <v>0</v>
      </c>
      <c r="F44" s="246">
        <f>(IF($E$10&lt;0.2*Lookup!$B$13,0,(('SN7'!$E$10-0.2*Lookup!$B$13)^2/('SN7'!$E$10+0.8*Lookup!$B$13)))*$B$15+IF($E$10&lt;0.2*Lookup!$B$14,0,(('SN7'!$E$10-0.2*Lookup!$B$14)^2/('SN7'!$E$10+0.8*Lookup!$B$14)))*$B$16+IF($E$10&lt;0.2*Lookup!$B$15,0,(('SN7'!$E$10-0.2*Lookup!$B$15)^2/('SN7'!$E$10+0.8*Lookup!$B$15)))*$B$17++IF($E$10&lt;0.2*Lookup!$B$17,0,(('SN7'!$E$10-0.2*Lookup!$B$17)^2/('SN7'!$E$10+0.8*Lookup!$B$17)))*$B$18+IF($E$10&lt;0.2*Lookup!$C$13,0,(('SN7'!$E$10-0.2*Lookup!$C$13)^2/('SN7'!C$10+0.8*Lookup!$C$13)))*$C$15+IF($E$10&lt;0.2*Lookup!$C$14,0,(('SN7'!$E$10-0.2*Lookup!$C$14)^2/('SN7'!$E$10+0.8*Lookup!$C$14)))*$C$16+IF($E$10&lt;0.2*Lookup!$C$15,0,(('SN7'!$E$10-0.2*Lookup!$C$15)^2/('SN7'!$E$10+0.8*Lookup!$C$15)))*$C$17+IF($E$10&lt;0.2*Lookup!$C$17,0,(('SN7'!$E$10-0.2*Lookup!$C$17)^2/('SN7'!$E$10+0.8*Lookup!$C$17)))*$C$18+IF($E$10&lt;0.2*Lookup!$D$13,0,(('SN7'!$E$10-0.2*Lookup!$D$13)^2/('SN7'!$E$10+0.8*Lookup!$D$13)))*$D$15+IF($E$10&lt;0.2*Lookup!$D$14,0,(('SN7'!$E$10-0.2*Lookup!$D$14)^2/('SN7'!$E$10+0.8*Lookup!$D$14)))*$D$16+IF($E$10&lt;0.2*Lookup!$D$15,0,(('SN7'!$E$10-0.2*Lookup!$D$15)^2/('SN7'!$E$10+0.8*Lookup!$D$15)))*$D$17+IF($E$10&lt;0.2*Lookup!$D$17,0,(('SN7'!$E$10-0.2*Lookup!$D$17)^2/('SN7'!$E$10+0.8*Lookup!$D$17)))*$D$18+IF($E$10&lt;0.2*Lookup!$E$13,0,(('SN7'!$E$10-0.2*Lookup!$E$13)^2/('SN7'!$E$10+0.8*Lookup!$E$13)))*$E$15+IF($E$10&lt;0.2*Lookup!$E$14,0,(('SN7'!$E$10-0.2*Lookup!$E$14)^2/('SN7'!$E$10+0.8*Lookup!$E$14)))*$E$16+IF($E$10&lt;0.2*Lookup!$E$15,0,(('SN7'!$E$10-0.2*Lookup!$E$15)^2/('SN7'!$E$10+0.8*Lookup!$E$15)))*$E$17++IF($E$10&lt;0.2*Lookup!$E$17,0,(('SN7'!$E$10-0.2*Lookup!$E$17)^2/('SN7'!$E$10+0.8*Lookup!$E$17)))*$E$18)/12</f>
        <v>0</v>
      </c>
      <c r="G44" s="60"/>
      <c r="K44" s="13"/>
      <c r="L44" s="6"/>
      <c r="M44" s="13"/>
      <c r="N44" s="13"/>
      <c r="O44" s="13"/>
    </row>
    <row r="45" spans="1:15" ht="14.4" customHeight="1">
      <c r="A45" s="390" t="s">
        <v>113</v>
      </c>
      <c r="B45" s="376"/>
      <c r="C45" s="391"/>
      <c r="D45" s="246">
        <f>(IF($C$10&lt;0.2*Lookup!$B$13,0,(('SN7'!$C$10-0.2*Lookup!$B$13)^2/('SN7'!$C$10+0.8*Lookup!$B$13)))*$B$24+IF($C$10&lt;0.2*Lookup!$B$14,0,(('SN7'!$C$10-0.2*Lookup!$B$14)^2/('SN7'!$C$10+0.8*Lookup!$B$14)))*$B$25+IF($C$10&lt;0.2*Lookup!$B$15,0,(('SN7'!$C$10-0.2*Lookup!$B$15)^2/('SN7'!$C$10+0.8*Lookup!$B$15)))*$B$26+IF($C$10&lt;0.2*Lookup!$C$13,0,(('SN7'!$C$10-0.2*Lookup!$C$13)^2/('SN7'!C$10+0.8*Lookup!$C$13)))*$C$24+IF($C$10&lt;0.2*Lookup!$C$14,0,(('SN7'!$C$10-0.2*Lookup!$C$14)^2/('SN7'!$C$10+0.8*Lookup!$C$14)))*$C$25+IF($C$10&lt;0.2*Lookup!$C$15,0,(('SN7'!$C$10-0.2*Lookup!$C$15)^2/('SN7'!$C$10+0.8*Lookup!$C$15)))*$C$26+IF($C$10&lt;0.2*Lookup!$D$13,0,(('SN7'!$C$10-0.2*Lookup!$D$13)^2/('SN7'!$C$10+0.8*Lookup!$D$13)))*$D$24+IF($C$10&lt;0.2*Lookup!$D$14,0,(('SN7'!$C$10-0.2*Lookup!$D$14)^2/('SN7'!$C$10+0.8*Lookup!$D$14)))*$D$25+IF($C$10&lt;0.2*Lookup!$D$15,0,(('SN7'!$C$10-0.2*Lookup!$D$15)^2/('SN7'!$C$10+0.8*Lookup!$D$15)))*$D$26+IF($C$10&lt;0.2*Lookup!$E$13,0,(('SN7'!$C$10-0.2*Lookup!$E$13)^2/('SN7'!$C$10+0.8*Lookup!$E$13)))*$E$24+IF($C$10&lt;0.2*Lookup!$E$14,0,(('SN7'!$C$10-0.2*Lookup!$E$14)^2/('SN7'!$C$10+0.8*Lookup!$E$14)))*$E$25+IF($C$10&lt;0.2*Lookup!$E$15,0,(('SN7'!$C$10-0.2*Lookup!$E$15)^2/('SN7'!$C$10+0.8*Lookup!$E$15)))*$E$26+(($C$10-0.2*Lookup!B17)^2/($C$10+0.8*Lookup!B17)*(F27+F28+F29+F30)))/12</f>
        <v>0</v>
      </c>
      <c r="E45" s="246">
        <f>(IF($D$10&lt;0.2*Lookup!$B$13,0,(('SN7'!$D$10-0.2*Lookup!$B$13)^2/('SN7'!$D$10+0.8*Lookup!$B$13)))*$B$24+IF($D$10&lt;0.2*Lookup!$B$14,0,(('SN7'!$D$10-0.2*Lookup!$B$14)^2/('SN7'!$D$10+0.8*Lookup!$B$14)))*$B$25+IF($D$10&lt;0.2*Lookup!$B$15,0,(('SN7'!$D$10-0.2*Lookup!$B$15)^2/('SN7'!$D$10+0.8*Lookup!$B$15)))*$B$26+IF($D$10&lt;0.2*Lookup!$C$13,0,(('SN7'!$D$10-0.2*Lookup!$C$13)^2/('SN7'!C$10+0.8*Lookup!$C$13)))*$C$24+IF($D$10&lt;0.2*Lookup!$C$14,0,(('SN7'!$D$10-0.2*Lookup!$C$14)^2/('SN7'!$D$10+0.8*Lookup!$C$14)))*$C$25+IF($D$10&lt;0.2*Lookup!$C$15,0,(('SN7'!$D$10-0.2*Lookup!$C$15)^2/('SN7'!$D$10+0.8*Lookup!$C$15)))*$C$26+IF($D$10&lt;0.2*Lookup!$D$13,0,(('SN7'!$D$10-0.2*Lookup!$D$13)^2/('SN7'!$D$10+0.8*Lookup!$D$13)))*$D$24+IF($D$10&lt;0.2*Lookup!$D$14,0,(('SN7'!$D$10-0.2*Lookup!$D$14)^2/('SN7'!$D$10+0.8*Lookup!$D$14)))*$D$25+IF($D$10&lt;0.2*Lookup!$D$15,0,(('SN7'!$D$10-0.2*Lookup!$D$15)^2/('SN7'!$D$10+0.8*Lookup!$D$15)))*$D$26+IF($D$10&lt;0.2*Lookup!$E$13,0,(('SN7'!$D$10-0.2*Lookup!$E$13)^2/('SN7'!$D$10+0.8*Lookup!$E$13)))*$E$24+IF($D$10&lt;0.2*Lookup!$E$14,0,(('SN7'!$D$10-0.2*Lookup!$E$14)^2/('SN7'!$D$10+0.8*Lookup!$E$14)))*$E$25+IF($D$10&lt;0.2*Lookup!$E$15,0,(('SN7'!$D$10-0.2*Lookup!$E$15)^2/('SN7'!$D$10+0.8*Lookup!$E$15)))*$E$26+(($D$10-0.2*Lookup!B17)^2/($D$10+0.8*Lookup!B17)*(F27+F28+F29+F30)))/12</f>
        <v>0</v>
      </c>
      <c r="F45" s="246">
        <f>(IF($E$10&lt;0.2*Lookup!$B$13,0,(('SN7'!$E$10-0.2*Lookup!$B$13)^2/('SN7'!$E$10+0.8*Lookup!$B$13)))*$B$24+IF($E$10&lt;0.2*Lookup!$B$14,0,(('SN7'!$E$10-0.2*Lookup!$B$14)^2/('SN7'!$E$10+0.8*Lookup!$B$14)))*$B$25+IF($E$10&lt;0.2*Lookup!$B$15,0,(('SN7'!$E$10-0.2*Lookup!$B$15)^2/('SN7'!$E$10+0.8*Lookup!$B$15)))*$B$26+IF($E$10&lt;0.2*Lookup!$C$13,0,(('SN7'!$E$10-0.2*Lookup!$C$13)^2/('SN7'!C$10+0.8*Lookup!$C$13)))*$C$24+IF($E$10&lt;0.2*Lookup!$C$14,0,(('SN7'!$E$10-0.2*Lookup!$C$14)^2/('SN7'!$E$10+0.8*Lookup!$C$14)))*$C$25+IF($E$10&lt;0.2*Lookup!$C$15,0,(('SN7'!$E$10-0.2*Lookup!$C$15)^2/('SN7'!$E$10+0.8*Lookup!$C$15)))*$C$26+IF($E$10&lt;0.2*Lookup!$D$13,0,(('SN7'!$E$10-0.2*Lookup!$D$13)^2/('SN7'!$E$10+0.8*Lookup!$D$13)))*$D$24+IF($E$10&lt;0.2*Lookup!$D$14,0,(('SN7'!$E$10-0.2*Lookup!$D$14)^2/('SN7'!$E$10+0.8*Lookup!$D$14)))*$D$25+IF($E$10&lt;0.2*Lookup!$D$15,0,(('SN7'!$E$10-0.2*Lookup!$D$15)^2/('SN7'!$E$10+0.8*Lookup!$D$15)))*$D$26+IF($E$10&lt;0.2*Lookup!$E$13,0,(('SN7'!$E$10-0.2*Lookup!$E$13)^2/('SN7'!$E$10+0.8*Lookup!$E$13)))*$E$24+IF($E$10&lt;0.2*Lookup!$E$14,0,(('SN7'!$E$10-0.2*Lookup!$E$14)^2/('SN7'!$E$10+0.8*Lookup!$E$14)))*$E$25+IF($E$10&lt;0.2*Lookup!$E$15,0,(('SN7'!$E$10-0.2*Lookup!$E$15)^2/('SN7'!$E$10+0.8*Lookup!$E$15)))*$E$26+(($E$10-0.2*Lookup!B17)^2/($E$10+0.8*Lookup!B17)*(F27+F28+F29+F30)))/12</f>
        <v>0</v>
      </c>
      <c r="G45" s="60"/>
      <c r="K45" s="13"/>
      <c r="L45" s="6"/>
      <c r="M45" s="13"/>
      <c r="N45" s="13"/>
      <c r="O45" s="13"/>
    </row>
    <row r="46" spans="1:15" ht="15.6" customHeight="1" thickBot="1">
      <c r="A46" s="16"/>
      <c r="B46" s="89"/>
      <c r="C46" s="92"/>
      <c r="D46" s="93"/>
      <c r="E46" s="89"/>
      <c r="F46" s="89"/>
      <c r="G46" s="70"/>
      <c r="K46" s="13"/>
      <c r="L46" s="6"/>
      <c r="M46" s="13"/>
      <c r="N46" s="13"/>
      <c r="O46" s="13"/>
    </row>
    <row r="47" spans="1:15" ht="15.6">
      <c r="A47" s="56" t="s">
        <v>64</v>
      </c>
      <c r="B47" s="85"/>
      <c r="C47" s="86"/>
      <c r="D47" s="87"/>
      <c r="E47" s="85"/>
      <c r="F47" s="85"/>
      <c r="G47" s="58"/>
      <c r="K47" s="13"/>
      <c r="L47" s="6"/>
      <c r="M47" s="13"/>
      <c r="N47" s="13"/>
      <c r="O47" s="13"/>
    </row>
    <row r="48" spans="1:15" ht="44.4" customHeight="1">
      <c r="A48" s="385" t="s">
        <v>213</v>
      </c>
      <c r="B48" s="386"/>
      <c r="C48" s="386"/>
      <c r="D48" s="386"/>
      <c r="E48" s="386"/>
      <c r="F48" s="386"/>
      <c r="G48" s="387"/>
      <c r="K48" s="13"/>
      <c r="L48" s="6"/>
      <c r="M48" s="13"/>
      <c r="N48" s="13"/>
      <c r="O48" s="13"/>
    </row>
    <row r="49" spans="1:15" ht="15.6">
      <c r="A49" s="88" t="s">
        <v>71</v>
      </c>
      <c r="B49" s="117" t="s">
        <v>165</v>
      </c>
      <c r="C49" s="402" t="s">
        <v>71</v>
      </c>
      <c r="D49" s="403"/>
      <c r="E49" s="42" t="s">
        <v>165</v>
      </c>
      <c r="F49" s="19"/>
      <c r="G49" s="60"/>
      <c r="K49" s="13"/>
      <c r="L49" s="6"/>
      <c r="M49" s="13"/>
      <c r="N49" s="13"/>
      <c r="O49" s="13"/>
    </row>
    <row r="50" spans="1:15">
      <c r="A50" s="194"/>
      <c r="B50" s="172"/>
      <c r="C50" s="392"/>
      <c r="D50" s="393"/>
      <c r="E50" s="173"/>
      <c r="F50" s="13"/>
      <c r="G50" s="60"/>
      <c r="I50" s="113"/>
      <c r="J50" s="113"/>
      <c r="K50" s="113"/>
      <c r="L50" s="6"/>
      <c r="M50" s="13"/>
      <c r="N50" s="13"/>
      <c r="O50" s="13"/>
    </row>
    <row r="51" spans="1:15">
      <c r="A51" s="194"/>
      <c r="B51" s="172"/>
      <c r="C51" s="392"/>
      <c r="D51" s="393"/>
      <c r="E51" s="173"/>
      <c r="F51" s="13"/>
      <c r="G51" s="60"/>
      <c r="I51" s="113"/>
      <c r="J51" s="113"/>
      <c r="K51" s="113"/>
      <c r="L51" s="6"/>
      <c r="M51" s="13"/>
      <c r="N51" s="13"/>
      <c r="O51" s="13"/>
    </row>
    <row r="52" spans="1:15">
      <c r="A52" s="194"/>
      <c r="B52" s="172"/>
      <c r="C52" s="392"/>
      <c r="D52" s="393"/>
      <c r="E52" s="173"/>
      <c r="F52" s="13"/>
      <c r="G52" s="60"/>
      <c r="I52" s="113"/>
      <c r="J52" s="113"/>
      <c r="K52" s="113"/>
      <c r="L52" s="6"/>
      <c r="M52" s="13"/>
      <c r="N52" s="13"/>
      <c r="O52" s="13"/>
    </row>
    <row r="53" spans="1:15">
      <c r="A53" s="194"/>
      <c r="B53" s="172"/>
      <c r="C53" s="392"/>
      <c r="D53" s="393"/>
      <c r="E53" s="173"/>
      <c r="F53" s="19"/>
      <c r="G53" s="60"/>
      <c r="K53" s="13"/>
      <c r="L53" s="6"/>
      <c r="M53" s="13"/>
      <c r="N53" s="13"/>
      <c r="O53" s="13"/>
    </row>
    <row r="54" spans="1:15">
      <c r="A54" s="194"/>
      <c r="B54" s="172"/>
      <c r="C54" s="392"/>
      <c r="D54" s="393"/>
      <c r="E54" s="173"/>
      <c r="F54" s="19"/>
      <c r="G54" s="60"/>
      <c r="K54" s="13"/>
      <c r="L54" s="6"/>
      <c r="M54" s="13"/>
      <c r="N54" s="13"/>
      <c r="O54" s="13"/>
    </row>
    <row r="55" spans="1:15" ht="13.8" customHeight="1" thickBot="1">
      <c r="A55" s="16"/>
      <c r="B55" s="89"/>
      <c r="C55" s="90"/>
      <c r="D55" s="90"/>
      <c r="E55" s="89"/>
      <c r="F55" s="89"/>
      <c r="G55" s="70"/>
      <c r="K55" s="13"/>
      <c r="L55" s="6"/>
      <c r="M55" s="13"/>
      <c r="N55" s="13"/>
      <c r="O55" s="13"/>
    </row>
    <row r="56" spans="1:15" ht="15.6">
      <c r="A56" s="77" t="s">
        <v>109</v>
      </c>
      <c r="B56" s="78"/>
      <c r="C56" s="78"/>
      <c r="D56" s="79"/>
      <c r="E56" s="79"/>
      <c r="F56" s="79"/>
      <c r="G56" s="58"/>
      <c r="K56" s="13"/>
      <c r="L56" s="6"/>
      <c r="M56" s="13"/>
      <c r="N56" s="13"/>
      <c r="O56" s="13"/>
    </row>
    <row r="57" spans="1:15" ht="15.6">
      <c r="A57" s="80" t="s">
        <v>33</v>
      </c>
      <c r="B57" s="47" t="s">
        <v>73</v>
      </c>
      <c r="C57" s="47" t="s">
        <v>74</v>
      </c>
      <c r="D57" s="48" t="s">
        <v>75</v>
      </c>
      <c r="E57" s="48" t="s">
        <v>120</v>
      </c>
      <c r="F57" s="48" t="s">
        <v>121</v>
      </c>
      <c r="G57" s="60"/>
      <c r="K57" s="13"/>
      <c r="L57" s="6"/>
      <c r="M57" s="13"/>
      <c r="N57" s="13"/>
      <c r="O57" s="13"/>
    </row>
    <row r="58" spans="1:15" ht="15.6">
      <c r="A58" s="61" t="s">
        <v>118</v>
      </c>
      <c r="B58" s="247">
        <f>B69</f>
        <v>0</v>
      </c>
      <c r="C58" s="248">
        <f>B77</f>
        <v>0</v>
      </c>
      <c r="D58" s="247">
        <f>D45-D44+(C10-0.2*Lookup!$B$17)^2/(C10+0.8*Lookup!$B$17)*$F$28/12-IF(C10-0.2*Lookup!$B$15&lt;0,0,(C10-0.2*Lookup!$B$15)^2/(C10+0.8*Lookup!$B$15))*$B$28/12-IF(C10-0.2*Lookup!$C$15&lt;0,0,(C10-0.2*Lookup!$C$15)^2/(C10+0.8*Lookup!$C$15))*$C$28/12-IF(C10-0.2*Lookup!$D$15&lt;0,0,(C10-0.2*Lookup!$D$15)^2/(C10+0.8*Lookup!$D$15))*$D$28/12-IF(C10-0.2*Lookup!$E$15&lt;0,0,(C10-0.2*Lookup!$E$15)^2/(C10+0.8*Lookup!$E$15)*$E$28)/12</f>
        <v>0</v>
      </c>
      <c r="E58" s="247">
        <f>E45-E44+(D10-0.2*Lookup!$B$17)^2/(D10+0.8*Lookup!$B$17)*$F$28/12-IF(D10-0.2*Lookup!$B$15&lt;0,0,(D10-0.2*Lookup!$B$15)^2/(D10+0.8*Lookup!$B$15))*$B$28/12-IF(D10-0.2*Lookup!$C$15&lt;0,0,(D10-0.2*Lookup!$C$15)^2/(D10+0.8*Lookup!$C$15))*$C$28/12-IF(D10-0.2*Lookup!$D$15&lt;0,0,(D10-0.2*Lookup!$D$15)^2/(D10+0.8*Lookup!$D$15))*$D$28/12-IF(D10-0.2*Lookup!$E$15&lt;0,0,(D10-0.2*Lookup!$E$15)^2/(D10+0.8*Lookup!$E$15)*$E$28)/12</f>
        <v>0</v>
      </c>
      <c r="F58" s="247">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c r="A59" s="61" t="s">
        <v>72</v>
      </c>
      <c r="B59" s="249">
        <f ca="1">SUM($B$50:$B$54,$E$50:$E$54)-(SUMIF(A50:A54,"Green Roofs",B50:B54)+SUMIF(C50:D54,"Green Roofs",E50:E54))</f>
        <v>0</v>
      </c>
      <c r="C59" s="249">
        <f ca="1">SUM($B$50:$B$54,$E$50:$E$54)-(SUMIF(A50:A54,"Green Roofs",B50:B54)+SUMIF(C50:D54,"Green Roofs",E50:E54))</f>
        <v>0</v>
      </c>
      <c r="D59" s="249">
        <f>SUM($B$50:$B$54,$E$50:$E$54)</f>
        <v>0</v>
      </c>
      <c r="E59" s="249">
        <f t="shared" ref="E59:F59" si="1">SUM($B$50:$B$54,$E$50:$E$54)</f>
        <v>0</v>
      </c>
      <c r="F59" s="249">
        <f t="shared" si="1"/>
        <v>0</v>
      </c>
      <c r="G59" s="60"/>
      <c r="K59" s="24"/>
      <c r="L59" s="13"/>
      <c r="M59" s="13"/>
      <c r="N59" s="13"/>
      <c r="O59" s="13"/>
    </row>
    <row r="60" spans="1:15" ht="15.6">
      <c r="A60" s="81" t="s">
        <v>119</v>
      </c>
      <c r="B60" s="249">
        <f ca="1">IF((B58-B59)&gt;0,B58-B59,0)</f>
        <v>0</v>
      </c>
      <c r="C60" s="249">
        <f ca="1">IF((C58-C59)&gt;0,C58-C59,0)</f>
        <v>0</v>
      </c>
      <c r="D60" s="249">
        <f>IF((D58-D59)&gt;0,D58-D59,0)</f>
        <v>0</v>
      </c>
      <c r="E60" s="249">
        <f>IF((E58-E59)&gt;0,E58-E59,0)</f>
        <v>0</v>
      </c>
      <c r="F60" s="249">
        <f>IF((F58-F59)&gt;0,F58-F59,0)</f>
        <v>0</v>
      </c>
      <c r="G60" s="60"/>
      <c r="K60" s="13"/>
      <c r="L60" s="13"/>
      <c r="M60" s="13"/>
      <c r="N60" s="13"/>
      <c r="O60" s="13"/>
    </row>
    <row r="61" spans="1:15">
      <c r="A61" s="59" t="s">
        <v>44</v>
      </c>
      <c r="B61" s="27" t="str">
        <f>IF(B58=0,"n/a",IF(ROUND(B60,4)=0,"Yes","No"))</f>
        <v>n/a</v>
      </c>
      <c r="C61" s="27" t="str">
        <f ca="1">IF(G78=2,"Yes",IF(ROUND(C60,4)=0,"Yes", "No"))</f>
        <v>Yes</v>
      </c>
      <c r="D61" s="27" t="str">
        <f>IF(ROUND(D60,4)=0,"Yes", "No")</f>
        <v>Yes</v>
      </c>
      <c r="E61" s="27" t="str">
        <f>IF(ROUND(E60,4)=0,"Yes", "No")</f>
        <v>Yes</v>
      </c>
      <c r="F61" s="27" t="str">
        <f>IF(ROUND(F60,4)=0,"Yes", "No")</f>
        <v>Yes</v>
      </c>
      <c r="G61" s="60"/>
      <c r="H61" s="43"/>
      <c r="K61" s="13"/>
      <c r="L61" s="13"/>
      <c r="M61" s="13"/>
      <c r="N61" s="13"/>
      <c r="O61" s="13"/>
    </row>
    <row r="62" spans="1:15">
      <c r="A62" s="59"/>
      <c r="B62" s="25"/>
      <c r="C62" s="25"/>
      <c r="D62" s="25"/>
      <c r="E62" s="25"/>
      <c r="F62" s="25"/>
      <c r="G62" s="60"/>
      <c r="K62" s="13"/>
      <c r="L62" s="13"/>
      <c r="M62" s="13"/>
      <c r="N62" s="13"/>
      <c r="O62" s="13"/>
    </row>
    <row r="63" spans="1:15" ht="15.6">
      <c r="A63" s="110" t="s">
        <v>43</v>
      </c>
      <c r="B63" s="29" t="s">
        <v>34</v>
      </c>
      <c r="C63" s="28" t="str">
        <f>IF($F$32-$F$31=0,"n/a",200/((2+B10+C58*(24/($F$32-$F$31)))-(5*B10*C58*(12/($F$32-$F$31))+4*(C58*(12/($F$32-$F$31)))^2)^(1/2)))</f>
        <v>n/a</v>
      </c>
      <c r="D63" s="28" t="str">
        <f>IF(C10=0,"need rainfall",IF($F$32-$F$31=0,"n/a",200/((2+C10+D45*(24/($F$32-$F$31)))-(5*C10*D45*(12/($F$32-$F$31))+4*(D45*(12/($F$32-$F$31)))^2)^(1/2))))</f>
        <v>need rainfall</v>
      </c>
      <c r="E63" s="28" t="str">
        <f>IF(D10=0,"need rainfall",IF($F$32-$F$31=0,"n/a",200/((2+D10+E45*(24/($F$32-$F$31)))-(5*D10*E45*(12/($F$32-$F$31))+4*(E45*(12/($F$32-$F$31)))^2)^(1/2))))</f>
        <v>need rainfall</v>
      </c>
      <c r="F63" s="28" t="str">
        <f>IF(E10=0,"need rainfall",IF($F$32-$F$31=0,"n/a",200/((2+E10+F45*(24/($F$32-$F$31)))-(5*E10*F45*(12/($F$32-$F$31))+4*(F45*(12/($F$32-$F$31)))^2)^(1/2))))</f>
        <v>need rainfall</v>
      </c>
      <c r="G63" s="60"/>
      <c r="K63" s="24"/>
      <c r="L63" s="13"/>
      <c r="M63" s="13"/>
      <c r="N63" s="13"/>
      <c r="O63" s="13"/>
    </row>
    <row r="64" spans="1:15" ht="16.2">
      <c r="A64" s="111" t="s">
        <v>42</v>
      </c>
      <c r="B64" s="30" t="s">
        <v>34</v>
      </c>
      <c r="C64" s="26" t="str">
        <f>IF($F$32-$F$31=0,"n/a",IF(B59&gt;C58,"n/a",200/(2+B10+((C58-$B$59)*24/($F$32-$F$31))-SQRT(5*B10*(C58-$B$59)*12/($F$32-$F$31)+4*((C58-$B$59)*12/($F$32-$F$31))^2))))</f>
        <v>n/a</v>
      </c>
      <c r="D64" s="26" t="str">
        <f>IF(C10=0,"need rainfall",IF($F$32-$F$31=0,"n/a",IF(D59&gt;D58,"n/a",200/(2+C10+((D45-$B$59)*24/($F$32-$F$31))-SQRT(5*C10*(D45-$B$59)*12/($F$32-$F$31)+4*((D45-$B$59)*12/($F$32-$F$31))^2)))))</f>
        <v>need rainfall</v>
      </c>
      <c r="E64" s="26" t="str">
        <f>IF(D10=0,"need rainfall",IF($F$32-$F$31=0,"n/a",IF(E59&gt;E58,"n/a",200/(2+D10+((E45-$B$59)*24/($F$32-$F$31))-SQRT(5*D10*(E45-$B$59)*12/($F$32-$F$31)+4*((E45-$B$59)*12/($F$32-$F$31))^2)))))</f>
        <v>need rainfall</v>
      </c>
      <c r="F64" s="26" t="str">
        <f>IF(E10=0,"need rainfall",IF($F$32-$F$31=0,"n/a",IF(F59&gt;F58,"n/a",200/(2+E10+((F45-$B$59)*24/($F$32-$F$31))-SQRT(5*E10*(F45-$B$59)*12/($F$32-$F$31)+4*((F45-$B$59)*12/($F$32-$F$31))^2)))))</f>
        <v>need rainfall</v>
      </c>
      <c r="G64" s="60"/>
      <c r="K64" s="24"/>
      <c r="L64" s="6"/>
      <c r="M64" s="13"/>
      <c r="N64" s="13"/>
      <c r="O64" s="13"/>
    </row>
    <row r="65" spans="1:15" ht="15.6">
      <c r="A65" s="112" t="s">
        <v>36</v>
      </c>
      <c r="B65" s="82" t="s">
        <v>34</v>
      </c>
      <c r="C65" s="83" t="s">
        <v>34</v>
      </c>
      <c r="D65" s="84" t="str">
        <f>IF(C10=0,"need rainfall",IF($F$20-$F$19=0,"n/a",200/(C10+2*D44*12/($F$20-$F$19)+2-SQRT(5*C10*D44*12/($F$20-$F$19)+4*(D44*12/($F$20-$F$19))^2))))</f>
        <v>need rainfall</v>
      </c>
      <c r="E65" s="84" t="str">
        <f>IF(D10=0,"need rainfall",IF($F$20-$F$19=0,"n/a",200/(D10+2*E44*12/($F$20-$F$19)+2-SQRT(5*D10*E44*12/($F$20-$F$19)+4*(E44*12/($F$20-$F$19))^2))))</f>
        <v>need rainfall</v>
      </c>
      <c r="F65" s="84" t="str">
        <f>IF(E10=0,"need rainfall",IF($F$20-$F$19=0,"n/a",200/(E10+2*F44*12/($F$20-$F$19)+2-SQRT(5*E10*F44*12/($F$20-$F$19)+4*(F44*12/($F$20-$F$19))^2))))</f>
        <v>need rainfall</v>
      </c>
      <c r="G65" s="60"/>
      <c r="K65" s="24"/>
      <c r="L65" s="6"/>
      <c r="M65" s="13"/>
      <c r="N65" s="13"/>
      <c r="O65" s="13"/>
    </row>
    <row r="66" spans="1:15" ht="16.2" thickBot="1">
      <c r="A66" s="16"/>
      <c r="B66" s="17"/>
      <c r="C66" s="17"/>
      <c r="D66" s="17"/>
      <c r="E66" s="17"/>
      <c r="F66" s="17"/>
      <c r="G66" s="70"/>
      <c r="K66" s="24"/>
      <c r="L66" s="13"/>
      <c r="M66" s="13"/>
      <c r="N66" s="13"/>
      <c r="O66" s="13"/>
    </row>
    <row r="67" spans="1:15" ht="15.6">
      <c r="A67" s="56" t="s">
        <v>76</v>
      </c>
      <c r="B67" s="57"/>
      <c r="C67" s="57"/>
      <c r="D67" s="57"/>
      <c r="E67" s="57"/>
      <c r="F67" s="177">
        <v>1</v>
      </c>
      <c r="G67" s="58"/>
      <c r="K67" s="24"/>
      <c r="L67" s="6"/>
      <c r="M67" s="13"/>
      <c r="N67" s="13"/>
      <c r="O67" s="13"/>
    </row>
    <row r="68" spans="1:15" ht="30.6" customHeight="1">
      <c r="A68" s="59" t="s">
        <v>77</v>
      </c>
      <c r="B68" s="174"/>
      <c r="C68" s="376" t="str">
        <f>IF(F67=1,"","Reason recharge not required (if No is selected):")</f>
        <v/>
      </c>
      <c r="D68" s="376"/>
      <c r="E68" s="377"/>
      <c r="F68" s="377"/>
      <c r="G68" s="60"/>
      <c r="K68" s="24"/>
      <c r="L68" s="6"/>
      <c r="M68" s="13"/>
      <c r="N68" s="13"/>
      <c r="O68" s="13"/>
    </row>
    <row r="69" spans="1:15" ht="15.6">
      <c r="A69" s="59" t="s">
        <v>117</v>
      </c>
      <c r="B69" s="246">
        <f>((B27+B28)*Lookup!B21+(C27+C28)*Lookup!C21+(D27+D28)*Lookup!D21+(E27+E28)*Lookup!E21*(F27+F28))/12</f>
        <v>0</v>
      </c>
      <c r="C69" s="301"/>
      <c r="D69" s="301"/>
      <c r="E69" s="181"/>
      <c r="F69" s="181"/>
      <c r="G69" s="60"/>
      <c r="K69" s="24"/>
      <c r="L69" s="6"/>
      <c r="M69" s="13"/>
      <c r="N69" s="13"/>
      <c r="O69" s="13"/>
    </row>
    <row r="70" spans="1:15" ht="42.6" customHeight="1">
      <c r="A70" s="302" t="s">
        <v>110</v>
      </c>
      <c r="B70" s="27" t="str">
        <f>B61</f>
        <v>n/a</v>
      </c>
      <c r="C70" s="378" t="str">
        <f>IF(B70="No",IF(F67=1,"NOTE: Treatment provided is insufficient to meet the recharge standard within this drainage area.  Add more infiltrating practices unless recharge is being met site-wide. (check summary tab)","Standard not applicable."),"")</f>
        <v/>
      </c>
      <c r="D70" s="379"/>
      <c r="E70" s="379"/>
      <c r="F70" s="379"/>
      <c r="G70" s="380"/>
      <c r="K70" s="24"/>
      <c r="L70" s="13"/>
      <c r="M70" s="13"/>
      <c r="N70" s="13"/>
      <c r="O70" s="13"/>
    </row>
    <row r="71" spans="1:15" ht="101.4" customHeight="1" thickBot="1">
      <c r="A71" s="215" t="s">
        <v>166</v>
      </c>
      <c r="B71" s="352"/>
      <c r="C71" s="352"/>
      <c r="D71" s="352"/>
      <c r="E71" s="352"/>
      <c r="F71" s="352"/>
      <c r="G71" s="353"/>
      <c r="K71" s="24"/>
      <c r="L71" s="6"/>
      <c r="M71" s="13"/>
      <c r="N71" s="13"/>
      <c r="O71" s="13"/>
    </row>
    <row r="72" spans="1:15" ht="75" customHeight="1" thickBot="1">
      <c r="A72" s="250"/>
      <c r="B72" s="251"/>
      <c r="C72" s="251"/>
      <c r="D72" s="251"/>
      <c r="E72" s="251"/>
      <c r="F72" s="251"/>
      <c r="G72" s="251"/>
      <c r="K72" s="24"/>
      <c r="L72" s="6"/>
      <c r="M72" s="13"/>
      <c r="N72" s="13"/>
      <c r="O72" s="13"/>
    </row>
    <row r="73" spans="1:15" ht="15.6">
      <c r="A73" s="56" t="s">
        <v>95</v>
      </c>
      <c r="B73" s="57"/>
      <c r="C73" s="57"/>
      <c r="D73" s="57"/>
      <c r="E73" s="177">
        <v>1</v>
      </c>
      <c r="F73" s="177">
        <v>1</v>
      </c>
      <c r="G73" s="58"/>
      <c r="K73" s="24"/>
      <c r="L73" s="6"/>
      <c r="M73" s="13"/>
      <c r="N73" s="13"/>
      <c r="O73" s="13"/>
    </row>
    <row r="74" spans="1:15" ht="15" customHeight="1">
      <c r="A74" s="91"/>
      <c r="B74" s="7" t="s">
        <v>232</v>
      </c>
      <c r="C74" s="13"/>
      <c r="D74" s="13"/>
      <c r="E74" s="13"/>
      <c r="F74" s="7" t="s">
        <v>235</v>
      </c>
      <c r="G74" s="60"/>
      <c r="K74" s="24"/>
      <c r="L74" s="6"/>
      <c r="M74" s="13"/>
      <c r="N74" s="13"/>
      <c r="O74" s="13"/>
    </row>
    <row r="75" spans="1:15" ht="16.2">
      <c r="A75" s="67" t="s">
        <v>220</v>
      </c>
      <c r="B75" s="246">
        <f>IF(F27+F28=0,0,(0.05+0.9*(G27+G28))*1*(F32-F19)/12)</f>
        <v>0</v>
      </c>
      <c r="C75" s="411" t="s">
        <v>234</v>
      </c>
      <c r="D75" s="412"/>
      <c r="E75" s="75">
        <f>G35</f>
        <v>0</v>
      </c>
      <c r="G75" s="60"/>
      <c r="K75" s="24"/>
      <c r="L75" s="6"/>
      <c r="M75" s="13"/>
      <c r="N75" s="13"/>
      <c r="O75" s="13"/>
    </row>
    <row r="76" spans="1:15" ht="30" customHeight="1">
      <c r="A76" s="61" t="s">
        <v>221</v>
      </c>
      <c r="B76" s="246">
        <f>IF(F30=0,0,IF(F73=2,IF(E76&gt;25%,0,(0.05+0.9*G30)*1*(F32-F19)/12*(50%-2*E76)),(0.05+0.9*G30)*1*(F32-F19)/12*0.5))</f>
        <v>0</v>
      </c>
      <c r="C76" s="413" t="s">
        <v>233</v>
      </c>
      <c r="D76" s="414"/>
      <c r="E76" s="218">
        <f>G36</f>
        <v>0</v>
      </c>
      <c r="G76" s="219" t="str">
        <f>IF(E76="n/a","",IF(E76&gt;25%,"Max 25% applied",""))</f>
        <v/>
      </c>
      <c r="K76" s="24"/>
      <c r="L76" s="13"/>
      <c r="M76" s="13"/>
      <c r="N76" s="13"/>
      <c r="O76" s="13"/>
    </row>
    <row r="77" spans="1:15" ht="15" customHeight="1">
      <c r="A77" s="59" t="s">
        <v>111</v>
      </c>
      <c r="B77" s="246">
        <f>IF(E73=2,IF(E75&lt;5%,B75+B76,(B75+B76)*(100%-E75)),B75+B76)</f>
        <v>0</v>
      </c>
      <c r="C77" s="415" t="str">
        <f>IF(E73+F73=4,"ERROR! Net Reduction and Redevelopment cannot both apply","")</f>
        <v/>
      </c>
      <c r="D77" s="416"/>
      <c r="E77" s="416"/>
      <c r="F77" s="416"/>
      <c r="G77" s="417"/>
      <c r="K77" s="24"/>
      <c r="L77" s="13"/>
      <c r="M77" s="13"/>
      <c r="N77" s="13"/>
      <c r="O77" s="13"/>
    </row>
    <row r="78" spans="1:15" ht="30">
      <c r="A78" s="302" t="s">
        <v>203</v>
      </c>
      <c r="B78" s="276">
        <f ca="1">IF(C59&gt;C58,C58,C59)</f>
        <v>0</v>
      </c>
      <c r="C78" s="63"/>
      <c r="D78" s="410" t="s">
        <v>208</v>
      </c>
      <c r="E78" s="410"/>
      <c r="F78" s="184"/>
      <c r="G78" s="185">
        <v>1</v>
      </c>
      <c r="K78" s="24"/>
      <c r="L78" s="13"/>
      <c r="M78" s="13"/>
      <c r="N78" s="13"/>
      <c r="O78" s="13"/>
    </row>
    <row r="79" spans="1:15" ht="30.6" customHeight="1">
      <c r="A79" s="217" t="s">
        <v>148</v>
      </c>
      <c r="B79" s="276">
        <f ca="1">IF(G78=2,"N/A",IF(B77-B78&lt;0,0,B77-B78))</f>
        <v>0</v>
      </c>
      <c r="C79" s="63"/>
      <c r="D79" s="216"/>
      <c r="E79" s="216"/>
      <c r="F79" s="13"/>
      <c r="G79" s="64"/>
      <c r="K79" s="24"/>
      <c r="L79" s="13"/>
      <c r="M79" s="13"/>
      <c r="N79" s="13"/>
      <c r="O79" s="13"/>
    </row>
    <row r="80" spans="1:15" ht="10.8" customHeight="1">
      <c r="A80" s="302"/>
      <c r="B80" s="13"/>
      <c r="C80" s="63"/>
      <c r="D80" s="13"/>
      <c r="E80" s="13"/>
      <c r="F80" s="13"/>
      <c r="G80" s="60"/>
      <c r="K80" s="13"/>
      <c r="L80" s="6"/>
      <c r="M80" s="13"/>
      <c r="N80" s="13"/>
      <c r="O80" s="13"/>
    </row>
    <row r="81" spans="1:15" ht="28.8" customHeight="1">
      <c r="A81" s="394" t="str">
        <f>IF(B82="","","NOTE: Please include a copy of the appropriate STP worksheet(s) with the application.")</f>
        <v/>
      </c>
      <c r="B81" s="382" t="s">
        <v>159</v>
      </c>
      <c r="C81" s="383"/>
      <c r="D81" s="384"/>
      <c r="E81" s="296" t="s">
        <v>146</v>
      </c>
      <c r="F81" s="303" t="s">
        <v>137</v>
      </c>
      <c r="G81" s="60"/>
      <c r="K81" s="13"/>
      <c r="L81" s="6"/>
      <c r="M81" s="13"/>
      <c r="N81" s="13"/>
      <c r="O81" s="13"/>
    </row>
    <row r="82" spans="1:15">
      <c r="A82" s="394"/>
      <c r="B82" s="381"/>
      <c r="C82" s="381"/>
      <c r="D82" s="381"/>
      <c r="E82" s="278"/>
      <c r="F82" s="108" t="str">
        <f>IF(B82="","",VLOOKUP(B82,Lookup!$H$13:$I$19,2,FALSE))</f>
        <v/>
      </c>
      <c r="G82" s="60"/>
    </row>
    <row r="83" spans="1:15">
      <c r="A83" s="394"/>
      <c r="B83" s="381"/>
      <c r="C83" s="381"/>
      <c r="D83" s="381"/>
      <c r="E83" s="278"/>
      <c r="F83" s="108" t="str">
        <f>IF(B83="","",VLOOKUP(B83,Lookup!$H$13:$I$19,2,FALSE))</f>
        <v/>
      </c>
      <c r="G83" s="60"/>
    </row>
    <row r="84" spans="1:15">
      <c r="A84" s="394"/>
      <c r="B84" s="381"/>
      <c r="C84" s="381"/>
      <c r="D84" s="381"/>
      <c r="E84" s="278"/>
      <c r="F84" s="108" t="str">
        <f>IF(B84="","",VLOOKUP(B84,Lookup!$H$13:$I$19,2,FALSE))</f>
        <v/>
      </c>
      <c r="G84" s="60"/>
    </row>
    <row r="85" spans="1:15" ht="15.6">
      <c r="A85" s="118"/>
      <c r="B85" s="19"/>
      <c r="C85" s="19"/>
      <c r="D85" s="1" t="s">
        <v>152</v>
      </c>
      <c r="E85" s="277">
        <f>SUM(E82:E84)</f>
        <v>0</v>
      </c>
      <c r="F85" s="13" t="s">
        <v>90</v>
      </c>
      <c r="G85" s="60"/>
    </row>
    <row r="86" spans="1:15" ht="15.6">
      <c r="A86" s="68"/>
      <c r="B86" s="19"/>
      <c r="C86" s="19"/>
      <c r="D86" s="1" t="s">
        <v>202</v>
      </c>
      <c r="E86" s="134" t="str">
        <f ca="1">IF(G78=2,"Yes",IF(ROUND(E85,4)&gt;=ROUND(B79,4),"Yes","No"))</f>
        <v>Yes</v>
      </c>
      <c r="F86" s="13"/>
      <c r="G86" s="60"/>
    </row>
    <row r="87" spans="1:15" ht="14.4" customHeight="1">
      <c r="A87" s="407" t="str">
        <f ca="1">IF(E86="No","NOTE:  Add more water quality practices unless site balancing is being used. (Check summary tab)","")</f>
        <v/>
      </c>
      <c r="B87" s="408"/>
      <c r="C87" s="408"/>
      <c r="D87" s="408"/>
      <c r="E87" s="408"/>
      <c r="F87" s="408"/>
      <c r="G87" s="409"/>
    </row>
    <row r="88" spans="1:15" ht="51.6" customHeight="1" thickBot="1">
      <c r="A88" s="227" t="s">
        <v>167</v>
      </c>
      <c r="B88" s="354"/>
      <c r="C88" s="354"/>
      <c r="D88" s="354"/>
      <c r="E88" s="354"/>
      <c r="F88" s="354"/>
      <c r="G88" s="354"/>
    </row>
    <row r="89" spans="1:15" ht="15.6">
      <c r="A89" s="56" t="s">
        <v>96</v>
      </c>
      <c r="B89" s="57"/>
      <c r="C89" s="57"/>
      <c r="D89" s="57"/>
      <c r="E89" s="177">
        <v>1</v>
      </c>
      <c r="F89" s="177">
        <v>1</v>
      </c>
      <c r="G89" s="58"/>
    </row>
    <row r="90" spans="1:15" ht="29.4" customHeight="1">
      <c r="A90" s="59" t="s">
        <v>77</v>
      </c>
      <c r="B90" s="125"/>
      <c r="C90" s="363" t="str">
        <f>IF(F89=2,"Waiver (if No is selected):","")</f>
        <v/>
      </c>
      <c r="D90" s="363"/>
      <c r="E90" s="364"/>
      <c r="F90" s="364"/>
      <c r="G90" s="60"/>
      <c r="M90" s="41"/>
    </row>
    <row r="91" spans="1:15" s="49" customFormat="1" ht="37.200000000000003" customHeight="1">
      <c r="A91" s="59" t="s">
        <v>80</v>
      </c>
      <c r="B91" s="27" t="str">
        <f>D61</f>
        <v>Yes</v>
      </c>
      <c r="C91" s="404"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405"/>
      <c r="E91" s="405"/>
      <c r="F91" s="405"/>
      <c r="G91" s="406"/>
    </row>
    <row r="92" spans="1:15" s="49" customFormat="1" ht="31.2" customHeight="1">
      <c r="A92" s="61" t="s">
        <v>81</v>
      </c>
      <c r="B92" s="62" t="str">
        <f>IF(D60&gt;0,D45-D59,"n/a")</f>
        <v>n/a</v>
      </c>
      <c r="C92" s="54" t="s">
        <v>90</v>
      </c>
      <c r="D92" s="31"/>
      <c r="E92" s="13"/>
      <c r="F92" s="63"/>
      <c r="G92" s="64"/>
    </row>
    <row r="93" spans="1:15" ht="34.799999999999997" customHeight="1">
      <c r="A93" s="61" t="s">
        <v>92</v>
      </c>
      <c r="B93" s="125"/>
      <c r="C93" s="65" t="s">
        <v>94</v>
      </c>
      <c r="D93" s="298" t="s">
        <v>93</v>
      </c>
      <c r="E93" s="432" t="str">
        <f>IF(E89=1,"12 hours of extended detention","24 hours of extended detention")</f>
        <v>12 hours of extended detention</v>
      </c>
      <c r="F93" s="432"/>
      <c r="G93" s="60"/>
    </row>
    <row r="94" spans="1:15" ht="15" customHeight="1">
      <c r="A94" s="418" t="str">
        <f>HYPERLINK("http://dec.vermont.gov/sites/dec/files/documents/wsmd_water_quality_standards_2016.pdf", "See the Vermont Water Quality Standards for warm and cold water designations")</f>
        <v>See the Vermont Water Quality Standards for warm and cold water designations</v>
      </c>
      <c r="B94" s="419"/>
      <c r="C94" s="419"/>
      <c r="D94" s="13"/>
      <c r="E94" s="427" t="s">
        <v>149</v>
      </c>
      <c r="F94" s="427"/>
      <c r="G94" s="178" t="b">
        <v>0</v>
      </c>
    </row>
    <row r="95" spans="1:15" ht="14.4" customHeight="1">
      <c r="A95" s="418"/>
      <c r="B95" s="419"/>
      <c r="C95" s="419"/>
      <c r="D95" s="13"/>
      <c r="E95" s="428" t="s">
        <v>181</v>
      </c>
      <c r="F95" s="428"/>
      <c r="G95" s="429"/>
    </row>
    <row r="96" spans="1:15">
      <c r="A96" s="299"/>
      <c r="B96" s="300"/>
      <c r="C96" s="13"/>
      <c r="D96" s="13"/>
      <c r="E96" s="428"/>
      <c r="F96" s="428"/>
      <c r="G96" s="429"/>
    </row>
    <row r="97" spans="1:7">
      <c r="A97" s="66" t="s">
        <v>150</v>
      </c>
      <c r="B97" s="361"/>
      <c r="C97" s="362"/>
      <c r="D97" s="13"/>
      <c r="E97" s="182"/>
      <c r="F97" s="430" t="str">
        <f>IF(G94=TRUE,"detention time (hrs)","")</f>
        <v/>
      </c>
      <c r="G97" s="431"/>
    </row>
    <row r="98" spans="1:7" ht="11.4" customHeight="1">
      <c r="A98" s="66"/>
      <c r="B98" s="55"/>
      <c r="C98" s="55"/>
      <c r="D98" s="13"/>
      <c r="E98" s="13"/>
      <c r="F98" s="13"/>
      <c r="G98" s="60"/>
    </row>
    <row r="99" spans="1:7" ht="45.6" customHeight="1">
      <c r="A99" s="371" t="s">
        <v>209</v>
      </c>
      <c r="B99" s="372"/>
      <c r="C99" s="372"/>
      <c r="D99" s="372"/>
      <c r="E99" s="372"/>
      <c r="F99" s="372"/>
      <c r="G99" s="373"/>
    </row>
    <row r="100" spans="1:7" s="49" customFormat="1" ht="31.2" customHeight="1">
      <c r="A100" s="59" t="s">
        <v>91</v>
      </c>
      <c r="B100" s="128" t="str">
        <f>D64</f>
        <v>need rainfall</v>
      </c>
      <c r="C100" s="365" t="s">
        <v>222</v>
      </c>
      <c r="D100" s="366"/>
      <c r="E100" s="129">
        <f>IF(E41=0,0,(F41^0.8)*(((1000/IF(B100&gt;95,95,IF(B100&lt;50,50,B100)))-9)^0.7)/(1140*E41^0.5)*60)</f>
        <v>0</v>
      </c>
      <c r="F100" s="73" t="s">
        <v>102</v>
      </c>
      <c r="G100" s="64"/>
    </row>
    <row r="101" spans="1:7" ht="49.2" customHeight="1" thickBot="1">
      <c r="A101" s="215" t="s">
        <v>168</v>
      </c>
      <c r="B101" s="358"/>
      <c r="C101" s="359"/>
      <c r="D101" s="359"/>
      <c r="E101" s="359"/>
      <c r="F101" s="359"/>
      <c r="G101" s="360"/>
    </row>
    <row r="102" spans="1:7" ht="18">
      <c r="A102" s="56" t="s">
        <v>97</v>
      </c>
      <c r="B102" s="57"/>
      <c r="C102" s="57"/>
      <c r="D102" s="57"/>
      <c r="E102" s="57"/>
      <c r="F102" s="177">
        <v>1</v>
      </c>
      <c r="G102" s="58"/>
    </row>
    <row r="103" spans="1:7" ht="29.4" customHeight="1">
      <c r="A103" s="59" t="s">
        <v>77</v>
      </c>
      <c r="B103" s="127"/>
      <c r="C103" s="363" t="str">
        <f>IF(F102=1,"","Waiver (if No is selected):")</f>
        <v/>
      </c>
      <c r="D103" s="363"/>
      <c r="E103" s="364"/>
      <c r="F103" s="364"/>
      <c r="G103" s="60"/>
    </row>
    <row r="104" spans="1:7" ht="43.2" customHeight="1">
      <c r="A104" s="59" t="s">
        <v>80</v>
      </c>
      <c r="B104" s="27" t="str">
        <f>E61</f>
        <v>Yes</v>
      </c>
      <c r="C104" s="404"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405"/>
      <c r="E104" s="405"/>
      <c r="F104" s="405"/>
      <c r="G104" s="406"/>
    </row>
    <row r="105" spans="1:7">
      <c r="A105" s="68" t="s">
        <v>104</v>
      </c>
      <c r="B105" s="426"/>
      <c r="C105" s="426"/>
      <c r="D105" s="426"/>
      <c r="E105" s="426"/>
      <c r="F105" s="426"/>
      <c r="G105" s="60"/>
    </row>
    <row r="106" spans="1:7">
      <c r="A106" s="14"/>
      <c r="B106" s="13"/>
      <c r="C106" s="20" t="s">
        <v>105</v>
      </c>
      <c r="D106" s="175"/>
      <c r="E106" s="13"/>
      <c r="F106" s="13"/>
      <c r="G106" s="60"/>
    </row>
    <row r="107" spans="1:7">
      <c r="A107" s="14"/>
      <c r="B107" s="13"/>
      <c r="C107" s="20" t="s">
        <v>107</v>
      </c>
      <c r="D107" s="175"/>
      <c r="E107" s="13"/>
      <c r="F107" s="13"/>
      <c r="G107" s="60"/>
    </row>
    <row r="108" spans="1:7">
      <c r="A108" s="14"/>
      <c r="B108" s="13"/>
      <c r="C108" s="20" t="s">
        <v>106</v>
      </c>
      <c r="D108" s="175"/>
      <c r="E108" s="13"/>
      <c r="F108" s="13"/>
      <c r="G108" s="60"/>
    </row>
    <row r="109" spans="1:7">
      <c r="A109" s="14"/>
      <c r="B109" s="13"/>
      <c r="C109" s="20"/>
      <c r="D109" s="19"/>
      <c r="E109" s="13"/>
      <c r="F109" s="13"/>
      <c r="G109" s="60"/>
    </row>
    <row r="110" spans="1:7" ht="46.8" customHeight="1">
      <c r="A110" s="371" t="s">
        <v>210</v>
      </c>
      <c r="B110" s="372"/>
      <c r="C110" s="372"/>
      <c r="D110" s="372"/>
      <c r="E110" s="372"/>
      <c r="F110" s="372"/>
      <c r="G110" s="373"/>
    </row>
    <row r="111" spans="1:7" ht="28.8" customHeight="1">
      <c r="A111" s="193" t="s">
        <v>223</v>
      </c>
      <c r="B111" s="71" t="str">
        <f>E65</f>
        <v>need rainfall</v>
      </c>
      <c r="C111" s="367" t="s">
        <v>224</v>
      </c>
      <c r="D111" s="368"/>
      <c r="E111" s="72">
        <f>IF(E40=0,0,(F40^0.8)*(((1000/IF(B111&gt;95,95,IF(B111&lt;50,50,B111)))-9)^0.7)/(1140*E40^0.5)*60)</f>
        <v>0</v>
      </c>
      <c r="F111" s="420" t="s">
        <v>102</v>
      </c>
      <c r="G111" s="297"/>
    </row>
    <row r="112" spans="1:7" ht="28.8" customHeight="1">
      <c r="A112" s="59" t="s">
        <v>91</v>
      </c>
      <c r="B112" s="71" t="str">
        <f>E64</f>
        <v>need rainfall</v>
      </c>
      <c r="C112" s="365" t="s">
        <v>222</v>
      </c>
      <c r="D112" s="366"/>
      <c r="E112" s="72">
        <f>IF(E41=0,0,(F41^0.8)*(((1000/IF(B112&gt;95,95,IF(B112&lt;50,50,B112)))-9)^0.7)/(1140*E41^0.5)*60)</f>
        <v>0</v>
      </c>
      <c r="F112" s="421"/>
      <c r="G112" s="64"/>
    </row>
    <row r="113" spans="1:7" ht="57.6" customHeight="1" thickBot="1">
      <c r="A113" s="124" t="s">
        <v>169</v>
      </c>
      <c r="B113" s="358"/>
      <c r="C113" s="359"/>
      <c r="D113" s="359"/>
      <c r="E113" s="359"/>
      <c r="F113" s="359"/>
      <c r="G113" s="360"/>
    </row>
    <row r="114" spans="1:7" ht="18">
      <c r="A114" s="56" t="s">
        <v>108</v>
      </c>
      <c r="B114" s="57"/>
      <c r="C114" s="57"/>
      <c r="D114" s="57"/>
      <c r="E114" s="57"/>
      <c r="F114" s="177">
        <v>1</v>
      </c>
      <c r="G114" s="58"/>
    </row>
    <row r="115" spans="1:7" ht="28.8" customHeight="1">
      <c r="A115" s="59" t="s">
        <v>77</v>
      </c>
      <c r="B115" s="126"/>
      <c r="C115" s="363" t="str">
        <f>IF(F114=1,"","Waiver (if No is selected):")</f>
        <v/>
      </c>
      <c r="D115" s="363"/>
      <c r="E115" s="364"/>
      <c r="F115" s="364"/>
      <c r="G115" s="60"/>
    </row>
    <row r="116" spans="1:7" ht="43.2" customHeight="1">
      <c r="A116" s="59" t="s">
        <v>80</v>
      </c>
      <c r="B116" s="27" t="str">
        <f>F61</f>
        <v>Yes</v>
      </c>
      <c r="C116" s="404"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405"/>
      <c r="E116" s="405"/>
      <c r="F116" s="405"/>
      <c r="G116" s="406"/>
    </row>
    <row r="117" spans="1:7">
      <c r="A117" s="68" t="s">
        <v>104</v>
      </c>
      <c r="B117" s="374"/>
      <c r="C117" s="374"/>
      <c r="D117" s="374"/>
      <c r="E117" s="374"/>
      <c r="F117" s="374"/>
      <c r="G117" s="60"/>
    </row>
    <row r="118" spans="1:7">
      <c r="A118" s="14"/>
      <c r="B118" s="13"/>
      <c r="C118" s="20" t="s">
        <v>105</v>
      </c>
      <c r="D118" s="176"/>
      <c r="E118" s="13"/>
      <c r="F118" s="13"/>
      <c r="G118" s="60"/>
    </row>
    <row r="119" spans="1:7">
      <c r="A119" s="14"/>
      <c r="B119" s="13"/>
      <c r="C119" s="20" t="s">
        <v>107</v>
      </c>
      <c r="D119" s="176"/>
      <c r="E119" s="13"/>
      <c r="F119" s="13"/>
      <c r="G119" s="60"/>
    </row>
    <row r="120" spans="1:7">
      <c r="A120" s="14"/>
      <c r="B120" s="13"/>
      <c r="C120" s="20" t="s">
        <v>106</v>
      </c>
      <c r="D120" s="176"/>
      <c r="E120" s="13"/>
      <c r="F120" s="13"/>
      <c r="G120" s="60"/>
    </row>
    <row r="121" spans="1:7">
      <c r="A121" s="14"/>
      <c r="B121" s="13"/>
      <c r="C121" s="13"/>
      <c r="D121" s="13"/>
      <c r="E121" s="13"/>
      <c r="F121" s="13"/>
      <c r="G121" s="60"/>
    </row>
    <row r="122" spans="1:7" ht="45.6" customHeight="1">
      <c r="A122" s="371" t="s">
        <v>214</v>
      </c>
      <c r="B122" s="372"/>
      <c r="C122" s="372"/>
      <c r="D122" s="372"/>
      <c r="E122" s="372"/>
      <c r="F122" s="372"/>
      <c r="G122" s="373"/>
    </row>
    <row r="123" spans="1:7" ht="32.4" customHeight="1">
      <c r="A123" s="193" t="s">
        <v>223</v>
      </c>
      <c r="B123" s="71" t="str">
        <f>F65</f>
        <v>need rainfall</v>
      </c>
      <c r="C123" s="367" t="s">
        <v>224</v>
      </c>
      <c r="D123" s="368"/>
      <c r="E123" s="72">
        <f>IF(E40=0,0,(F40^0.8)*(((1000/IF(B123&gt;95,95,IF(B123&lt;50,50,B123)))-9)^0.7)/(1140*E40^0.5)*60)</f>
        <v>0</v>
      </c>
      <c r="F123" s="369" t="s">
        <v>102</v>
      </c>
      <c r="G123" s="297"/>
    </row>
    <row r="124" spans="1:7" ht="28.8" customHeight="1">
      <c r="A124" s="59" t="s">
        <v>91</v>
      </c>
      <c r="B124" s="71" t="str">
        <f>F64</f>
        <v>need rainfall</v>
      </c>
      <c r="C124" s="365" t="s">
        <v>222</v>
      </c>
      <c r="D124" s="366"/>
      <c r="E124" s="72">
        <f>IF(E41=0,0,(F41^0.8)*(((1000/IF(B124&gt;95,95,IF(B124&lt;50,50,B124)))-9)^0.7)/(1140*E41^0.5)*60)</f>
        <v>0</v>
      </c>
      <c r="F124" s="370"/>
      <c r="G124" s="64"/>
    </row>
    <row r="125" spans="1:7" ht="57.6" customHeight="1" thickBot="1">
      <c r="A125" s="124" t="s">
        <v>170</v>
      </c>
      <c r="B125" s="358"/>
      <c r="C125" s="359"/>
      <c r="D125" s="359"/>
      <c r="E125" s="359"/>
      <c r="F125" s="359"/>
      <c r="G125" s="360"/>
    </row>
  </sheetData>
  <sheetProtection algorithmName="SHA-512" hashValue="YQxaAvSmWL9Zh4y3ipAIFzTehRfQWoZGnLqIrFSuP0bPL4KvjjuyYohYMOnp0SJfvelXF/l1DA7gRo2T9Hbo7A==" saltValue="EBN2Pu1ybCHQKeg1v5u3GA==" spinCount="100000" sheet="1" objects="1" scenarios="1" formatColumns="0"/>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B97:C97"/>
    <mergeCell ref="F97:G97"/>
    <mergeCell ref="A99:G99"/>
    <mergeCell ref="C100:D100"/>
    <mergeCell ref="B101:G101"/>
    <mergeCell ref="C103:D103"/>
    <mergeCell ref="E103:F103"/>
    <mergeCell ref="B88:G88"/>
    <mergeCell ref="C90:D90"/>
    <mergeCell ref="E90:F90"/>
    <mergeCell ref="C91:G91"/>
    <mergeCell ref="E93:F93"/>
    <mergeCell ref="A94:C95"/>
    <mergeCell ref="E94:F94"/>
    <mergeCell ref="E95:G96"/>
    <mergeCell ref="A81:A84"/>
    <mergeCell ref="B81:D81"/>
    <mergeCell ref="B82:D82"/>
    <mergeCell ref="B83:D83"/>
    <mergeCell ref="B84:D84"/>
    <mergeCell ref="A87:G87"/>
    <mergeCell ref="C70:G70"/>
    <mergeCell ref="B71:G71"/>
    <mergeCell ref="C75:D75"/>
    <mergeCell ref="C76:D76"/>
    <mergeCell ref="C77:G77"/>
    <mergeCell ref="D78:E78"/>
    <mergeCell ref="C51:D51"/>
    <mergeCell ref="C52:D52"/>
    <mergeCell ref="C53:D53"/>
    <mergeCell ref="C54:D54"/>
    <mergeCell ref="C68:D68"/>
    <mergeCell ref="E68:F68"/>
    <mergeCell ref="A39:B41"/>
    <mergeCell ref="A44:C44"/>
    <mergeCell ref="A45:C45"/>
    <mergeCell ref="A48:G48"/>
    <mergeCell ref="C49:D49"/>
    <mergeCell ref="C50:D50"/>
    <mergeCell ref="A13:F13"/>
    <mergeCell ref="G14:G15"/>
    <mergeCell ref="A21:G21"/>
    <mergeCell ref="A22:F22"/>
    <mergeCell ref="B31:E31"/>
    <mergeCell ref="A38:G38"/>
    <mergeCell ref="D2:F2"/>
    <mergeCell ref="D3:F3"/>
    <mergeCell ref="D4:F4"/>
    <mergeCell ref="D5:F5"/>
    <mergeCell ref="D6:F6"/>
    <mergeCell ref="B8:D8"/>
  </mergeCells>
  <conditionalFormatting sqref="E68:F68">
    <cfRule type="expression" dxfId="119" priority="39">
      <formula>$F$67=2</formula>
    </cfRule>
  </conditionalFormatting>
  <conditionalFormatting sqref="E90:F90">
    <cfRule type="expression" dxfId="118" priority="38">
      <formula>$F$89=2</formula>
    </cfRule>
  </conditionalFormatting>
  <conditionalFormatting sqref="E103:F103">
    <cfRule type="expression" dxfId="117" priority="37">
      <formula>$F$102=2</formula>
    </cfRule>
  </conditionalFormatting>
  <conditionalFormatting sqref="E115:F115">
    <cfRule type="expression" dxfId="116" priority="36">
      <formula>$F$114=2</formula>
    </cfRule>
  </conditionalFormatting>
  <conditionalFormatting sqref="B105:F105 D108">
    <cfRule type="expression" dxfId="115" priority="35">
      <formula>$F$102=1</formula>
    </cfRule>
  </conditionalFormatting>
  <conditionalFormatting sqref="D106">
    <cfRule type="expression" dxfId="114" priority="34">
      <formula>$F$102=1</formula>
    </cfRule>
  </conditionalFormatting>
  <conditionalFormatting sqref="B117:F117 D120">
    <cfRule type="expression" dxfId="113" priority="33">
      <formula>$F$114=1</formula>
    </cfRule>
  </conditionalFormatting>
  <conditionalFormatting sqref="B82:D82 B83:B84 E82:E84">
    <cfRule type="expression" dxfId="112" priority="40">
      <formula>$F$79&gt;0</formula>
    </cfRule>
  </conditionalFormatting>
  <conditionalFormatting sqref="E97">
    <cfRule type="expression" dxfId="111" priority="32">
      <formula>$G$94=TRUE</formula>
    </cfRule>
  </conditionalFormatting>
  <conditionalFormatting sqref="D119">
    <cfRule type="expression" dxfId="110" priority="31">
      <formula>$F$114=1</formula>
    </cfRule>
  </conditionalFormatting>
  <conditionalFormatting sqref="D118">
    <cfRule type="expression" dxfId="109" priority="30">
      <formula>$F$114=1</formula>
    </cfRule>
  </conditionalFormatting>
  <conditionalFormatting sqref="D107">
    <cfRule type="expression" dxfId="108" priority="29">
      <formula>$F$102=1</formula>
    </cfRule>
  </conditionalFormatting>
  <conditionalFormatting sqref="C64">
    <cfRule type="expression" dxfId="107" priority="28">
      <formula>$C$64="n/a"</formula>
    </cfRule>
  </conditionalFormatting>
  <conditionalFormatting sqref="B82:E84">
    <cfRule type="expression" dxfId="106" priority="27">
      <formula>$F$79="N/A"</formula>
    </cfRule>
  </conditionalFormatting>
  <conditionalFormatting sqref="C61">
    <cfRule type="expression" dxfId="105" priority="24">
      <formula>C61="n/a"</formula>
    </cfRule>
    <cfRule type="expression" dxfId="104" priority="25">
      <formula>C61="No"</formula>
    </cfRule>
    <cfRule type="expression" dxfId="103" priority="26">
      <formula>C61="Yes"</formula>
    </cfRule>
  </conditionalFormatting>
  <conditionalFormatting sqref="B61">
    <cfRule type="expression" dxfId="102" priority="21">
      <formula>B61="n/a"</formula>
    </cfRule>
    <cfRule type="expression" dxfId="101" priority="22">
      <formula>B61="No"</formula>
    </cfRule>
    <cfRule type="expression" dxfId="100" priority="23">
      <formula>B61="Yes"</formula>
    </cfRule>
  </conditionalFormatting>
  <conditionalFormatting sqref="D61:F61">
    <cfRule type="expression" dxfId="99" priority="18">
      <formula>D61="n/a"</formula>
    </cfRule>
    <cfRule type="expression" dxfId="98" priority="19">
      <formula>D61="No"</formula>
    </cfRule>
    <cfRule type="expression" dxfId="97" priority="20">
      <formula>D61="Yes"</formula>
    </cfRule>
  </conditionalFormatting>
  <conditionalFormatting sqref="B70">
    <cfRule type="expression" dxfId="96" priority="15">
      <formula>B70="n/a"</formula>
    </cfRule>
    <cfRule type="expression" dxfId="95" priority="16">
      <formula>B70="No"</formula>
    </cfRule>
    <cfRule type="expression" dxfId="94" priority="17">
      <formula>B70="Yes"</formula>
    </cfRule>
  </conditionalFormatting>
  <conditionalFormatting sqref="B91">
    <cfRule type="expression" dxfId="93" priority="12">
      <formula>B91="n/a"</formula>
    </cfRule>
    <cfRule type="expression" dxfId="92" priority="13">
      <formula>B91="No"</formula>
    </cfRule>
    <cfRule type="expression" dxfId="91" priority="14">
      <formula>B91="Yes"</formula>
    </cfRule>
  </conditionalFormatting>
  <conditionalFormatting sqref="B104">
    <cfRule type="expression" dxfId="90" priority="9">
      <formula>B104="n/a"</formula>
    </cfRule>
    <cfRule type="expression" dxfId="89" priority="10">
      <formula>B104="No"</formula>
    </cfRule>
    <cfRule type="expression" dxfId="88" priority="11">
      <formula>B104="Yes"</formula>
    </cfRule>
  </conditionalFormatting>
  <conditionalFormatting sqref="B116">
    <cfRule type="expression" dxfId="87" priority="6">
      <formula>B116="n/a"</formula>
    </cfRule>
    <cfRule type="expression" dxfId="86" priority="7">
      <formula>B116="No"</formula>
    </cfRule>
    <cfRule type="expression" dxfId="85" priority="8">
      <formula>B116="Yes"</formula>
    </cfRule>
  </conditionalFormatting>
  <conditionalFormatting sqref="F75">
    <cfRule type="expression" dxfId="84" priority="5">
      <formula>$E$75&gt;=5%</formula>
    </cfRule>
  </conditionalFormatting>
  <conditionalFormatting sqref="F76">
    <cfRule type="expression" dxfId="83" priority="4">
      <formula>$E$76&gt;0</formula>
    </cfRule>
  </conditionalFormatting>
  <conditionalFormatting sqref="D64">
    <cfRule type="expression" dxfId="82" priority="3">
      <formula>$C$64="n/a"</formula>
    </cfRule>
  </conditionalFormatting>
  <conditionalFormatting sqref="E64">
    <cfRule type="expression" dxfId="81" priority="2">
      <formula>$C$64="n/a"</formula>
    </cfRule>
  </conditionalFormatting>
  <conditionalFormatting sqref="F64">
    <cfRule type="expression" dxfId="80" priority="1">
      <formula>$C$64="n/a"</formula>
    </cfRule>
  </conditionalFormatting>
  <dataValidations count="2">
    <dataValidation type="decimal" allowBlank="1" showInputMessage="1" showErrorMessage="1" errorTitle="Invalid Latitude!" error="You've entered a latitude that is not in Vermont." sqref="D5:F5" xr:uid="{5A2317DD-DF38-47BF-93D7-1F7F7DFF1447}">
      <formula1>42.72</formula1>
      <formula2>45.02</formula2>
    </dataValidation>
    <dataValidation type="decimal" allowBlank="1" showInputMessage="1" showErrorMessage="1" errorTitle="Invalid Longitude" error="You've entered a longitude outside of Vermont.  Longitude values in VT should always be negative." sqref="D6:F6" xr:uid="{901ACC92-0223-48C7-A01A-297B5D250D11}">
      <formula1>-73.732</formula1>
      <formula2>-71.46</formula2>
    </dataValidation>
  </dataValidations>
  <hyperlinks>
    <hyperlink ref="E8" r:id="rId1" xr:uid="{0534D467-0117-46D8-B875-10CE738ECD09}"/>
  </hyperlinks>
  <pageMargins left="0.5" right="0.5" top="0.75" bottom="0.75" header="0.3" footer="0.3"/>
  <pageSetup orientation="portrait" r:id="rId2"/>
  <headerFooter>
    <oddHeader>&amp;C&amp;"-,Bold"&amp;14Vermont Operational Stormwater Permit - Standards Compliance Workbook</oddHeader>
    <oddFooter>&amp;LLast Updated 8/28/2018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8227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8227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8227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8227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8227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8227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8227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8228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8228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8228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8228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8228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8228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8228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8228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8228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8228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8229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8229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8229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8229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8229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8229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8229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8229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C0E4B3F8-3231-42A1-9E38-D9C573DFC912}">
          <x14:formula1>
            <xm:f>Lookup!$G$11:$G$23</xm:f>
          </x14:formula1>
          <xm:sqref>A50:A54 C50:D54</xm:sqref>
        </x14:dataValidation>
        <x14:dataValidation type="list" allowBlank="1" showInputMessage="1" showErrorMessage="1" xr:uid="{FBD5ADC3-933E-4E60-B9E0-6861CB8B3279}">
          <x14:formula1>
            <xm:f>Lookup!$G$12:$G$23</xm:f>
          </x14:formula1>
          <xm:sqref>A55</xm:sqref>
        </x14:dataValidation>
        <x14:dataValidation type="list" allowBlank="1" showInputMessage="1" showErrorMessage="1" xr:uid="{21284FDD-DAE5-40B6-BC98-FD4BA7C66B97}">
          <x14:formula1>
            <xm:f>Lookup!$H$13:$H$19</xm:f>
          </x14:formula1>
          <xm:sqref>C82:D82 B82:B84</xm:sqref>
        </x14:dataValidation>
        <x14:dataValidation type="list" allowBlank="1" showInputMessage="1" showErrorMessage="1" xr:uid="{5383B308-1ECF-4E4F-A92A-B837C8429524}">
          <x14:formula1>
            <xm:f>Lookup!$J$4:$J$8</xm:f>
          </x14:formula1>
          <xm:sqref>E115:F115</xm:sqref>
        </x14:dataValidation>
        <x14:dataValidation type="list" allowBlank="1" showInputMessage="1" showErrorMessage="1" xr:uid="{098D7CE7-ED1E-42BA-B35D-6D107BB9E5C5}">
          <x14:formula1>
            <xm:f>Lookup!$I$4:$I$8</xm:f>
          </x14:formula1>
          <xm:sqref>E103:F103</xm:sqref>
        </x14:dataValidation>
        <x14:dataValidation type="list" allowBlank="1" showInputMessage="1" showErrorMessage="1" xr:uid="{44D09CB9-C8FA-4F9E-9886-33F8316B149B}">
          <x14:formula1>
            <xm:f>Lookup!$H$4:$H$7</xm:f>
          </x14:formula1>
          <xm:sqref>E90:F90</xm:sqref>
        </x14:dataValidation>
        <x14:dataValidation type="list" allowBlank="1" showInputMessage="1" showErrorMessage="1" xr:uid="{34FF11AC-B144-4935-AF94-F8031C957F1A}">
          <x14:formula1>
            <xm:f>Lookup!$G$3:$G$6</xm:f>
          </x14:formula1>
          <xm:sqref>E68:F68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Summary</vt:lpstr>
      <vt:lpstr>SN1</vt:lpstr>
      <vt:lpstr>SN2</vt:lpstr>
      <vt:lpstr>SN3</vt:lpstr>
      <vt:lpstr>SN4</vt:lpstr>
      <vt:lpstr>SN5</vt:lpstr>
      <vt:lpstr>SN6</vt:lpstr>
      <vt:lpstr>SN7</vt:lpstr>
      <vt:lpstr>SN8</vt:lpstr>
      <vt:lpstr>SN9</vt:lpstr>
      <vt:lpstr>Lookup</vt:lpstr>
      <vt:lpstr>New</vt:lpstr>
      <vt:lpstr>Instructions!Print_Area</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Schelley</dc:creator>
  <cp:lastModifiedBy>Schelley, Emily</cp:lastModifiedBy>
  <cp:lastPrinted>2017-11-17T16:19:42Z</cp:lastPrinted>
  <dcterms:created xsi:type="dcterms:W3CDTF">2015-10-07T18:43:40Z</dcterms:created>
  <dcterms:modified xsi:type="dcterms:W3CDTF">2018-08-28T13:06:40Z</dcterms:modified>
</cp:coreProperties>
</file>