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M_Solid\WorkingGroups\Act 148\Organics Capacity\"/>
    </mc:Choice>
  </mc:AlternateContent>
  <bookViews>
    <workbookView xWindow="0" yWindow="0" windowWidth="19200" windowHeight="6900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" i="1" l="1"/>
  <c r="H8" i="1"/>
  <c r="F4" i="1"/>
  <c r="J4" i="1" s="1"/>
  <c r="F5" i="1"/>
  <c r="F6" i="1"/>
  <c r="F7" i="1"/>
  <c r="F8" i="1"/>
  <c r="F9" i="1"/>
  <c r="F10" i="1"/>
  <c r="H3" i="1"/>
  <c r="H4" i="1"/>
  <c r="H5" i="1"/>
  <c r="H6" i="1"/>
  <c r="L6" i="1" s="1"/>
  <c r="H7" i="1"/>
  <c r="H9" i="1"/>
  <c r="H10" i="1"/>
  <c r="G10" i="1"/>
  <c r="G9" i="1"/>
  <c r="G8" i="1"/>
  <c r="G7" i="1"/>
  <c r="G6" i="1"/>
  <c r="G5" i="1"/>
  <c r="G4" i="1"/>
  <c r="G3" i="1"/>
  <c r="C8" i="1"/>
  <c r="C4" i="1"/>
  <c r="D39" i="1"/>
  <c r="F39" i="1"/>
  <c r="G39" i="1"/>
  <c r="H39" i="1"/>
  <c r="F11" i="1" l="1"/>
  <c r="H11" i="1"/>
  <c r="G11" i="1"/>
  <c r="C9" i="1" l="1"/>
  <c r="C7" i="1"/>
  <c r="C6" i="1"/>
  <c r="C11" i="1" l="1"/>
  <c r="B16" i="1" l="1"/>
  <c r="B15" i="1"/>
  <c r="B17" i="1" l="1"/>
  <c r="C16" i="1" s="1"/>
  <c r="C15" i="1" l="1"/>
  <c r="C14" i="1"/>
  <c r="D10" i="1" l="1"/>
  <c r="D5" i="1"/>
  <c r="D8" i="1"/>
  <c r="D4" i="1"/>
  <c r="D3" i="1"/>
  <c r="D6" i="1"/>
  <c r="D7" i="1"/>
  <c r="D9" i="1"/>
  <c r="D11" i="1"/>
  <c r="C17" i="1"/>
  <c r="L9" i="1" l="1"/>
  <c r="K9" i="1"/>
  <c r="J9" i="1"/>
  <c r="K4" i="1"/>
  <c r="L4" i="1"/>
  <c r="L7" i="1"/>
  <c r="K7" i="1"/>
  <c r="J7" i="1"/>
  <c r="K8" i="1"/>
  <c r="L8" i="1"/>
  <c r="J8" i="1"/>
  <c r="K6" i="1"/>
  <c r="J6" i="1"/>
  <c r="K5" i="1"/>
  <c r="L5" i="1"/>
  <c r="J5" i="1"/>
  <c r="J3" i="1"/>
  <c r="K3" i="1"/>
  <c r="L3" i="1"/>
  <c r="L10" i="1"/>
  <c r="K10" i="1"/>
  <c r="J10" i="1"/>
  <c r="K11" i="1" l="1"/>
  <c r="J11" i="1"/>
  <c r="L11" i="1"/>
</calcChain>
</file>

<file path=xl/comments1.xml><?xml version="1.0" encoding="utf-8"?>
<comments xmlns="http://schemas.openxmlformats.org/spreadsheetml/2006/main">
  <authors>
    <author>Administrator</author>
    <author>Fay, John</author>
  </authors>
  <commentList>
    <comment ref="D23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Grow # is based on revoked 2014 cert.</t>
        </r>
      </text>
    </comment>
    <comment ref="D31" authorId="1" shapeId="0">
      <text>
        <r>
          <rPr>
            <b/>
            <sz val="9"/>
            <color indexed="81"/>
            <rFont val="Tahoma"/>
            <family val="2"/>
          </rPr>
          <t>Fay, John:</t>
        </r>
        <r>
          <rPr>
            <sz val="9"/>
            <color indexed="81"/>
            <rFont val="Tahoma"/>
            <family val="2"/>
          </rPr>
          <t xml:space="preserve">
Permit limits onsite capacity, not throughput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Fay, John:</t>
        </r>
        <r>
          <rPr>
            <sz val="9"/>
            <color indexed="81"/>
            <rFont val="Tahoma"/>
            <family val="2"/>
          </rPr>
          <t xml:space="preserve">
No VT cert for NH facility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VTC not included--as cert is gals/day, and we don't have a good conversion factor.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no Martin cert</t>
        </r>
      </text>
    </comment>
  </commentList>
</comments>
</file>

<file path=xl/sharedStrings.xml><?xml version="1.0" encoding="utf-8"?>
<sst xmlns="http://schemas.openxmlformats.org/spreadsheetml/2006/main" count="85" uniqueCount="62">
  <si>
    <t>Addison</t>
  </si>
  <si>
    <t>Windham</t>
  </si>
  <si>
    <t>Chittenden</t>
  </si>
  <si>
    <t>Food</t>
  </si>
  <si>
    <t>Yard</t>
  </si>
  <si>
    <t>Total</t>
  </si>
  <si>
    <t>Current</t>
  </si>
  <si>
    <t>Expanded</t>
  </si>
  <si>
    <t>Region</t>
  </si>
  <si>
    <t>NEK</t>
  </si>
  <si>
    <t>Central</t>
  </si>
  <si>
    <t>Re-TRAC '16</t>
  </si>
  <si>
    <t>Caledonia, Essex, Orleans</t>
  </si>
  <si>
    <t>Orange, Windsor</t>
  </si>
  <si>
    <t>Counties</t>
  </si>
  <si>
    <t>Assumptions:</t>
  </si>
  <si>
    <t>Casella ORF</t>
  </si>
  <si>
    <t>Franklin, Grand Isle</t>
  </si>
  <si>
    <t>Upper Valley</t>
  </si>
  <si>
    <t>Vermont Compost Co</t>
  </si>
  <si>
    <t>Grow Compost</t>
  </si>
  <si>
    <t>Grow Hartland</t>
  </si>
  <si>
    <t>Martin's Farm (Mass)</t>
  </si>
  <si>
    <t>Permitted</t>
  </si>
  <si>
    <t>Southwest</t>
  </si>
  <si>
    <t>Northwest</t>
  </si>
  <si>
    <t>TOTAL</t>
  </si>
  <si>
    <t>DSM Generation Estimate</t>
  </si>
  <si>
    <t>Estimated Capacity</t>
  </si>
  <si>
    <t>Washington, Lamoille</t>
  </si>
  <si>
    <t>Bennington, Rutland</t>
  </si>
  <si>
    <t>Site</t>
  </si>
  <si>
    <t>Paper</t>
  </si>
  <si>
    <t>Gap Analysis</t>
  </si>
  <si>
    <t>DEC Survey</t>
  </si>
  <si>
    <t>VT Natural Ag. Products</t>
  </si>
  <si>
    <t>Green Mtn Compost</t>
  </si>
  <si>
    <t>Black Dirt Farm</t>
  </si>
  <si>
    <t>Cloud's Path Farm</t>
  </si>
  <si>
    <t>Kingdom View Compost</t>
  </si>
  <si>
    <t>Hudak Farm</t>
  </si>
  <si>
    <t>TAM Organics</t>
  </si>
  <si>
    <t>VTC Digester</t>
  </si>
  <si>
    <t>Windham SWMD Compost</t>
  </si>
  <si>
    <t>Middlebury College Compost</t>
  </si>
  <si>
    <t>Johnson Compost LRSWMD</t>
  </si>
  <si>
    <t>Cookville Compost (Corinth)</t>
  </si>
  <si>
    <t xml:space="preserve">   &gt;  Leb LF: can only accept from Hartford and GUVSWD</t>
  </si>
  <si>
    <t xml:space="preserve">   &gt;  Casella ORF: unknown capacity; no permit limit to throughput
</t>
  </si>
  <si>
    <t>Lebanon LF Compost (NH)</t>
  </si>
  <si>
    <t>DRAFT - July 10, 2017</t>
  </si>
  <si>
    <t>All Organics
2020</t>
  </si>
  <si>
    <t>DSM systems analysis organics proportions (tons/year)</t>
  </si>
  <si>
    <t>All Figures in Tons/Year</t>
  </si>
  <si>
    <t>Current Tons Food Scraps/Yr.</t>
  </si>
  <si>
    <t>Expanded Tons Food Scraps/Yr.</t>
  </si>
  <si>
    <t>Permitted minus Food Scraps Est.</t>
  </si>
  <si>
    <t>Current minus Food Scraps Est.</t>
  </si>
  <si>
    <t>Expanded minus Food Scraps Est.</t>
  </si>
  <si>
    <t>Food Scraps Estimate</t>
  </si>
  <si>
    <r>
      <rPr>
        <sz val="11"/>
        <color theme="1"/>
        <rFont val="Calibri"/>
        <family val="2"/>
      </rPr>
      <t xml:space="preserve">   &gt;  </t>
    </r>
    <r>
      <rPr>
        <sz val="11"/>
        <color theme="1"/>
        <rFont val="Calibri"/>
        <family val="2"/>
        <scheme val="minor"/>
      </rPr>
      <t>VTC: Used total suspended solids of food wastes to back out equivalent tons at 321.2 tons</t>
    </r>
  </si>
  <si>
    <t xml:space="preserve">   &gt;  Martin's: estimated 15% from Vermont per Adam (current 4,000 tpy, expanded 8,000 tpy)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</si>
</sst>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rgb="FFFF0000"/>
      <name val="Calibri Light"/>
      <family val="2"/>
      <scheme val="major"/>
    </font>
    <font>
      <b/>
      <sz val="1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4"/>
      </top>
      <bottom style="thin">
        <color theme="4"/>
      </bottom>
      <diagonal/>
    </border>
    <border>
      <left/>
      <right style="thin">
        <color theme="9" tint="-0.24994659260841701"/>
      </right>
      <top style="thin">
        <color theme="4"/>
      </top>
      <bottom style="thin">
        <color theme="4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 style="thin">
        <color theme="4"/>
      </top>
      <bottom style="thin">
        <color theme="4"/>
      </bottom>
      <diagonal/>
    </border>
    <border>
      <left/>
      <right style="thin">
        <color theme="5" tint="-0.499984740745262"/>
      </right>
      <top style="thin">
        <color theme="4"/>
      </top>
      <bottom style="thin">
        <color theme="4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4"/>
      </bottom>
      <diagonal/>
    </border>
    <border>
      <left/>
      <right/>
      <top style="thin">
        <color theme="9" tint="-0.24994659260841701"/>
      </top>
      <bottom style="thin">
        <color theme="4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6" fillId="2" borderId="0" xfId="1" applyNumberFormat="1" applyFont="1" applyFill="1" applyBorder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3" fontId="6" fillId="2" borderId="33" xfId="0" applyNumberFormat="1" applyFont="1" applyFill="1" applyBorder="1" applyProtection="1"/>
    <xf numFmtId="164" fontId="6" fillId="2" borderId="34" xfId="1" applyNumberFormat="1" applyFont="1" applyFill="1" applyBorder="1" applyProtection="1"/>
    <xf numFmtId="164" fontId="6" fillId="2" borderId="0" xfId="1" applyNumberFormat="1" applyFont="1" applyFill="1" applyBorder="1" applyProtection="1"/>
    <xf numFmtId="164" fontId="6" fillId="2" borderId="26" xfId="1" applyNumberFormat="1" applyFont="1" applyFill="1" applyBorder="1" applyProtection="1"/>
    <xf numFmtId="164" fontId="6" fillId="2" borderId="27" xfId="1" applyNumberFormat="1" applyFont="1" applyFill="1" applyBorder="1" applyProtection="1"/>
    <xf numFmtId="0" fontId="6" fillId="2" borderId="0" xfId="0" applyFont="1" applyFill="1" applyBorder="1" applyProtection="1"/>
    <xf numFmtId="38" fontId="6" fillId="2" borderId="7" xfId="1" applyNumberFormat="1" applyFont="1" applyFill="1" applyBorder="1" applyProtection="1"/>
    <xf numFmtId="38" fontId="6" fillId="2" borderId="0" xfId="1" applyNumberFormat="1" applyFont="1" applyFill="1" applyBorder="1" applyProtection="1"/>
    <xf numFmtId="38" fontId="6" fillId="2" borderId="8" xfId="1" applyNumberFormat="1" applyFont="1" applyFill="1" applyBorder="1" applyProtection="1"/>
    <xf numFmtId="3" fontId="6" fillId="0" borderId="33" xfId="0" applyNumberFormat="1" applyFont="1" applyFill="1" applyBorder="1" applyProtection="1"/>
    <xf numFmtId="164" fontId="6" fillId="0" borderId="34" xfId="1" applyNumberFormat="1" applyFont="1" applyFill="1" applyBorder="1" applyProtection="1"/>
    <xf numFmtId="164" fontId="6" fillId="0" borderId="0" xfId="1" applyNumberFormat="1" applyFont="1" applyFill="1" applyBorder="1" applyProtection="1"/>
    <xf numFmtId="164" fontId="6" fillId="0" borderId="26" xfId="1" applyNumberFormat="1" applyFont="1" applyFill="1" applyBorder="1" applyProtection="1"/>
    <xf numFmtId="164" fontId="6" fillId="0" borderId="27" xfId="1" applyNumberFormat="1" applyFont="1" applyFill="1" applyBorder="1" applyProtection="1"/>
    <xf numFmtId="0" fontId="6" fillId="0" borderId="0" xfId="0" applyFont="1" applyFill="1" applyBorder="1" applyProtection="1"/>
    <xf numFmtId="38" fontId="6" fillId="0" borderId="7" xfId="1" applyNumberFormat="1" applyFont="1" applyFill="1" applyBorder="1" applyProtection="1"/>
    <xf numFmtId="38" fontId="6" fillId="0" borderId="0" xfId="1" applyNumberFormat="1" applyFont="1" applyFill="1" applyBorder="1" applyProtection="1"/>
    <xf numFmtId="38" fontId="6" fillId="0" borderId="8" xfId="1" applyNumberFormat="1" applyFont="1" applyFill="1" applyBorder="1" applyProtection="1"/>
    <xf numFmtId="38" fontId="7" fillId="0" borderId="35" xfId="0" applyNumberFormat="1" applyFont="1" applyFill="1" applyBorder="1" applyProtection="1"/>
    <xf numFmtId="164" fontId="7" fillId="0" borderId="36" xfId="1" applyNumberFormat="1" applyFont="1" applyFill="1" applyBorder="1" applyProtection="1"/>
    <xf numFmtId="164" fontId="7" fillId="0" borderId="2" xfId="1" applyNumberFormat="1" applyFont="1" applyFill="1" applyBorder="1" applyProtection="1"/>
    <xf numFmtId="38" fontId="7" fillId="0" borderId="24" xfId="0" applyNumberFormat="1" applyFont="1" applyFill="1" applyBorder="1" applyProtection="1"/>
    <xf numFmtId="38" fontId="7" fillId="0" borderId="2" xfId="0" applyNumberFormat="1" applyFont="1" applyFill="1" applyBorder="1" applyProtection="1"/>
    <xf numFmtId="38" fontId="7" fillId="0" borderId="25" xfId="0" applyNumberFormat="1" applyFont="1" applyFill="1" applyBorder="1" applyProtection="1"/>
    <xf numFmtId="38" fontId="7" fillId="0" borderId="9" xfId="0" applyNumberFormat="1" applyFont="1" applyFill="1" applyBorder="1" applyProtection="1"/>
    <xf numFmtId="38" fontId="7" fillId="0" borderId="10" xfId="0" applyNumberFormat="1" applyFont="1" applyFill="1" applyBorder="1" applyProtection="1"/>
    <xf numFmtId="0" fontId="7" fillId="0" borderId="2" xfId="0" applyFont="1" applyFill="1" applyBorder="1" applyProtection="1"/>
    <xf numFmtId="0" fontId="0" fillId="0" borderId="0" xfId="0" applyFill="1" applyBorder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28" xfId="0" applyFill="1" applyBorder="1" applyProtection="1"/>
    <xf numFmtId="0" fontId="0" fillId="0" borderId="29" xfId="0" applyFill="1" applyBorder="1" applyProtection="1"/>
    <xf numFmtId="0" fontId="0" fillId="0" borderId="30" xfId="0" applyFill="1" applyBorder="1" applyProtection="1"/>
    <xf numFmtId="38" fontId="0" fillId="0" borderId="11" xfId="1" applyNumberFormat="1" applyFont="1" applyFill="1" applyBorder="1" applyProtection="1"/>
    <xf numFmtId="9" fontId="0" fillId="0" borderId="1" xfId="2" applyFont="1" applyFill="1" applyBorder="1" applyProtection="1"/>
    <xf numFmtId="9" fontId="0" fillId="0" borderId="12" xfId="2" applyFont="1" applyFill="1" applyBorder="1" applyProtection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8" fontId="0" fillId="0" borderId="0" xfId="1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5" xfId="0" applyFont="1" applyBorder="1" applyProtection="1">
      <protection locked="0"/>
    </xf>
    <xf numFmtId="164" fontId="9" fillId="0" borderId="4" xfId="1" applyNumberFormat="1" applyFont="1" applyBorder="1" applyProtection="1">
      <protection locked="0"/>
    </xf>
    <xf numFmtId="9" fontId="9" fillId="0" borderId="6" xfId="2" applyFont="1" applyBorder="1" applyProtection="1">
      <protection locked="0"/>
    </xf>
    <xf numFmtId="0" fontId="9" fillId="0" borderId="7" xfId="0" applyFont="1" applyBorder="1" applyProtection="1">
      <protection locked="0"/>
    </xf>
    <xf numFmtId="164" fontId="9" fillId="0" borderId="0" xfId="1" applyNumberFormat="1" applyFont="1" applyBorder="1" applyProtection="1">
      <protection locked="0"/>
    </xf>
    <xf numFmtId="9" fontId="9" fillId="0" borderId="8" xfId="2" applyFont="1" applyBorder="1" applyProtection="1">
      <protection locked="0"/>
    </xf>
    <xf numFmtId="0" fontId="9" fillId="0" borderId="11" xfId="0" applyFont="1" applyBorder="1" applyAlignment="1" applyProtection="1">
      <alignment wrapText="1"/>
      <protection locked="0"/>
    </xf>
    <xf numFmtId="164" fontId="9" fillId="0" borderId="1" xfId="1" applyNumberFormat="1" applyFont="1" applyBorder="1" applyProtection="1">
      <protection locked="0"/>
    </xf>
    <xf numFmtId="9" fontId="9" fillId="0" borderId="12" xfId="2" applyFont="1" applyBorder="1" applyProtection="1">
      <protection locked="0"/>
    </xf>
    <xf numFmtId="0" fontId="9" fillId="0" borderId="0" xfId="0" applyFont="1" applyProtection="1">
      <protection locked="0"/>
    </xf>
    <xf numFmtId="164" fontId="9" fillId="0" borderId="0" xfId="1" applyNumberFormat="1" applyFont="1" applyProtection="1">
      <protection locked="0"/>
    </xf>
    <xf numFmtId="9" fontId="9" fillId="0" borderId="0" xfId="0" applyNumberFormat="1" applyFont="1" applyProtection="1">
      <protection locked="0"/>
    </xf>
    <xf numFmtId="0" fontId="7" fillId="0" borderId="3" xfId="0" applyFont="1" applyBorder="1" applyProtection="1">
      <protection locked="0"/>
    </xf>
    <xf numFmtId="0" fontId="8" fillId="5" borderId="13" xfId="0" applyFont="1" applyFill="1" applyBorder="1" applyAlignment="1" applyProtection="1"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0" fontId="6" fillId="2" borderId="14" xfId="0" applyFont="1" applyFill="1" applyBorder="1" applyProtection="1">
      <protection locked="0"/>
    </xf>
    <xf numFmtId="164" fontId="6" fillId="2" borderId="15" xfId="1" applyNumberFormat="1" applyFont="1" applyFill="1" applyBorder="1" applyProtection="1">
      <protection locked="0"/>
    </xf>
    <xf numFmtId="164" fontId="6" fillId="2" borderId="17" xfId="1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164" fontId="6" fillId="0" borderId="17" xfId="1" applyNumberFormat="1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164" fontId="6" fillId="0" borderId="19" xfId="1" applyNumberFormat="1" applyFont="1" applyFill="1" applyBorder="1" applyProtection="1">
      <protection locked="0"/>
    </xf>
    <xf numFmtId="164" fontId="6" fillId="0" borderId="20" xfId="1" applyNumberFormat="1" applyFont="1" applyFill="1" applyBorder="1" applyProtection="1">
      <protection locked="0"/>
    </xf>
    <xf numFmtId="38" fontId="7" fillId="0" borderId="13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10" fillId="0" borderId="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2" borderId="0" xfId="0" applyFill="1" applyProtection="1">
      <protection locked="0"/>
    </xf>
    <xf numFmtId="0" fontId="7" fillId="2" borderId="3" xfId="0" applyFont="1" applyFill="1" applyBorder="1" applyProtection="1">
      <protection locked="0"/>
    </xf>
    <xf numFmtId="164" fontId="6" fillId="2" borderId="44" xfId="1" applyNumberFormat="1" applyFont="1" applyFill="1" applyBorder="1" applyProtection="1">
      <protection locked="0"/>
    </xf>
    <xf numFmtId="164" fontId="6" fillId="0" borderId="44" xfId="1" applyNumberFormat="1" applyFont="1" applyFill="1" applyBorder="1" applyProtection="1">
      <protection locked="0"/>
    </xf>
    <xf numFmtId="164" fontId="6" fillId="0" borderId="42" xfId="1" applyNumberFormat="1" applyFont="1" applyFill="1" applyBorder="1" applyProtection="1">
      <protection locked="0"/>
    </xf>
    <xf numFmtId="164" fontId="6" fillId="2" borderId="45" xfId="1" applyNumberFormat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14" fillId="0" borderId="0" xfId="0" applyFont="1" applyProtection="1">
      <protection locked="0"/>
    </xf>
    <xf numFmtId="0" fontId="7" fillId="0" borderId="35" xfId="0" applyFont="1" applyFill="1" applyBorder="1" applyAlignment="1" applyProtection="1">
      <alignment horizontal="right" vertical="top" wrapText="1"/>
    </xf>
    <xf numFmtId="9" fontId="7" fillId="0" borderId="36" xfId="0" applyNumberFormat="1" applyFont="1" applyFill="1" applyBorder="1" applyAlignment="1" applyProtection="1">
      <alignment horizontal="right" vertical="top" wrapText="1"/>
    </xf>
    <xf numFmtId="9" fontId="7" fillId="0" borderId="2" xfId="0" applyNumberFormat="1" applyFont="1" applyFill="1" applyBorder="1" applyAlignment="1" applyProtection="1">
      <alignment horizontal="right" vertical="top" wrapText="1"/>
    </xf>
    <xf numFmtId="9" fontId="7" fillId="0" borderId="24" xfId="0" applyNumberFormat="1" applyFont="1" applyFill="1" applyBorder="1" applyAlignment="1" applyProtection="1">
      <alignment horizontal="right" vertical="top"/>
    </xf>
    <xf numFmtId="9" fontId="7" fillId="0" borderId="2" xfId="0" applyNumberFormat="1" applyFont="1" applyFill="1" applyBorder="1" applyAlignment="1" applyProtection="1">
      <alignment horizontal="right" vertical="top"/>
    </xf>
    <xf numFmtId="9" fontId="7" fillId="0" borderId="25" xfId="0" applyNumberFormat="1" applyFont="1" applyFill="1" applyBorder="1" applyAlignment="1" applyProtection="1">
      <alignment horizontal="right" vertical="top"/>
    </xf>
    <xf numFmtId="0" fontId="7" fillId="0" borderId="2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horizontal="right" vertical="top" wrapText="1"/>
    </xf>
    <xf numFmtId="0" fontId="7" fillId="0" borderId="10" xfId="0" applyFont="1" applyFill="1" applyBorder="1" applyAlignment="1" applyProtection="1">
      <alignment horizontal="right" vertical="top" wrapText="1"/>
    </xf>
    <xf numFmtId="0" fontId="15" fillId="0" borderId="0" xfId="0" applyFont="1" applyFill="1" applyProtection="1">
      <protection locked="0"/>
    </xf>
    <xf numFmtId="0" fontId="7" fillId="0" borderId="43" xfId="0" applyFont="1" applyBorder="1" applyAlignment="1" applyProtection="1">
      <alignment horizontal="right" wrapText="1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9" xfId="0" applyFont="1" applyFill="1" applyBorder="1" applyAlignment="1" applyProtection="1">
      <alignment horizontal="center"/>
      <protection locked="0"/>
    </xf>
    <xf numFmtId="0" fontId="8" fillId="5" borderId="40" xfId="0" applyFont="1" applyFill="1" applyBorder="1" applyAlignment="1" applyProtection="1">
      <alignment horizontal="center"/>
      <protection locked="0"/>
    </xf>
    <xf numFmtId="0" fontId="8" fillId="5" borderId="41" xfId="0" applyFont="1" applyFill="1" applyBorder="1" applyAlignment="1" applyProtection="1">
      <alignment horizontal="center"/>
      <protection locked="0"/>
    </xf>
    <xf numFmtId="0" fontId="8" fillId="4" borderId="31" xfId="0" applyFont="1" applyFill="1" applyBorder="1" applyAlignment="1" applyProtection="1">
      <alignment horizontal="center"/>
      <protection locked="0"/>
    </xf>
    <xf numFmtId="0" fontId="8" fillId="4" borderId="3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zoomScalePageLayoutView="70" workbookViewId="0">
      <selection activeCell="A20" sqref="A20:H38"/>
    </sheetView>
  </sheetViews>
  <sheetFormatPr defaultRowHeight="15" x14ac:dyDescent="0.25"/>
  <cols>
    <col min="1" max="1" width="13.42578125" style="39" customWidth="1"/>
    <col min="2" max="2" width="24" style="39" bestFit="1" customWidth="1"/>
    <col min="3" max="3" width="13.140625" style="39" customWidth="1"/>
    <col min="4" max="4" width="13.28515625" style="39" customWidth="1"/>
    <col min="5" max="5" width="2.42578125" style="39" customWidth="1"/>
    <col min="6" max="6" width="10" style="39" customWidth="1"/>
    <col min="7" max="7" width="10.5703125" style="39" customWidth="1"/>
    <col min="8" max="8" width="9.7109375" style="39" bestFit="1" customWidth="1"/>
    <col min="9" max="9" width="2.140625" style="39" customWidth="1"/>
    <col min="10" max="10" width="13.140625" style="39" customWidth="1"/>
    <col min="11" max="11" width="12.5703125" style="39" customWidth="1"/>
    <col min="12" max="12" width="13.140625" style="39" customWidth="1"/>
    <col min="13" max="13" width="11" style="39" customWidth="1"/>
    <col min="14" max="15" width="12.28515625" style="39" customWidth="1"/>
    <col min="16" max="16" width="10.42578125" style="39" customWidth="1"/>
    <col min="17" max="16384" width="9.140625" style="39"/>
  </cols>
  <sheetData>
    <row r="1" spans="1:14" ht="23.25" x14ac:dyDescent="0.35">
      <c r="A1" s="91" t="s">
        <v>53</v>
      </c>
      <c r="B1" s="78"/>
      <c r="C1" s="97" t="s">
        <v>27</v>
      </c>
      <c r="D1" s="98"/>
      <c r="E1" s="40"/>
      <c r="F1" s="94" t="s">
        <v>28</v>
      </c>
      <c r="G1" s="95"/>
      <c r="H1" s="96"/>
      <c r="I1" s="41"/>
      <c r="J1" s="99" t="s">
        <v>33</v>
      </c>
      <c r="K1" s="100"/>
      <c r="L1" s="101"/>
    </row>
    <row r="2" spans="1:14" ht="45" x14ac:dyDescent="0.25">
      <c r="A2" s="29" t="s">
        <v>8</v>
      </c>
      <c r="B2" s="29" t="s">
        <v>14</v>
      </c>
      <c r="C2" s="81" t="s">
        <v>51</v>
      </c>
      <c r="D2" s="82" t="s">
        <v>59</v>
      </c>
      <c r="E2" s="83"/>
      <c r="F2" s="84" t="s">
        <v>23</v>
      </c>
      <c r="G2" s="85" t="s">
        <v>6</v>
      </c>
      <c r="H2" s="86" t="s">
        <v>7</v>
      </c>
      <c r="I2" s="87"/>
      <c r="J2" s="88" t="s">
        <v>56</v>
      </c>
      <c r="K2" s="89" t="s">
        <v>57</v>
      </c>
      <c r="L2" s="90" t="s">
        <v>58</v>
      </c>
    </row>
    <row r="3" spans="1:14" x14ac:dyDescent="0.25">
      <c r="A3" s="8" t="s">
        <v>0</v>
      </c>
      <c r="B3" s="8" t="s">
        <v>0</v>
      </c>
      <c r="C3" s="3">
        <v>2570</v>
      </c>
      <c r="D3" s="4">
        <f>C3*$C$14</f>
        <v>1664.408709457927</v>
      </c>
      <c r="E3" s="5"/>
      <c r="F3" s="6">
        <f>D21+D22</f>
        <v>2500</v>
      </c>
      <c r="G3" s="5">
        <f>G21+G22</f>
        <v>646</v>
      </c>
      <c r="H3" s="7">
        <f>H21+H22</f>
        <v>646</v>
      </c>
      <c r="I3" s="8"/>
      <c r="J3" s="9">
        <f t="shared" ref="J3:L10" si="0">F3-$D3</f>
        <v>835.59129054207301</v>
      </c>
      <c r="K3" s="10">
        <f t="shared" si="0"/>
        <v>-1018.408709457927</v>
      </c>
      <c r="L3" s="11">
        <f t="shared" si="0"/>
        <v>-1018.408709457927</v>
      </c>
    </row>
    <row r="4" spans="1:14" x14ac:dyDescent="0.25">
      <c r="A4" s="17" t="s">
        <v>10</v>
      </c>
      <c r="B4" s="17" t="s">
        <v>29</v>
      </c>
      <c r="C4" s="12">
        <f>4155+1708</f>
        <v>5863</v>
      </c>
      <c r="D4" s="13">
        <f t="shared" ref="D4:D11" si="1">C4*$C$14</f>
        <v>3797.0537990474031</v>
      </c>
      <c r="E4" s="14"/>
      <c r="F4" s="15">
        <f>D23+D24+D25</f>
        <v>3800</v>
      </c>
      <c r="G4" s="14">
        <f>G23+G24+G25</f>
        <v>1700</v>
      </c>
      <c r="H4" s="16">
        <f>H23+H24+H25</f>
        <v>3400</v>
      </c>
      <c r="I4" s="17"/>
      <c r="J4" s="18">
        <f t="shared" si="0"/>
        <v>2.9462009525968824</v>
      </c>
      <c r="K4" s="19">
        <f t="shared" si="0"/>
        <v>-2097.0537990474031</v>
      </c>
      <c r="L4" s="20">
        <f t="shared" si="0"/>
        <v>-397.05379904740312</v>
      </c>
    </row>
    <row r="5" spans="1:14" x14ac:dyDescent="0.25">
      <c r="A5" s="8" t="s">
        <v>2</v>
      </c>
      <c r="B5" s="8" t="s">
        <v>2</v>
      </c>
      <c r="C5" s="3">
        <v>10925</v>
      </c>
      <c r="D5" s="4">
        <f t="shared" si="1"/>
        <v>7075.356089816285</v>
      </c>
      <c r="E5" s="5"/>
      <c r="F5" s="6">
        <f>D26</f>
        <v>6063</v>
      </c>
      <c r="G5" s="5">
        <f>G26</f>
        <v>5000</v>
      </c>
      <c r="H5" s="7">
        <f>H26</f>
        <v>7500</v>
      </c>
      <c r="I5" s="8"/>
      <c r="J5" s="9">
        <f t="shared" si="0"/>
        <v>-1012.356089816285</v>
      </c>
      <c r="K5" s="10">
        <f t="shared" si="0"/>
        <v>-2075.356089816285</v>
      </c>
      <c r="L5" s="11">
        <f t="shared" si="0"/>
        <v>424.64391018371498</v>
      </c>
    </row>
    <row r="6" spans="1:14" x14ac:dyDescent="0.25">
      <c r="A6" s="17" t="s">
        <v>9</v>
      </c>
      <c r="B6" s="17" t="s">
        <v>12</v>
      </c>
      <c r="C6" s="12">
        <f>2179+440+1900</f>
        <v>4519</v>
      </c>
      <c r="D6" s="13">
        <f t="shared" si="1"/>
        <v>2926.6392832841912</v>
      </c>
      <c r="E6" s="14"/>
      <c r="F6" s="15">
        <f>D27+D28+D29</f>
        <v>832</v>
      </c>
      <c r="G6" s="14">
        <f>G27+G28+G29</f>
        <v>2542</v>
      </c>
      <c r="H6" s="16">
        <f>H27+H28+H29</f>
        <v>4510</v>
      </c>
      <c r="I6" s="17"/>
      <c r="J6" s="18">
        <f t="shared" si="0"/>
        <v>-2094.6392832841912</v>
      </c>
      <c r="K6" s="19">
        <f t="shared" si="0"/>
        <v>-384.63928328419115</v>
      </c>
      <c r="L6" s="20">
        <f t="shared" si="0"/>
        <v>1583.3607167158088</v>
      </c>
    </row>
    <row r="7" spans="1:14" x14ac:dyDescent="0.25">
      <c r="A7" s="8" t="s">
        <v>25</v>
      </c>
      <c r="B7" s="8" t="s">
        <v>17</v>
      </c>
      <c r="C7" s="3">
        <f>3332+482</f>
        <v>3814</v>
      </c>
      <c r="D7" s="4">
        <f t="shared" si="1"/>
        <v>2470.0602404173283</v>
      </c>
      <c r="E7" s="5"/>
      <c r="F7" s="6">
        <f>D30</f>
        <v>650</v>
      </c>
      <c r="G7" s="5">
        <f>G30</f>
        <v>312</v>
      </c>
      <c r="H7" s="7">
        <f>H30</f>
        <v>1040</v>
      </c>
      <c r="I7" s="8"/>
      <c r="J7" s="9">
        <f t="shared" si="0"/>
        <v>-1820.0602404173283</v>
      </c>
      <c r="K7" s="10">
        <f t="shared" si="0"/>
        <v>-2158.0602404173283</v>
      </c>
      <c r="L7" s="11">
        <f t="shared" si="0"/>
        <v>-1430.0602404173283</v>
      </c>
    </row>
    <row r="8" spans="1:14" x14ac:dyDescent="0.25">
      <c r="A8" s="17" t="s">
        <v>24</v>
      </c>
      <c r="B8" s="17" t="s">
        <v>30</v>
      </c>
      <c r="C8" s="12">
        <f>2591+4302</f>
        <v>6893</v>
      </c>
      <c r="D8" s="13">
        <f t="shared" si="1"/>
        <v>4464.11254252665</v>
      </c>
      <c r="E8" s="14"/>
      <c r="F8" s="15">
        <f>D31+D32</f>
        <v>2500</v>
      </c>
      <c r="G8" s="14">
        <f>G31+G32</f>
        <v>560</v>
      </c>
      <c r="H8" s="16">
        <f>H31+H32</f>
        <v>2000</v>
      </c>
      <c r="I8" s="17"/>
      <c r="J8" s="18">
        <f t="shared" si="0"/>
        <v>-1964.11254252665</v>
      </c>
      <c r="K8" s="19">
        <f t="shared" si="0"/>
        <v>-3904.11254252665</v>
      </c>
      <c r="L8" s="20">
        <f t="shared" si="0"/>
        <v>-2464.11254252665</v>
      </c>
    </row>
    <row r="9" spans="1:14" x14ac:dyDescent="0.25">
      <c r="A9" s="8" t="s">
        <v>18</v>
      </c>
      <c r="B9" s="8" t="s">
        <v>13</v>
      </c>
      <c r="C9" s="3">
        <f>2019+3955</f>
        <v>5974</v>
      </c>
      <c r="D9" s="4">
        <f t="shared" si="1"/>
        <v>3868.9407121796326</v>
      </c>
      <c r="E9" s="5"/>
      <c r="F9" s="6">
        <f>D33+D34+D35+D36</f>
        <v>1300</v>
      </c>
      <c r="G9" s="5">
        <f>G33+G34+G35+G36</f>
        <v>1420</v>
      </c>
      <c r="H9" s="7">
        <f>H33+H34+H35+H36</f>
        <v>3120</v>
      </c>
      <c r="I9" s="8"/>
      <c r="J9" s="9">
        <f t="shared" si="0"/>
        <v>-2568.9407121796326</v>
      </c>
      <c r="K9" s="10">
        <f t="shared" si="0"/>
        <v>-2448.9407121796326</v>
      </c>
      <c r="L9" s="11">
        <f t="shared" si="0"/>
        <v>-748.94071217963256</v>
      </c>
    </row>
    <row r="10" spans="1:14" x14ac:dyDescent="0.25">
      <c r="A10" s="17" t="s">
        <v>1</v>
      </c>
      <c r="B10" s="17" t="s">
        <v>1</v>
      </c>
      <c r="C10" s="12">
        <v>3107</v>
      </c>
      <c r="D10" s="13">
        <f t="shared" si="1"/>
        <v>2012.1859378543886</v>
      </c>
      <c r="E10" s="14"/>
      <c r="F10" s="15">
        <f>D37+D38</f>
        <v>1000</v>
      </c>
      <c r="G10" s="14">
        <f>G37+G38</f>
        <v>1100</v>
      </c>
      <c r="H10" s="16">
        <f>H37+H38</f>
        <v>2200</v>
      </c>
      <c r="I10" s="17"/>
      <c r="J10" s="18">
        <f t="shared" si="0"/>
        <v>-1012.1859378543886</v>
      </c>
      <c r="K10" s="19">
        <f t="shared" si="0"/>
        <v>-912.18593785438861</v>
      </c>
      <c r="L10" s="20">
        <f t="shared" si="0"/>
        <v>187.81406214561139</v>
      </c>
    </row>
    <row r="11" spans="1:14" x14ac:dyDescent="0.25">
      <c r="A11" s="29" t="s">
        <v>5</v>
      </c>
      <c r="B11" s="29"/>
      <c r="C11" s="21">
        <f>SUBTOTAL(109,Sheet1!$C$3:$C$10)</f>
        <v>43665</v>
      </c>
      <c r="D11" s="22">
        <f t="shared" si="1"/>
        <v>28278.757314583807</v>
      </c>
      <c r="E11" s="23"/>
      <c r="F11" s="24">
        <f>SUM(F3:F10)</f>
        <v>18645</v>
      </c>
      <c r="G11" s="25">
        <f>SUM(G3:G10)</f>
        <v>13280</v>
      </c>
      <c r="H11" s="26">
        <f>SUM(H3:H10)</f>
        <v>24416</v>
      </c>
      <c r="I11" s="25"/>
      <c r="J11" s="27">
        <f>SUBTOTAL(109,Sheet1!$J$3:$J$10)</f>
        <v>-9633.7573145838051</v>
      </c>
      <c r="K11" s="25">
        <f>SUBTOTAL(109,Sheet1!$K$3:$K$10)</f>
        <v>-14998.757314583807</v>
      </c>
      <c r="L11" s="28">
        <f>SUBTOTAL(109,Sheet1!$L$3:$L$10)</f>
        <v>-3862.7573145838055</v>
      </c>
    </row>
    <row r="12" spans="1:14" x14ac:dyDescent="0.25">
      <c r="A12" s="30"/>
      <c r="B12" s="30"/>
      <c r="C12" s="31"/>
      <c r="D12" s="32"/>
      <c r="E12" s="30"/>
      <c r="F12" s="33"/>
      <c r="G12" s="34"/>
      <c r="H12" s="35"/>
      <c r="I12" s="30"/>
      <c r="J12" s="36"/>
      <c r="K12" s="37"/>
      <c r="L12" s="38"/>
      <c r="M12" s="42"/>
    </row>
    <row r="13" spans="1:14" x14ac:dyDescent="0.25">
      <c r="A13" s="71" t="s">
        <v>52</v>
      </c>
      <c r="B13" s="43"/>
      <c r="C13" s="43"/>
      <c r="D13" s="41"/>
      <c r="E13" s="41"/>
      <c r="F13" s="70" t="s">
        <v>15</v>
      </c>
      <c r="H13" s="41"/>
      <c r="I13" s="41"/>
      <c r="J13" s="41"/>
      <c r="K13" s="41"/>
      <c r="M13" s="41"/>
      <c r="N13" s="79"/>
    </row>
    <row r="14" spans="1:14" x14ac:dyDescent="0.25">
      <c r="A14" s="44" t="s">
        <v>3</v>
      </c>
      <c r="B14" s="45">
        <v>28554</v>
      </c>
      <c r="C14" s="46">
        <f>B14/$B$17</f>
        <v>0.64762984803810386</v>
      </c>
      <c r="F14" s="39" t="s">
        <v>60</v>
      </c>
      <c r="N14" s="79"/>
    </row>
    <row r="15" spans="1:14" x14ac:dyDescent="0.25">
      <c r="A15" s="47" t="s">
        <v>4</v>
      </c>
      <c r="B15" s="48">
        <f>1445+3165</f>
        <v>4610</v>
      </c>
      <c r="C15" s="49">
        <f>B15/$B$17</f>
        <v>0.10455885688364709</v>
      </c>
      <c r="F15" s="39" t="s">
        <v>47</v>
      </c>
    </row>
    <row r="16" spans="1:14" x14ac:dyDescent="0.25">
      <c r="A16" s="50" t="s">
        <v>32</v>
      </c>
      <c r="B16" s="51">
        <f>3173+7753</f>
        <v>10926</v>
      </c>
      <c r="C16" s="52">
        <f>B16/$B$17</f>
        <v>0.24781129507824903</v>
      </c>
      <c r="F16" s="69" t="s">
        <v>48</v>
      </c>
    </row>
    <row r="17" spans="1:10" x14ac:dyDescent="0.25">
      <c r="A17" s="53"/>
      <c r="B17" s="54">
        <f>SUM(B14:B16)</f>
        <v>44090</v>
      </c>
      <c r="C17" s="55">
        <f>SUM(C14:C16)</f>
        <v>1</v>
      </c>
      <c r="F17" s="39" t="s">
        <v>61</v>
      </c>
    </row>
    <row r="19" spans="1:10" ht="15.75" x14ac:dyDescent="0.25">
      <c r="G19" s="93" t="s">
        <v>34</v>
      </c>
      <c r="H19" s="93"/>
    </row>
    <row r="20" spans="1:10" ht="49.5" customHeight="1" x14ac:dyDescent="0.4">
      <c r="A20" s="56" t="s">
        <v>8</v>
      </c>
      <c r="B20" s="56" t="s">
        <v>31</v>
      </c>
      <c r="C20" s="56"/>
      <c r="D20" s="57" t="s">
        <v>23</v>
      </c>
      <c r="E20" s="57"/>
      <c r="F20" s="58" t="s">
        <v>11</v>
      </c>
      <c r="G20" s="92" t="s">
        <v>54</v>
      </c>
      <c r="H20" s="92" t="s">
        <v>55</v>
      </c>
      <c r="J20" s="80" t="s">
        <v>50</v>
      </c>
    </row>
    <row r="21" spans="1:10" x14ac:dyDescent="0.25">
      <c r="A21" s="60" t="s">
        <v>0</v>
      </c>
      <c r="B21" s="59" t="s">
        <v>44</v>
      </c>
      <c r="C21" s="73"/>
      <c r="D21" s="77">
        <v>0</v>
      </c>
      <c r="E21" s="1"/>
      <c r="F21" s="1">
        <v>386</v>
      </c>
      <c r="G21" s="74">
        <v>386</v>
      </c>
      <c r="H21" s="61">
        <v>386</v>
      </c>
    </row>
    <row r="22" spans="1:10" x14ac:dyDescent="0.25">
      <c r="A22" s="1" t="s">
        <v>0</v>
      </c>
      <c r="B22" s="62" t="s">
        <v>35</v>
      </c>
      <c r="C22" s="72"/>
      <c r="D22" s="74">
        <v>2500</v>
      </c>
      <c r="E22" s="1"/>
      <c r="F22" s="1">
        <v>265</v>
      </c>
      <c r="G22" s="74">
        <v>260</v>
      </c>
      <c r="H22" s="61">
        <v>260</v>
      </c>
    </row>
    <row r="23" spans="1:10" x14ac:dyDescent="0.25">
      <c r="A23" s="2" t="s">
        <v>10</v>
      </c>
      <c r="B23" s="63" t="s">
        <v>20</v>
      </c>
      <c r="D23" s="75">
        <v>900</v>
      </c>
      <c r="E23" s="2"/>
      <c r="F23" s="2">
        <v>0</v>
      </c>
      <c r="G23" s="75">
        <v>500</v>
      </c>
      <c r="H23" s="64">
        <v>1000</v>
      </c>
    </row>
    <row r="24" spans="1:10" x14ac:dyDescent="0.25">
      <c r="A24" s="2" t="s">
        <v>10</v>
      </c>
      <c r="B24" s="63" t="s">
        <v>45</v>
      </c>
      <c r="D24" s="75">
        <v>400</v>
      </c>
      <c r="E24" s="2"/>
      <c r="F24" s="2">
        <v>0</v>
      </c>
      <c r="G24" s="75">
        <v>0</v>
      </c>
      <c r="H24" s="64">
        <v>400</v>
      </c>
    </row>
    <row r="25" spans="1:10" x14ac:dyDescent="0.25">
      <c r="A25" s="2" t="s">
        <v>10</v>
      </c>
      <c r="B25" s="63" t="s">
        <v>19</v>
      </c>
      <c r="D25" s="75">
        <v>2500</v>
      </c>
      <c r="E25" s="2"/>
      <c r="F25" s="2">
        <v>0</v>
      </c>
      <c r="G25" s="75">
        <v>1200</v>
      </c>
      <c r="H25" s="64">
        <v>2000</v>
      </c>
    </row>
    <row r="26" spans="1:10" x14ac:dyDescent="0.25">
      <c r="A26" s="1" t="s">
        <v>2</v>
      </c>
      <c r="B26" s="62" t="s">
        <v>36</v>
      </c>
      <c r="C26" s="72"/>
      <c r="D26" s="74">
        <v>6063</v>
      </c>
      <c r="E26" s="1"/>
      <c r="F26" s="1">
        <v>4904</v>
      </c>
      <c r="G26" s="74">
        <v>5000</v>
      </c>
      <c r="H26" s="61">
        <v>7500</v>
      </c>
    </row>
    <row r="27" spans="1:10" x14ac:dyDescent="0.25">
      <c r="A27" s="2" t="s">
        <v>9</v>
      </c>
      <c r="B27" s="63" t="s">
        <v>37</v>
      </c>
      <c r="D27" s="75">
        <v>0</v>
      </c>
      <c r="E27" s="2"/>
      <c r="F27" s="2">
        <v>0</v>
      </c>
      <c r="G27" s="75">
        <v>1300</v>
      </c>
      <c r="H27" s="64">
        <v>1500</v>
      </c>
    </row>
    <row r="28" spans="1:10" x14ac:dyDescent="0.25">
      <c r="A28" s="2" t="s">
        <v>9</v>
      </c>
      <c r="B28" s="63" t="s">
        <v>38</v>
      </c>
      <c r="D28" s="75">
        <v>0</v>
      </c>
      <c r="E28" s="2"/>
      <c r="F28" s="2">
        <v>75</v>
      </c>
      <c r="G28" s="75">
        <v>312</v>
      </c>
      <c r="H28" s="64">
        <v>2080</v>
      </c>
    </row>
    <row r="29" spans="1:10" x14ac:dyDescent="0.25">
      <c r="A29" s="2" t="s">
        <v>9</v>
      </c>
      <c r="B29" s="63" t="s">
        <v>39</v>
      </c>
      <c r="D29" s="75">
        <v>832</v>
      </c>
      <c r="E29" s="2"/>
      <c r="F29" s="2">
        <v>728</v>
      </c>
      <c r="G29" s="75">
        <v>930</v>
      </c>
      <c r="H29" s="64">
        <v>930</v>
      </c>
    </row>
    <row r="30" spans="1:10" x14ac:dyDescent="0.25">
      <c r="A30" s="1" t="s">
        <v>25</v>
      </c>
      <c r="B30" s="62" t="s">
        <v>40</v>
      </c>
      <c r="C30" s="72"/>
      <c r="D30" s="74">
        <v>650</v>
      </c>
      <c r="E30" s="1"/>
      <c r="F30" s="1">
        <v>12</v>
      </c>
      <c r="G30" s="74">
        <v>312</v>
      </c>
      <c r="H30" s="61">
        <v>1040</v>
      </c>
    </row>
    <row r="31" spans="1:10" x14ac:dyDescent="0.25">
      <c r="A31" s="2" t="s">
        <v>24</v>
      </c>
      <c r="B31" s="63" t="s">
        <v>16</v>
      </c>
      <c r="D31" s="75">
        <v>0</v>
      </c>
      <c r="E31" s="2"/>
      <c r="F31" s="2">
        <v>0</v>
      </c>
      <c r="G31" s="75">
        <v>0</v>
      </c>
      <c r="H31" s="64">
        <v>0</v>
      </c>
    </row>
    <row r="32" spans="1:10" x14ac:dyDescent="0.25">
      <c r="A32" s="2" t="s">
        <v>24</v>
      </c>
      <c r="B32" s="63" t="s">
        <v>41</v>
      </c>
      <c r="D32" s="75">
        <v>2500</v>
      </c>
      <c r="E32" s="2"/>
      <c r="F32" s="2">
        <v>618</v>
      </c>
      <c r="G32" s="75">
        <v>560</v>
      </c>
      <c r="H32" s="64">
        <v>2000</v>
      </c>
    </row>
    <row r="33" spans="1:8" x14ac:dyDescent="0.25">
      <c r="A33" s="1" t="s">
        <v>18</v>
      </c>
      <c r="B33" s="62" t="s">
        <v>46</v>
      </c>
      <c r="C33" s="72"/>
      <c r="D33" s="74">
        <v>300</v>
      </c>
      <c r="E33" s="1"/>
      <c r="F33" s="1">
        <v>0</v>
      </c>
      <c r="G33" s="74">
        <v>500</v>
      </c>
      <c r="H33" s="61">
        <v>1000</v>
      </c>
    </row>
    <row r="34" spans="1:8" x14ac:dyDescent="0.25">
      <c r="A34" s="1" t="s">
        <v>18</v>
      </c>
      <c r="B34" s="62" t="s">
        <v>21</v>
      </c>
      <c r="C34" s="72"/>
      <c r="D34" s="74">
        <v>1000</v>
      </c>
      <c r="E34" s="1"/>
      <c r="F34" s="1">
        <v>0</v>
      </c>
      <c r="G34" s="74">
        <v>0</v>
      </c>
      <c r="H34" s="61">
        <v>1000</v>
      </c>
    </row>
    <row r="35" spans="1:8" x14ac:dyDescent="0.25">
      <c r="A35" s="1" t="s">
        <v>18</v>
      </c>
      <c r="B35" s="62" t="s">
        <v>49</v>
      </c>
      <c r="C35" s="72"/>
      <c r="D35" s="74">
        <v>0</v>
      </c>
      <c r="E35" s="1"/>
      <c r="F35" s="1">
        <v>100</v>
      </c>
      <c r="G35" s="74">
        <v>600</v>
      </c>
      <c r="H35" s="61">
        <v>800</v>
      </c>
    </row>
    <row r="36" spans="1:8" x14ac:dyDescent="0.25">
      <c r="A36" s="1" t="s">
        <v>18</v>
      </c>
      <c r="B36" s="62" t="s">
        <v>42</v>
      </c>
      <c r="C36" s="72"/>
      <c r="D36" s="74">
        <v>0</v>
      </c>
      <c r="E36" s="1"/>
      <c r="F36" s="1">
        <v>320</v>
      </c>
      <c r="G36" s="74">
        <v>320</v>
      </c>
      <c r="H36" s="61">
        <v>320</v>
      </c>
    </row>
    <row r="37" spans="1:8" x14ac:dyDescent="0.25">
      <c r="A37" s="2" t="s">
        <v>1</v>
      </c>
      <c r="B37" s="63" t="s">
        <v>22</v>
      </c>
      <c r="D37" s="75">
        <v>0</v>
      </c>
      <c r="E37" s="2"/>
      <c r="F37" s="2">
        <v>0</v>
      </c>
      <c r="G37" s="75">
        <f>15%*4000</f>
        <v>600</v>
      </c>
      <c r="H37" s="64">
        <f>15%*8000</f>
        <v>1200</v>
      </c>
    </row>
    <row r="38" spans="1:8" x14ac:dyDescent="0.25">
      <c r="A38" s="66" t="s">
        <v>1</v>
      </c>
      <c r="B38" s="65" t="s">
        <v>43</v>
      </c>
      <c r="D38" s="76">
        <v>1000</v>
      </c>
      <c r="E38" s="66"/>
      <c r="F38" s="66">
        <v>573</v>
      </c>
      <c r="G38" s="76">
        <v>500</v>
      </c>
      <c r="H38" s="67">
        <v>1000</v>
      </c>
    </row>
    <row r="39" spans="1:8" x14ac:dyDescent="0.25">
      <c r="A39" s="68"/>
      <c r="B39" s="68" t="s">
        <v>26</v>
      </c>
      <c r="C39" s="56"/>
      <c r="D39" s="68">
        <f>SUM(D21:D38)</f>
        <v>18645</v>
      </c>
      <c r="E39" s="68"/>
      <c r="F39" s="68">
        <f t="shared" ref="F39" si="2">SUM(F21:F38)</f>
        <v>7981</v>
      </c>
      <c r="G39" s="68">
        <f t="shared" ref="G39" si="3">SUM(G21:G38)</f>
        <v>13280</v>
      </c>
      <c r="H39" s="68">
        <f t="shared" ref="H39" si="4">SUM(H21:H38)</f>
        <v>24416</v>
      </c>
    </row>
    <row r="40" spans="1:8" x14ac:dyDescent="0.25">
      <c r="C40" s="56"/>
    </row>
  </sheetData>
  <sheetProtection formatCells="0"/>
  <mergeCells count="4">
    <mergeCell ref="G19:H19"/>
    <mergeCell ref="F1:H1"/>
    <mergeCell ref="C1:D1"/>
    <mergeCell ref="J1:L1"/>
  </mergeCells>
  <pageMargins left="0.7" right="0.7" top="0.53" bottom="0.42" header="0.3" footer="0.3"/>
  <pageSetup scale="83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Fay, John</dc:creator>
  <cp:lastModifiedBy>Fay, John</cp:lastModifiedBy>
  <cp:lastPrinted>2017-07-10T18:23:23Z</cp:lastPrinted>
  <dcterms:created xsi:type="dcterms:W3CDTF">2017-06-14T17:19:00Z</dcterms:created>
  <dcterms:modified xsi:type="dcterms:W3CDTF">2017-07-18T14:48:59Z</dcterms:modified>
</cp:coreProperties>
</file>