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stuhl\Desktop\temp\1x\"/>
    </mc:Choice>
  </mc:AlternateContent>
  <bookViews>
    <workbookView xWindow="0" yWindow="0" windowWidth="22500" windowHeight="10788" activeTab="1" xr2:uid="{00000000-000D-0000-FFFF-FFFF00000000}"/>
  </bookViews>
  <sheets>
    <sheet name="Data" sheetId="1" r:id="rId1"/>
    <sheet name="Analysis" sheetId="2" r:id="rId2"/>
  </sheets>
  <definedNames>
    <definedName name="_xlnm._FilterDatabase" localSheetId="1" hidden="1">Analysis!$A$1:$H$28</definedName>
  </definedNames>
  <calcPr calcId="171027"/>
</workbook>
</file>

<file path=xl/calcChain.xml><?xml version="1.0" encoding="utf-8"?>
<calcChain xmlns="http://schemas.openxmlformats.org/spreadsheetml/2006/main">
  <c r="O29" i="2" l="1"/>
  <c r="N29" i="2"/>
  <c r="K23" i="2" l="1"/>
  <c r="J29" i="2"/>
  <c r="K26" i="2"/>
  <c r="K27" i="2"/>
  <c r="K6" i="2"/>
  <c r="K28" i="2"/>
  <c r="K2" i="2"/>
  <c r="K25" i="2"/>
  <c r="K22" i="2"/>
  <c r="K4" i="2"/>
  <c r="K24" i="2"/>
  <c r="K3" i="2"/>
  <c r="K7" i="2"/>
  <c r="K9" i="2"/>
  <c r="K5" i="2"/>
  <c r="K13" i="2"/>
  <c r="K8" i="2"/>
  <c r="K10" i="2"/>
  <c r="K20" i="2"/>
  <c r="K17" i="2"/>
  <c r="K12" i="2"/>
  <c r="K14" i="2"/>
  <c r="K16" i="2"/>
  <c r="K19" i="2"/>
  <c r="K11" i="2"/>
  <c r="K18" i="2"/>
  <c r="K15" i="2"/>
  <c r="K21" i="2"/>
  <c r="I29" i="2" l="1"/>
  <c r="G20" i="2"/>
  <c r="H20" i="2" s="1"/>
  <c r="G12" i="2"/>
  <c r="H12" i="2" s="1"/>
  <c r="G11" i="2"/>
  <c r="H11" i="2" s="1"/>
  <c r="G21" i="2"/>
  <c r="G22" i="2"/>
  <c r="H22" i="2" s="1"/>
  <c r="G9" i="2"/>
  <c r="H9" i="2" s="1"/>
  <c r="G10" i="2"/>
  <c r="H10" i="2" s="1"/>
  <c r="G8" i="2"/>
  <c r="G17" i="2"/>
  <c r="H17" i="2" s="1"/>
  <c r="G15" i="2"/>
  <c r="H15" i="2" s="1"/>
  <c r="G5" i="2"/>
  <c r="H5" i="2" s="1"/>
  <c r="G16" i="2"/>
  <c r="G23" i="2"/>
  <c r="H23" i="2" s="1"/>
  <c r="G19" i="2"/>
  <c r="H19" i="2" s="1"/>
  <c r="G13" i="2"/>
  <c r="H13" i="2" s="1"/>
  <c r="G14" i="2"/>
  <c r="G4" i="2"/>
  <c r="H4" i="2" s="1"/>
  <c r="G24" i="2"/>
  <c r="H24" i="2" s="1"/>
  <c r="G25" i="2"/>
  <c r="H25" i="2" s="1"/>
  <c r="G2" i="2"/>
  <c r="G6" i="2"/>
  <c r="H6" i="2" s="1"/>
  <c r="G3" i="2"/>
  <c r="H3" i="2" s="1"/>
  <c r="G26" i="2"/>
  <c r="H26" i="2" s="1"/>
  <c r="G27" i="2"/>
  <c r="G28" i="2"/>
  <c r="H28" i="2" s="1"/>
  <c r="G7" i="2"/>
  <c r="H7" i="2" s="1"/>
  <c r="G18" i="2"/>
  <c r="H18" i="2" s="1"/>
  <c r="I31" i="2"/>
  <c r="D29" i="2"/>
  <c r="B29" i="2"/>
  <c r="E35" i="2" s="1"/>
  <c r="K29" i="2" l="1"/>
  <c r="E37" i="2"/>
  <c r="H2" i="2"/>
  <c r="H14" i="2"/>
  <c r="H21" i="2"/>
  <c r="H16" i="2"/>
  <c r="H27" i="2"/>
  <c r="H8" i="2"/>
  <c r="I32" i="2"/>
  <c r="E38" i="2" s="1"/>
  <c r="F29" i="2" l="1"/>
  <c r="E29" i="2" l="1"/>
  <c r="G29" i="2" l="1"/>
  <c r="E32" i="2" s="1"/>
  <c r="E51" i="2" l="1"/>
  <c r="H29" i="2"/>
  <c r="E33" i="2" s="1"/>
</calcChain>
</file>

<file path=xl/sharedStrings.xml><?xml version="1.0" encoding="utf-8"?>
<sst xmlns="http://schemas.openxmlformats.org/spreadsheetml/2006/main" count="215" uniqueCount="117">
  <si>
    <t>RespondentID</t>
  </si>
  <si>
    <t>1. What Solid Waste Management Entity do you represent?</t>
  </si>
  <si>
    <t>If holding one day events, how many are held per year?</t>
  </si>
  <si>
    <t>None at this time</t>
  </si>
  <si>
    <t>Other (please specify)</t>
  </si>
  <si>
    <t>Rutland County Solid Waste District</t>
  </si>
  <si>
    <t>replace worn out trucks</t>
  </si>
  <si>
    <t>Addison County Solid Waste Management District</t>
  </si>
  <si>
    <t>Note re: Event Data - Disposal Costs, Advertising Costs, Training Costs Are Included in Perm Fac. Costs - Misc Event Costs encompasses only our trucking to &amp; from events all other Misc Event Costs are included in Perm Facility Costs.  Needs: a. Structural Improvements at Perm Facility to better facilitate collection, b. increase in trained staffing to allow for additional Saturday Hours</t>
  </si>
  <si>
    <t xml:space="preserve">Town of Coventry </t>
  </si>
  <si>
    <t>Town of Canaan</t>
  </si>
  <si>
    <t>The Town of Canaan could probably get away with one day event in the spring and one day event in the fall.  See participation numbers for verification.</t>
  </si>
  <si>
    <t>Solid Waste Alliance Communities (SWAC)</t>
  </si>
  <si>
    <t>Assurance of access to a permanent facility.</t>
  </si>
  <si>
    <t>Town of Burke</t>
  </si>
  <si>
    <t>2 in 206, 3 in 2017 we partner with St Johnsbury</t>
  </si>
  <si>
    <t>Southern Windsor/Windham Counties Solid Waste Management District</t>
  </si>
  <si>
    <t>four 4-hour events + two 2-hour satellite events</t>
  </si>
  <si>
    <t>Need continuing grant support</t>
  </si>
  <si>
    <t>Greater Upper Valley Solid Waste Management District</t>
  </si>
  <si>
    <t>Mountain Alliance</t>
  </si>
  <si>
    <t>2 in 2016, 3 in 2017</t>
  </si>
  <si>
    <t>White River Alliance Solid Waste</t>
  </si>
  <si>
    <t>2 last year  3 this year</t>
  </si>
  <si>
    <t>Town of Barton Solid Waste Management Entity</t>
  </si>
  <si>
    <t>Bennington County Solid Waste Alliance</t>
  </si>
  <si>
    <t>2; we have an agreement for residents to use the Rutland facility</t>
  </si>
  <si>
    <t>We need some towns to be able to collect at their sites for transport to the events. Some towns are within a 15 mile radius, but a much longer driving distance.</t>
  </si>
  <si>
    <t>Mad River Resource Management Alliance</t>
  </si>
  <si>
    <t>Northeast Kingdom Waste Management District</t>
  </si>
  <si>
    <t>Chittenden Solid Waste District</t>
  </si>
  <si>
    <t>Lamoille Regional Solid Waste Management District</t>
  </si>
  <si>
    <t>The Londonderry SW Group</t>
  </si>
  <si>
    <t>2. Permanent HHW Facility Costs. What was your estimated annual cost in each of the following categories in calendar year 2016?</t>
  </si>
  <si>
    <t>Labor costs (hourly rate plus benefits, and can include administrative labor costs)</t>
  </si>
  <si>
    <t>Disposal costs (how much to either recycle/incinerate/dispose of collected waste materials)</t>
  </si>
  <si>
    <t>Advertising/outreach costs (newsletter, newspapers, radio, FPF, etc.)</t>
  </si>
  <si>
    <t>Facility costs (utilities and fuel, permits, lease, capital costs (amortized annual costs), legal fees, insurance, maintenance, equipment and supplies, overhead, MSW disposal, PPE)</t>
  </si>
  <si>
    <t>Training costs (staff training, medical exams)</t>
  </si>
  <si>
    <t>3. HHW Event Costs. What was your estimated annual cost in each of the following categories in calendar year 2016?</t>
  </si>
  <si>
    <t>Set-up fee for events</t>
  </si>
  <si>
    <t>Misc event costs (MSW disposal, roll-off rental, toilet rental, traffic sheriff, etc.)</t>
  </si>
  <si>
    <t>4. Participation. How many participants did your collection program serve in calendar year 2016?</t>
  </si>
  <si>
    <t>Residents</t>
  </si>
  <si>
    <t>Businesses</t>
  </si>
  <si>
    <t>5. Convenience. Please indicate the level of convenience that your collection program provides. (Check all that apply.):</t>
  </si>
  <si>
    <t>Consolidation location for materials collected at events</t>
  </si>
  <si>
    <t>Access to a permanent facility</t>
  </si>
  <si>
    <t>More events held</t>
  </si>
  <si>
    <t>X</t>
  </si>
  <si>
    <t>6. What does your district/alliance/town need for additional infrastructure to effectively manage HHW and CEG Hazardous Waste? (Pick one or more.)</t>
  </si>
  <si>
    <r>
      <t xml:space="preserve">Your district/alliance/town offers </t>
    </r>
    <r>
      <rPr>
        <b/>
        <sz val="10"/>
        <color rgb="FF7030A0"/>
        <rFont val="Arial"/>
        <family val="2"/>
      </rPr>
      <t>access to a permanent facility seasonally within your district/alliance/town</t>
    </r>
    <r>
      <rPr>
        <sz val="10"/>
        <color rgb="FF7030A0"/>
        <rFont val="Arial"/>
        <family val="2"/>
      </rPr>
      <t>.</t>
    </r>
  </si>
  <si>
    <r>
      <t xml:space="preserve">Your district/alliance/town offers </t>
    </r>
    <r>
      <rPr>
        <b/>
        <sz val="10"/>
        <color rgb="FF7030A0"/>
        <rFont val="Arial"/>
        <family val="2"/>
      </rPr>
      <t>all municipalities access to one day events within 15 miles</t>
    </r>
    <r>
      <rPr>
        <sz val="10"/>
        <color rgb="FF7030A0"/>
        <rFont val="Arial"/>
        <family val="2"/>
      </rPr>
      <t>.</t>
    </r>
  </si>
  <si>
    <r>
      <t xml:space="preserve">Your district/alliance/town offers </t>
    </r>
    <r>
      <rPr>
        <b/>
        <sz val="10"/>
        <color rgb="FF7030A0"/>
        <rFont val="Arial"/>
        <family val="2"/>
      </rPr>
      <t>all municipalities access to one day events within 30 miles</t>
    </r>
    <r>
      <rPr>
        <sz val="10"/>
        <color rgb="FF7030A0"/>
        <rFont val="Arial"/>
        <family val="2"/>
      </rPr>
      <t>.</t>
    </r>
  </si>
  <si>
    <t>Start Date</t>
  </si>
  <si>
    <t>End Date</t>
  </si>
  <si>
    <t>MANUAL</t>
  </si>
  <si>
    <t>Town of Fairfax</t>
  </si>
  <si>
    <t>?</t>
  </si>
  <si>
    <t xml:space="preserve">Windham Solid Waste Management District </t>
  </si>
  <si>
    <t>2016 - 3 events</t>
  </si>
  <si>
    <t>Central Vermont Solid Waste Management District</t>
  </si>
  <si>
    <t>Labor costs (hourly rate plus benefits, and can include administrative labor costs)2</t>
  </si>
  <si>
    <t>Disposal costs (how much to either recycle/incinerate/dispose of collected waste materials)2</t>
  </si>
  <si>
    <t>Advertising/outreach costs (newsletter, newspapers, radio, FPF, etc.)2</t>
  </si>
  <si>
    <t>Training costs (staff training, medical exams)2</t>
  </si>
  <si>
    <r>
      <t xml:space="preserve">Your district/alliance/town offers </t>
    </r>
    <r>
      <rPr>
        <sz val="10"/>
        <color rgb="FF7030A0"/>
        <rFont val="Arial"/>
        <family val="2"/>
      </rPr>
      <t>access to a permanent facility year round within your district/alliance/town</t>
    </r>
    <r>
      <rPr>
        <sz val="10"/>
        <color rgb="FF7030A0"/>
        <rFont val="Arial"/>
        <family val="2"/>
      </rPr>
      <t>.</t>
    </r>
  </si>
  <si>
    <t>SWME</t>
  </si>
  <si>
    <t>Total Costs (Permanent)</t>
  </si>
  <si>
    <t>Total Costs (Events)</t>
  </si>
  <si>
    <t>TOTAL COSTS</t>
  </si>
  <si>
    <t>TOTAL Cost per capita</t>
  </si>
  <si>
    <t>no response</t>
  </si>
  <si>
    <t>Popul. of SWME area</t>
  </si>
  <si>
    <t>Square miles of SWME area</t>
  </si>
  <si>
    <t>Households in SWME area</t>
  </si>
  <si>
    <t>Town of Lemington</t>
  </si>
  <si>
    <t>Town of Salisbury</t>
  </si>
  <si>
    <t>City of Newport</t>
  </si>
  <si>
    <t>Town of Lowell</t>
  </si>
  <si>
    <t>City of St. Johnsbury</t>
  </si>
  <si>
    <t>Hartford Community Center for Recycling &amp; Waste Mgmt</t>
  </si>
  <si>
    <t>Northwest Vermont Solid Waste Management District</t>
  </si>
  <si>
    <t>STATEWIDE</t>
  </si>
  <si>
    <t>Permanent Year Round Access</t>
  </si>
  <si>
    <t>Y</t>
  </si>
  <si>
    <t>agreement</t>
  </si>
  <si>
    <t>% of residents who have permanent year round facility access in SWME</t>
  </si>
  <si>
    <t>Statewide Per Capita Costs</t>
  </si>
  <si>
    <t>2; agreement for residents to use CSWD permanent facility</t>
  </si>
  <si>
    <t># Residents Served</t>
  </si>
  <si>
    <t>% Residents Served</t>
  </si>
  <si>
    <t>(SWME % range .5% up to 8.1%)</t>
  </si>
  <si>
    <t>(range 2.6%-6.2%)</t>
  </si>
  <si>
    <t>(range 1.1%-6.2%)</t>
  </si>
  <si>
    <t>% of residents who have permanent year round facility access (includes agreements with neighboring SWMEs)</t>
  </si>
  <si>
    <t>Particip in ReTRAC</t>
  </si>
  <si>
    <t>same</t>
  </si>
  <si>
    <t>(report says 50 partic, 2.2 tons)</t>
  </si>
  <si>
    <t>(report says 134 partic, no tons)</t>
  </si>
  <si>
    <t>Tons of HHW/CEG 2016 (ReTRAC)</t>
  </si>
  <si>
    <t>2015 HHW/CEG Final #s</t>
  </si>
  <si>
    <t>see Coventry</t>
  </si>
  <si>
    <t>see NW</t>
  </si>
  <si>
    <t>2016 projected HHW/CEG (uses 2015 where no 2016 available)</t>
  </si>
  <si>
    <t>ReTRAC – total amount of materials collected 2015 (tons)</t>
  </si>
  <si>
    <t>Statewide Disposal Costs</t>
  </si>
  <si>
    <t>*all statewide #s excluded Newport City and Salisbury</t>
  </si>
  <si>
    <t>Statewide % Served in 2016</t>
  </si>
  <si>
    <t>% Served (in SWMEs with permanent year round facility access)</t>
  </si>
  <si>
    <t>% Served (in SWMEs with permanent year round facility access or agreement)</t>
  </si>
  <si>
    <t>(4.5, but not counted in total)</t>
  </si>
  <si>
    <t>(not counted in total)</t>
  </si>
  <si>
    <t>ReTRAC- total amount of materials collected 2013 (tons)</t>
  </si>
  <si>
    <t>ReTRAC-total amount of materials collected 2014 (tons)</t>
  </si>
  <si>
    <t>ReTRAC – total amount of materials collected 2016 (tons)</t>
  </si>
  <si>
    <t>Cost/ton (2016 tonnage, 2016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</si>
</sst>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(&quot;$&quot;* #,##0.00_);_(&quot;$&quot;* \(\ #,##0.00\ \);_(&quot;$&quot;* &quot;-&quot;??_);_(\ @_ \)"/>
    <numFmt numFmtId="165" formatCode="_(* #,##0.00_);_(* \(\ #,##0.00\ \);_(* &quot;-&quot;??_);_(\ @_ \)"/>
    <numFmt numFmtId="166" formatCode="mm/dd/yyyy"/>
    <numFmt numFmtId="167" formatCode="_(&quot;$&quot;* #,##0_);_(&quot;$&quot;* \(\ #,##0\ \);_(&quot;$&quot;* &quot;-&quot;??_);_(\ @_ \)"/>
    <numFmt numFmtId="168" formatCode="_(* #,##0_);_(* \(\ #,##0\ \);_(* &quot;-&quot;??_);_(\ @_ \)"/>
    <numFmt numFmtId="169" formatCode="_(* #,##0_);_(* \(#,##0\);_(* &quot;-&quot;??_);_(@_)"/>
    <numFmt numFmtId="170" formatCode="_(* #,##0.0_);_(* \(\ #,##0.0\ \);_(* &quot;-&quot;??_);_(\ @_ \)"/>
    <numFmt numFmtId="171" formatCode="0.0%"/>
  </numFmts>
  <fonts count="36" x14ac:knownFonts="1">
    <font>
      <sz val="10"/>
      <name val="Segoe UI"/>
    </font>
    <font>
      <sz val="10"/>
      <name val="Segoe UI"/>
    </font>
    <font>
      <sz val="10"/>
      <name val="Arial"/>
      <family val="2"/>
    </font>
    <font>
      <sz val="10"/>
      <color theme="8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theme="5" tint="-0.499984740745262"/>
      <name val="Arial"/>
      <family val="2"/>
    </font>
    <font>
      <sz val="11"/>
      <color theme="8" tint="-0.499984740745262"/>
      <name val="Arial"/>
      <family val="2"/>
    </font>
    <font>
      <sz val="11"/>
      <color theme="9" tint="-0.499984740745262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5" tint="-0.499984740745262"/>
      <name val="Arial"/>
      <family val="2"/>
    </font>
    <font>
      <b/>
      <sz val="10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C00000"/>
      <name val="Arial"/>
      <family val="2"/>
    </font>
    <font>
      <b/>
      <sz val="10"/>
      <color rgb="FF7030A0"/>
      <name val="Arial"/>
      <family val="2"/>
    </font>
    <font>
      <b/>
      <sz val="10"/>
      <color theme="5" tint="-0.499984740745262"/>
      <name val="Arial"/>
      <family val="2"/>
    </font>
    <font>
      <sz val="10"/>
      <color theme="8" tint="-0.249977111117893"/>
      <name val="Arial"/>
      <family val="2"/>
    </font>
    <font>
      <sz val="10"/>
      <color theme="9" tint="-0.249977111117893"/>
      <name val="Arial"/>
      <family val="2"/>
    </font>
    <font>
      <b/>
      <sz val="11"/>
      <color theme="8" tint="-0.499984740745262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C00000"/>
      <name val="Arial"/>
      <family val="2"/>
    </font>
    <font>
      <b/>
      <sz val="11"/>
      <color rgb="FF7030A0"/>
      <name val="Arial"/>
      <family val="2"/>
    </font>
    <font>
      <b/>
      <sz val="11"/>
      <color theme="5" tint="-0.499984740745262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Border="1" applyAlignment="1">
      <alignment vertical="top" wrapText="1"/>
    </xf>
    <xf numFmtId="166" fontId="2" fillId="0" borderId="0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8" fontId="10" fillId="0" borderId="5" xfId="1" applyNumberFormat="1" applyFont="1" applyBorder="1" applyAlignment="1">
      <alignment vertical="center" wrapText="1"/>
    </xf>
    <xf numFmtId="168" fontId="10" fillId="0" borderId="4" xfId="1" applyNumberFormat="1" applyFont="1" applyBorder="1" applyAlignment="1">
      <alignment vertical="center" wrapText="1"/>
    </xf>
    <xf numFmtId="168" fontId="10" fillId="0" borderId="6" xfId="1" applyNumberFormat="1" applyFont="1" applyBorder="1" applyAlignment="1">
      <alignment vertical="center" wrapText="1"/>
    </xf>
    <xf numFmtId="168" fontId="10" fillId="0" borderId="8" xfId="1" applyNumberFormat="1" applyFont="1" applyBorder="1" applyAlignment="1">
      <alignment vertical="center" wrapText="1"/>
    </xf>
    <xf numFmtId="167" fontId="9" fillId="0" borderId="5" xfId="2" applyNumberFormat="1" applyFont="1" applyBorder="1" applyAlignment="1">
      <alignment vertical="center" wrapText="1"/>
    </xf>
    <xf numFmtId="167" fontId="9" fillId="0" borderId="0" xfId="2" applyNumberFormat="1" applyFont="1" applyBorder="1" applyAlignment="1">
      <alignment vertical="center" wrapText="1"/>
    </xf>
    <xf numFmtId="167" fontId="9" fillId="0" borderId="4" xfId="2" applyNumberFormat="1" applyFont="1" applyBorder="1" applyAlignment="1">
      <alignment vertical="center" wrapText="1"/>
    </xf>
    <xf numFmtId="167" fontId="9" fillId="0" borderId="6" xfId="2" applyNumberFormat="1" applyFont="1" applyBorder="1" applyAlignment="1">
      <alignment vertical="center" wrapText="1"/>
    </xf>
    <xf numFmtId="167" fontId="9" fillId="0" borderId="7" xfId="2" applyNumberFormat="1" applyFont="1" applyBorder="1" applyAlignment="1">
      <alignment vertical="center" wrapText="1"/>
    </xf>
    <xf numFmtId="167" fontId="9" fillId="0" borderId="8" xfId="2" applyNumberFormat="1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6" fontId="13" fillId="0" borderId="0" xfId="0" applyNumberFormat="1" applyFont="1" applyBorder="1" applyAlignment="1">
      <alignment vertical="top" wrapText="1"/>
    </xf>
    <xf numFmtId="167" fontId="22" fillId="0" borderId="5" xfId="2" applyNumberFormat="1" applyFont="1" applyBorder="1" applyAlignment="1">
      <alignment vertical="center" wrapText="1"/>
    </xf>
    <xf numFmtId="167" fontId="22" fillId="0" borderId="0" xfId="2" applyNumberFormat="1" applyFont="1" applyBorder="1" applyAlignment="1">
      <alignment vertical="center" wrapText="1"/>
    </xf>
    <xf numFmtId="167" fontId="22" fillId="0" borderId="4" xfId="2" applyNumberFormat="1" applyFont="1" applyBorder="1" applyAlignment="1">
      <alignment vertical="center" wrapText="1"/>
    </xf>
    <xf numFmtId="168" fontId="23" fillId="0" borderId="5" xfId="1" applyNumberFormat="1" applyFont="1" applyBorder="1" applyAlignment="1">
      <alignment vertical="center" wrapText="1"/>
    </xf>
    <xf numFmtId="168" fontId="23" fillId="0" borderId="4" xfId="1" applyNumberFormat="1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8" fontId="10" fillId="0" borderId="4" xfId="1" quotePrefix="1" applyNumberFormat="1" applyFont="1" applyBorder="1" applyAlignment="1">
      <alignment vertical="center" wrapText="1"/>
    </xf>
    <xf numFmtId="168" fontId="23" fillId="0" borderId="4" xfId="1" quotePrefix="1" applyNumberFormat="1" applyFont="1" applyBorder="1" applyAlignment="1">
      <alignment vertical="center" wrapText="1"/>
    </xf>
    <xf numFmtId="167" fontId="21" fillId="0" borderId="5" xfId="2" applyNumberFormat="1" applyFont="1" applyBorder="1" applyAlignment="1">
      <alignment vertical="center" wrapText="1"/>
    </xf>
    <xf numFmtId="167" fontId="21" fillId="0" borderId="0" xfId="2" applyNumberFormat="1" applyFont="1" applyBorder="1" applyAlignment="1">
      <alignment vertical="center" wrapText="1"/>
    </xf>
    <xf numFmtId="167" fontId="21" fillId="0" borderId="4" xfId="2" applyNumberFormat="1" applyFont="1" applyBorder="1" applyAlignment="1">
      <alignment vertical="center" wrapText="1"/>
    </xf>
    <xf numFmtId="0" fontId="17" fillId="0" borderId="4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8" fillId="0" borderId="5" xfId="2" applyNumberFormat="1" applyFont="1" applyBorder="1" applyAlignment="1">
      <alignment vertical="center" wrapText="1"/>
    </xf>
    <xf numFmtId="167" fontId="8" fillId="0" borderId="0" xfId="2" applyNumberFormat="1" applyFont="1" applyBorder="1" applyAlignment="1">
      <alignment vertical="center" wrapText="1"/>
    </xf>
    <xf numFmtId="167" fontId="8" fillId="0" borderId="4" xfId="2" applyNumberFormat="1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167" fontId="21" fillId="0" borderId="6" xfId="2" applyNumberFormat="1" applyFont="1" applyBorder="1" applyAlignment="1">
      <alignment vertical="center" wrapText="1"/>
    </xf>
    <xf numFmtId="167" fontId="21" fillId="0" borderId="7" xfId="2" applyNumberFormat="1" applyFont="1" applyBorder="1" applyAlignment="1">
      <alignment vertical="center" wrapText="1"/>
    </xf>
    <xf numFmtId="167" fontId="21" fillId="0" borderId="8" xfId="2" applyNumberFormat="1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167" fontId="19" fillId="0" borderId="0" xfId="2" applyNumberFormat="1" applyFont="1" applyBorder="1" applyAlignment="1">
      <alignment vertical="center" wrapText="1"/>
    </xf>
    <xf numFmtId="167" fontId="20" fillId="0" borderId="0" xfId="2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top" wrapText="1"/>
    </xf>
    <xf numFmtId="3" fontId="26" fillId="0" borderId="9" xfId="0" applyNumberFormat="1" applyFont="1" applyFill="1" applyBorder="1"/>
    <xf numFmtId="0" fontId="26" fillId="0" borderId="9" xfId="0" applyFont="1" applyFill="1" applyBorder="1"/>
    <xf numFmtId="169" fontId="26" fillId="0" borderId="9" xfId="1" applyNumberFormat="1" applyFont="1" applyFill="1" applyBorder="1"/>
    <xf numFmtId="3" fontId="31" fillId="0" borderId="9" xfId="0" applyNumberFormat="1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0" fontId="30" fillId="0" borderId="0" xfId="0" applyFont="1" applyFill="1" applyBorder="1" applyAlignment="1">
      <alignment horizontal="center" vertical="center" wrapText="1"/>
    </xf>
    <xf numFmtId="164" fontId="26" fillId="0" borderId="0" xfId="0" applyNumberFormat="1" applyFont="1" applyFill="1" applyBorder="1"/>
    <xf numFmtId="168" fontId="28" fillId="0" borderId="0" xfId="1" applyNumberFormat="1" applyFont="1" applyFill="1" applyBorder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168" fontId="28" fillId="0" borderId="0" xfId="1" applyNumberFormat="1" applyFont="1" applyFill="1" applyBorder="1" applyAlignment="1">
      <alignment vertical="center"/>
    </xf>
    <xf numFmtId="9" fontId="29" fillId="0" borderId="0" xfId="3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164" fontId="26" fillId="0" borderId="9" xfId="2" applyFont="1" applyFill="1" applyBorder="1"/>
    <xf numFmtId="0" fontId="26" fillId="0" borderId="9" xfId="0" applyFont="1" applyFill="1" applyBorder="1" applyAlignment="1">
      <alignment horizontal="center"/>
    </xf>
    <xf numFmtId="0" fontId="26" fillId="0" borderId="15" xfId="0" applyFont="1" applyFill="1" applyBorder="1"/>
    <xf numFmtId="3" fontId="26" fillId="0" borderId="16" xfId="0" applyNumberFormat="1" applyFont="1" applyFill="1" applyBorder="1"/>
    <xf numFmtId="0" fontId="26" fillId="0" borderId="16" xfId="0" applyFont="1" applyFill="1" applyBorder="1"/>
    <xf numFmtId="169" fontId="26" fillId="0" borderId="16" xfId="0" applyNumberFormat="1" applyFont="1" applyFill="1" applyBorder="1"/>
    <xf numFmtId="164" fontId="26" fillId="0" borderId="16" xfId="0" applyNumberFormat="1" applyFont="1" applyFill="1" applyBorder="1"/>
    <xf numFmtId="168" fontId="26" fillId="0" borderId="16" xfId="0" applyNumberFormat="1" applyFont="1" applyFill="1" applyBorder="1"/>
    <xf numFmtId="3" fontId="32" fillId="3" borderId="9" xfId="0" applyNumberFormat="1" applyFont="1" applyFill="1" applyBorder="1"/>
    <xf numFmtId="0" fontId="32" fillId="3" borderId="9" xfId="0" applyFont="1" applyFill="1" applyBorder="1"/>
    <xf numFmtId="169" fontId="32" fillId="3" borderId="9" xfId="1" applyNumberFormat="1" applyFont="1" applyFill="1" applyBorder="1"/>
    <xf numFmtId="164" fontId="32" fillId="3" borderId="9" xfId="2" applyFont="1" applyFill="1" applyBorder="1"/>
    <xf numFmtId="0" fontId="32" fillId="3" borderId="9" xfId="0" applyFont="1" applyFill="1" applyBorder="1" applyAlignment="1">
      <alignment horizontal="center"/>
    </xf>
    <xf numFmtId="168" fontId="26" fillId="0" borderId="10" xfId="1" applyNumberFormat="1" applyFont="1" applyFill="1" applyBorder="1"/>
    <xf numFmtId="9" fontId="26" fillId="0" borderId="9" xfId="3" applyFont="1" applyFill="1" applyBorder="1"/>
    <xf numFmtId="168" fontId="26" fillId="0" borderId="14" xfId="0" applyNumberFormat="1" applyFont="1" applyFill="1" applyBorder="1"/>
    <xf numFmtId="171" fontId="26" fillId="0" borderId="9" xfId="3" applyNumberFormat="1" applyFont="1" applyFill="1" applyBorder="1"/>
    <xf numFmtId="171" fontId="32" fillId="3" borderId="9" xfId="3" applyNumberFormat="1" applyFont="1" applyFill="1" applyBorder="1"/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/>
    <xf numFmtId="164" fontId="29" fillId="2" borderId="0" xfId="2" applyFont="1" applyFill="1" applyBorder="1"/>
    <xf numFmtId="171" fontId="29" fillId="2" borderId="0" xfId="3" applyNumberFormat="1" applyFont="1" applyFill="1" applyBorder="1"/>
    <xf numFmtId="0" fontId="26" fillId="2" borderId="0" xfId="0" applyFont="1" applyFill="1" applyBorder="1"/>
    <xf numFmtId="9" fontId="29" fillId="2" borderId="0" xfId="3" applyNumberFormat="1" applyFont="1" applyFill="1" applyBorder="1"/>
    <xf numFmtId="9" fontId="29" fillId="2" borderId="0" xfId="0" applyNumberFormat="1" applyFont="1" applyFill="1" applyBorder="1" applyAlignment="1">
      <alignment vertical="center"/>
    </xf>
    <xf numFmtId="171" fontId="26" fillId="0" borderId="16" xfId="0" applyNumberFormat="1" applyFont="1" applyFill="1" applyBorder="1"/>
    <xf numFmtId="168" fontId="26" fillId="0" borderId="9" xfId="1" applyNumberFormat="1" applyFont="1" applyFill="1" applyBorder="1"/>
    <xf numFmtId="168" fontId="26" fillId="0" borderId="9" xfId="1" applyNumberFormat="1" applyFont="1" applyFill="1" applyBorder="1" applyAlignment="1">
      <alignment vertical="center" wrapText="1"/>
    </xf>
    <xf numFmtId="168" fontId="32" fillId="3" borderId="9" xfId="1" applyNumberFormat="1" applyFont="1" applyFill="1" applyBorder="1"/>
    <xf numFmtId="168" fontId="26" fillId="0" borderId="9" xfId="1" applyNumberFormat="1" applyFont="1" applyFill="1" applyBorder="1" applyAlignment="1">
      <alignment horizontal="right"/>
    </xf>
    <xf numFmtId="0" fontId="26" fillId="0" borderId="9" xfId="0" applyFont="1" applyFill="1" applyBorder="1" applyAlignment="1">
      <alignment horizontal="right"/>
    </xf>
    <xf numFmtId="168" fontId="33" fillId="0" borderId="9" xfId="1" applyNumberFormat="1" applyFont="1" applyFill="1" applyBorder="1" applyAlignment="1">
      <alignment horizontal="right"/>
    </xf>
    <xf numFmtId="168" fontId="26" fillId="0" borderId="9" xfId="1" applyNumberFormat="1" applyFont="1" applyFill="1" applyBorder="1" applyAlignment="1">
      <alignment horizontal="right" vertical="center" wrapText="1"/>
    </xf>
    <xf numFmtId="168" fontId="33" fillId="0" borderId="9" xfId="1" applyNumberFormat="1" applyFont="1" applyFill="1" applyBorder="1" applyAlignment="1">
      <alignment horizontal="right" vertical="center" wrapText="1"/>
    </xf>
    <xf numFmtId="168" fontId="26" fillId="0" borderId="9" xfId="0" applyNumberFormat="1" applyFont="1" applyFill="1" applyBorder="1" applyAlignment="1">
      <alignment horizontal="right"/>
    </xf>
    <xf numFmtId="165" fontId="26" fillId="0" borderId="10" xfId="0" applyNumberFormat="1" applyFont="1" applyFill="1" applyBorder="1" applyAlignment="1">
      <alignment vertical="center" wrapText="1"/>
    </xf>
    <xf numFmtId="0" fontId="32" fillId="3" borderId="9" xfId="0" applyFont="1" applyFill="1" applyBorder="1" applyAlignment="1">
      <alignment horizontal="right"/>
    </xf>
    <xf numFmtId="170" fontId="26" fillId="0" borderId="10" xfId="0" applyNumberFormat="1" applyFont="1" applyFill="1" applyBorder="1" applyAlignment="1">
      <alignment vertical="center" wrapText="1"/>
    </xf>
    <xf numFmtId="170" fontId="26" fillId="0" borderId="9" xfId="1" applyNumberFormat="1" applyFont="1" applyFill="1" applyBorder="1" applyAlignment="1">
      <alignment vertical="center" wrapText="1"/>
    </xf>
    <xf numFmtId="170" fontId="26" fillId="0" borderId="16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0" fontId="34" fillId="2" borderId="0" xfId="0" applyFont="1" applyFill="1" applyBorder="1" applyAlignment="1">
      <alignment vertical="center"/>
    </xf>
    <xf numFmtId="0" fontId="34" fillId="2" borderId="0" xfId="0" applyFont="1" applyFill="1" applyBorder="1"/>
    <xf numFmtId="44" fontId="34" fillId="2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vertical="center"/>
    </xf>
    <xf numFmtId="49" fontId="32" fillId="3" borderId="9" xfId="1" applyNumberFormat="1" applyFont="1" applyFill="1" applyBorder="1" applyAlignment="1">
      <alignment horizontal="right"/>
    </xf>
    <xf numFmtId="49" fontId="32" fillId="3" borderId="9" xfId="0" applyNumberFormat="1" applyFont="1" applyFill="1" applyBorder="1" applyAlignment="1"/>
    <xf numFmtId="165" fontId="26" fillId="0" borderId="9" xfId="1" applyNumberFormat="1" applyFont="1" applyFill="1" applyBorder="1" applyAlignment="1">
      <alignment vertical="center" wrapText="1"/>
    </xf>
    <xf numFmtId="165" fontId="32" fillId="3" borderId="9" xfId="1" applyNumberFormat="1" applyFont="1" applyFill="1" applyBorder="1" applyAlignment="1">
      <alignment vertical="center" wrapText="1"/>
    </xf>
    <xf numFmtId="49" fontId="32" fillId="3" borderId="9" xfId="1" applyNumberFormat="1" applyFont="1" applyFill="1" applyBorder="1" applyAlignment="1">
      <alignment vertical="center" wrapText="1"/>
    </xf>
    <xf numFmtId="171" fontId="29" fillId="0" borderId="0" xfId="3" applyNumberFormat="1" applyFont="1" applyFill="1" applyBorder="1"/>
    <xf numFmtId="0" fontId="35" fillId="2" borderId="0" xfId="0" applyFont="1" applyFill="1" applyBorder="1"/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0" formatCode="_(* #,##0.0_);_(* \(\ #,##0.0\ \);_(* &quot;-&quot;??_);_(\ @_ 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0" formatCode="_(* #,##0.0_);_(* \(\ #,##0.0\ \);_(* &quot;-&quot;??_);_(\ @_ 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70" formatCode="_(* #,##0.0_);_(* \(\ #,##0.0\ \);_(* &quot;-&quot;??_);_(\ @_ 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_(* #,##0_);_(* \(\ #,##0\ \);_(* &quot;-&quot;??_);_(\ @_ 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8" formatCode="_(* #,##0_);_(* \(\ #,##0\ \);_(* &quot;-&quot;??_);_(\ @_ 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\ #,##0.00\ \);_(* &quot;-&quot;??_);_(\ @_ 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5" formatCode="_(* #,##0.00_);_(* \(\ #,##0.00\ \);_(* &quot;-&quot;??_);_(\ @_ 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1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1" formatCode="0.0%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_(* #,##0_);_(* \(\ #,##0\ \);_(* &quot;-&quot;??_);_(\ @_ 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_(* #,##0_);_(* \(\ #,##0\ \);_(* &quot;-&quot;??_);_(\ @_ \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_(* #,##0_);_(* \(\ #,##0\ \);_(* &quot;-&quot;??_);_(\ @_ 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&quot;$&quot;* #,##0.00_);_(&quot;$&quot;* \(\ #,##0.00\ \);_(&quot;$&quot;* &quot;-&quot;??_);_(\ @_ 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&quot;$&quot;* #,##0.00_);_(&quot;$&quot;* \(\ #,##0.00\ \);_(&quot;$&quot;* &quot;-&quot;??_);_(\ @_ \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&quot;$&quot;* #,##0.00_);_(&quot;$&quot;* \(\ #,##0.00\ \);_(&quot;$&quot;* &quot;-&quot;??_);_(\ @_ 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&quot;$&quot;* #,##0.00_);_(&quot;$&quot;* \(\ #,##0.00\ \);_(&quot;$&quot;* &quot;-&quot;??_);_(\ @_ \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&quot;$&quot;* #,##0.00_);_(&quot;$&quot;* \(\ #,##0.00\ \);_(&quot;$&quot;* &quot;-&quot;??_);_(\ @_ 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&quot;$&quot;* #,##0.00_);_(&quot;$&quot;* \(\ #,##0.00\ \);_(&quot;$&quot;* &quot;-&quot;??_);_(\ @_ 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030A0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Arial"/>
        <family val="2"/>
        <scheme val="none"/>
      </font>
      <numFmt numFmtId="168" formatCode="_(* #,##0_);_(* \(\ #,##0\ \);_(* &quot;-&quot;??_);_(\ @_ \)"/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Arial"/>
        <family val="2"/>
        <scheme val="none"/>
      </font>
      <numFmt numFmtId="168" formatCode="_(* #,##0_);_(* \(\ #,##0\ \);_(* &quot;-&quot;??_);_(\ @_ \)"/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Arial"/>
        <family val="2"/>
        <scheme val="none"/>
      </font>
      <numFmt numFmtId="167" formatCode="_(&quot;$&quot;* #,##0_);_(&quot;$&quot;* \(\ #,##0\ \);_(&quot;$&quot;* &quot;-&quot;??_);_(\ @_ \)"/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66" formatCode="mm/dd/yyyy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66" formatCode="mm/dd/yyyy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top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none"/>
      </font>
      <alignment horizontal="center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AA29" totalsRowShown="0" headerRowDxfId="67" dataDxfId="65" headerRowBorderDxfId="66" tableBorderDxfId="64" totalsRowBorderDxfId="63">
  <sortState ref="A3:AA29">
    <sortCondition ref="D2:D29"/>
  </sortState>
  <tableColumns count="27">
    <tableColumn id="1" xr3:uid="{00000000-0010-0000-0000-000001000000}" name="RespondentID" dataDxfId="62"/>
    <tableColumn id="2" xr3:uid="{00000000-0010-0000-0000-000002000000}" name="Start Date" dataDxfId="61"/>
    <tableColumn id="3" xr3:uid="{00000000-0010-0000-0000-000003000000}" name="End Date" dataDxfId="60"/>
    <tableColumn id="4" xr3:uid="{00000000-0010-0000-0000-000004000000}" name="1. What Solid Waste Management Entity do you represent?" dataDxfId="59"/>
    <tableColumn id="5" xr3:uid="{00000000-0010-0000-0000-000005000000}" name="Labor costs (hourly rate plus benefits, and can include administrative labor costs)" dataDxfId="58" dataCellStyle="Currency"/>
    <tableColumn id="6" xr3:uid="{00000000-0010-0000-0000-000006000000}" name="Disposal costs (how much to either recycle/incinerate/dispose of collected waste materials)" dataDxfId="57" dataCellStyle="Currency"/>
    <tableColumn id="7" xr3:uid="{00000000-0010-0000-0000-000007000000}" name="Advertising/outreach costs (newsletter, newspapers, radio, FPF, etc.)" dataDxfId="56" dataCellStyle="Currency"/>
    <tableColumn id="8" xr3:uid="{00000000-0010-0000-0000-000008000000}" name="Facility costs (utilities and fuel, permits, lease, capital costs (amortized annual costs), legal fees, insurance, maintenance, equipment and supplies, overhead, MSW disposal, PPE)" dataDxfId="55" dataCellStyle="Currency"/>
    <tableColumn id="9" xr3:uid="{00000000-0010-0000-0000-000009000000}" name="Training costs (staff training, medical exams)" dataDxfId="54" dataCellStyle="Currency"/>
    <tableColumn id="10" xr3:uid="{00000000-0010-0000-0000-00000A000000}" name="Labor costs (hourly rate plus benefits, and can include administrative labor costs)2" dataDxfId="53" dataCellStyle="Currency"/>
    <tableColumn id="11" xr3:uid="{00000000-0010-0000-0000-00000B000000}" name="Disposal costs (how much to either recycle/incinerate/dispose of collected waste materials)2" dataDxfId="52" dataCellStyle="Currency"/>
    <tableColumn id="12" xr3:uid="{00000000-0010-0000-0000-00000C000000}" name="Set-up fee for events" dataDxfId="51" dataCellStyle="Currency"/>
    <tableColumn id="13" xr3:uid="{00000000-0010-0000-0000-00000D000000}" name="Misc event costs (MSW disposal, roll-off rental, toilet rental, traffic sheriff, etc.)" dataDxfId="50" dataCellStyle="Currency"/>
    <tableColumn id="14" xr3:uid="{00000000-0010-0000-0000-00000E000000}" name="Advertising/outreach costs (newsletter, newspapers, radio, FPF, etc.)2" dataDxfId="49" dataCellStyle="Currency"/>
    <tableColumn id="15" xr3:uid="{00000000-0010-0000-0000-00000F000000}" name="Training costs (staff training, medical exams)2" dataDxfId="48" dataCellStyle="Currency"/>
    <tableColumn id="16" xr3:uid="{00000000-0010-0000-0000-000010000000}" name="Residents" dataDxfId="47" dataCellStyle="Comma"/>
    <tableColumn id="17" xr3:uid="{00000000-0010-0000-0000-000011000000}" name="Businesses" dataDxfId="46" dataCellStyle="Comma"/>
    <tableColumn id="18" xr3:uid="{00000000-0010-0000-0000-000012000000}" name="Your district/alliance/town offers access to a permanent facility year round within your district/alliance/town." dataDxfId="45"/>
    <tableColumn id="19" xr3:uid="{00000000-0010-0000-0000-000013000000}" name="Your district/alliance/town offers access to a permanent facility seasonally within your district/alliance/town." dataDxfId="44"/>
    <tableColumn id="20" xr3:uid="{00000000-0010-0000-0000-000014000000}" name="Your district/alliance/town offers all municipalities access to one day events within 15 miles." dataDxfId="43"/>
    <tableColumn id="21" xr3:uid="{00000000-0010-0000-0000-000015000000}" name="Your district/alliance/town offers all municipalities access to one day events within 30 miles." dataDxfId="42"/>
    <tableColumn id="22" xr3:uid="{00000000-0010-0000-0000-000016000000}" name="If holding one day events, how many are held per year?" dataDxfId="41"/>
    <tableColumn id="23" xr3:uid="{00000000-0010-0000-0000-000017000000}" name="Consolidation location for materials collected at events" dataDxfId="40"/>
    <tableColumn id="24" xr3:uid="{00000000-0010-0000-0000-000018000000}" name="Access to a permanent facility" dataDxfId="39"/>
    <tableColumn id="25" xr3:uid="{00000000-0010-0000-0000-000019000000}" name="More events held" dataDxfId="38"/>
    <tableColumn id="26" xr3:uid="{00000000-0010-0000-0000-00001A000000}" name="None at this time" dataDxfId="37"/>
    <tableColumn id="27" xr3:uid="{00000000-0010-0000-0000-00001B000000}" name="Other (please specify)" dataDxfId="3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O29" totalsRowCount="1" headerRowDxfId="35" dataDxfId="33" totalsRowDxfId="31" headerRowBorderDxfId="34" tableBorderDxfId="32" totalsRowBorderDxfId="30">
  <autoFilter ref="A1:O28" xr:uid="{00000000-0009-0000-0100-000001000000}"/>
  <sortState ref="A2:O28">
    <sortCondition ref="L1:L28"/>
  </sortState>
  <tableColumns count="15">
    <tableColumn id="1" xr3:uid="{00000000-0010-0000-0100-000001000000}" name="SWME" totalsRowLabel="STATEWIDE" dataDxfId="29" totalsRowDxfId="28"/>
    <tableColumn id="2" xr3:uid="{00000000-0010-0000-0100-000002000000}" name="Popul. of SWME area" totalsRowFunction="sum" dataDxfId="27" totalsRowDxfId="26"/>
    <tableColumn id="3" xr3:uid="{00000000-0010-0000-0100-000003000000}" name="Square miles of SWME area" dataDxfId="25" totalsRowDxfId="24"/>
    <tableColumn id="4" xr3:uid="{00000000-0010-0000-0100-000004000000}" name="Households in SWME area" totalsRowFunction="sum" dataDxfId="23" totalsRowDxfId="22" dataCellStyle="Comma"/>
    <tableColumn id="5" xr3:uid="{00000000-0010-0000-0100-000005000000}" name="Total Costs (Permanent)" totalsRowFunction="sum" dataDxfId="21" totalsRowDxfId="20" dataCellStyle="Currency"/>
    <tableColumn id="6" xr3:uid="{00000000-0010-0000-0100-000006000000}" name="Total Costs (Events)" totalsRowFunction="sum" dataDxfId="19" totalsRowDxfId="18" dataCellStyle="Currency"/>
    <tableColumn id="7" xr3:uid="{00000000-0010-0000-0100-000007000000}" name="TOTAL COSTS" totalsRowFunction="sum" dataDxfId="17" totalsRowDxfId="16" dataCellStyle="Currency">
      <calculatedColumnFormula>Table1[[#This Row],[Total Costs (Permanent)]]+Table1[[#This Row],[Total Costs (Events)]]</calculatedColumnFormula>
    </tableColumn>
    <tableColumn id="10" xr3:uid="{00000000-0010-0000-0100-00000A000000}" name="TOTAL Cost per capita" totalsRowFunction="custom" dataDxfId="15" totalsRowDxfId="14" dataCellStyle="Currency">
      <calculatedColumnFormula>Table1[[#This Row],[TOTAL COSTS]]/Table1[[#This Row],[Popul. of SWME area]]</calculatedColumnFormula>
      <totalsRowFormula>Table1[[#Totals],[TOTAL COSTS]]/Table1[[#Totals],[Popul. of SWME area]]</totalsRowFormula>
    </tableColumn>
    <tableColumn id="12" xr3:uid="{00000000-0010-0000-0100-00000C000000}" name="Permanent Year Round Access" totalsRowFunction="custom" dataDxfId="13" totalsRowDxfId="12" dataCellStyle="Currency">
      <totalsRowFormula>SUMIF(Table1[Permanent Year Round Access],"Y",Table1[Popul. of SWME area])</totalsRowFormula>
    </tableColumn>
    <tableColumn id="15" xr3:uid="{00000000-0010-0000-0100-00000F000000}" name="# Residents Served" totalsRowFunction="sum" dataDxfId="11" totalsRowDxfId="10" dataCellStyle="Comma"/>
    <tableColumn id="8" xr3:uid="{00000000-0010-0000-0100-000008000000}" name="% Residents Served" totalsRowFunction="custom" dataDxfId="9" totalsRowDxfId="8" dataCellStyle="Percent">
      <calculatedColumnFormula>Table1[[#This Row],['# Residents Served]]/Table1[[#This Row],[Popul. of SWME area]]</calculatedColumnFormula>
      <totalsRowFormula>Table1[[#Totals],['# Residents Served]]/Table1[[#Totals],[Popul. of SWME area]]</totalsRowFormula>
    </tableColumn>
    <tableColumn id="9" xr3:uid="{00000000-0010-0000-0100-000009000000}" name="Tons of HHW/CEG 2016 (ReTRAC)" dataDxfId="7" totalsRowDxfId="6" dataCellStyle="Comma"/>
    <tableColumn id="16" xr3:uid="{00000000-0010-0000-0100-000010000000}" name="Particip in ReTRAC" dataDxfId="5" totalsRowDxfId="4" dataCellStyle="Comma"/>
    <tableColumn id="17" xr3:uid="{00000000-0010-0000-0100-000011000000}" name="2015 HHW/CEG Final #s" totalsRowFunction="sum" dataDxfId="3" totalsRowDxfId="2" dataCellStyle="Comma"/>
    <tableColumn id="18" xr3:uid="{00000000-0010-0000-0100-000012000000}" name="2016 projected HHW/CEG (uses 2015 where no 2016 available)" totalsRowFunction="sum" dataDxfId="1" totalsRowDxfId="0" dataCellStyle="Percent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zoomScale="80" zoomScaleNormal="80" zoomScaleSheetLayoutView="50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K23" sqref="K23"/>
    </sheetView>
  </sheetViews>
  <sheetFormatPr defaultColWidth="8.88671875" defaultRowHeight="13.2" x14ac:dyDescent="0.25"/>
  <cols>
    <col min="1" max="1" width="13.6640625" style="27" customWidth="1"/>
    <col min="2" max="2" width="13.33203125" style="27" customWidth="1"/>
    <col min="3" max="3" width="11.33203125" style="27" customWidth="1"/>
    <col min="4" max="4" width="44.44140625" style="27" customWidth="1"/>
    <col min="5" max="9" width="13.5546875" style="30" customWidth="1"/>
    <col min="10" max="15" width="11.88671875" style="31" customWidth="1"/>
    <col min="16" max="17" width="20" style="28" customWidth="1"/>
    <col min="18" max="22" width="20" style="25" customWidth="1"/>
    <col min="23" max="23" width="16.109375" style="26" customWidth="1"/>
    <col min="24" max="24" width="13.33203125" style="26" customWidth="1"/>
    <col min="25" max="25" width="9.6640625" style="26" customWidth="1"/>
    <col min="26" max="26" width="10.109375" style="26" customWidth="1"/>
    <col min="27" max="27" width="55.44140625" style="29" customWidth="1"/>
    <col min="28" max="250" width="20" style="27" customWidth="1"/>
    <col min="251" max="16384" width="8.88671875" style="27"/>
  </cols>
  <sheetData>
    <row r="1" spans="1:33" s="1" customFormat="1" x14ac:dyDescent="0.35">
      <c r="A1" s="24"/>
      <c r="B1" s="24"/>
      <c r="C1" s="24"/>
      <c r="D1" s="24"/>
      <c r="E1" s="150" t="s">
        <v>33</v>
      </c>
      <c r="F1" s="151"/>
      <c r="G1" s="151"/>
      <c r="H1" s="151"/>
      <c r="I1" s="152"/>
      <c r="J1" s="153" t="s">
        <v>39</v>
      </c>
      <c r="K1" s="154"/>
      <c r="L1" s="154"/>
      <c r="M1" s="154"/>
      <c r="N1" s="154"/>
      <c r="O1" s="155"/>
      <c r="P1" s="156" t="s">
        <v>42</v>
      </c>
      <c r="Q1" s="157"/>
      <c r="R1" s="158" t="s">
        <v>45</v>
      </c>
      <c r="S1" s="159"/>
      <c r="T1" s="159"/>
      <c r="U1" s="159"/>
      <c r="V1" s="160"/>
      <c r="W1" s="161" t="s">
        <v>50</v>
      </c>
      <c r="X1" s="162"/>
      <c r="Y1" s="162"/>
      <c r="Z1" s="162"/>
      <c r="AA1" s="163"/>
    </row>
    <row r="2" spans="1:33" s="1" customFormat="1" ht="198" x14ac:dyDescent="0.35">
      <c r="A2" s="24" t="s">
        <v>0</v>
      </c>
      <c r="B2" s="24" t="s">
        <v>54</v>
      </c>
      <c r="C2" s="24" t="s">
        <v>55</v>
      </c>
      <c r="D2" s="24" t="s">
        <v>1</v>
      </c>
      <c r="E2" s="32" t="s">
        <v>34</v>
      </c>
      <c r="F2" s="33" t="s">
        <v>35</v>
      </c>
      <c r="G2" s="33" t="s">
        <v>36</v>
      </c>
      <c r="H2" s="33" t="s">
        <v>37</v>
      </c>
      <c r="I2" s="34" t="s">
        <v>38</v>
      </c>
      <c r="J2" s="35" t="s">
        <v>62</v>
      </c>
      <c r="K2" s="36" t="s">
        <v>63</v>
      </c>
      <c r="L2" s="36" t="s">
        <v>40</v>
      </c>
      <c r="M2" s="36" t="s">
        <v>41</v>
      </c>
      <c r="N2" s="36" t="s">
        <v>64</v>
      </c>
      <c r="O2" s="37" t="s">
        <v>65</v>
      </c>
      <c r="P2" s="38" t="s">
        <v>43</v>
      </c>
      <c r="Q2" s="39" t="s">
        <v>44</v>
      </c>
      <c r="R2" s="3" t="s">
        <v>66</v>
      </c>
      <c r="S2" s="4" t="s">
        <v>51</v>
      </c>
      <c r="T2" s="4" t="s">
        <v>52</v>
      </c>
      <c r="U2" s="4" t="s">
        <v>53</v>
      </c>
      <c r="V2" s="5" t="s">
        <v>2</v>
      </c>
      <c r="W2" s="6" t="s">
        <v>46</v>
      </c>
      <c r="X2" s="7" t="s">
        <v>47</v>
      </c>
      <c r="Y2" s="7" t="s">
        <v>48</v>
      </c>
      <c r="Z2" s="7" t="s">
        <v>3</v>
      </c>
      <c r="AA2" s="8" t="s">
        <v>4</v>
      </c>
    </row>
    <row r="3" spans="1:33" s="24" customFormat="1" ht="13.8" x14ac:dyDescent="0.35">
      <c r="A3" s="1">
        <v>6129508531</v>
      </c>
      <c r="B3" s="2">
        <v>42818.660208333335</v>
      </c>
      <c r="C3" s="2">
        <v>42818.760127314818</v>
      </c>
      <c r="D3" s="1" t="s">
        <v>7</v>
      </c>
      <c r="E3" s="63">
        <v>58038</v>
      </c>
      <c r="F3" s="64">
        <v>23539</v>
      </c>
      <c r="G3" s="64">
        <v>3779</v>
      </c>
      <c r="H3" s="64">
        <v>18169</v>
      </c>
      <c r="I3" s="65">
        <v>1792</v>
      </c>
      <c r="J3" s="18"/>
      <c r="K3" s="19"/>
      <c r="L3" s="19"/>
      <c r="M3" s="19"/>
      <c r="N3" s="19"/>
      <c r="O3" s="20"/>
      <c r="P3" s="14">
        <v>2264</v>
      </c>
      <c r="Q3" s="15">
        <v>85</v>
      </c>
      <c r="R3" s="10" t="s">
        <v>49</v>
      </c>
      <c r="S3" s="11"/>
      <c r="T3" s="11"/>
      <c r="U3" s="11"/>
      <c r="V3" s="66"/>
      <c r="W3" s="51"/>
      <c r="X3" s="52"/>
      <c r="Y3" s="52"/>
      <c r="Z3" s="52" t="s">
        <v>49</v>
      </c>
      <c r="AA3" s="8"/>
      <c r="AB3" s="61"/>
      <c r="AC3" s="61"/>
      <c r="AD3" s="61"/>
      <c r="AE3" s="61"/>
      <c r="AF3" s="61"/>
      <c r="AG3" s="61"/>
    </row>
    <row r="4" spans="1:33" s="24" customFormat="1" ht="52.8" x14ac:dyDescent="0.35">
      <c r="A4" s="1">
        <v>6116587571</v>
      </c>
      <c r="B4" s="2">
        <v>42807.764513888891</v>
      </c>
      <c r="C4" s="2">
        <v>42807.798252314817</v>
      </c>
      <c r="D4" s="1" t="s">
        <v>25</v>
      </c>
      <c r="E4" s="63"/>
      <c r="F4" s="64"/>
      <c r="G4" s="64"/>
      <c r="H4" s="64"/>
      <c r="I4" s="65"/>
      <c r="J4" s="18">
        <v>11250</v>
      </c>
      <c r="K4" s="19">
        <v>24342</v>
      </c>
      <c r="L4" s="19">
        <v>5073</v>
      </c>
      <c r="M4" s="19">
        <v>500</v>
      </c>
      <c r="N4" s="19">
        <v>2000</v>
      </c>
      <c r="O4" s="20"/>
      <c r="P4" s="14">
        <v>398</v>
      </c>
      <c r="Q4" s="15">
        <v>1</v>
      </c>
      <c r="R4" s="10"/>
      <c r="S4" s="11"/>
      <c r="T4" s="11" t="s">
        <v>49</v>
      </c>
      <c r="U4" s="11"/>
      <c r="V4" s="66" t="s">
        <v>26</v>
      </c>
      <c r="W4" s="51" t="s">
        <v>49</v>
      </c>
      <c r="X4" s="52" t="s">
        <v>49</v>
      </c>
      <c r="Y4" s="52" t="s">
        <v>49</v>
      </c>
      <c r="Z4" s="52"/>
      <c r="AA4" s="8" t="s">
        <v>27</v>
      </c>
      <c r="AB4" s="61"/>
      <c r="AC4" s="61"/>
      <c r="AD4" s="61"/>
      <c r="AE4" s="61"/>
      <c r="AF4" s="61"/>
      <c r="AG4" s="61"/>
    </row>
    <row r="5" spans="1:33" s="1" customFormat="1" ht="13.8" x14ac:dyDescent="0.35">
      <c r="A5" s="1">
        <v>6137883015</v>
      </c>
      <c r="B5" s="2">
        <v>42825.658599537041</v>
      </c>
      <c r="C5" s="2">
        <v>42825.675717592596</v>
      </c>
      <c r="D5" s="1" t="s">
        <v>61</v>
      </c>
      <c r="E5" s="63"/>
      <c r="F5" s="64"/>
      <c r="G5" s="64"/>
      <c r="H5" s="64"/>
      <c r="I5" s="65"/>
      <c r="J5" s="18">
        <v>15678</v>
      </c>
      <c r="K5" s="19">
        <v>24376</v>
      </c>
      <c r="L5" s="19">
        <v>10225</v>
      </c>
      <c r="M5" s="19">
        <v>565</v>
      </c>
      <c r="N5" s="19">
        <v>6446</v>
      </c>
      <c r="O5" s="20">
        <v>630</v>
      </c>
      <c r="P5" s="14">
        <v>348</v>
      </c>
      <c r="Q5" s="55">
        <v>3</v>
      </c>
      <c r="R5" s="10"/>
      <c r="S5" s="11"/>
      <c r="T5" s="11" t="s">
        <v>49</v>
      </c>
      <c r="U5" s="11"/>
      <c r="V5" s="66">
        <v>5</v>
      </c>
      <c r="W5" s="51"/>
      <c r="X5" s="52" t="s">
        <v>49</v>
      </c>
      <c r="Y5" s="52"/>
      <c r="Z5" s="52"/>
      <c r="AA5" s="8"/>
      <c r="AB5" s="62"/>
      <c r="AC5" s="62"/>
      <c r="AD5" s="62"/>
      <c r="AE5" s="62"/>
      <c r="AF5" s="62"/>
      <c r="AG5" s="62"/>
    </row>
    <row r="6" spans="1:33" s="24" customFormat="1" ht="13.8" x14ac:dyDescent="0.35">
      <c r="A6" s="1">
        <v>6114427317</v>
      </c>
      <c r="B6" s="2">
        <v>42804.782048611109</v>
      </c>
      <c r="C6" s="2">
        <v>42818.558020833334</v>
      </c>
      <c r="D6" s="1" t="s">
        <v>30</v>
      </c>
      <c r="E6" s="63">
        <v>349691</v>
      </c>
      <c r="F6" s="64">
        <v>107524</v>
      </c>
      <c r="G6" s="64">
        <v>6200</v>
      </c>
      <c r="H6" s="64">
        <v>175000</v>
      </c>
      <c r="I6" s="65">
        <v>9642</v>
      </c>
      <c r="J6" s="18"/>
      <c r="K6" s="19"/>
      <c r="L6" s="19"/>
      <c r="M6" s="19"/>
      <c r="N6" s="19"/>
      <c r="O6" s="20"/>
      <c r="P6" s="14">
        <v>10135</v>
      </c>
      <c r="Q6" s="15">
        <v>715</v>
      </c>
      <c r="R6" s="10" t="s">
        <v>49</v>
      </c>
      <c r="S6" s="11"/>
      <c r="T6" s="11" t="s">
        <v>49</v>
      </c>
      <c r="U6" s="11"/>
      <c r="V6" s="66">
        <v>16</v>
      </c>
      <c r="W6" s="51"/>
      <c r="X6" s="52"/>
      <c r="Y6" s="52"/>
      <c r="Z6" s="52" t="s">
        <v>49</v>
      </c>
      <c r="AA6" s="8"/>
      <c r="AB6" s="61"/>
      <c r="AC6" s="61"/>
      <c r="AD6" s="61"/>
      <c r="AE6" s="61"/>
      <c r="AF6" s="61"/>
      <c r="AG6" s="61"/>
    </row>
    <row r="7" spans="1:33" s="1" customFormat="1" ht="26.4" x14ac:dyDescent="0.35">
      <c r="A7" s="24">
        <v>6121756519</v>
      </c>
      <c r="B7" s="40">
        <v>42811.665196759262</v>
      </c>
      <c r="C7" s="40">
        <v>42811.669560185182</v>
      </c>
      <c r="D7" s="24" t="s">
        <v>19</v>
      </c>
      <c r="E7" s="57"/>
      <c r="F7" s="58"/>
      <c r="G7" s="58"/>
      <c r="H7" s="58"/>
      <c r="I7" s="59"/>
      <c r="J7" s="18">
        <v>1750</v>
      </c>
      <c r="K7" s="42">
        <v>14818.5</v>
      </c>
      <c r="L7" s="19">
        <v>2000</v>
      </c>
      <c r="M7" s="19">
        <v>25</v>
      </c>
      <c r="N7" s="19">
        <v>482</v>
      </c>
      <c r="O7" s="43">
        <v>0</v>
      </c>
      <c r="P7" s="44">
        <v>256</v>
      </c>
      <c r="Q7" s="45">
        <v>5</v>
      </c>
      <c r="R7" s="46"/>
      <c r="S7" s="47"/>
      <c r="T7" s="47"/>
      <c r="U7" s="47" t="s">
        <v>49</v>
      </c>
      <c r="V7" s="60">
        <v>2</v>
      </c>
      <c r="W7" s="49" t="s">
        <v>49</v>
      </c>
      <c r="X7" s="50" t="s">
        <v>49</v>
      </c>
      <c r="Y7" s="50"/>
      <c r="Z7" s="50"/>
      <c r="AA7" s="48"/>
      <c r="AB7" s="62"/>
      <c r="AC7" s="62"/>
      <c r="AD7" s="62"/>
      <c r="AE7" s="62"/>
      <c r="AF7" s="62"/>
      <c r="AG7" s="62"/>
    </row>
    <row r="8" spans="1:33" s="1" customFormat="1" ht="26.4" x14ac:dyDescent="0.35">
      <c r="A8" s="24">
        <v>6123652848</v>
      </c>
      <c r="B8" s="40">
        <v>42814.589178240742</v>
      </c>
      <c r="C8" s="40">
        <v>42814.592916666668</v>
      </c>
      <c r="D8" s="24" t="s">
        <v>81</v>
      </c>
      <c r="E8" s="57"/>
      <c r="F8" s="58"/>
      <c r="G8" s="58"/>
      <c r="H8" s="58"/>
      <c r="I8" s="59"/>
      <c r="J8" s="41">
        <v>656</v>
      </c>
      <c r="K8" s="42">
        <v>4965</v>
      </c>
      <c r="L8" s="42">
        <v>2000</v>
      </c>
      <c r="M8" s="42">
        <v>150</v>
      </c>
      <c r="N8" s="19">
        <v>100</v>
      </c>
      <c r="O8" s="43">
        <v>0</v>
      </c>
      <c r="P8" s="44">
        <v>71</v>
      </c>
      <c r="Q8" s="56">
        <v>0</v>
      </c>
      <c r="R8" s="46"/>
      <c r="S8" s="47"/>
      <c r="T8" s="47" t="s">
        <v>49</v>
      </c>
      <c r="U8" s="47"/>
      <c r="V8" s="60">
        <v>2</v>
      </c>
      <c r="W8" s="49"/>
      <c r="X8" s="50"/>
      <c r="Y8" s="50"/>
      <c r="Z8" s="50"/>
      <c r="AA8" s="48" t="s">
        <v>18</v>
      </c>
      <c r="AB8" s="62"/>
      <c r="AC8" s="62"/>
      <c r="AD8" s="62"/>
      <c r="AE8" s="62"/>
      <c r="AF8" s="62"/>
      <c r="AG8" s="62"/>
    </row>
    <row r="9" spans="1:33" s="1" customFormat="1" ht="13.8" x14ac:dyDescent="0.35">
      <c r="A9" s="1">
        <v>6114377624</v>
      </c>
      <c r="B9" s="2">
        <v>42804.749918981484</v>
      </c>
      <c r="C9" s="2">
        <v>42804.779050925928</v>
      </c>
      <c r="D9" s="1" t="s">
        <v>31</v>
      </c>
      <c r="E9" s="63"/>
      <c r="F9" s="64"/>
      <c r="G9" s="64"/>
      <c r="H9" s="64"/>
      <c r="I9" s="65"/>
      <c r="J9" s="18">
        <v>1500</v>
      </c>
      <c r="K9" s="19">
        <v>14682</v>
      </c>
      <c r="L9" s="19">
        <v>5650</v>
      </c>
      <c r="M9" s="19">
        <v>1580</v>
      </c>
      <c r="N9" s="19">
        <v>8542</v>
      </c>
      <c r="O9" s="20">
        <v>225</v>
      </c>
      <c r="P9" s="14">
        <v>594</v>
      </c>
      <c r="Q9" s="15">
        <v>19</v>
      </c>
      <c r="R9" s="10"/>
      <c r="S9" s="11"/>
      <c r="T9" s="11" t="s">
        <v>49</v>
      </c>
      <c r="U9" s="11" t="s">
        <v>49</v>
      </c>
      <c r="V9" s="66">
        <v>3</v>
      </c>
      <c r="W9" s="51" t="s">
        <v>49</v>
      </c>
      <c r="X9" s="52" t="s">
        <v>49</v>
      </c>
      <c r="Y9" s="52"/>
      <c r="Z9" s="52"/>
      <c r="AA9" s="8"/>
      <c r="AB9" s="62"/>
      <c r="AC9" s="62"/>
      <c r="AD9" s="62"/>
      <c r="AE9" s="62"/>
      <c r="AF9" s="62"/>
      <c r="AG9" s="62"/>
    </row>
    <row r="10" spans="1:33" s="24" customFormat="1" ht="13.8" x14ac:dyDescent="0.35">
      <c r="A10" s="24">
        <v>6133997551</v>
      </c>
      <c r="B10" s="40">
        <v>42822.790358796294</v>
      </c>
      <c r="C10" s="40">
        <v>42822.83017361111</v>
      </c>
      <c r="D10" s="24" t="s">
        <v>76</v>
      </c>
      <c r="E10" s="57"/>
      <c r="F10" s="58"/>
      <c r="G10" s="58"/>
      <c r="H10" s="58"/>
      <c r="I10" s="59"/>
      <c r="J10" s="41">
        <v>292</v>
      </c>
      <c r="K10" s="42">
        <v>300</v>
      </c>
      <c r="L10" s="42"/>
      <c r="M10" s="42">
        <v>990</v>
      </c>
      <c r="N10" s="42"/>
      <c r="O10" s="43"/>
      <c r="P10" s="44">
        <v>6</v>
      </c>
      <c r="Q10" s="45">
        <v>0</v>
      </c>
      <c r="R10" s="46"/>
      <c r="S10" s="47"/>
      <c r="T10" s="47" t="s">
        <v>49</v>
      </c>
      <c r="U10" s="47"/>
      <c r="V10" s="60">
        <v>2</v>
      </c>
      <c r="W10" s="49"/>
      <c r="X10" s="50"/>
      <c r="Y10" s="50"/>
      <c r="Z10" s="50" t="s">
        <v>49</v>
      </c>
      <c r="AA10" s="48"/>
      <c r="AB10" s="61"/>
      <c r="AC10" s="61"/>
      <c r="AD10" s="61"/>
      <c r="AE10" s="61"/>
      <c r="AF10" s="61"/>
      <c r="AG10" s="61"/>
    </row>
    <row r="11" spans="1:33" s="1" customFormat="1" ht="13.8" x14ac:dyDescent="0.35">
      <c r="A11" s="1">
        <v>6131990144</v>
      </c>
      <c r="B11" s="2">
        <v>42821.534189814818</v>
      </c>
      <c r="C11" s="2">
        <v>42821.557962962965</v>
      </c>
      <c r="D11" s="1" t="s">
        <v>79</v>
      </c>
      <c r="E11" s="57"/>
      <c r="F11" s="58"/>
      <c r="G11" s="58"/>
      <c r="H11" s="58"/>
      <c r="I11" s="59"/>
      <c r="J11" s="18">
        <v>162</v>
      </c>
      <c r="K11" s="19">
        <v>1150</v>
      </c>
      <c r="L11" s="19">
        <v>0</v>
      </c>
      <c r="M11" s="19">
        <v>0</v>
      </c>
      <c r="N11" s="19">
        <v>1017</v>
      </c>
      <c r="O11" s="20">
        <v>0</v>
      </c>
      <c r="P11" s="14">
        <v>18</v>
      </c>
      <c r="Q11" s="15">
        <v>0</v>
      </c>
      <c r="R11" s="10"/>
      <c r="S11" s="11"/>
      <c r="T11" s="11"/>
      <c r="U11" s="11" t="s">
        <v>49</v>
      </c>
      <c r="V11" s="66">
        <v>2</v>
      </c>
      <c r="W11" s="51"/>
      <c r="X11" s="52" t="s">
        <v>49</v>
      </c>
      <c r="Y11" s="52"/>
      <c r="Z11" s="52"/>
      <c r="AA11" s="8"/>
      <c r="AB11" s="62"/>
      <c r="AC11" s="62"/>
      <c r="AD11" s="62"/>
      <c r="AE11" s="62"/>
      <c r="AF11" s="62"/>
      <c r="AG11" s="62"/>
    </row>
    <row r="12" spans="1:33" s="1" customFormat="1" ht="52.8" x14ac:dyDescent="0.35">
      <c r="A12" s="1">
        <v>6116523700</v>
      </c>
      <c r="B12" s="2">
        <v>42807.632951388892</v>
      </c>
      <c r="C12" s="2">
        <v>42807.738298611112</v>
      </c>
      <c r="D12" s="1" t="s">
        <v>28</v>
      </c>
      <c r="E12" s="63"/>
      <c r="F12" s="64"/>
      <c r="G12" s="64"/>
      <c r="H12" s="64"/>
      <c r="I12" s="65"/>
      <c r="J12" s="18">
        <v>9690</v>
      </c>
      <c r="K12" s="19">
        <v>24626</v>
      </c>
      <c r="L12" s="19">
        <v>6300</v>
      </c>
      <c r="M12" s="19">
        <v>0</v>
      </c>
      <c r="N12" s="19">
        <v>7460</v>
      </c>
      <c r="O12" s="20">
        <v>760</v>
      </c>
      <c r="P12" s="14">
        <v>544</v>
      </c>
      <c r="Q12" s="15">
        <v>35</v>
      </c>
      <c r="R12" s="10"/>
      <c r="S12" s="11"/>
      <c r="T12" s="11" t="s">
        <v>49</v>
      </c>
      <c r="U12" s="11"/>
      <c r="V12" s="66" t="s">
        <v>89</v>
      </c>
      <c r="W12" s="51"/>
      <c r="X12" s="52"/>
      <c r="Y12" s="52"/>
      <c r="Z12" s="52" t="s">
        <v>49</v>
      </c>
      <c r="AA12" s="8"/>
      <c r="AB12" s="62"/>
      <c r="AC12" s="62"/>
      <c r="AD12" s="62"/>
      <c r="AE12" s="62"/>
      <c r="AF12" s="62"/>
      <c r="AG12" s="62"/>
    </row>
    <row r="13" spans="1:33" s="1" customFormat="1" ht="13.8" x14ac:dyDescent="0.35">
      <c r="A13" s="1">
        <v>6121667298</v>
      </c>
      <c r="B13" s="2">
        <v>42811.597430555557</v>
      </c>
      <c r="C13" s="2">
        <v>42811.620254629626</v>
      </c>
      <c r="D13" s="1" t="s">
        <v>20</v>
      </c>
      <c r="E13" s="57"/>
      <c r="F13" s="58"/>
      <c r="G13" s="58"/>
      <c r="H13" s="58"/>
      <c r="I13" s="59"/>
      <c r="J13" s="18">
        <v>250</v>
      </c>
      <c r="K13" s="19">
        <v>10386</v>
      </c>
      <c r="L13" s="19">
        <v>2884</v>
      </c>
      <c r="M13" s="19">
        <v>500</v>
      </c>
      <c r="N13" s="19">
        <v>1660</v>
      </c>
      <c r="O13" s="20">
        <v>0</v>
      </c>
      <c r="P13" s="14">
        <v>124</v>
      </c>
      <c r="Q13" s="15">
        <v>0</v>
      </c>
      <c r="R13" s="10"/>
      <c r="S13" s="11"/>
      <c r="T13" s="11"/>
      <c r="U13" s="11" t="s">
        <v>49</v>
      </c>
      <c r="V13" s="66" t="s">
        <v>21</v>
      </c>
      <c r="W13" s="51"/>
      <c r="X13" s="52"/>
      <c r="Y13" s="52"/>
      <c r="Z13" s="52" t="s">
        <v>49</v>
      </c>
      <c r="AA13" s="8"/>
      <c r="AB13" s="62"/>
      <c r="AC13" s="62"/>
      <c r="AD13" s="62"/>
      <c r="AE13" s="62"/>
      <c r="AF13" s="62"/>
      <c r="AG13" s="62"/>
    </row>
    <row r="14" spans="1:33" s="24" customFormat="1" ht="13.8" x14ac:dyDescent="0.35">
      <c r="A14" s="1">
        <v>6116205447</v>
      </c>
      <c r="B14" s="2">
        <v>42807.523402777777</v>
      </c>
      <c r="C14" s="2">
        <v>42807.567002314812</v>
      </c>
      <c r="D14" s="1" t="s">
        <v>29</v>
      </c>
      <c r="E14" s="63">
        <v>8000</v>
      </c>
      <c r="F14" s="64">
        <v>30000</v>
      </c>
      <c r="G14" s="64">
        <v>1000</v>
      </c>
      <c r="H14" s="64">
        <v>4000</v>
      </c>
      <c r="I14" s="65">
        <v>1500</v>
      </c>
      <c r="J14" s="18">
        <v>46500</v>
      </c>
      <c r="K14" s="19">
        <v>0</v>
      </c>
      <c r="L14" s="19">
        <v>0</v>
      </c>
      <c r="M14" s="19">
        <v>0</v>
      </c>
      <c r="N14" s="19">
        <v>0</v>
      </c>
      <c r="O14" s="20">
        <v>0</v>
      </c>
      <c r="P14" s="14">
        <v>3914</v>
      </c>
      <c r="Q14" s="15">
        <v>2</v>
      </c>
      <c r="R14" s="10"/>
      <c r="S14" s="11" t="s">
        <v>49</v>
      </c>
      <c r="T14" s="11" t="s">
        <v>49</v>
      </c>
      <c r="U14" s="11"/>
      <c r="V14" s="66">
        <v>10</v>
      </c>
      <c r="W14" s="51"/>
      <c r="X14" s="52"/>
      <c r="Y14" s="52"/>
      <c r="Z14" s="52" t="s">
        <v>49</v>
      </c>
      <c r="AA14" s="8"/>
      <c r="AB14" s="61"/>
      <c r="AC14" s="61"/>
      <c r="AD14" s="61"/>
      <c r="AE14" s="61"/>
      <c r="AF14" s="61"/>
      <c r="AG14" s="61"/>
    </row>
    <row r="15" spans="1:33" s="24" customFormat="1" ht="92.4" x14ac:dyDescent="0.35">
      <c r="A15" s="1">
        <v>6129384349</v>
      </c>
      <c r="B15" s="2">
        <v>42818.675844907404</v>
      </c>
      <c r="C15" s="2">
        <v>42818.698055555556</v>
      </c>
      <c r="D15" s="1" t="s">
        <v>82</v>
      </c>
      <c r="E15" s="63">
        <v>37905</v>
      </c>
      <c r="F15" s="64">
        <v>38529</v>
      </c>
      <c r="G15" s="64">
        <v>1098</v>
      </c>
      <c r="H15" s="64">
        <v>18173</v>
      </c>
      <c r="I15" s="65">
        <v>2200</v>
      </c>
      <c r="J15" s="18">
        <v>5386</v>
      </c>
      <c r="K15" s="19"/>
      <c r="L15" s="19">
        <v>0</v>
      </c>
      <c r="M15" s="19">
        <v>360</v>
      </c>
      <c r="N15" s="19"/>
      <c r="O15" s="20"/>
      <c r="P15" s="14">
        <v>1342</v>
      </c>
      <c r="Q15" s="15">
        <v>25</v>
      </c>
      <c r="R15" s="10" t="s">
        <v>49</v>
      </c>
      <c r="S15" s="11"/>
      <c r="T15" s="11" t="s">
        <v>49</v>
      </c>
      <c r="U15" s="11"/>
      <c r="V15" s="66">
        <v>6</v>
      </c>
      <c r="W15" s="51"/>
      <c r="X15" s="52"/>
      <c r="Y15" s="52"/>
      <c r="Z15" s="52"/>
      <c r="AA15" s="8" t="s">
        <v>8</v>
      </c>
      <c r="AB15" s="61"/>
      <c r="AC15" s="61"/>
      <c r="AD15" s="61"/>
      <c r="AE15" s="61"/>
      <c r="AF15" s="61"/>
      <c r="AG15" s="61"/>
    </row>
    <row r="16" spans="1:33" s="1" customFormat="1" ht="13.8" x14ac:dyDescent="0.35">
      <c r="A16" s="24">
        <v>6129655005</v>
      </c>
      <c r="B16" s="40">
        <v>42818.83997685185</v>
      </c>
      <c r="C16" s="40">
        <v>42818.850138888891</v>
      </c>
      <c r="D16" s="24" t="s">
        <v>5</v>
      </c>
      <c r="E16" s="57">
        <v>96392</v>
      </c>
      <c r="F16" s="58">
        <v>84847</v>
      </c>
      <c r="G16" s="58">
        <v>3000</v>
      </c>
      <c r="H16" s="58">
        <v>14782</v>
      </c>
      <c r="I16" s="59">
        <v>2697</v>
      </c>
      <c r="J16" s="41">
        <v>6602</v>
      </c>
      <c r="K16" s="42">
        <v>5811</v>
      </c>
      <c r="L16" s="42">
        <v>0</v>
      </c>
      <c r="M16" s="42">
        <v>0</v>
      </c>
      <c r="N16" s="42">
        <v>312</v>
      </c>
      <c r="O16" s="43">
        <v>185</v>
      </c>
      <c r="P16" s="44">
        <v>2666</v>
      </c>
      <c r="Q16" s="45">
        <v>111</v>
      </c>
      <c r="R16" s="46" t="s">
        <v>49</v>
      </c>
      <c r="S16" s="47"/>
      <c r="T16" s="47" t="s">
        <v>49</v>
      </c>
      <c r="U16" s="47"/>
      <c r="V16" s="60">
        <v>20</v>
      </c>
      <c r="W16" s="49"/>
      <c r="X16" s="50"/>
      <c r="Y16" s="50"/>
      <c r="Z16" s="50"/>
      <c r="AA16" s="48" t="s">
        <v>6</v>
      </c>
      <c r="AB16" s="62"/>
      <c r="AC16" s="62"/>
      <c r="AD16" s="62"/>
      <c r="AE16" s="62"/>
      <c r="AF16" s="62"/>
      <c r="AG16" s="62"/>
    </row>
    <row r="17" spans="1:33" s="24" customFormat="1" ht="13.8" x14ac:dyDescent="0.35">
      <c r="A17" s="1">
        <v>6128183775</v>
      </c>
      <c r="B17" s="2">
        <v>42817.732395833336</v>
      </c>
      <c r="C17" s="2">
        <v>42817.738958333335</v>
      </c>
      <c r="D17" s="1" t="s">
        <v>12</v>
      </c>
      <c r="E17" s="63"/>
      <c r="F17" s="64"/>
      <c r="G17" s="64"/>
      <c r="H17" s="64"/>
      <c r="I17" s="65"/>
      <c r="J17" s="18">
        <v>10000</v>
      </c>
      <c r="K17" s="19">
        <v>0</v>
      </c>
      <c r="L17" s="19">
        <v>0</v>
      </c>
      <c r="M17" s="19">
        <v>0</v>
      </c>
      <c r="N17" s="19">
        <v>2500</v>
      </c>
      <c r="O17" s="20">
        <v>1000</v>
      </c>
      <c r="P17" s="14">
        <v>271</v>
      </c>
      <c r="Q17" s="15">
        <v>10</v>
      </c>
      <c r="R17" s="10" t="s">
        <v>49</v>
      </c>
      <c r="S17" s="11"/>
      <c r="T17" s="11"/>
      <c r="U17" s="11"/>
      <c r="V17" s="66">
        <v>11</v>
      </c>
      <c r="W17" s="51"/>
      <c r="X17" s="52" t="s">
        <v>49</v>
      </c>
      <c r="Y17" s="52"/>
      <c r="Z17" s="52"/>
      <c r="AA17" s="8" t="s">
        <v>13</v>
      </c>
      <c r="AB17" s="61"/>
      <c r="AC17" s="61"/>
      <c r="AD17" s="61"/>
      <c r="AE17" s="61"/>
      <c r="AF17" s="61"/>
      <c r="AG17" s="61"/>
    </row>
    <row r="18" spans="1:33" s="1" customFormat="1" ht="39.6" x14ac:dyDescent="0.35">
      <c r="A18" s="1">
        <v>6125536233</v>
      </c>
      <c r="B18" s="2">
        <v>42815.865057870367</v>
      </c>
      <c r="C18" s="2">
        <v>42815.870752314811</v>
      </c>
      <c r="D18" s="1" t="s">
        <v>16</v>
      </c>
      <c r="E18" s="63"/>
      <c r="F18" s="64"/>
      <c r="G18" s="64"/>
      <c r="H18" s="64"/>
      <c r="I18" s="65"/>
      <c r="J18" s="18">
        <v>5369</v>
      </c>
      <c r="K18" s="19">
        <v>36020</v>
      </c>
      <c r="L18" s="19">
        <v>9750</v>
      </c>
      <c r="M18" s="19">
        <v>1200</v>
      </c>
      <c r="N18" s="19">
        <v>1700</v>
      </c>
      <c r="O18" s="20">
        <v>0</v>
      </c>
      <c r="P18" s="14">
        <v>511</v>
      </c>
      <c r="Q18" s="15">
        <v>4</v>
      </c>
      <c r="R18" s="10"/>
      <c r="S18" s="11"/>
      <c r="T18" s="11" t="s">
        <v>49</v>
      </c>
      <c r="U18" s="11"/>
      <c r="V18" s="66" t="s">
        <v>17</v>
      </c>
      <c r="W18" s="51"/>
      <c r="X18" s="52" t="s">
        <v>49</v>
      </c>
      <c r="Y18" s="52"/>
      <c r="Z18" s="52"/>
      <c r="AA18" s="8"/>
      <c r="AB18" s="62"/>
      <c r="AC18" s="62"/>
      <c r="AD18" s="62"/>
      <c r="AE18" s="62"/>
      <c r="AF18" s="62"/>
      <c r="AG18" s="62"/>
    </row>
    <row r="19" spans="1:33" s="1" customFormat="1" ht="13.8" x14ac:dyDescent="0.35">
      <c r="A19" s="79" t="s">
        <v>56</v>
      </c>
      <c r="B19" s="40"/>
      <c r="C19" s="40">
        <v>42824</v>
      </c>
      <c r="D19" s="24" t="s">
        <v>80</v>
      </c>
      <c r="E19" s="57"/>
      <c r="F19" s="58"/>
      <c r="G19" s="58"/>
      <c r="H19" s="58"/>
      <c r="I19" s="59"/>
      <c r="J19" s="41"/>
      <c r="K19" s="42">
        <v>8116</v>
      </c>
      <c r="L19" s="42">
        <v>6300</v>
      </c>
      <c r="M19" s="42"/>
      <c r="N19" s="42"/>
      <c r="O19" s="43"/>
      <c r="P19" s="44">
        <v>146</v>
      </c>
      <c r="Q19" s="45">
        <v>17</v>
      </c>
      <c r="R19" s="46"/>
      <c r="S19" s="47"/>
      <c r="T19" s="47"/>
      <c r="U19" s="47"/>
      <c r="V19" s="60">
        <v>2</v>
      </c>
      <c r="W19" s="49"/>
      <c r="X19" s="50"/>
      <c r="Y19" s="50"/>
      <c r="Z19" s="50"/>
      <c r="AA19" s="48"/>
      <c r="AB19" s="62"/>
      <c r="AC19" s="62"/>
      <c r="AD19" s="62"/>
      <c r="AE19" s="62"/>
      <c r="AF19" s="62"/>
      <c r="AG19" s="62"/>
    </row>
    <row r="20" spans="1:33" s="1" customFormat="1" ht="13.8" x14ac:dyDescent="0.35">
      <c r="A20" s="1">
        <v>6114338048</v>
      </c>
      <c r="B20" s="2">
        <v>42804.716377314813</v>
      </c>
      <c r="C20" s="2">
        <v>42804.731932870367</v>
      </c>
      <c r="D20" s="1" t="s">
        <v>32</v>
      </c>
      <c r="E20" s="63"/>
      <c r="F20" s="64"/>
      <c r="G20" s="64"/>
      <c r="H20" s="64"/>
      <c r="I20" s="65"/>
      <c r="J20" s="18">
        <v>300</v>
      </c>
      <c r="K20" s="19">
        <v>8081</v>
      </c>
      <c r="L20" s="19">
        <v>9462</v>
      </c>
      <c r="M20" s="19">
        <v>730</v>
      </c>
      <c r="N20" s="19">
        <v>950</v>
      </c>
      <c r="O20" s="20">
        <v>0</v>
      </c>
      <c r="P20" s="14">
        <v>169</v>
      </c>
      <c r="Q20" s="15">
        <v>2</v>
      </c>
      <c r="R20" s="10" t="s">
        <v>49</v>
      </c>
      <c r="S20" s="11"/>
      <c r="T20" s="11" t="s">
        <v>49</v>
      </c>
      <c r="U20" s="11"/>
      <c r="V20" s="66">
        <v>2</v>
      </c>
      <c r="W20" s="51"/>
      <c r="X20" s="52"/>
      <c r="Y20" s="52"/>
      <c r="Z20" s="52" t="s">
        <v>49</v>
      </c>
      <c r="AA20" s="8"/>
      <c r="AB20" s="62"/>
      <c r="AC20" s="62"/>
      <c r="AD20" s="62"/>
      <c r="AE20" s="62"/>
      <c r="AF20" s="62"/>
      <c r="AG20" s="62"/>
    </row>
    <row r="21" spans="1:33" s="1" customFormat="1" ht="13.8" x14ac:dyDescent="0.35">
      <c r="A21" s="1">
        <v>6117403855</v>
      </c>
      <c r="B21" s="2">
        <v>42808.538761574076</v>
      </c>
      <c r="C21" s="2">
        <v>42808.542662037034</v>
      </c>
      <c r="D21" s="1" t="s">
        <v>24</v>
      </c>
      <c r="E21" s="57"/>
      <c r="F21" s="58"/>
      <c r="G21" s="58"/>
      <c r="H21" s="58"/>
      <c r="I21" s="59"/>
      <c r="J21" s="18">
        <v>0</v>
      </c>
      <c r="K21" s="19">
        <v>9507</v>
      </c>
      <c r="L21" s="19">
        <v>0</v>
      </c>
      <c r="M21" s="19">
        <v>0</v>
      </c>
      <c r="N21" s="19">
        <v>0</v>
      </c>
      <c r="O21" s="20">
        <v>0</v>
      </c>
      <c r="P21" s="14">
        <v>83</v>
      </c>
      <c r="Q21" s="15">
        <v>0</v>
      </c>
      <c r="R21" s="10"/>
      <c r="S21" s="11"/>
      <c r="T21" s="11" t="s">
        <v>49</v>
      </c>
      <c r="U21" s="11"/>
      <c r="V21" s="66">
        <v>2</v>
      </c>
      <c r="W21" s="51"/>
      <c r="X21" s="52"/>
      <c r="Y21" s="52"/>
      <c r="Z21" s="52" t="s">
        <v>49</v>
      </c>
      <c r="AA21" s="8"/>
      <c r="AB21" s="62"/>
      <c r="AC21" s="62"/>
      <c r="AD21" s="62"/>
      <c r="AE21" s="62"/>
      <c r="AF21" s="62"/>
      <c r="AG21" s="62"/>
    </row>
    <row r="22" spans="1:33" s="1" customFormat="1" ht="39.6" x14ac:dyDescent="0.35">
      <c r="A22" s="1">
        <v>6127944243</v>
      </c>
      <c r="B22" s="2">
        <v>42817.622025462966</v>
      </c>
      <c r="C22" s="2">
        <v>42817.635162037041</v>
      </c>
      <c r="D22" s="1" t="s">
        <v>14</v>
      </c>
      <c r="E22" s="57"/>
      <c r="F22" s="58"/>
      <c r="G22" s="58"/>
      <c r="H22" s="58"/>
      <c r="I22" s="59"/>
      <c r="J22" s="18">
        <v>100</v>
      </c>
      <c r="K22" s="19">
        <v>603</v>
      </c>
      <c r="L22" s="19">
        <v>1575</v>
      </c>
      <c r="M22" s="19">
        <v>0</v>
      </c>
      <c r="N22" s="19">
        <v>180</v>
      </c>
      <c r="O22" s="20">
        <v>0</v>
      </c>
      <c r="P22" s="14">
        <v>11</v>
      </c>
      <c r="Q22" s="15">
        <v>0</v>
      </c>
      <c r="R22" s="10"/>
      <c r="S22" s="11"/>
      <c r="T22" s="11" t="s">
        <v>49</v>
      </c>
      <c r="U22" s="11" t="s">
        <v>49</v>
      </c>
      <c r="V22" s="66" t="s">
        <v>15</v>
      </c>
      <c r="W22" s="51"/>
      <c r="X22" s="52" t="s">
        <v>49</v>
      </c>
      <c r="Y22" s="52"/>
      <c r="Z22" s="52"/>
      <c r="AA22" s="8"/>
      <c r="AB22" s="62"/>
      <c r="AC22" s="62"/>
      <c r="AD22" s="62"/>
      <c r="AE22" s="62"/>
      <c r="AF22" s="62"/>
      <c r="AG22" s="62"/>
    </row>
    <row r="23" spans="1:33" s="1" customFormat="1" ht="39.6" x14ac:dyDescent="0.35">
      <c r="A23" s="24">
        <v>6128278034</v>
      </c>
      <c r="B23" s="40">
        <v>42817.752835648149</v>
      </c>
      <c r="C23" s="40">
        <v>42817.781215277777</v>
      </c>
      <c r="D23" s="24" t="s">
        <v>10</v>
      </c>
      <c r="E23" s="57"/>
      <c r="F23" s="58"/>
      <c r="G23" s="58"/>
      <c r="H23" s="58"/>
      <c r="I23" s="59"/>
      <c r="J23" s="41">
        <v>263</v>
      </c>
      <c r="K23" s="42">
        <v>3119</v>
      </c>
      <c r="L23" s="42">
        <v>990</v>
      </c>
      <c r="M23" s="42">
        <v>0</v>
      </c>
      <c r="N23" s="42">
        <v>80</v>
      </c>
      <c r="O23" s="43">
        <v>0</v>
      </c>
      <c r="P23" s="44">
        <v>22</v>
      </c>
      <c r="Q23" s="45">
        <v>6</v>
      </c>
      <c r="R23" s="46"/>
      <c r="S23" s="47" t="s">
        <v>49</v>
      </c>
      <c r="T23" s="47"/>
      <c r="U23" s="47"/>
      <c r="V23" s="60">
        <v>4</v>
      </c>
      <c r="W23" s="49"/>
      <c r="X23" s="50"/>
      <c r="Y23" s="50"/>
      <c r="Z23" s="50"/>
      <c r="AA23" s="48" t="s">
        <v>11</v>
      </c>
      <c r="AB23" s="62"/>
      <c r="AC23" s="62"/>
      <c r="AD23" s="62"/>
      <c r="AE23" s="62"/>
      <c r="AF23" s="62"/>
      <c r="AG23" s="62"/>
    </row>
    <row r="24" spans="1:33" s="24" customFormat="1" ht="13.8" x14ac:dyDescent="0.35">
      <c r="A24" s="1">
        <v>6129246091</v>
      </c>
      <c r="B24" s="2">
        <v>42818.617962962962</v>
      </c>
      <c r="C24" s="2">
        <v>42818.622858796298</v>
      </c>
      <c r="D24" s="1" t="s">
        <v>9</v>
      </c>
      <c r="E24" s="63"/>
      <c r="F24" s="64"/>
      <c r="G24" s="64"/>
      <c r="H24" s="64"/>
      <c r="I24" s="65"/>
      <c r="J24" s="18">
        <v>160</v>
      </c>
      <c r="K24" s="19">
        <v>6800</v>
      </c>
      <c r="L24" s="19"/>
      <c r="M24" s="19">
        <v>150</v>
      </c>
      <c r="N24" s="19">
        <v>1015</v>
      </c>
      <c r="O24" s="20"/>
      <c r="P24" s="14">
        <v>53</v>
      </c>
      <c r="Q24" s="55">
        <v>0</v>
      </c>
      <c r="R24" s="10"/>
      <c r="S24" s="11"/>
      <c r="T24" s="11" t="s">
        <v>49</v>
      </c>
      <c r="U24" s="11"/>
      <c r="V24" s="66">
        <v>2</v>
      </c>
      <c r="W24" s="51"/>
      <c r="X24" s="52" t="s">
        <v>49</v>
      </c>
      <c r="Y24" s="52"/>
      <c r="Z24" s="52"/>
      <c r="AA24" s="8"/>
      <c r="AB24" s="61"/>
      <c r="AC24" s="61"/>
      <c r="AD24" s="61"/>
      <c r="AE24" s="61"/>
      <c r="AF24" s="61"/>
      <c r="AG24" s="61"/>
    </row>
    <row r="25" spans="1:33" s="1" customFormat="1" ht="13.8" x14ac:dyDescent="0.35">
      <c r="A25" s="79" t="s">
        <v>56</v>
      </c>
      <c r="B25" s="40"/>
      <c r="C25" s="40">
        <v>42811</v>
      </c>
      <c r="D25" s="24" t="s">
        <v>57</v>
      </c>
      <c r="E25" s="57"/>
      <c r="F25" s="58"/>
      <c r="G25" s="58"/>
      <c r="H25" s="58"/>
      <c r="I25" s="59"/>
      <c r="J25" s="41">
        <v>300</v>
      </c>
      <c r="K25" s="42">
        <v>12000</v>
      </c>
      <c r="L25" s="42">
        <v>2884</v>
      </c>
      <c r="M25" s="42">
        <v>500</v>
      </c>
      <c r="N25" s="42">
        <v>400</v>
      </c>
      <c r="O25" s="43"/>
      <c r="P25" s="44">
        <v>350</v>
      </c>
      <c r="Q25" s="45">
        <v>0</v>
      </c>
      <c r="R25" s="46"/>
      <c r="S25" s="47"/>
      <c r="T25" s="47"/>
      <c r="U25" s="47" t="s">
        <v>58</v>
      </c>
      <c r="V25" s="60" t="s">
        <v>58</v>
      </c>
      <c r="W25" s="49"/>
      <c r="X25" s="50"/>
      <c r="Y25" s="50"/>
      <c r="Z25" s="50"/>
      <c r="AA25" s="48"/>
      <c r="AB25" s="62"/>
      <c r="AC25" s="62"/>
      <c r="AD25" s="62"/>
      <c r="AE25" s="62"/>
      <c r="AF25" s="62"/>
      <c r="AG25" s="62"/>
    </row>
    <row r="26" spans="1:33" s="1" customFormat="1" ht="13.8" x14ac:dyDescent="0.35">
      <c r="A26" s="24" t="s">
        <v>72</v>
      </c>
      <c r="B26" s="40"/>
      <c r="C26" s="40"/>
      <c r="D26" s="24" t="s">
        <v>77</v>
      </c>
      <c r="E26" s="63"/>
      <c r="F26" s="64"/>
      <c r="G26" s="64"/>
      <c r="H26" s="64"/>
      <c r="I26" s="65"/>
      <c r="J26" s="18"/>
      <c r="K26" s="19"/>
      <c r="L26" s="19"/>
      <c r="M26" s="19"/>
      <c r="N26" s="19"/>
      <c r="O26" s="20"/>
      <c r="P26" s="14"/>
      <c r="Q26" s="15"/>
      <c r="R26" s="10"/>
      <c r="S26" s="11"/>
      <c r="T26" s="11"/>
      <c r="U26" s="11"/>
      <c r="V26" s="66"/>
      <c r="W26" s="51"/>
      <c r="X26" s="52"/>
      <c r="Y26" s="52"/>
      <c r="Z26" s="52"/>
      <c r="AA26" s="8"/>
      <c r="AB26" s="62"/>
      <c r="AC26" s="62"/>
      <c r="AD26" s="62"/>
      <c r="AE26" s="62"/>
      <c r="AF26" s="62"/>
      <c r="AG26" s="62"/>
    </row>
    <row r="27" spans="1:33" s="1" customFormat="1" ht="13.8" x14ac:dyDescent="0.35">
      <c r="A27" s="24" t="s">
        <v>72</v>
      </c>
      <c r="B27" s="40"/>
      <c r="C27" s="40"/>
      <c r="D27" s="24" t="s">
        <v>78</v>
      </c>
      <c r="E27" s="63"/>
      <c r="F27" s="64"/>
      <c r="G27" s="64"/>
      <c r="H27" s="64"/>
      <c r="I27" s="65"/>
      <c r="J27" s="18"/>
      <c r="K27" s="19"/>
      <c r="L27" s="19"/>
      <c r="M27" s="19"/>
      <c r="N27" s="19"/>
      <c r="O27" s="20"/>
      <c r="P27" s="14"/>
      <c r="Q27" s="15"/>
      <c r="R27" s="10"/>
      <c r="S27" s="11"/>
      <c r="T27" s="11"/>
      <c r="U27" s="11"/>
      <c r="V27" s="66"/>
      <c r="W27" s="51"/>
      <c r="X27" s="52"/>
      <c r="Y27" s="52"/>
      <c r="Z27" s="52"/>
      <c r="AA27" s="8"/>
      <c r="AB27" s="62"/>
      <c r="AC27" s="62"/>
      <c r="AD27" s="62"/>
      <c r="AE27" s="62"/>
      <c r="AF27" s="62"/>
      <c r="AG27" s="62"/>
    </row>
    <row r="28" spans="1:33" s="1" customFormat="1" ht="13.8" x14ac:dyDescent="0.35">
      <c r="A28" s="1">
        <v>6118792562</v>
      </c>
      <c r="B28" s="2">
        <v>42809.536226851851</v>
      </c>
      <c r="C28" s="2">
        <v>42809.604942129627</v>
      </c>
      <c r="D28" s="1" t="s">
        <v>22</v>
      </c>
      <c r="E28" s="63"/>
      <c r="F28" s="64"/>
      <c r="G28" s="64"/>
      <c r="H28" s="64"/>
      <c r="I28" s="65"/>
      <c r="J28" s="18">
        <v>400</v>
      </c>
      <c r="K28" s="19">
        <v>7830</v>
      </c>
      <c r="L28" s="19">
        <v>4400</v>
      </c>
      <c r="M28" s="19">
        <v>400</v>
      </c>
      <c r="N28" s="19">
        <v>1300</v>
      </c>
      <c r="O28" s="20">
        <v>0</v>
      </c>
      <c r="P28" s="14">
        <v>113</v>
      </c>
      <c r="Q28" s="15">
        <v>0</v>
      </c>
      <c r="R28" s="10"/>
      <c r="S28" s="11"/>
      <c r="T28" s="11" t="s">
        <v>49</v>
      </c>
      <c r="U28" s="11" t="s">
        <v>49</v>
      </c>
      <c r="V28" s="66" t="s">
        <v>23</v>
      </c>
      <c r="W28" s="51"/>
      <c r="X28" s="52"/>
      <c r="Y28" s="52"/>
      <c r="Z28" s="52" t="s">
        <v>49</v>
      </c>
      <c r="AA28" s="8"/>
      <c r="AB28" s="62"/>
      <c r="AC28" s="62"/>
      <c r="AD28" s="62"/>
      <c r="AE28" s="62"/>
      <c r="AF28" s="62"/>
      <c r="AG28" s="62"/>
    </row>
    <row r="29" spans="1:33" s="1" customFormat="1" ht="14.4" thickBot="1" x14ac:dyDescent="0.4">
      <c r="A29" s="1">
        <v>6136699789</v>
      </c>
      <c r="B29" s="2">
        <v>42824.653298611112</v>
      </c>
      <c r="C29" s="2">
        <v>42824.743842592594</v>
      </c>
      <c r="D29" s="1" t="s">
        <v>59</v>
      </c>
      <c r="E29" s="67"/>
      <c r="F29" s="68"/>
      <c r="G29" s="68"/>
      <c r="H29" s="68"/>
      <c r="I29" s="69"/>
      <c r="J29" s="21">
        <v>595</v>
      </c>
      <c r="K29" s="22">
        <v>22401</v>
      </c>
      <c r="L29" s="22">
        <v>3750</v>
      </c>
      <c r="M29" s="22">
        <v>4636</v>
      </c>
      <c r="N29" s="22">
        <v>1075</v>
      </c>
      <c r="O29" s="23">
        <v>0</v>
      </c>
      <c r="P29" s="16">
        <v>307</v>
      </c>
      <c r="Q29" s="17">
        <v>8</v>
      </c>
      <c r="R29" s="12"/>
      <c r="S29" s="13"/>
      <c r="T29" s="13"/>
      <c r="U29" s="13" t="s">
        <v>49</v>
      </c>
      <c r="V29" s="70" t="s">
        <v>60</v>
      </c>
      <c r="W29" s="53"/>
      <c r="X29" s="54" t="s">
        <v>49</v>
      </c>
      <c r="Y29" s="54"/>
      <c r="Z29" s="54"/>
      <c r="AA29" s="9"/>
      <c r="AB29" s="62"/>
      <c r="AC29" s="62"/>
      <c r="AD29" s="62"/>
      <c r="AE29" s="62"/>
      <c r="AF29" s="62"/>
      <c r="AG29" s="62"/>
    </row>
    <row r="30" spans="1:33" x14ac:dyDescent="0.25">
      <c r="E30" s="71"/>
      <c r="F30" s="71"/>
      <c r="G30" s="71"/>
      <c r="H30" s="71"/>
      <c r="I30" s="71"/>
      <c r="J30" s="72"/>
      <c r="K30" s="72"/>
      <c r="L30" s="72"/>
      <c r="M30" s="72"/>
      <c r="N30" s="72"/>
      <c r="O30" s="72"/>
      <c r="P30" s="73"/>
      <c r="Q30" s="73"/>
      <c r="R30" s="74"/>
      <c r="S30" s="74"/>
      <c r="T30" s="74"/>
      <c r="U30" s="74"/>
      <c r="V30" s="74"/>
      <c r="W30" s="75"/>
      <c r="X30" s="75"/>
      <c r="Y30" s="75"/>
      <c r="Z30" s="75"/>
      <c r="AA30" s="76"/>
      <c r="AB30" s="62"/>
      <c r="AC30" s="62"/>
      <c r="AD30" s="62"/>
      <c r="AE30" s="62"/>
      <c r="AF30" s="62"/>
      <c r="AG30" s="62"/>
    </row>
    <row r="31" spans="1:33" x14ac:dyDescent="0.25">
      <c r="E31" s="71"/>
      <c r="F31" s="71"/>
      <c r="G31" s="71"/>
      <c r="H31" s="71"/>
      <c r="I31" s="71"/>
      <c r="J31" s="72"/>
      <c r="K31" s="72"/>
      <c r="L31" s="72"/>
      <c r="M31" s="72"/>
      <c r="N31" s="72"/>
      <c r="O31" s="72"/>
      <c r="P31" s="73"/>
      <c r="Q31" s="73"/>
      <c r="R31" s="74"/>
      <c r="S31" s="74"/>
      <c r="T31" s="74"/>
      <c r="U31" s="74"/>
      <c r="V31" s="74"/>
      <c r="W31" s="75"/>
      <c r="X31" s="75"/>
      <c r="Y31" s="75"/>
      <c r="Z31" s="75"/>
      <c r="AA31" s="76"/>
      <c r="AB31" s="62"/>
      <c r="AC31" s="62"/>
      <c r="AD31" s="62"/>
      <c r="AE31" s="62"/>
      <c r="AF31" s="62"/>
      <c r="AG31" s="62"/>
    </row>
    <row r="32" spans="1:33" x14ac:dyDescent="0.25">
      <c r="E32" s="77"/>
      <c r="F32" s="77"/>
      <c r="G32" s="77"/>
      <c r="H32" s="77"/>
      <c r="I32" s="77"/>
      <c r="J32" s="78"/>
      <c r="K32" s="78"/>
      <c r="L32" s="78"/>
      <c r="M32" s="78"/>
      <c r="N32" s="78"/>
      <c r="O32" s="78"/>
      <c r="P32" s="73"/>
      <c r="Q32" s="73"/>
      <c r="R32" s="74"/>
      <c r="S32" s="74"/>
      <c r="T32" s="74"/>
      <c r="U32" s="74"/>
      <c r="V32" s="74"/>
      <c r="W32" s="75"/>
      <c r="X32" s="75"/>
      <c r="Y32" s="75"/>
      <c r="Z32" s="75"/>
      <c r="AA32" s="76"/>
      <c r="AB32" s="62"/>
      <c r="AC32" s="62"/>
      <c r="AD32" s="62"/>
      <c r="AE32" s="62"/>
      <c r="AF32" s="62"/>
      <c r="AG32" s="62"/>
    </row>
    <row r="33" spans="5:33" x14ac:dyDescent="0.25">
      <c r="E33" s="77"/>
      <c r="F33" s="77"/>
      <c r="G33" s="77"/>
      <c r="H33" s="77"/>
      <c r="I33" s="77"/>
      <c r="J33" s="78"/>
      <c r="K33" s="78"/>
      <c r="L33" s="78"/>
      <c r="M33" s="78"/>
      <c r="N33" s="78"/>
      <c r="O33" s="78"/>
      <c r="P33" s="73"/>
      <c r="Q33" s="73"/>
      <c r="R33" s="74"/>
      <c r="S33" s="74"/>
      <c r="T33" s="74"/>
      <c r="U33" s="74"/>
      <c r="V33" s="74"/>
      <c r="W33" s="75"/>
      <c r="X33" s="75"/>
      <c r="Y33" s="75"/>
      <c r="Z33" s="75"/>
      <c r="AA33" s="76"/>
      <c r="AB33" s="62"/>
      <c r="AC33" s="62"/>
      <c r="AD33" s="62"/>
      <c r="AE33" s="62"/>
      <c r="AF33" s="62"/>
      <c r="AG33" s="62"/>
    </row>
    <row r="34" spans="5:33" x14ac:dyDescent="0.25">
      <c r="E34" s="77"/>
      <c r="F34" s="77"/>
      <c r="G34" s="77"/>
      <c r="H34" s="77"/>
      <c r="I34" s="77"/>
      <c r="J34" s="78"/>
      <c r="K34" s="78"/>
      <c r="L34" s="78"/>
      <c r="M34" s="78"/>
      <c r="N34" s="78"/>
      <c r="O34" s="78"/>
      <c r="P34" s="73"/>
      <c r="Q34" s="73"/>
      <c r="R34" s="74"/>
      <c r="S34" s="74"/>
      <c r="T34" s="74"/>
      <c r="U34" s="74"/>
      <c r="V34" s="74"/>
      <c r="W34" s="75"/>
      <c r="X34" s="75"/>
      <c r="Y34" s="75"/>
      <c r="Z34" s="75"/>
      <c r="AA34" s="76"/>
      <c r="AB34" s="62"/>
      <c r="AC34" s="62"/>
      <c r="AD34" s="62"/>
      <c r="AE34" s="62"/>
      <c r="AF34" s="62"/>
      <c r="AG34" s="62"/>
    </row>
    <row r="35" spans="5:33" x14ac:dyDescent="0.25">
      <c r="E35" s="77"/>
      <c r="F35" s="77"/>
      <c r="G35" s="77"/>
      <c r="H35" s="77"/>
      <c r="I35" s="77"/>
      <c r="J35" s="78"/>
      <c r="K35" s="78"/>
      <c r="L35" s="78"/>
      <c r="M35" s="78"/>
      <c r="N35" s="78"/>
      <c r="O35" s="78"/>
      <c r="P35" s="73"/>
      <c r="Q35" s="73"/>
      <c r="R35" s="74"/>
      <c r="S35" s="74"/>
      <c r="T35" s="74"/>
      <c r="U35" s="74"/>
      <c r="V35" s="74"/>
      <c r="W35" s="75"/>
      <c r="X35" s="75"/>
      <c r="Y35" s="75"/>
      <c r="Z35" s="75"/>
      <c r="AA35" s="76"/>
      <c r="AB35" s="62"/>
      <c r="AC35" s="62"/>
      <c r="AD35" s="62"/>
      <c r="AE35" s="62"/>
      <c r="AF35" s="62"/>
      <c r="AG35" s="62"/>
    </row>
    <row r="36" spans="5:33" x14ac:dyDescent="0.25">
      <c r="E36" s="77"/>
      <c r="F36" s="77"/>
      <c r="G36" s="77"/>
      <c r="H36" s="77"/>
      <c r="I36" s="77"/>
      <c r="J36" s="78"/>
      <c r="K36" s="78"/>
      <c r="L36" s="78"/>
      <c r="M36" s="78"/>
      <c r="N36" s="78"/>
      <c r="O36" s="78"/>
      <c r="P36" s="73"/>
      <c r="Q36" s="73"/>
      <c r="R36" s="74"/>
      <c r="S36" s="74"/>
      <c r="T36" s="74"/>
      <c r="U36" s="74"/>
      <c r="V36" s="74"/>
      <c r="W36" s="75"/>
      <c r="X36" s="75"/>
      <c r="Y36" s="75"/>
      <c r="Z36" s="75"/>
      <c r="AA36" s="76"/>
      <c r="AB36" s="62"/>
      <c r="AC36" s="62"/>
      <c r="AD36" s="62"/>
      <c r="AE36" s="62"/>
      <c r="AF36" s="62"/>
      <c r="AG36" s="62"/>
    </row>
  </sheetData>
  <mergeCells count="5">
    <mergeCell ref="E1:I1"/>
    <mergeCell ref="J1:O1"/>
    <mergeCell ref="P1:Q1"/>
    <mergeCell ref="R1:V1"/>
    <mergeCell ref="W1:AA1"/>
  </mergeCells>
  <phoneticPr fontId="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5" sqref="K15"/>
    </sheetView>
  </sheetViews>
  <sheetFormatPr defaultColWidth="9.109375" defaultRowHeight="13.8" x14ac:dyDescent="0.3"/>
  <cols>
    <col min="1" max="1" width="66.33203125" style="84" customWidth="1"/>
    <col min="2" max="2" width="9.33203125" style="84" customWidth="1"/>
    <col min="3" max="3" width="11.33203125" style="84" hidden="1" customWidth="1"/>
    <col min="4" max="4" width="12" style="84" customWidth="1"/>
    <col min="5" max="5" width="14" style="84" customWidth="1"/>
    <col min="6" max="6" width="15" style="84" customWidth="1"/>
    <col min="7" max="7" width="16.109375" style="84" bestFit="1" customWidth="1"/>
    <col min="8" max="8" width="8.5546875" style="84" customWidth="1"/>
    <col min="9" max="9" width="11.5546875" style="84" customWidth="1"/>
    <col min="10" max="10" width="9.6640625" style="84" bestFit="1" customWidth="1"/>
    <col min="11" max="11" width="9.109375" style="84"/>
    <col min="12" max="12" width="17.5546875" style="84" customWidth="1"/>
    <col min="13" max="13" width="15.88671875" style="84" customWidth="1"/>
    <col min="14" max="14" width="11" style="84" customWidth="1"/>
    <col min="15" max="15" width="24.6640625" style="84" customWidth="1"/>
    <col min="16" max="16384" width="9.109375" style="84"/>
  </cols>
  <sheetData>
    <row r="1" spans="1:15" s="86" customFormat="1" ht="41.4" x14ac:dyDescent="0.35">
      <c r="A1" s="94" t="s">
        <v>67</v>
      </c>
      <c r="B1" s="95" t="s">
        <v>73</v>
      </c>
      <c r="C1" s="95" t="s">
        <v>74</v>
      </c>
      <c r="D1" s="95" t="s">
        <v>75</v>
      </c>
      <c r="E1" s="95" t="s">
        <v>68</v>
      </c>
      <c r="F1" s="95" t="s">
        <v>69</v>
      </c>
      <c r="G1" s="95" t="s">
        <v>70</v>
      </c>
      <c r="H1" s="95" t="s">
        <v>71</v>
      </c>
      <c r="I1" s="95" t="s">
        <v>84</v>
      </c>
      <c r="J1" s="96" t="s">
        <v>90</v>
      </c>
      <c r="K1" s="95" t="s">
        <v>91</v>
      </c>
      <c r="L1" s="96" t="s">
        <v>100</v>
      </c>
      <c r="M1" s="95" t="s">
        <v>96</v>
      </c>
      <c r="N1" s="96" t="s">
        <v>101</v>
      </c>
      <c r="O1" s="95" t="s">
        <v>104</v>
      </c>
    </row>
    <row r="2" spans="1:15" s="85" customFormat="1" x14ac:dyDescent="0.3">
      <c r="A2" s="81" t="s">
        <v>10</v>
      </c>
      <c r="B2" s="81">
        <v>972</v>
      </c>
      <c r="C2" s="81">
        <v>29</v>
      </c>
      <c r="D2" s="82">
        <v>544</v>
      </c>
      <c r="E2" s="97"/>
      <c r="F2" s="97">
        <v>4503</v>
      </c>
      <c r="G2" s="97">
        <f>Table1[[#This Row],[Total Costs (Permanent)]]+Table1[[#This Row],[Total Costs (Events)]]</f>
        <v>4503</v>
      </c>
      <c r="H2" s="97">
        <f>Table1[[#This Row],[TOTAL COSTS]]/Table1[[#This Row],[Popul. of SWME area]]</f>
        <v>4.632716049382716</v>
      </c>
      <c r="I2" s="98"/>
      <c r="J2" s="124">
        <v>22</v>
      </c>
      <c r="K2" s="113">
        <f>Table1[[#This Row],['# Residents Served]]/Table1[[#This Row],[Popul. of SWME area]]</f>
        <v>2.2633744855967079E-2</v>
      </c>
      <c r="L2" s="145">
        <v>0.9</v>
      </c>
      <c r="M2" s="129"/>
      <c r="N2" s="135">
        <v>0.3</v>
      </c>
      <c r="O2" s="111"/>
    </row>
    <row r="3" spans="1:15" s="85" customFormat="1" x14ac:dyDescent="0.3">
      <c r="A3" s="81" t="s">
        <v>57</v>
      </c>
      <c r="B3" s="80">
        <v>4300</v>
      </c>
      <c r="C3" s="81">
        <v>41</v>
      </c>
      <c r="D3" s="82">
        <v>1830</v>
      </c>
      <c r="E3" s="97">
        <v>0</v>
      </c>
      <c r="F3" s="97">
        <v>16084</v>
      </c>
      <c r="G3" s="97">
        <f>Table1[[#This Row],[Total Costs (Permanent)]]+Table1[[#This Row],[Total Costs (Events)]]</f>
        <v>16084</v>
      </c>
      <c r="H3" s="97">
        <f>Table1[[#This Row],[TOTAL COSTS]]/Table1[[#This Row],[Popul. of SWME area]]</f>
        <v>3.7404651162790699</v>
      </c>
      <c r="I3" s="98"/>
      <c r="J3" s="124">
        <v>350</v>
      </c>
      <c r="K3" s="113">
        <f>Table1[[#This Row],['# Residents Served]]/Table1[[#This Row],[Popul. of SWME area]]</f>
        <v>8.1395348837209308E-2</v>
      </c>
      <c r="L3" s="145">
        <v>2.46</v>
      </c>
      <c r="M3" s="127" t="s">
        <v>97</v>
      </c>
      <c r="N3" s="135" t="s">
        <v>103</v>
      </c>
      <c r="O3" s="111"/>
    </row>
    <row r="4" spans="1:15" x14ac:dyDescent="0.3">
      <c r="A4" s="81" t="s">
        <v>32</v>
      </c>
      <c r="B4" s="80">
        <v>5166</v>
      </c>
      <c r="C4" s="81">
        <v>144</v>
      </c>
      <c r="D4" s="82">
        <v>1478</v>
      </c>
      <c r="E4" s="97">
        <v>0</v>
      </c>
      <c r="F4" s="97">
        <v>19523</v>
      </c>
      <c r="G4" s="97">
        <f>Table1[[#This Row],[Total Costs (Permanent)]]+Table1[[#This Row],[Total Costs (Events)]]</f>
        <v>19523</v>
      </c>
      <c r="H4" s="97">
        <f>Table1[[#This Row],[TOTAL COSTS]]/Table1[[#This Row],[Popul. of SWME area]]</f>
        <v>3.7791327913279131</v>
      </c>
      <c r="I4" s="98" t="s">
        <v>86</v>
      </c>
      <c r="J4" s="124">
        <v>169</v>
      </c>
      <c r="K4" s="113">
        <f>Table1[[#This Row],['# Residents Served]]/Table1[[#This Row],[Popul. of SWME area]]</f>
        <v>3.2713898567557104E-2</v>
      </c>
      <c r="L4" s="145">
        <v>3.21</v>
      </c>
      <c r="M4" s="127" t="s">
        <v>97</v>
      </c>
      <c r="N4" s="135">
        <v>8.9</v>
      </c>
      <c r="O4" s="111"/>
    </row>
    <row r="5" spans="1:15" x14ac:dyDescent="0.3">
      <c r="A5" s="81" t="s">
        <v>20</v>
      </c>
      <c r="B5" s="80">
        <v>13546</v>
      </c>
      <c r="C5" s="81">
        <v>171</v>
      </c>
      <c r="D5" s="82">
        <v>4617</v>
      </c>
      <c r="E5" s="97">
        <v>0</v>
      </c>
      <c r="F5" s="97">
        <v>15680</v>
      </c>
      <c r="G5" s="97">
        <f>Table1[[#This Row],[Total Costs (Permanent)]]+Table1[[#This Row],[Total Costs (Events)]]</f>
        <v>15680</v>
      </c>
      <c r="H5" s="97">
        <f>Table1[[#This Row],[TOTAL COSTS]]/Table1[[#This Row],[Popul. of SWME area]]</f>
        <v>1.1575372803779713</v>
      </c>
      <c r="I5" s="98"/>
      <c r="J5" s="124">
        <v>124</v>
      </c>
      <c r="K5" s="113">
        <f>Table1[[#This Row],['# Residents Served]]/Table1[[#This Row],[Popul. of SWME area]]</f>
        <v>9.1539937989074272E-3</v>
      </c>
      <c r="L5" s="145">
        <v>3.6</v>
      </c>
      <c r="M5" s="129">
        <v>124</v>
      </c>
      <c r="N5" s="135">
        <v>3.5</v>
      </c>
      <c r="O5" s="111"/>
    </row>
    <row r="6" spans="1:15" x14ac:dyDescent="0.3">
      <c r="A6" s="81" t="s">
        <v>9</v>
      </c>
      <c r="B6" s="80">
        <v>1014</v>
      </c>
      <c r="C6" s="81">
        <v>28</v>
      </c>
      <c r="D6" s="82">
        <v>379</v>
      </c>
      <c r="E6" s="97">
        <v>0</v>
      </c>
      <c r="F6" s="97">
        <v>8125</v>
      </c>
      <c r="G6" s="97">
        <f>Table1[[#This Row],[Total Costs (Permanent)]]+Table1[[#This Row],[Total Costs (Events)]]</f>
        <v>8125</v>
      </c>
      <c r="H6" s="97">
        <f>Table1[[#This Row],[TOTAL COSTS]]/Table1[[#This Row],[Popul. of SWME area]]</f>
        <v>8.0128205128205128</v>
      </c>
      <c r="I6" s="98"/>
      <c r="J6" s="124">
        <v>53</v>
      </c>
      <c r="K6" s="113">
        <f>Table1[[#This Row],['# Residents Served]]/Table1[[#This Row],[Popul. of SWME area]]</f>
        <v>5.2268244575936887E-2</v>
      </c>
      <c r="L6" s="145">
        <v>5.26</v>
      </c>
      <c r="M6" s="130">
        <v>265</v>
      </c>
      <c r="N6" s="135">
        <v>10.1</v>
      </c>
      <c r="O6" s="111"/>
    </row>
    <row r="7" spans="1:15" x14ac:dyDescent="0.3">
      <c r="A7" s="81" t="s">
        <v>22</v>
      </c>
      <c r="B7" s="80">
        <v>8792</v>
      </c>
      <c r="C7" s="81">
        <v>348</v>
      </c>
      <c r="D7" s="82">
        <v>2941</v>
      </c>
      <c r="E7" s="97">
        <v>0</v>
      </c>
      <c r="F7" s="97">
        <v>14330</v>
      </c>
      <c r="G7" s="97">
        <f>Table1[[#This Row],[Total Costs (Permanent)]]+Table1[[#This Row],[Total Costs (Events)]]</f>
        <v>14330</v>
      </c>
      <c r="H7" s="97">
        <f>Table1[[#This Row],[TOTAL COSTS]]/Table1[[#This Row],[Popul. of SWME area]]</f>
        <v>1.6298908098271156</v>
      </c>
      <c r="I7" s="98"/>
      <c r="J7" s="124">
        <v>113</v>
      </c>
      <c r="K7" s="113">
        <f>Table1[[#This Row],['# Residents Served]]/Table1[[#This Row],[Popul. of SWME area]]</f>
        <v>1.2852593266606005E-2</v>
      </c>
      <c r="L7" s="145">
        <v>6</v>
      </c>
      <c r="M7" s="127" t="s">
        <v>97</v>
      </c>
      <c r="N7" s="135">
        <v>4.2</v>
      </c>
      <c r="O7" s="111"/>
    </row>
    <row r="8" spans="1:15" x14ac:dyDescent="0.3">
      <c r="A8" s="81" t="s">
        <v>81</v>
      </c>
      <c r="B8" s="80">
        <v>10000</v>
      </c>
      <c r="C8" s="81">
        <v>39</v>
      </c>
      <c r="D8" s="82">
        <v>5744</v>
      </c>
      <c r="E8" s="97">
        <v>0</v>
      </c>
      <c r="F8" s="97">
        <v>7871</v>
      </c>
      <c r="G8" s="97">
        <f>Table1[[#This Row],[Total Costs (Permanent)]]+Table1[[#This Row],[Total Costs (Events)]]</f>
        <v>7871</v>
      </c>
      <c r="H8" s="97">
        <f>Table1[[#This Row],[TOTAL COSTS]]/Table1[[#This Row],[Popul. of SWME area]]</f>
        <v>0.78710000000000002</v>
      </c>
      <c r="I8" s="98"/>
      <c r="J8" s="124">
        <v>71</v>
      </c>
      <c r="K8" s="113">
        <f>Table1[[#This Row],['# Residents Served]]/Table1[[#This Row],[Popul. of SWME area]]</f>
        <v>7.1000000000000004E-3</v>
      </c>
      <c r="L8" s="145">
        <v>7.79</v>
      </c>
      <c r="M8" s="130">
        <v>81</v>
      </c>
      <c r="N8" s="135"/>
      <c r="O8" s="145">
        <v>7.79</v>
      </c>
    </row>
    <row r="9" spans="1:15" x14ac:dyDescent="0.3">
      <c r="A9" s="81" t="s">
        <v>80</v>
      </c>
      <c r="B9" s="80">
        <v>7603</v>
      </c>
      <c r="C9" s="81">
        <v>37</v>
      </c>
      <c r="D9" s="82">
        <v>3103</v>
      </c>
      <c r="E9" s="97">
        <v>0</v>
      </c>
      <c r="F9" s="97">
        <v>14416</v>
      </c>
      <c r="G9" s="97">
        <f>Table1[[#This Row],[Total Costs (Permanent)]]+Table1[[#This Row],[Total Costs (Events)]]</f>
        <v>14416</v>
      </c>
      <c r="H9" s="97">
        <f>Table1[[#This Row],[TOTAL COSTS]]/Table1[[#This Row],[Popul. of SWME area]]</f>
        <v>1.8960936472445087</v>
      </c>
      <c r="I9" s="98"/>
      <c r="J9" s="124">
        <v>146</v>
      </c>
      <c r="K9" s="113">
        <f>Table1[[#This Row],['# Residents Served]]/Table1[[#This Row],[Popul. of SWME area]]</f>
        <v>1.9202946205445218E-2</v>
      </c>
      <c r="L9" s="145">
        <v>8.08</v>
      </c>
      <c r="M9" s="129">
        <v>160</v>
      </c>
      <c r="N9" s="135">
        <v>8.1</v>
      </c>
      <c r="O9" s="145">
        <v>8.08</v>
      </c>
    </row>
    <row r="10" spans="1:15" x14ac:dyDescent="0.3">
      <c r="A10" s="81" t="s">
        <v>19</v>
      </c>
      <c r="B10" s="80">
        <v>19555</v>
      </c>
      <c r="C10" s="81">
        <v>411</v>
      </c>
      <c r="D10" s="82">
        <v>9935</v>
      </c>
      <c r="E10" s="97">
        <v>0</v>
      </c>
      <c r="F10" s="97">
        <v>19075.5</v>
      </c>
      <c r="G10" s="97">
        <f>Table1[[#This Row],[Total Costs (Permanent)]]+Table1[[#This Row],[Total Costs (Events)]]</f>
        <v>19075.5</v>
      </c>
      <c r="H10" s="97">
        <f>Table1[[#This Row],[TOTAL COSTS]]/Table1[[#This Row],[Popul. of SWME area]]</f>
        <v>0.97547941702889285</v>
      </c>
      <c r="I10" s="98"/>
      <c r="J10" s="124">
        <v>256</v>
      </c>
      <c r="K10" s="113">
        <f>Table1[[#This Row],['# Residents Served]]/Table1[[#This Row],[Popul. of SWME area]]</f>
        <v>1.3091281002301202E-2</v>
      </c>
      <c r="L10" s="145">
        <v>12.08</v>
      </c>
      <c r="M10" s="129">
        <v>261</v>
      </c>
      <c r="N10" s="135">
        <v>6.9</v>
      </c>
      <c r="O10" s="145">
        <v>12.08</v>
      </c>
    </row>
    <row r="11" spans="1:15" x14ac:dyDescent="0.3">
      <c r="A11" s="81" t="s">
        <v>61</v>
      </c>
      <c r="B11" s="80">
        <v>51600</v>
      </c>
      <c r="C11" s="81">
        <v>584</v>
      </c>
      <c r="D11" s="82">
        <v>22100</v>
      </c>
      <c r="E11" s="97">
        <v>0</v>
      </c>
      <c r="F11" s="97">
        <v>57920</v>
      </c>
      <c r="G11" s="97">
        <f>Table1[[#This Row],[Total Costs (Permanent)]]+Table1[[#This Row],[Total Costs (Events)]]</f>
        <v>57920</v>
      </c>
      <c r="H11" s="97">
        <f>Table1[[#This Row],[TOTAL COSTS]]/Table1[[#This Row],[Popul. of SWME area]]</f>
        <v>1.1224806201550388</v>
      </c>
      <c r="I11" s="98"/>
      <c r="J11" s="123">
        <v>348</v>
      </c>
      <c r="K11" s="113">
        <f>Table1[[#This Row],['# Residents Served]]/Table1[[#This Row],[Popul. of SWME area]]</f>
        <v>6.744186046511628E-3</v>
      </c>
      <c r="L11" s="145">
        <v>13.38</v>
      </c>
      <c r="M11" s="128">
        <v>455</v>
      </c>
      <c r="N11" s="135">
        <v>15.9</v>
      </c>
      <c r="O11" s="145">
        <v>13.38</v>
      </c>
    </row>
    <row r="12" spans="1:15" x14ac:dyDescent="0.3">
      <c r="A12" s="81" t="s">
        <v>25</v>
      </c>
      <c r="B12" s="80">
        <v>35060</v>
      </c>
      <c r="C12" s="81">
        <v>550</v>
      </c>
      <c r="D12" s="82">
        <v>14552</v>
      </c>
      <c r="E12" s="97">
        <v>0</v>
      </c>
      <c r="F12" s="97">
        <v>43165</v>
      </c>
      <c r="G12" s="97">
        <f>Table1[[#This Row],[Total Costs (Permanent)]]+Table1[[#This Row],[Total Costs (Events)]]</f>
        <v>43165</v>
      </c>
      <c r="H12" s="97">
        <f>Table1[[#This Row],[TOTAL COSTS]]/Table1[[#This Row],[Popul. of SWME area]]</f>
        <v>1.2311751283513976</v>
      </c>
      <c r="I12" s="98" t="s">
        <v>86</v>
      </c>
      <c r="J12" s="124">
        <v>398</v>
      </c>
      <c r="K12" s="113">
        <f>Table1[[#This Row],['# Residents Served]]/Table1[[#This Row],[Popul. of SWME area]]</f>
        <v>1.1351968054763264E-2</v>
      </c>
      <c r="L12" s="145">
        <v>15.19</v>
      </c>
      <c r="M12" s="127" t="s">
        <v>97</v>
      </c>
      <c r="N12" s="135">
        <v>30.8</v>
      </c>
      <c r="O12" s="145">
        <v>15.19</v>
      </c>
    </row>
    <row r="13" spans="1:15" x14ac:dyDescent="0.3">
      <c r="A13" s="81" t="s">
        <v>12</v>
      </c>
      <c r="B13" s="80">
        <v>13817</v>
      </c>
      <c r="C13" s="81">
        <v>352</v>
      </c>
      <c r="D13" s="82">
        <v>5241</v>
      </c>
      <c r="E13" s="97">
        <v>0</v>
      </c>
      <c r="F13" s="97">
        <v>13500</v>
      </c>
      <c r="G13" s="97">
        <f>Table1[[#This Row],[Total Costs (Permanent)]]+Table1[[#This Row],[Total Costs (Events)]]</f>
        <v>13500</v>
      </c>
      <c r="H13" s="97">
        <f>Table1[[#This Row],[TOTAL COSTS]]/Table1[[#This Row],[Popul. of SWME area]]</f>
        <v>0.97705724831729035</v>
      </c>
      <c r="I13" s="98" t="s">
        <v>86</v>
      </c>
      <c r="J13" s="124">
        <v>271</v>
      </c>
      <c r="K13" s="113">
        <f>Table1[[#This Row],['# Residents Served]]/Table1[[#This Row],[Popul. of SWME area]]</f>
        <v>1.9613519577332272E-2</v>
      </c>
      <c r="L13" s="145">
        <v>24.53</v>
      </c>
      <c r="M13" s="130">
        <v>219</v>
      </c>
      <c r="N13" s="135">
        <v>9.5</v>
      </c>
      <c r="O13" s="145">
        <v>24.53</v>
      </c>
    </row>
    <row r="14" spans="1:15" x14ac:dyDescent="0.3">
      <c r="A14" s="81" t="s">
        <v>16</v>
      </c>
      <c r="B14" s="80">
        <v>36815</v>
      </c>
      <c r="C14" s="81">
        <v>487</v>
      </c>
      <c r="D14" s="82">
        <v>19393</v>
      </c>
      <c r="E14" s="97">
        <v>0</v>
      </c>
      <c r="F14" s="97">
        <v>54039</v>
      </c>
      <c r="G14" s="97">
        <f>Table1[[#This Row],[Total Costs (Permanent)]]+Table1[[#This Row],[Total Costs (Events)]]</f>
        <v>54039</v>
      </c>
      <c r="H14" s="97">
        <f>Table1[[#This Row],[TOTAL COSTS]]/Table1[[#This Row],[Popul. of SWME area]]</f>
        <v>1.4678527774005161</v>
      </c>
      <c r="I14" s="98"/>
      <c r="J14" s="124">
        <v>511</v>
      </c>
      <c r="K14" s="113">
        <f>Table1[[#This Row],['# Residents Served]]/Table1[[#This Row],[Popul. of SWME area]]</f>
        <v>1.3880211870161618E-2</v>
      </c>
      <c r="L14" s="145">
        <v>25.45</v>
      </c>
      <c r="M14" s="127" t="s">
        <v>97</v>
      </c>
      <c r="N14" s="135">
        <v>21.1</v>
      </c>
      <c r="O14" s="145">
        <v>25.45</v>
      </c>
    </row>
    <row r="15" spans="1:15" x14ac:dyDescent="0.3">
      <c r="A15" s="81" t="s">
        <v>28</v>
      </c>
      <c r="B15" s="80">
        <v>13527</v>
      </c>
      <c r="C15" s="81">
        <v>278</v>
      </c>
      <c r="D15" s="82">
        <v>5521</v>
      </c>
      <c r="E15" s="97">
        <v>0</v>
      </c>
      <c r="F15" s="97">
        <v>48836</v>
      </c>
      <c r="G15" s="97">
        <f>Table1[[#This Row],[Total Costs (Permanent)]]+Table1[[#This Row],[Total Costs (Events)]]</f>
        <v>48836</v>
      </c>
      <c r="H15" s="97">
        <f>Table1[[#This Row],[TOTAL COSTS]]/Table1[[#This Row],[Popul. of SWME area]]</f>
        <v>3.6102609595623569</v>
      </c>
      <c r="I15" s="98" t="s">
        <v>86</v>
      </c>
      <c r="J15" s="124">
        <v>544</v>
      </c>
      <c r="K15" s="113">
        <f>Table1[[#This Row],['# Residents Served]]/Table1[[#This Row],[Popul. of SWME area]]</f>
        <v>4.0215864567161974E-2</v>
      </c>
      <c r="L15" s="145">
        <v>25.59</v>
      </c>
      <c r="M15" s="129">
        <v>539</v>
      </c>
      <c r="N15" s="135">
        <v>30.8</v>
      </c>
      <c r="O15" s="145">
        <v>25.59</v>
      </c>
    </row>
    <row r="16" spans="1:15" x14ac:dyDescent="0.3">
      <c r="A16" s="81" t="s">
        <v>29</v>
      </c>
      <c r="B16" s="80">
        <v>54975</v>
      </c>
      <c r="C16" s="80">
        <v>1904</v>
      </c>
      <c r="D16" s="82">
        <v>19565</v>
      </c>
      <c r="E16" s="97">
        <v>44500</v>
      </c>
      <c r="F16" s="97">
        <v>46500</v>
      </c>
      <c r="G16" s="97">
        <f>Table1[[#This Row],[Total Costs (Permanent)]]+Table1[[#This Row],[Total Costs (Events)]]</f>
        <v>91000</v>
      </c>
      <c r="H16" s="97">
        <f>Table1[[#This Row],[TOTAL COSTS]]/Table1[[#This Row],[Popul. of SWME area]]</f>
        <v>1.6552978626648476</v>
      </c>
      <c r="I16" s="98"/>
      <c r="J16" s="124">
        <v>3914</v>
      </c>
      <c r="K16" s="113">
        <f>Table1[[#This Row],['# Residents Served]]/Table1[[#This Row],[Popul. of SWME area]]</f>
        <v>7.1195998180991357E-2</v>
      </c>
      <c r="L16" s="145">
        <v>80.86</v>
      </c>
      <c r="M16" s="129"/>
      <c r="N16" s="135">
        <v>45.3</v>
      </c>
      <c r="O16" s="145">
        <v>80.86</v>
      </c>
    </row>
    <row r="17" spans="1:15" x14ac:dyDescent="0.3">
      <c r="A17" s="81" t="s">
        <v>31</v>
      </c>
      <c r="B17" s="80">
        <v>32149</v>
      </c>
      <c r="C17" s="83">
        <v>542</v>
      </c>
      <c r="D17" s="82">
        <v>14352</v>
      </c>
      <c r="E17" s="97">
        <v>0</v>
      </c>
      <c r="F17" s="97">
        <v>32179</v>
      </c>
      <c r="G17" s="97">
        <f>Table1[[#This Row],[Total Costs (Permanent)]]+Table1[[#This Row],[Total Costs (Events)]]</f>
        <v>32179</v>
      </c>
      <c r="H17" s="97">
        <f>Table1[[#This Row],[TOTAL COSTS]]/Table1[[#This Row],[Popul. of SWME area]]</f>
        <v>1.000933154997045</v>
      </c>
      <c r="I17" s="98"/>
      <c r="J17" s="124">
        <v>594</v>
      </c>
      <c r="K17" s="113">
        <f>Table1[[#This Row],['# Residents Served]]/Table1[[#This Row],[Popul. of SWME area]]</f>
        <v>1.8476468941491183E-2</v>
      </c>
      <c r="L17" s="145">
        <v>82.36</v>
      </c>
      <c r="M17" s="127" t="s">
        <v>97</v>
      </c>
      <c r="N17" s="135">
        <v>21.3</v>
      </c>
      <c r="O17" s="145">
        <v>82.36</v>
      </c>
    </row>
    <row r="18" spans="1:15" x14ac:dyDescent="0.3">
      <c r="A18" s="81" t="s">
        <v>59</v>
      </c>
      <c r="B18" s="80">
        <v>37451</v>
      </c>
      <c r="C18" s="81">
        <v>723</v>
      </c>
      <c r="D18" s="82">
        <v>26840</v>
      </c>
      <c r="E18" s="97">
        <v>0</v>
      </c>
      <c r="F18" s="97">
        <v>32457</v>
      </c>
      <c r="G18" s="97">
        <f>Table1[[#This Row],[Total Costs (Permanent)]]+Table1[[#This Row],[Total Costs (Events)]]</f>
        <v>32457</v>
      </c>
      <c r="H18" s="97">
        <f>Table1[[#This Row],[TOTAL COSTS]]/Table1[[#This Row],[Popul. of SWME area]]</f>
        <v>0.86665242583642621</v>
      </c>
      <c r="I18" s="98"/>
      <c r="J18" s="124">
        <v>307</v>
      </c>
      <c r="K18" s="113">
        <f>Table1[[#This Row],['# Residents Served]]/Table1[[#This Row],[Popul. of SWME area]]</f>
        <v>8.1973779071319863E-3</v>
      </c>
      <c r="L18" s="145">
        <v>110.16</v>
      </c>
      <c r="M18" s="127" t="s">
        <v>97</v>
      </c>
      <c r="N18" s="135">
        <v>61.6</v>
      </c>
      <c r="O18" s="145">
        <v>110.16</v>
      </c>
    </row>
    <row r="19" spans="1:15" x14ac:dyDescent="0.3">
      <c r="A19" s="81" t="s">
        <v>5</v>
      </c>
      <c r="B19" s="80">
        <v>47792</v>
      </c>
      <c r="C19" s="81">
        <v>573</v>
      </c>
      <c r="D19" s="82">
        <v>20556</v>
      </c>
      <c r="E19" s="97">
        <v>201718</v>
      </c>
      <c r="F19" s="97">
        <v>12910</v>
      </c>
      <c r="G19" s="97">
        <f>Table1[[#This Row],[Total Costs (Permanent)]]+Table1[[#This Row],[Total Costs (Events)]]</f>
        <v>214628</v>
      </c>
      <c r="H19" s="97">
        <f>Table1[[#This Row],[TOTAL COSTS]]/Table1[[#This Row],[Popul. of SWME area]]</f>
        <v>4.49087713424841</v>
      </c>
      <c r="I19" s="98" t="s">
        <v>85</v>
      </c>
      <c r="J19" s="124">
        <v>2666</v>
      </c>
      <c r="K19" s="113">
        <f>Table1[[#This Row],['# Residents Served]]/Table1[[#This Row],[Popul. of SWME area]]</f>
        <v>5.5783394710411785E-2</v>
      </c>
      <c r="L19" s="145">
        <v>427.24</v>
      </c>
      <c r="M19" s="129">
        <v>520</v>
      </c>
      <c r="N19" s="135">
        <v>158.69999999999999</v>
      </c>
      <c r="O19" s="145">
        <v>427.24</v>
      </c>
    </row>
    <row r="20" spans="1:15" x14ac:dyDescent="0.3">
      <c r="A20" s="81" t="s">
        <v>7</v>
      </c>
      <c r="B20" s="80">
        <v>36719</v>
      </c>
      <c r="C20" s="81">
        <v>698</v>
      </c>
      <c r="D20" s="82">
        <v>14093</v>
      </c>
      <c r="E20" s="97">
        <v>105317</v>
      </c>
      <c r="F20" s="97">
        <v>0</v>
      </c>
      <c r="G20" s="97">
        <f>Table1[[#This Row],[Total Costs (Permanent)]]+Table1[[#This Row],[Total Costs (Events)]]</f>
        <v>105317</v>
      </c>
      <c r="H20" s="97">
        <f>Table1[[#This Row],[TOTAL COSTS]]/Table1[[#This Row],[Popul. of SWME area]]</f>
        <v>2.8681881314850624</v>
      </c>
      <c r="I20" s="98" t="s">
        <v>85</v>
      </c>
      <c r="J20" s="123">
        <v>2264</v>
      </c>
      <c r="K20" s="113">
        <f>Table1[[#This Row],['# Residents Served]]/Table1[[#This Row],[Popul. of SWME area]]</f>
        <v>6.1657452545003946E-2</v>
      </c>
      <c r="L20" s="145"/>
      <c r="M20" s="126"/>
      <c r="N20" s="135">
        <v>91.6</v>
      </c>
      <c r="O20" s="145">
        <v>91.6</v>
      </c>
    </row>
    <row r="21" spans="1:15" x14ac:dyDescent="0.3">
      <c r="A21" s="81" t="s">
        <v>30</v>
      </c>
      <c r="B21" s="80">
        <v>163350</v>
      </c>
      <c r="C21" s="81">
        <v>619</v>
      </c>
      <c r="D21" s="82">
        <v>65000</v>
      </c>
      <c r="E21" s="97">
        <v>648057</v>
      </c>
      <c r="F21" s="97">
        <v>0</v>
      </c>
      <c r="G21" s="97">
        <f>Table1[[#This Row],[Total Costs (Permanent)]]+Table1[[#This Row],[Total Costs (Events)]]</f>
        <v>648057</v>
      </c>
      <c r="H21" s="97">
        <f>Table1[[#This Row],[TOTAL COSTS]]/Table1[[#This Row],[Popul. of SWME area]]</f>
        <v>3.9672910927456382</v>
      </c>
      <c r="I21" s="98" t="s">
        <v>85</v>
      </c>
      <c r="J21" s="124">
        <v>10135</v>
      </c>
      <c r="K21" s="113">
        <f>Table1[[#This Row],['# Residents Served]]/Table1[[#This Row],[Popul. of SWME area]]</f>
        <v>6.2044689317416593E-2</v>
      </c>
      <c r="L21" s="145"/>
      <c r="M21" s="129"/>
      <c r="N21" s="135">
        <v>310.3</v>
      </c>
      <c r="O21" s="145">
        <v>310.3</v>
      </c>
    </row>
    <row r="22" spans="1:15" x14ac:dyDescent="0.3">
      <c r="A22" s="106" t="s">
        <v>78</v>
      </c>
      <c r="B22" s="105">
        <v>4800</v>
      </c>
      <c r="C22" s="106">
        <v>7</v>
      </c>
      <c r="D22" s="107">
        <v>1200</v>
      </c>
      <c r="E22" s="108">
        <v>0</v>
      </c>
      <c r="F22" s="108">
        <v>0</v>
      </c>
      <c r="G22" s="108">
        <f>Table1[[#This Row],[Total Costs (Permanent)]]+Table1[[#This Row],[Total Costs (Events)]]</f>
        <v>0</v>
      </c>
      <c r="H22" s="108">
        <f>Table1[[#This Row],[TOTAL COSTS]]/Table1[[#This Row],[Popul. of SWME area]]</f>
        <v>0</v>
      </c>
      <c r="I22" s="109"/>
      <c r="J22" s="125"/>
      <c r="K22" s="114">
        <f>Table1[[#This Row],['# Residents Served]]/Table1[[#This Row],[Popul. of SWME area]]</f>
        <v>0</v>
      </c>
      <c r="L22" s="146"/>
      <c r="M22" s="143" t="s">
        <v>99</v>
      </c>
      <c r="N22" s="133" t="s">
        <v>102</v>
      </c>
      <c r="O22" s="146"/>
    </row>
    <row r="23" spans="1:15" x14ac:dyDescent="0.3">
      <c r="A23" s="81" t="s">
        <v>82</v>
      </c>
      <c r="B23" s="80">
        <v>50848</v>
      </c>
      <c r="C23" s="81">
        <v>678</v>
      </c>
      <c r="D23" s="82">
        <v>20545</v>
      </c>
      <c r="E23" s="97">
        <v>97905</v>
      </c>
      <c r="F23" s="97">
        <v>5746</v>
      </c>
      <c r="G23" s="97">
        <f>Table1[[#This Row],[Total Costs (Permanent)]]+Table1[[#This Row],[Total Costs (Events)]]</f>
        <v>103651</v>
      </c>
      <c r="H23" s="97">
        <f>Table1[[#This Row],[TOTAL COSTS]]/Table1[[#This Row],[Popul. of SWME area]]</f>
        <v>2.0384479232221522</v>
      </c>
      <c r="I23" s="98" t="s">
        <v>85</v>
      </c>
      <c r="J23" s="124">
        <v>1342</v>
      </c>
      <c r="K23" s="113">
        <f>Table1[[#This Row],['# Residents Served]]/Table1[[#This Row],[Popul. of SWME area]]</f>
        <v>2.6392385147891755E-2</v>
      </c>
      <c r="L23" s="145"/>
      <c r="M23" s="129"/>
      <c r="N23" s="135">
        <v>55.1</v>
      </c>
      <c r="O23" s="145">
        <v>55.1</v>
      </c>
    </row>
    <row r="24" spans="1:15" x14ac:dyDescent="0.3">
      <c r="A24" s="81" t="s">
        <v>24</v>
      </c>
      <c r="B24" s="80">
        <v>2700</v>
      </c>
      <c r="C24" s="81">
        <v>44</v>
      </c>
      <c r="D24" s="82">
        <v>1685</v>
      </c>
      <c r="E24" s="97">
        <v>0</v>
      </c>
      <c r="F24" s="97">
        <v>9507</v>
      </c>
      <c r="G24" s="97">
        <f>Table1[[#This Row],[Total Costs (Permanent)]]+Table1[[#This Row],[Total Costs (Events)]]</f>
        <v>9507</v>
      </c>
      <c r="H24" s="97">
        <f>Table1[[#This Row],[TOTAL COSTS]]/Table1[[#This Row],[Popul. of SWME area]]</f>
        <v>3.5211111111111113</v>
      </c>
      <c r="I24" s="98"/>
      <c r="J24" s="124">
        <v>83</v>
      </c>
      <c r="K24" s="113">
        <f>Table1[[#This Row],['# Residents Served]]/Table1[[#This Row],[Popul. of SWME area]]</f>
        <v>3.0740740740740742E-2</v>
      </c>
      <c r="L24" s="145"/>
      <c r="M24" s="129"/>
      <c r="N24" s="127" t="s">
        <v>102</v>
      </c>
      <c r="O24" s="145"/>
    </row>
    <row r="25" spans="1:15" x14ac:dyDescent="0.3">
      <c r="A25" s="81" t="s">
        <v>14</v>
      </c>
      <c r="B25" s="80">
        <v>2070</v>
      </c>
      <c r="C25" s="81">
        <v>66</v>
      </c>
      <c r="D25" s="82">
        <v>954</v>
      </c>
      <c r="E25" s="97">
        <v>0</v>
      </c>
      <c r="F25" s="97">
        <v>2458</v>
      </c>
      <c r="G25" s="97">
        <f>Table1[[#This Row],[Total Costs (Permanent)]]+Table1[[#This Row],[Total Costs (Events)]]</f>
        <v>2458</v>
      </c>
      <c r="H25" s="97">
        <f>Table1[[#This Row],[TOTAL COSTS]]/Table1[[#This Row],[Popul. of SWME area]]</f>
        <v>1.1874396135265701</v>
      </c>
      <c r="I25" s="98"/>
      <c r="J25" s="124">
        <v>11</v>
      </c>
      <c r="K25" s="113">
        <f>Table1[[#This Row],['# Residents Served]]/Table1[[#This Row],[Popul. of SWME area]]</f>
        <v>5.3140096618357491E-3</v>
      </c>
      <c r="L25" s="145"/>
      <c r="M25" s="129"/>
      <c r="N25" s="127" t="s">
        <v>102</v>
      </c>
      <c r="O25" s="145"/>
    </row>
    <row r="26" spans="1:15" x14ac:dyDescent="0.3">
      <c r="A26" s="81" t="s">
        <v>76</v>
      </c>
      <c r="B26" s="81">
        <v>110</v>
      </c>
      <c r="C26" s="81">
        <v>6</v>
      </c>
      <c r="D26" s="82">
        <v>50</v>
      </c>
      <c r="E26" s="97">
        <v>0</v>
      </c>
      <c r="F26" s="97">
        <v>1582</v>
      </c>
      <c r="G26" s="97">
        <f>Table1[[#This Row],[Total Costs (Permanent)]]+Table1[[#This Row],[Total Costs (Events)]]</f>
        <v>1582</v>
      </c>
      <c r="H26" s="97">
        <f>Table1[[#This Row],[TOTAL COSTS]]/Table1[[#This Row],[Popul. of SWME area]]</f>
        <v>14.381818181818181</v>
      </c>
      <c r="I26" s="98"/>
      <c r="J26" s="124">
        <v>6</v>
      </c>
      <c r="K26" s="113">
        <f>Table1[[#This Row],['# Residents Served]]/Table1[[#This Row],[Popul. of SWME area]]</f>
        <v>5.4545454545454543E-2</v>
      </c>
      <c r="L26" s="145"/>
      <c r="M26" s="129"/>
      <c r="N26" s="135">
        <v>1.3</v>
      </c>
      <c r="O26" s="145">
        <v>1.3</v>
      </c>
    </row>
    <row r="27" spans="1:15" x14ac:dyDescent="0.3">
      <c r="A27" s="81" t="s">
        <v>79</v>
      </c>
      <c r="B27" s="81">
        <v>879</v>
      </c>
      <c r="C27" s="81">
        <v>56</v>
      </c>
      <c r="D27" s="82">
        <v>340</v>
      </c>
      <c r="E27" s="97">
        <v>0</v>
      </c>
      <c r="F27" s="97">
        <v>2329</v>
      </c>
      <c r="G27" s="97">
        <f>Table1[[#This Row],[Total Costs (Permanent)]]+Table1[[#This Row],[Total Costs (Events)]]</f>
        <v>2329</v>
      </c>
      <c r="H27" s="97">
        <f>Table1[[#This Row],[TOTAL COSTS]]/Table1[[#This Row],[Popul. of SWME area]]</f>
        <v>2.6496018202502842</v>
      </c>
      <c r="I27" s="98"/>
      <c r="J27" s="124">
        <v>18</v>
      </c>
      <c r="K27" s="113">
        <f>Table1[[#This Row],['# Residents Served]]/Table1[[#This Row],[Popul. of SWME area]]</f>
        <v>2.0477815699658702E-2</v>
      </c>
      <c r="L27" s="145"/>
      <c r="M27" s="129"/>
      <c r="N27" s="127" t="s">
        <v>102</v>
      </c>
      <c r="O27" s="145"/>
    </row>
    <row r="28" spans="1:15" ht="41.4" x14ac:dyDescent="0.3">
      <c r="A28" s="106" t="s">
        <v>77</v>
      </c>
      <c r="B28" s="105">
        <v>1136</v>
      </c>
      <c r="C28" s="106">
        <v>30</v>
      </c>
      <c r="D28" s="107">
        <v>423</v>
      </c>
      <c r="E28" s="108">
        <v>0</v>
      </c>
      <c r="F28" s="108">
        <v>0</v>
      </c>
      <c r="G28" s="108">
        <f>Table1[[#This Row],[Total Costs (Permanent)]]+Table1[[#This Row],[Total Costs (Events)]]</f>
        <v>0</v>
      </c>
      <c r="H28" s="108">
        <f>Table1[[#This Row],[TOTAL COSTS]]/Table1[[#This Row],[Popul. of SWME area]]</f>
        <v>0</v>
      </c>
      <c r="I28" s="109"/>
      <c r="J28" s="125"/>
      <c r="K28" s="114">
        <f>Table1[[#This Row],['# Residents Served]]/Table1[[#This Row],[Popul. of SWME area]]</f>
        <v>0</v>
      </c>
      <c r="L28" s="146"/>
      <c r="M28" s="144" t="s">
        <v>98</v>
      </c>
      <c r="N28" s="147" t="s">
        <v>111</v>
      </c>
      <c r="O28" s="147" t="s">
        <v>112</v>
      </c>
    </row>
    <row r="29" spans="1:15" x14ac:dyDescent="0.3">
      <c r="A29" s="99" t="s">
        <v>83</v>
      </c>
      <c r="B29" s="100">
        <f>SUBTOTAL(109,Table1[Popul. of SWME area])</f>
        <v>656746</v>
      </c>
      <c r="C29" s="101"/>
      <c r="D29" s="102">
        <f>SUBTOTAL(109,Table1[Households in SWME area])</f>
        <v>282981</v>
      </c>
      <c r="E29" s="103">
        <f>SUBTOTAL(109,Table1[Total Costs (Permanent)])</f>
        <v>1097497</v>
      </c>
      <c r="F29" s="103">
        <f>SUBTOTAL(109,Table1[Total Costs (Events)])</f>
        <v>482735.5</v>
      </c>
      <c r="G29" s="103">
        <f>SUBTOTAL(109,Table1[TOTAL COSTS])</f>
        <v>1580232.5</v>
      </c>
      <c r="H29" s="103">
        <f>Table1[[#Totals],[TOTAL COSTS]]/Table1[[#Totals],[Popul. of SWME area]]</f>
        <v>2.40615473866609</v>
      </c>
      <c r="I29" s="104">
        <f>SUMIF(Table1[Permanent Year Round Access],"Y",Table1[Popul. of SWME area])</f>
        <v>298709</v>
      </c>
      <c r="J29" s="112">
        <f>SUBTOTAL(109,Table1['# Residents Served])</f>
        <v>24716</v>
      </c>
      <c r="K29" s="122">
        <f>Table1[[#Totals],['# Residents Served]]/Table1[[#Totals],[Popul. of SWME area]]</f>
        <v>3.7634032030648072E-2</v>
      </c>
      <c r="L29" s="132"/>
      <c r="M29" s="131"/>
      <c r="N29" s="134">
        <f>SUBTOTAL(109,Table1[2015 HHW/CEG Final '#s])</f>
        <v>895.30000000000007</v>
      </c>
      <c r="O29" s="136">
        <f>SUBTOTAL(109,Table1[2016 projected HHW/CEG (uses 2015 where no 2016 available)])</f>
        <v>1291.01</v>
      </c>
    </row>
    <row r="30" spans="1:15" x14ac:dyDescent="0.3">
      <c r="A30" s="137" t="s">
        <v>107</v>
      </c>
      <c r="E30" s="87"/>
      <c r="F30" s="87"/>
      <c r="G30" s="87"/>
      <c r="M30" s="110"/>
    </row>
    <row r="31" spans="1:15" x14ac:dyDescent="0.3">
      <c r="I31" s="88">
        <f>SUMIF(Table1[Permanent Year Round Access],"agreement",Table1[Popul. of SWME area])</f>
        <v>67570</v>
      </c>
    </row>
    <row r="32" spans="1:15" s="90" customFormat="1" x14ac:dyDescent="0.3">
      <c r="A32" s="115" t="s">
        <v>106</v>
      </c>
      <c r="B32" s="116"/>
      <c r="C32" s="116"/>
      <c r="D32" s="116"/>
      <c r="E32" s="117">
        <f>Table1[[#Totals],[TOTAL COSTS]]</f>
        <v>1580232.5</v>
      </c>
      <c r="F32" s="116"/>
      <c r="I32" s="91">
        <f>I31+Table1[[#Totals],[Permanent Year Round Access]]</f>
        <v>366279</v>
      </c>
    </row>
    <row r="33" spans="1:9" s="90" customFormat="1" x14ac:dyDescent="0.3">
      <c r="A33" s="115" t="s">
        <v>88</v>
      </c>
      <c r="B33" s="116"/>
      <c r="C33" s="116"/>
      <c r="D33" s="116"/>
      <c r="E33" s="117">
        <f>Table1[[#Totals],[TOTAL Cost per capita]]</f>
        <v>2.40615473866609</v>
      </c>
      <c r="F33" s="116"/>
      <c r="I33" s="92"/>
    </row>
    <row r="35" spans="1:9" s="90" customFormat="1" x14ac:dyDescent="0.3">
      <c r="A35" s="115" t="s">
        <v>108</v>
      </c>
      <c r="B35" s="116"/>
      <c r="C35" s="116"/>
      <c r="D35" s="116"/>
      <c r="E35" s="118">
        <f>Table1[[#Totals],['# Residents Served]]/Table1[[#Totals],[Popul. of SWME area]]</f>
        <v>3.7634032030648072E-2</v>
      </c>
      <c r="F35" s="116" t="s">
        <v>92</v>
      </c>
      <c r="G35" s="116"/>
      <c r="I35" s="92"/>
    </row>
    <row r="37" spans="1:9" x14ac:dyDescent="0.3">
      <c r="A37" s="115" t="s">
        <v>87</v>
      </c>
      <c r="B37" s="116"/>
      <c r="C37" s="116"/>
      <c r="D37" s="116"/>
      <c r="E37" s="120">
        <f>Table1[[#Totals],[Permanent Year Round Access]]/Table1[[#Totals],[Popul. of SWME area]]</f>
        <v>0.4548318528015397</v>
      </c>
      <c r="F37" s="119"/>
      <c r="I37" s="93"/>
    </row>
    <row r="38" spans="1:9" x14ac:dyDescent="0.3">
      <c r="A38" s="116" t="s">
        <v>95</v>
      </c>
      <c r="B38" s="116"/>
      <c r="C38" s="116"/>
      <c r="D38" s="116"/>
      <c r="E38" s="121">
        <f>I32/Table1[[#Totals],[Popul. of SWME area]]</f>
        <v>0.5577179000709559</v>
      </c>
      <c r="F38" s="119"/>
    </row>
    <row r="40" spans="1:9" s="90" customFormat="1" x14ac:dyDescent="0.3">
      <c r="A40" s="115" t="s">
        <v>109</v>
      </c>
      <c r="B40" s="116"/>
      <c r="C40" s="116"/>
      <c r="D40" s="116"/>
      <c r="E40" s="118">
        <v>5.4926366463682048E-2</v>
      </c>
      <c r="F40" s="116" t="s">
        <v>93</v>
      </c>
      <c r="I40" s="89"/>
    </row>
    <row r="41" spans="1:9" s="90" customFormat="1" x14ac:dyDescent="0.3">
      <c r="A41" s="116" t="s">
        <v>110</v>
      </c>
      <c r="B41" s="116"/>
      <c r="C41" s="116"/>
      <c r="D41" s="116"/>
      <c r="E41" s="118">
        <v>4.8566802901613249E-2</v>
      </c>
      <c r="F41" s="116" t="s">
        <v>94</v>
      </c>
    </row>
    <row r="42" spans="1:9" s="90" customFormat="1" x14ac:dyDescent="0.3">
      <c r="A42" s="116"/>
      <c r="B42" s="116"/>
      <c r="C42" s="116"/>
      <c r="D42" s="116"/>
      <c r="E42" s="118"/>
      <c r="F42" s="116"/>
    </row>
    <row r="43" spans="1:9" s="90" customFormat="1" x14ac:dyDescent="0.3">
      <c r="C43" s="116"/>
      <c r="E43" s="148"/>
    </row>
    <row r="44" spans="1:9" s="90" customFormat="1" x14ac:dyDescent="0.3">
      <c r="C44" s="116"/>
      <c r="E44" s="148"/>
    </row>
    <row r="46" spans="1:9" x14ac:dyDescent="0.3">
      <c r="A46" s="116" t="s">
        <v>113</v>
      </c>
      <c r="B46" s="149"/>
      <c r="D46" s="119"/>
      <c r="E46" s="119">
        <v>524.5</v>
      </c>
      <c r="F46" s="119"/>
    </row>
    <row r="47" spans="1:9" x14ac:dyDescent="0.3">
      <c r="A47" s="119" t="s">
        <v>114</v>
      </c>
      <c r="B47" s="119"/>
      <c r="D47" s="119"/>
      <c r="E47" s="119">
        <v>752</v>
      </c>
      <c r="F47" s="119"/>
    </row>
    <row r="48" spans="1:9" s="90" customFormat="1" x14ac:dyDescent="0.3">
      <c r="A48" s="115" t="s">
        <v>105</v>
      </c>
      <c r="B48" s="116"/>
      <c r="C48" s="116"/>
      <c r="D48" s="116"/>
      <c r="E48" s="116">
        <v>895.3</v>
      </c>
      <c r="F48" s="115"/>
      <c r="I48" s="89"/>
    </row>
    <row r="49" spans="1:9" s="90" customFormat="1" x14ac:dyDescent="0.3">
      <c r="A49" s="115" t="s">
        <v>115</v>
      </c>
      <c r="B49" s="116"/>
      <c r="C49" s="116"/>
      <c r="D49" s="116"/>
      <c r="E49" s="116">
        <v>1084</v>
      </c>
      <c r="F49" s="115"/>
      <c r="I49" s="89"/>
    </row>
    <row r="50" spans="1:9" s="141" customFormat="1" x14ac:dyDescent="0.3">
      <c r="A50" s="138"/>
      <c r="B50" s="139"/>
      <c r="C50" s="139"/>
      <c r="D50" s="139"/>
      <c r="E50" s="140"/>
      <c r="F50" s="138"/>
      <c r="I50" s="142"/>
    </row>
    <row r="51" spans="1:9" s="141" customFormat="1" x14ac:dyDescent="0.3">
      <c r="A51" s="138" t="s">
        <v>116</v>
      </c>
      <c r="B51" s="139"/>
      <c r="C51" s="139"/>
      <c r="D51" s="139"/>
      <c r="E51" s="140">
        <f>E32/E49</f>
        <v>1457.7790590405905</v>
      </c>
      <c r="F51" s="138"/>
      <c r="I51" s="142"/>
    </row>
    <row r="73" spans="1:9" x14ac:dyDescent="0.3">
      <c r="A73" s="93"/>
      <c r="I73" s="93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Webber, Rebecca</dc:creator>
  <cp:lastModifiedBy>Administrator</cp:lastModifiedBy>
  <dcterms:created xsi:type="dcterms:W3CDTF">2017-03-30T17:07:34Z</dcterms:created>
  <dcterms:modified xsi:type="dcterms:W3CDTF">2018-01-24T18:58:35Z</dcterms:modified>
</cp:coreProperties>
</file>