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Y:\WM_RCRA\Assistance\TUHWR (P2)\2023-2025 Planning Cycle\Forms\"/>
    </mc:Choice>
  </mc:AlternateContent>
  <xr:revisionPtr revIDLastSave="0" documentId="13_ncr:1_{8161C654-3CBA-4171-8E3F-2D845479143A}" xr6:coauthVersionLast="47" xr6:coauthVersionMax="47" xr10:uidLastSave="{00000000-0000-0000-0000-000000000000}"/>
  <bookViews>
    <workbookView xWindow="28680" yWindow="-4995" windowWidth="29040" windowHeight="15720" tabRatio="682" xr2:uid="{00000000-000D-0000-FFFF-FFFF00000000}"/>
  </bookViews>
  <sheets>
    <sheet name="Instructions" sheetId="3" r:id="rId1"/>
    <sheet name="Calculation Sheet" sheetId="1" r:id="rId2"/>
    <sheet name="Example Calculation" sheetId="5" r:id="rId3"/>
    <sheet name="Generator Type" sheetId="2" state="hidden" r:id="rId4"/>
  </sheets>
  <definedNames>
    <definedName name="Hazardous" localSheetId="2">Table25[#All]</definedName>
    <definedName name="Hazardous">Table2[#All]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7" i="5" l="1"/>
  <c r="H46" i="5" s="1"/>
  <c r="E47" i="5"/>
  <c r="F45" i="5" s="1"/>
  <c r="J45" i="5" s="1"/>
  <c r="G26" i="5"/>
  <c r="H24" i="5" s="1"/>
  <c r="E26" i="5"/>
  <c r="F22" i="5" s="1"/>
  <c r="J22" i="5" s="1"/>
  <c r="K25" i="5"/>
  <c r="K24" i="5"/>
  <c r="K23" i="5"/>
  <c r="K22" i="5"/>
  <c r="K21" i="5"/>
  <c r="K20" i="5"/>
  <c r="K19" i="5"/>
  <c r="K18" i="5"/>
  <c r="K17" i="5"/>
  <c r="K16" i="5"/>
  <c r="K15" i="5"/>
  <c r="K14" i="5"/>
  <c r="K13" i="5"/>
  <c r="K12" i="5"/>
  <c r="K11" i="5"/>
  <c r="C4" i="5"/>
  <c r="H17" i="5" l="1"/>
  <c r="H19" i="5"/>
  <c r="H15" i="5"/>
  <c r="H22" i="5"/>
  <c r="H32" i="5"/>
  <c r="H40" i="5"/>
  <c r="H33" i="5"/>
  <c r="H41" i="5"/>
  <c r="H36" i="5"/>
  <c r="H44" i="5"/>
  <c r="H37" i="5"/>
  <c r="F44" i="5"/>
  <c r="J44" i="5" s="1"/>
  <c r="H34" i="5"/>
  <c r="H38" i="5"/>
  <c r="H42" i="5"/>
  <c r="H45" i="5"/>
  <c r="H35" i="5"/>
  <c r="H39" i="5"/>
  <c r="H43" i="5"/>
  <c r="H13" i="5"/>
  <c r="H11" i="5"/>
  <c r="H18" i="5"/>
  <c r="H25" i="5"/>
  <c r="H14" i="5"/>
  <c r="H21" i="5"/>
  <c r="H23" i="5"/>
  <c r="K26" i="5"/>
  <c r="F36" i="5"/>
  <c r="J36" i="5" s="1"/>
  <c r="F39" i="5"/>
  <c r="J39" i="5" s="1"/>
  <c r="F32" i="5"/>
  <c r="J32" i="5" s="1"/>
  <c r="F35" i="5"/>
  <c r="J35" i="5" s="1"/>
  <c r="F40" i="5"/>
  <c r="J40" i="5" s="1"/>
  <c r="F43" i="5"/>
  <c r="J43" i="5" s="1"/>
  <c r="F14" i="5"/>
  <c r="J14" i="5" s="1"/>
  <c r="L14" i="5" s="1"/>
  <c r="F18" i="5"/>
  <c r="J18" i="5" s="1"/>
  <c r="L18" i="5" s="1"/>
  <c r="L22" i="5"/>
  <c r="N22" i="5"/>
  <c r="F23" i="5"/>
  <c r="J23" i="5" s="1"/>
  <c r="F19" i="5"/>
  <c r="J19" i="5" s="1"/>
  <c r="F15" i="5"/>
  <c r="J15" i="5" s="1"/>
  <c r="F11" i="5"/>
  <c r="F24" i="5"/>
  <c r="J24" i="5" s="1"/>
  <c r="F20" i="5"/>
  <c r="J20" i="5" s="1"/>
  <c r="F16" i="5"/>
  <c r="J16" i="5" s="1"/>
  <c r="F12" i="5"/>
  <c r="J12" i="5" s="1"/>
  <c r="F25" i="5"/>
  <c r="J25" i="5" s="1"/>
  <c r="F21" i="5"/>
  <c r="J21" i="5" s="1"/>
  <c r="F17" i="5"/>
  <c r="J17" i="5" s="1"/>
  <c r="F13" i="5"/>
  <c r="J13" i="5" s="1"/>
  <c r="F34" i="5"/>
  <c r="J34" i="5" s="1"/>
  <c r="F38" i="5"/>
  <c r="J38" i="5" s="1"/>
  <c r="F42" i="5"/>
  <c r="J42" i="5" s="1"/>
  <c r="F46" i="5"/>
  <c r="J46" i="5" s="1"/>
  <c r="H12" i="5"/>
  <c r="H16" i="5"/>
  <c r="H20" i="5"/>
  <c r="F33" i="5"/>
  <c r="J33" i="5" s="1"/>
  <c r="F37" i="5"/>
  <c r="J37" i="5" s="1"/>
  <c r="F41" i="5"/>
  <c r="J41" i="5" s="1"/>
  <c r="E47" i="1"/>
  <c r="F44" i="1" s="1"/>
  <c r="J44" i="1" s="1"/>
  <c r="H47" i="5" l="1"/>
  <c r="H26" i="5"/>
  <c r="N18" i="5"/>
  <c r="N14" i="5"/>
  <c r="L12" i="5"/>
  <c r="N12" i="5"/>
  <c r="F26" i="5"/>
  <c r="J11" i="5"/>
  <c r="L17" i="5"/>
  <c r="L15" i="5"/>
  <c r="J47" i="5"/>
  <c r="N21" i="5"/>
  <c r="L21" i="5"/>
  <c r="L20" i="5"/>
  <c r="N20" i="5"/>
  <c r="L19" i="5"/>
  <c r="N19" i="5"/>
  <c r="F47" i="5"/>
  <c r="L13" i="5"/>
  <c r="N25" i="5"/>
  <c r="L25" i="5"/>
  <c r="L24" i="5"/>
  <c r="N24" i="5"/>
  <c r="L23" i="5"/>
  <c r="N23" i="5"/>
  <c r="L16" i="5"/>
  <c r="N16" i="5"/>
  <c r="F45" i="1"/>
  <c r="J45" i="1" s="1"/>
  <c r="F43" i="1"/>
  <c r="J43" i="1" s="1"/>
  <c r="F42" i="1"/>
  <c r="J42" i="1" s="1"/>
  <c r="F34" i="1"/>
  <c r="J34" i="1" s="1"/>
  <c r="F41" i="1"/>
  <c r="J41" i="1" s="1"/>
  <c r="F39" i="1"/>
  <c r="J39" i="1" s="1"/>
  <c r="F32" i="1"/>
  <c r="F36" i="1"/>
  <c r="J36" i="1" s="1"/>
  <c r="F33" i="1"/>
  <c r="J33" i="1" s="1"/>
  <c r="F35" i="1"/>
  <c r="J35" i="1" s="1"/>
  <c r="F37" i="1"/>
  <c r="J37" i="1" s="1"/>
  <c r="F40" i="1"/>
  <c r="J40" i="1" s="1"/>
  <c r="F46" i="1"/>
  <c r="J46" i="1" s="1"/>
  <c r="F38" i="1"/>
  <c r="J38" i="1" s="1"/>
  <c r="L11" i="5" l="1"/>
  <c r="M19" i="5" s="1"/>
  <c r="J26" i="5"/>
  <c r="J32" i="1"/>
  <c r="G47" i="1"/>
  <c r="H45" i="1" s="1"/>
  <c r="F47" i="1"/>
  <c r="M16" i="5" l="1"/>
  <c r="M13" i="5"/>
  <c r="N13" i="5" s="1"/>
  <c r="M12" i="5"/>
  <c r="M15" i="5"/>
  <c r="N15" i="5" s="1"/>
  <c r="M25" i="5"/>
  <c r="M24" i="5"/>
  <c r="M21" i="5"/>
  <c r="M11" i="5"/>
  <c r="M14" i="5"/>
  <c r="M18" i="5"/>
  <c r="M22" i="5"/>
  <c r="M17" i="5"/>
  <c r="N17" i="5" s="1"/>
  <c r="M23" i="5"/>
  <c r="M20" i="5"/>
  <c r="H37" i="1"/>
  <c r="H43" i="1"/>
  <c r="H42" i="1"/>
  <c r="H46" i="1"/>
  <c r="H32" i="1"/>
  <c r="H34" i="1"/>
  <c r="H36" i="1"/>
  <c r="H44" i="1"/>
  <c r="H38" i="1"/>
  <c r="H35" i="1"/>
  <c r="H33" i="1"/>
  <c r="J47" i="1" s="1"/>
  <c r="H39" i="1"/>
  <c r="H41" i="1"/>
  <c r="H40" i="1"/>
  <c r="M26" i="5" l="1"/>
  <c r="N11" i="5"/>
  <c r="N26" i="5" s="1"/>
  <c r="C5" i="5" s="1"/>
  <c r="H47" i="1"/>
  <c r="K24" i="1" l="1"/>
  <c r="K23" i="1"/>
  <c r="K22" i="1"/>
  <c r="C4" i="1"/>
  <c r="K11" i="1" l="1"/>
  <c r="K12" i="1"/>
  <c r="K13" i="1"/>
  <c r="K14" i="1"/>
  <c r="K15" i="1"/>
  <c r="K16" i="1"/>
  <c r="K17" i="1"/>
  <c r="K18" i="1"/>
  <c r="K19" i="1"/>
  <c r="K20" i="1"/>
  <c r="K21" i="1"/>
  <c r="K25" i="1"/>
  <c r="K26" i="1" l="1"/>
  <c r="G26" i="1"/>
  <c r="H24" i="1" s="1"/>
  <c r="E26" i="1"/>
  <c r="F22" i="1" l="1"/>
  <c r="J22" i="1" s="1"/>
  <c r="L22" i="1" s="1"/>
  <c r="F23" i="1"/>
  <c r="J23" i="1" s="1"/>
  <c r="F24" i="1"/>
  <c r="J24" i="1" s="1"/>
  <c r="H22" i="1"/>
  <c r="H23" i="1"/>
  <c r="F14" i="1"/>
  <c r="J14" i="1" s="1"/>
  <c r="F18" i="1"/>
  <c r="J18" i="1" s="1"/>
  <c r="F25" i="1"/>
  <c r="J25" i="1" s="1"/>
  <c r="F11" i="1"/>
  <c r="J11" i="1" s="1"/>
  <c r="F15" i="1"/>
  <c r="J15" i="1" s="1"/>
  <c r="F19" i="1"/>
  <c r="J19" i="1" s="1"/>
  <c r="F12" i="1"/>
  <c r="J12" i="1" s="1"/>
  <c r="F16" i="1"/>
  <c r="J16" i="1" s="1"/>
  <c r="F20" i="1"/>
  <c r="J20" i="1" s="1"/>
  <c r="F13" i="1"/>
  <c r="J13" i="1" s="1"/>
  <c r="F17" i="1"/>
  <c r="J17" i="1" s="1"/>
  <c r="F21" i="1"/>
  <c r="J21" i="1" s="1"/>
  <c r="H12" i="1"/>
  <c r="H16" i="1"/>
  <c r="H20" i="1"/>
  <c r="H19" i="1"/>
  <c r="H13" i="1"/>
  <c r="H17" i="1"/>
  <c r="H21" i="1"/>
  <c r="H15" i="1"/>
  <c r="H14" i="1"/>
  <c r="H18" i="1"/>
  <c r="H25" i="1"/>
  <c r="H11" i="1"/>
  <c r="N22" i="1" l="1"/>
  <c r="N24" i="1"/>
  <c r="L24" i="1"/>
  <c r="L23" i="1"/>
  <c r="N23" i="1"/>
  <c r="H26" i="1"/>
  <c r="L14" i="1"/>
  <c r="L21" i="1"/>
  <c r="N21" i="1"/>
  <c r="L18" i="1"/>
  <c r="L13" i="1"/>
  <c r="L19" i="1"/>
  <c r="L20" i="1"/>
  <c r="N20" i="1"/>
  <c r="L15" i="1"/>
  <c r="L16" i="1"/>
  <c r="L17" i="1"/>
  <c r="L12" i="1"/>
  <c r="L25" i="1"/>
  <c r="N25" i="1"/>
  <c r="F26" i="1"/>
  <c r="L11" i="1" l="1"/>
  <c r="J26" i="1"/>
  <c r="M23" i="1" l="1"/>
  <c r="M24" i="1"/>
  <c r="M11" i="1"/>
  <c r="N11" i="1" s="1"/>
  <c r="M22" i="1"/>
  <c r="M16" i="1"/>
  <c r="N16" i="1" s="1"/>
  <c r="M17" i="1"/>
  <c r="N17" i="1" s="1"/>
  <c r="M13" i="1"/>
  <c r="N13" i="1" s="1"/>
  <c r="M19" i="1"/>
  <c r="N19" i="1" s="1"/>
  <c r="M18" i="1"/>
  <c r="N18" i="1" s="1"/>
  <c r="M21" i="1"/>
  <c r="M15" i="1"/>
  <c r="N15" i="1" s="1"/>
  <c r="M25" i="1"/>
  <c r="M20" i="1"/>
  <c r="M12" i="1"/>
  <c r="N12" i="1" s="1"/>
  <c r="M14" i="1"/>
  <c r="N14" i="1" s="1"/>
  <c r="N26" i="1" l="1"/>
  <c r="C5" i="1" s="1"/>
  <c r="M26" i="1"/>
</calcChain>
</file>

<file path=xl/sharedStrings.xml><?xml version="1.0" encoding="utf-8"?>
<sst xmlns="http://schemas.openxmlformats.org/spreadsheetml/2006/main" count="132" uniqueCount="86">
  <si>
    <t>Waste Stream</t>
  </si>
  <si>
    <t>EPA or VT Waste Code</t>
  </si>
  <si>
    <t>Name of Hazardous Waste Stream</t>
  </si>
  <si>
    <t>Process Generating Waste Stream</t>
  </si>
  <si>
    <t>Generator</t>
  </si>
  <si>
    <t>Class A Generator</t>
  </si>
  <si>
    <t>Class A Generator and Large User</t>
  </si>
  <si>
    <t>Class B Generator</t>
  </si>
  <si>
    <t>Class B Generator and Large User</t>
  </si>
  <si>
    <t>Large User</t>
  </si>
  <si>
    <t>Exempt</t>
  </si>
  <si>
    <t>Annual Quantity Generated</t>
  </si>
  <si>
    <t>Maximum Fee</t>
  </si>
  <si>
    <t>Duplicates</t>
  </si>
  <si>
    <t>&gt;5%</t>
  </si>
  <si>
    <t>Fee Owed</t>
  </si>
  <si>
    <t>Count</t>
  </si>
  <si>
    <t>Concatenate</t>
  </si>
  <si>
    <t>Modified Count</t>
  </si>
  <si>
    <t>Current Pounds</t>
  </si>
  <si>
    <t>Current Percent</t>
  </si>
  <si>
    <t>Previous Pounds</t>
  </si>
  <si>
    <t>Previous Percent</t>
  </si>
  <si>
    <t xml:space="preserve">Annual Toxics Use </t>
  </si>
  <si>
    <t>Product or Chemical</t>
  </si>
  <si>
    <t>Process(es) Where Used</t>
  </si>
  <si>
    <t>Toxics</t>
  </si>
  <si>
    <t>Notes</t>
  </si>
  <si>
    <t>Hazardous Waste</t>
  </si>
  <si>
    <t>Planning Status (select)</t>
  </si>
  <si>
    <t>Instructions:</t>
  </si>
  <si>
    <t>Other Information (optional)</t>
  </si>
  <si>
    <t>(Table II)</t>
  </si>
  <si>
    <t>(Table IV)</t>
  </si>
  <si>
    <t>VT02</t>
  </si>
  <si>
    <t>Oily paper</t>
  </si>
  <si>
    <t>maintenance</t>
  </si>
  <si>
    <t>D001,F003,F005</t>
  </si>
  <si>
    <t>waste solvent</t>
  </si>
  <si>
    <t>machining</t>
  </si>
  <si>
    <t>D007,D002</t>
  </si>
  <si>
    <t>waste corrosive liquids</t>
  </si>
  <si>
    <t>D002</t>
  </si>
  <si>
    <t>waste corrosive liquid</t>
  </si>
  <si>
    <t>etching</t>
  </si>
  <si>
    <t>F006</t>
  </si>
  <si>
    <t>wastewater treatment sludge</t>
  </si>
  <si>
    <t>WW treatment</t>
  </si>
  <si>
    <t>oily absorbents</t>
  </si>
  <si>
    <t>cleaning</t>
  </si>
  <si>
    <t>plating</t>
  </si>
  <si>
    <t>sulfuric acid</t>
  </si>
  <si>
    <t>nickel</t>
  </si>
  <si>
    <t>manufacturing</t>
  </si>
  <si>
    <t>hydrofluoric acid</t>
  </si>
  <si>
    <t>etching, plating</t>
  </si>
  <si>
    <t>Facility Name:</t>
  </si>
  <si>
    <t xml:space="preserve">Fill in the "Product or Chemical" and "Name of Process…" columns as you would the paper form. </t>
  </si>
  <si>
    <t>Fill in the column the "name…" and "Process generating…" columns as you would the paper form.</t>
  </si>
  <si>
    <t>Enter each waste stream on a separate line.</t>
  </si>
  <si>
    <r>
      <t xml:space="preserve">If your facility is a </t>
    </r>
    <r>
      <rPr>
        <b/>
        <sz val="11"/>
        <color theme="1"/>
        <rFont val="Calibri"/>
        <family val="2"/>
        <scheme val="minor"/>
      </rPr>
      <t>Toxics User only</t>
    </r>
    <r>
      <rPr>
        <sz val="11"/>
        <color theme="1"/>
        <rFont val="Calibri"/>
        <family val="2"/>
        <scheme val="minor"/>
      </rPr>
      <t xml:space="preserve">, start entering data on </t>
    </r>
    <r>
      <rPr>
        <b/>
        <sz val="11"/>
        <color theme="1"/>
        <rFont val="Calibri"/>
        <family val="2"/>
        <scheme val="minor"/>
      </rPr>
      <t>Row 32</t>
    </r>
  </si>
  <si>
    <t xml:space="preserve">Optional: If you have a large number of hazardous waste streams that each make up less than 5% of the total weight of hazardous waste, you may aggregate the weight into one line on the table. Use the waste code of "varied" and the aggregated waste will not be counted as a separate waste for fee calculation.  </t>
  </si>
  <si>
    <t>Return to Instructions Tab</t>
  </si>
  <si>
    <r>
      <t xml:space="preserve">If your facility is a </t>
    </r>
    <r>
      <rPr>
        <b/>
        <sz val="11"/>
        <color theme="1"/>
        <rFont val="Calibri"/>
        <family val="2"/>
        <scheme val="minor"/>
      </rPr>
      <t>Class A or B generator</t>
    </r>
    <r>
      <rPr>
        <sz val="11"/>
        <color theme="1"/>
        <rFont val="Calibri"/>
        <family val="2"/>
        <scheme val="minor"/>
      </rPr>
      <t xml:space="preserve">, start listing your hazardous waste streams on </t>
    </r>
    <r>
      <rPr>
        <b/>
        <sz val="11"/>
        <color theme="1"/>
        <rFont val="Calibri"/>
        <family val="2"/>
        <scheme val="minor"/>
      </rPr>
      <t>Row 11</t>
    </r>
    <r>
      <rPr>
        <sz val="11"/>
        <color theme="1"/>
        <rFont val="Calibri"/>
        <family val="2"/>
        <scheme val="minor"/>
      </rPr>
      <t xml:space="preserve">, by entering hazardous waste codes in </t>
    </r>
    <r>
      <rPr>
        <b/>
        <sz val="11"/>
        <color theme="1"/>
        <rFont val="Calibri"/>
        <family val="2"/>
        <scheme val="minor"/>
      </rPr>
      <t>Cell B11</t>
    </r>
    <r>
      <rPr>
        <sz val="11"/>
        <color theme="1"/>
        <rFont val="Calibri"/>
        <family val="2"/>
        <scheme val="minor"/>
      </rPr>
      <t xml:space="preserve">. </t>
    </r>
  </si>
  <si>
    <t>Subject to Agency verification</t>
  </si>
  <si>
    <t>Subject to Agency Verification</t>
  </si>
  <si>
    <t>Click here to see an example calculation sheet that shows how hazardous waste and toxics should be entered.</t>
  </si>
  <si>
    <t>wendy.edwards@vermont.gov</t>
  </si>
  <si>
    <r>
      <t xml:space="preserve">At the top of the form, in </t>
    </r>
    <r>
      <rPr>
        <b/>
        <sz val="11"/>
        <color theme="1"/>
        <rFont val="Calibri"/>
        <family val="2"/>
        <scheme val="minor"/>
      </rPr>
      <t>Cell C3</t>
    </r>
    <r>
      <rPr>
        <sz val="11"/>
        <color theme="1"/>
        <rFont val="Calibri"/>
        <family val="2"/>
        <scheme val="minor"/>
      </rPr>
      <t>, use the yellow-shaded dropdown menu to select your facility's  planner status for the year you are reporting on. This will be used to set the maximum fee.</t>
    </r>
  </si>
  <si>
    <t xml:space="preserve">Enter the pounds generated for the year you are reporting Column E and the % will auto-populate. Enter the pounds generated the previous year in Column G and % will auto-populate. The Percentages will change as you enter each waste stream. </t>
  </si>
  <si>
    <t xml:space="preserve">Enter the Pounds Used in for the year you are reporting on in Column E and the % will auto-populate. Enter the pounds used the previous year in Column G and % will auto-populate. The Percentages will change as you enter each waste stream. </t>
  </si>
  <si>
    <t>Instructions for using the VT TUHWR Annual Fee Calcuator Tool</t>
  </si>
  <si>
    <t xml:space="preserve">Welcome to our Annual Fee Calculator Tool. The purpose of this tool is to assist facilities in calculating their annual TUHWR planning fee. If you have questions about using this tool or calculating your fee, please contact Wendy Edwards by phone: (802) 522-0261 or email: </t>
  </si>
  <si>
    <t xml:space="preserve">The Calculation Sheet Tab contains a calculation sheet that is similar to Table II (Hazardous Waste Generation Information) and Table IV (Toxic Substance Use Information) of the Annual Progress Report. You may use this calculation sheet in place of those tables, but you must include a copy of this form with the electronic submittal of your report. </t>
  </si>
  <si>
    <t>Pollution Prevention Plan Annual Progress Report- Fee Calculator</t>
  </si>
  <si>
    <t>Reporting Year</t>
  </si>
  <si>
    <t>Previous Year</t>
  </si>
  <si>
    <t>Reporting Year:</t>
  </si>
  <si>
    <r>
      <t xml:space="preserve">Note: </t>
    </r>
    <r>
      <rPr>
        <i/>
        <u/>
        <sz val="11"/>
        <color theme="1"/>
        <rFont val="Calibri"/>
        <family val="2"/>
        <scheme val="minor"/>
      </rPr>
      <t>if you are entering multiple codes</t>
    </r>
    <r>
      <rPr>
        <i/>
        <sz val="11"/>
        <color theme="1"/>
        <rFont val="Calibri"/>
        <family val="2"/>
        <scheme val="minor"/>
      </rPr>
      <t xml:space="preserve">, use commas and no spaces between codes (for example, D001,D007,F003) and </t>
    </r>
    <r>
      <rPr>
        <i/>
        <u/>
        <sz val="11"/>
        <color theme="1"/>
        <rFont val="Calibri"/>
        <family val="2"/>
        <scheme val="minor"/>
      </rPr>
      <t>if you have multiple waste streams with the exact same codes</t>
    </r>
    <r>
      <rPr>
        <i/>
        <sz val="11"/>
        <color theme="1"/>
        <rFont val="Calibri"/>
        <family val="2"/>
        <scheme val="minor"/>
      </rPr>
      <t>, make sure you enter them in the same order so that the program will recognize that they are considered one waste for fee calculation purposes.</t>
    </r>
  </si>
  <si>
    <t>Reporting Year Pounds</t>
  </si>
  <si>
    <t>Previous Year Pounds</t>
  </si>
  <si>
    <t>Previous Year Percent</t>
  </si>
  <si>
    <t>Reporting Year Percent</t>
  </si>
  <si>
    <r>
      <t>The "fee owed" box</t>
    </r>
    <r>
      <rPr>
        <b/>
        <sz val="11"/>
        <color theme="1"/>
        <rFont val="Calibri"/>
        <family val="2"/>
        <scheme val="minor"/>
      </rPr>
      <t xml:space="preserve"> (Cell C5)</t>
    </r>
    <r>
      <rPr>
        <sz val="11"/>
        <color theme="1"/>
        <rFont val="Calibri"/>
        <family val="2"/>
        <scheme val="minor"/>
      </rPr>
      <t xml:space="preserve"> will update as waste streams and toxics are added. The formulas have been tested to confirm that they work, but if the fee does not seem correct, contact Wendy Edwards (info above).</t>
    </r>
  </si>
  <si>
    <r>
      <rPr>
        <b/>
        <sz val="11"/>
        <color theme="1"/>
        <rFont val="Calibri"/>
        <family val="2"/>
        <scheme val="minor"/>
      </rPr>
      <t>Disclaimer:</t>
    </r>
    <r>
      <rPr>
        <sz val="11"/>
        <color theme="1"/>
        <rFont val="Calibri"/>
        <family val="2"/>
        <scheme val="minor"/>
      </rPr>
      <t xml:space="preserve"> This spreadsheet is provided to assist facilities in calculating their annual TUHWR planning fees. While it has been tested extensively, there remains the possibility that a fee may be calculated incorrectly. If there is a conflict between the fee calculated by the spreadsheet and the fee that the Agency determines a facility owes, the Agency determination will be the fee owed. </t>
    </r>
  </si>
  <si>
    <t>TUHWR Annual Progress Report- Fee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</si>
</sst>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6"/>
      <color theme="1"/>
      <name val="Calibri"/>
      <family val="2"/>
      <scheme val="minor"/>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i/>
      <sz val="11"/>
      <color theme="1"/>
      <name val="Calibri"/>
      <family val="2"/>
      <scheme val="minor"/>
    </font>
    <font>
      <i/>
      <sz val="12"/>
      <color theme="1"/>
      <name val="Calibri"/>
      <family val="2"/>
      <scheme val="minor"/>
    </font>
    <font>
      <b/>
      <sz val="11"/>
      <name val="Calibri"/>
      <family val="2"/>
      <scheme val="minor"/>
    </font>
    <font>
      <b/>
      <sz val="14"/>
      <name val="Calibri"/>
      <family val="2"/>
      <scheme val="minor"/>
    </font>
    <font>
      <b/>
      <sz val="14"/>
      <color rgb="FFFFFF00"/>
      <name val="Calibri"/>
      <family val="2"/>
      <scheme val="minor"/>
    </font>
    <font>
      <i/>
      <u/>
      <sz val="11"/>
      <color theme="1"/>
      <name val="Calibri"/>
      <family val="2"/>
      <scheme val="minor"/>
    </font>
  </fonts>
  <fills count="11">
    <fill>
      <patternFill patternType="none"/>
    </fill>
    <fill>
      <patternFill patternType="gray125"/>
    </fill>
    <fill>
      <patternFill patternType="solid">
        <fgColor theme="6"/>
        <bgColor theme="6"/>
      </patternFill>
    </fill>
    <fill>
      <patternFill patternType="solid">
        <fgColor theme="4" tint="0.79998168889431442"/>
        <bgColor indexed="64"/>
      </patternFill>
    </fill>
    <fill>
      <patternFill patternType="solid">
        <fgColor rgb="FFFFFF00"/>
        <bgColor indexed="64"/>
      </patternFill>
    </fill>
    <fill>
      <patternFill patternType="solid">
        <fgColor theme="6"/>
        <bgColor indexed="64"/>
      </patternFill>
    </fill>
    <fill>
      <patternFill patternType="solid">
        <fgColor theme="4" tint="0.79998168889431442"/>
        <bgColor theme="6"/>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59999389629810485"/>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92">
    <xf numFmtId="0" fontId="0" fillId="0" borderId="0" xfId="0"/>
    <xf numFmtId="0" fontId="0" fillId="0" borderId="0" xfId="0" applyAlignment="1">
      <alignment wrapText="1"/>
    </xf>
    <xf numFmtId="0" fontId="2" fillId="2" borderId="9" xfId="0" applyFont="1" applyFill="1" applyBorder="1" applyAlignment="1">
      <alignment wrapText="1"/>
    </xf>
    <xf numFmtId="0" fontId="0" fillId="0" borderId="12" xfId="0" applyBorder="1" applyAlignment="1">
      <alignment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wrapText="1"/>
    </xf>
    <xf numFmtId="9" fontId="0" fillId="0" borderId="12" xfId="0" applyNumberFormat="1" applyBorder="1" applyAlignment="1">
      <alignment wrapText="1"/>
    </xf>
    <xf numFmtId="0" fontId="2" fillId="2" borderId="1" xfId="0" applyFont="1" applyFill="1" applyBorder="1" applyAlignment="1">
      <alignment wrapText="1"/>
    </xf>
    <xf numFmtId="0" fontId="0" fillId="0" borderId="12" xfId="0" applyBorder="1" applyAlignment="1" applyProtection="1">
      <alignment wrapText="1"/>
      <protection locked="0"/>
    </xf>
    <xf numFmtId="0" fontId="0" fillId="0" borderId="5" xfId="0" applyBorder="1" applyAlignment="1" applyProtection="1">
      <alignment wrapText="1"/>
      <protection locked="0"/>
    </xf>
    <xf numFmtId="0" fontId="0" fillId="0" borderId="13" xfId="0" applyBorder="1" applyAlignment="1" applyProtection="1">
      <alignment wrapText="1"/>
      <protection locked="0"/>
    </xf>
    <xf numFmtId="0" fontId="0" fillId="0" borderId="6" xfId="0" applyBorder="1" applyAlignment="1" applyProtection="1">
      <alignment wrapText="1"/>
      <protection locked="0"/>
    </xf>
    <xf numFmtId="44" fontId="0" fillId="3" borderId="1" xfId="1" applyFont="1" applyFill="1" applyBorder="1" applyAlignment="1">
      <alignment wrapText="1"/>
    </xf>
    <xf numFmtId="0" fontId="0" fillId="0" borderId="0" xfId="0" applyAlignment="1" applyProtection="1">
      <alignment wrapText="1"/>
      <protection hidden="1"/>
    </xf>
    <xf numFmtId="0" fontId="0" fillId="0" borderId="0" xfId="0" applyProtection="1">
      <protection hidden="1"/>
    </xf>
    <xf numFmtId="10" fontId="0" fillId="3" borderId="12" xfId="2" applyNumberFormat="1" applyFont="1" applyFill="1" applyBorder="1" applyAlignment="1" applyProtection="1">
      <alignment wrapText="1"/>
    </xf>
    <xf numFmtId="9" fontId="0" fillId="3" borderId="13" xfId="2" applyFont="1" applyFill="1" applyBorder="1" applyAlignment="1" applyProtection="1">
      <alignment wrapText="1"/>
    </xf>
    <xf numFmtId="10" fontId="0" fillId="3" borderId="13" xfId="2" applyNumberFormat="1" applyFont="1" applyFill="1" applyBorder="1" applyAlignment="1" applyProtection="1">
      <alignment wrapText="1"/>
    </xf>
    <xf numFmtId="0" fontId="0" fillId="0" borderId="11" xfId="0" applyBorder="1" applyAlignment="1">
      <alignment vertical="center" wrapText="1"/>
    </xf>
    <xf numFmtId="0" fontId="0" fillId="0" borderId="0" xfId="0" applyAlignment="1" applyProtection="1">
      <alignment vertical="center" wrapText="1"/>
      <protection hidden="1"/>
    </xf>
    <xf numFmtId="0" fontId="0" fillId="0" borderId="5" xfId="0" applyBorder="1" applyAlignment="1" applyProtection="1">
      <alignment wrapText="1"/>
      <protection hidden="1"/>
    </xf>
    <xf numFmtId="0" fontId="3" fillId="0" borderId="0" xfId="0" applyFont="1" applyAlignment="1">
      <alignment wrapText="1"/>
    </xf>
    <xf numFmtId="0" fontId="0" fillId="0" borderId="0" xfId="0" applyAlignment="1" applyProtection="1">
      <alignment horizontal="center" vertical="center" wrapText="1"/>
      <protection hidden="1"/>
    </xf>
    <xf numFmtId="0" fontId="0" fillId="0" borderId="12" xfId="0" applyBorder="1"/>
    <xf numFmtId="9" fontId="0" fillId="0" borderId="13" xfId="0" applyNumberFormat="1" applyBorder="1" applyAlignment="1">
      <alignment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4" borderId="10" xfId="0" applyFill="1" applyBorder="1" applyProtection="1">
      <protection locked="0"/>
    </xf>
    <xf numFmtId="0" fontId="0" fillId="0" borderId="13" xfId="0" applyBorder="1"/>
    <xf numFmtId="0" fontId="6" fillId="0" borderId="0" xfId="0" applyFont="1" applyAlignment="1">
      <alignment wrapText="1"/>
    </xf>
    <xf numFmtId="0" fontId="3" fillId="0" borderId="0" xfId="0" applyFont="1"/>
    <xf numFmtId="3" fontId="0" fillId="0" borderId="5" xfId="0" applyNumberFormat="1" applyBorder="1" applyAlignment="1" applyProtection="1">
      <alignment wrapText="1"/>
      <protection locked="0"/>
    </xf>
    <xf numFmtId="3" fontId="0" fillId="0" borderId="12" xfId="0" applyNumberFormat="1" applyBorder="1" applyAlignment="1" applyProtection="1">
      <alignment wrapText="1"/>
      <protection locked="0"/>
    </xf>
    <xf numFmtId="3" fontId="0" fillId="0" borderId="6" xfId="0" applyNumberFormat="1" applyBorder="1" applyAlignment="1" applyProtection="1">
      <alignment wrapText="1"/>
      <protection locked="0"/>
    </xf>
    <xf numFmtId="3" fontId="0" fillId="0" borderId="13" xfId="0" applyNumberFormat="1" applyBorder="1" applyAlignment="1" applyProtection="1">
      <alignment wrapText="1"/>
      <protection locked="0"/>
    </xf>
    <xf numFmtId="3" fontId="0" fillId="0" borderId="12" xfId="0" applyNumberFormat="1" applyBorder="1" applyAlignment="1">
      <alignment wrapText="1"/>
    </xf>
    <xf numFmtId="3" fontId="0" fillId="0" borderId="5" xfId="0" applyNumberFormat="1" applyBorder="1" applyAlignment="1">
      <alignment wrapText="1"/>
    </xf>
    <xf numFmtId="0" fontId="5" fillId="0" borderId="0" xfId="0" applyFont="1" applyAlignment="1">
      <alignment horizontal="right"/>
    </xf>
    <xf numFmtId="0" fontId="7" fillId="0" borderId="0" xfId="3" applyAlignment="1"/>
    <xf numFmtId="0" fontId="0" fillId="0" borderId="12" xfId="0" applyBorder="1" applyProtection="1">
      <protection locked="0"/>
    </xf>
    <xf numFmtId="0" fontId="0" fillId="0" borderId="0" xfId="0" applyAlignment="1">
      <alignment horizontal="right" wrapText="1"/>
    </xf>
    <xf numFmtId="0" fontId="9" fillId="0" borderId="0" xfId="0" applyFont="1" applyAlignment="1">
      <alignment horizontal="right" vertical="top"/>
    </xf>
    <xf numFmtId="0" fontId="8" fillId="0" borderId="0" xfId="0" applyFont="1" applyAlignment="1">
      <alignment horizontal="right" vertical="top" wrapText="1"/>
    </xf>
    <xf numFmtId="44" fontId="11" fillId="5" borderId="10" xfId="1" applyFont="1" applyFill="1" applyBorder="1" applyAlignment="1">
      <alignment wrapText="1"/>
    </xf>
    <xf numFmtId="0" fontId="12" fillId="2" borderId="9" xfId="0" applyFont="1" applyFill="1" applyBorder="1" applyAlignment="1">
      <alignment wrapText="1"/>
    </xf>
    <xf numFmtId="0" fontId="10" fillId="6" borderId="9" xfId="0" applyFont="1" applyFill="1" applyBorder="1" applyAlignment="1">
      <alignment wrapText="1"/>
    </xf>
    <xf numFmtId="44" fontId="5" fillId="3" borderId="1" xfId="1" applyFont="1" applyFill="1" applyBorder="1" applyAlignment="1">
      <alignment wrapText="1"/>
    </xf>
    <xf numFmtId="0" fontId="0" fillId="7" borderId="0" xfId="0" applyFill="1"/>
    <xf numFmtId="0" fontId="0" fillId="9" borderId="15" xfId="0" applyFill="1" applyBorder="1" applyAlignment="1">
      <alignment vertical="top" wrapText="1"/>
    </xf>
    <xf numFmtId="0" fontId="0" fillId="9" borderId="16" xfId="0" applyFill="1" applyBorder="1" applyAlignment="1">
      <alignment vertical="top" wrapText="1"/>
    </xf>
    <xf numFmtId="0" fontId="0" fillId="9" borderId="15" xfId="0" applyFill="1" applyBorder="1" applyAlignment="1">
      <alignment vertical="top"/>
    </xf>
    <xf numFmtId="0" fontId="0" fillId="7" borderId="20" xfId="0" applyFill="1" applyBorder="1"/>
    <xf numFmtId="0" fontId="0" fillId="7" borderId="21" xfId="0" applyFill="1" applyBorder="1"/>
    <xf numFmtId="0" fontId="4" fillId="7" borderId="22" xfId="0" applyFont="1" applyFill="1" applyBorder="1" applyAlignment="1">
      <alignment horizontal="center"/>
    </xf>
    <xf numFmtId="0" fontId="0" fillId="7" borderId="23" xfId="0" applyFill="1" applyBorder="1"/>
    <xf numFmtId="0" fontId="0" fillId="7" borderId="24" xfId="0" applyFill="1" applyBorder="1"/>
    <xf numFmtId="0" fontId="0" fillId="7" borderId="0" xfId="0" applyFill="1" applyAlignment="1">
      <alignment wrapText="1"/>
    </xf>
    <xf numFmtId="0" fontId="0" fillId="7" borderId="25" xfId="0" applyFill="1" applyBorder="1"/>
    <xf numFmtId="0" fontId="7" fillId="7" borderId="0" xfId="3" applyFill="1" applyBorder="1" applyAlignment="1">
      <alignment wrapText="1"/>
    </xf>
    <xf numFmtId="0" fontId="0" fillId="7" borderId="24" xfId="0" applyFill="1" applyBorder="1" applyAlignment="1">
      <alignment wrapText="1"/>
    </xf>
    <xf numFmtId="0" fontId="0" fillId="7" borderId="25" xfId="0" applyFill="1" applyBorder="1" applyAlignment="1">
      <alignment wrapText="1"/>
    </xf>
    <xf numFmtId="0" fontId="0" fillId="7" borderId="26" xfId="0" applyFill="1" applyBorder="1"/>
    <xf numFmtId="0" fontId="0" fillId="7" borderId="27" xfId="0" applyFill="1" applyBorder="1"/>
    <xf numFmtId="0" fontId="0" fillId="7" borderId="28" xfId="0" applyFill="1" applyBorder="1"/>
    <xf numFmtId="0" fontId="5" fillId="9" borderId="15" xfId="0" applyFont="1" applyFill="1" applyBorder="1" applyAlignment="1">
      <alignment horizontal="right" vertical="top"/>
    </xf>
    <xf numFmtId="0" fontId="5" fillId="9" borderId="16" xfId="0" applyFont="1" applyFill="1" applyBorder="1" applyAlignment="1">
      <alignment horizontal="right" vertical="top"/>
    </xf>
    <xf numFmtId="0" fontId="5" fillId="9" borderId="17" xfId="0" applyFont="1" applyFill="1" applyBorder="1" applyAlignment="1">
      <alignment horizontal="right" vertical="top"/>
    </xf>
    <xf numFmtId="0" fontId="5" fillId="9" borderId="15" xfId="0" applyFont="1" applyFill="1" applyBorder="1" applyAlignment="1">
      <alignment horizontal="right" vertical="top" wrapText="1"/>
    </xf>
    <xf numFmtId="0" fontId="8" fillId="9" borderId="17" xfId="0" applyFont="1" applyFill="1" applyBorder="1" applyAlignment="1">
      <alignment vertical="top" wrapText="1"/>
    </xf>
    <xf numFmtId="0" fontId="0" fillId="7" borderId="24" xfId="0" applyFill="1" applyBorder="1" applyAlignment="1">
      <alignment vertical="top"/>
    </xf>
    <xf numFmtId="0" fontId="0" fillId="7" borderId="0" xfId="0" applyFill="1" applyAlignment="1">
      <alignment vertical="top"/>
    </xf>
    <xf numFmtId="0" fontId="7" fillId="7" borderId="0" xfId="3" applyFill="1" applyBorder="1" applyAlignment="1">
      <alignment vertical="top" wrapText="1"/>
    </xf>
    <xf numFmtId="0" fontId="0" fillId="7" borderId="25" xfId="0" applyFill="1" applyBorder="1" applyAlignment="1">
      <alignment vertical="top"/>
    </xf>
    <xf numFmtId="0" fontId="0" fillId="0" borderId="0" xfId="0" applyAlignment="1">
      <alignment vertical="top"/>
    </xf>
    <xf numFmtId="0" fontId="5" fillId="10" borderId="18" xfId="0" applyFont="1" applyFill="1" applyBorder="1" applyAlignment="1">
      <alignment horizontal="center"/>
    </xf>
    <xf numFmtId="0" fontId="5" fillId="10" borderId="19" xfId="0" applyFont="1" applyFill="1" applyBorder="1" applyAlignment="1">
      <alignment horizontal="center"/>
    </xf>
    <xf numFmtId="0" fontId="0" fillId="8" borderId="18" xfId="0" applyFill="1" applyBorder="1" applyAlignment="1">
      <alignment vertical="top" wrapText="1"/>
    </xf>
    <xf numFmtId="0" fontId="0" fillId="0" borderId="19" xfId="0" applyBorder="1" applyAlignment="1">
      <alignment vertical="top"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4">
    <cellStyle name="Currency" xfId="1" builtinId="4"/>
    <cellStyle name="Hyperlink" xfId="3" builtinId="8"/>
    <cellStyle name="Normal" xfId="0" builtinId="0"/>
    <cellStyle name="Percent" xfId="2" builtinId="5"/>
  </cellStyles>
  <dxfs count="100">
    <dxf>
      <protection locked="1" hidden="1"/>
    </dxf>
    <dxf>
      <numFmt numFmtId="0" formatCode="General"/>
      <alignment horizontal="general" vertical="bottom" textRotation="0" wrapText="1" indent="0" justifyLastLine="0" shrinkToFit="0" readingOrder="0"/>
      <border>
        <left style="medium">
          <color indexed="64"/>
        </left>
      </border>
      <protection locked="1" hidden="1"/>
    </dxf>
    <dxf>
      <border diagonalUp="0" diagonalDown="0" outline="0">
        <left style="medium">
          <color indexed="64"/>
        </left>
        <right style="medium">
          <color indexed="64"/>
        </right>
        <top/>
        <bottom style="medium">
          <color indexed="64"/>
        </bottom>
      </border>
    </dxf>
    <dxf>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Calibri"/>
        <family val="2"/>
        <scheme val="minor"/>
      </font>
      <numFmt numFmtId="13" formatCode="0%"/>
      <alignment horizontal="general" vertical="bottom" textRotation="0" wrapText="1" indent="0" justifyLastLine="0" shrinkToFit="0" readingOrder="0"/>
      <border diagonalUp="0" diagonalDown="0" outline="0">
        <left style="medium">
          <color indexed="64"/>
        </left>
        <right style="medium">
          <color indexed="64"/>
        </right>
        <top/>
        <bottom/>
      </border>
    </dxf>
    <dxf>
      <numFmt numFmtId="14" formatCode="0.00%"/>
      <fill>
        <patternFill patternType="solid">
          <fgColor indexed="64"/>
          <bgColor theme="4" tint="0.79998168889431442"/>
        </patternFill>
      </fill>
      <alignment horizontal="general" vertical="bottom" textRotation="0" wrapText="1" indent="0" justifyLastLine="0" shrinkToFit="0" readingOrder="0"/>
      <border diagonalUp="0" diagonalDown="0" outline="0">
        <left style="medium">
          <color indexed="64"/>
        </left>
        <right style="medium">
          <color indexed="64"/>
        </right>
        <top/>
        <bottom/>
      </border>
      <protection locked="1" hidden="0"/>
    </dxf>
    <dxf>
      <numFmt numFmtId="3" formatCode="#,##0"/>
      <alignment horizontal="general" vertical="bottom" textRotation="0" wrapText="1" indent="0" justifyLastLine="0" shrinkToFit="0" readingOrder="0"/>
      <border diagonalUp="0" diagonalDown="0" outline="0">
        <left style="medium">
          <color indexed="64"/>
        </left>
        <right style="medium">
          <color indexed="64"/>
        </right>
        <top/>
        <bottom/>
      </border>
    </dxf>
    <dxf>
      <numFmt numFmtId="3" formatCode="#,##0"/>
      <alignment horizontal="general" vertical="bottom" textRotation="0" wrapText="1" indent="0" justifyLastLine="0" shrinkToFit="0" readingOrder="0"/>
      <border diagonalUp="0" diagonalDown="0">
        <left style="medium">
          <color indexed="64"/>
        </left>
        <right style="medium">
          <color indexed="64"/>
        </right>
        <top/>
        <bottom/>
      </border>
      <protection locked="0" hidden="0"/>
    </dxf>
    <dxf>
      <font>
        <b val="0"/>
        <i val="0"/>
        <strike val="0"/>
        <condense val="0"/>
        <extend val="0"/>
        <outline val="0"/>
        <shadow val="0"/>
        <u val="none"/>
        <vertAlign val="baseline"/>
        <sz val="11"/>
        <color theme="1"/>
        <name val="Calibri"/>
        <family val="2"/>
        <scheme val="minor"/>
      </font>
      <numFmt numFmtId="13" formatCode="0%"/>
      <alignment horizontal="general" vertical="bottom" textRotation="0" wrapText="1" indent="0" justifyLastLine="0" shrinkToFit="0" readingOrder="0"/>
      <border diagonalUp="0" diagonalDown="0" outline="0">
        <left style="medium">
          <color indexed="64"/>
        </left>
        <right style="medium">
          <color indexed="64"/>
        </right>
        <top/>
        <bottom/>
      </border>
    </dxf>
    <dxf>
      <numFmt numFmtId="14" formatCode="0.00%"/>
      <fill>
        <patternFill patternType="solid">
          <fgColor indexed="64"/>
          <bgColor theme="4" tint="0.79998168889431442"/>
        </patternFill>
      </fill>
      <alignment horizontal="general" vertical="bottom" textRotation="0" wrapText="1" indent="0" justifyLastLine="0" shrinkToFit="0" readingOrder="0"/>
      <border diagonalUp="0" diagonalDown="0" outline="0">
        <left style="medium">
          <color indexed="64"/>
        </left>
        <right style="medium">
          <color indexed="64"/>
        </right>
        <top/>
        <bottom/>
      </border>
      <protection locked="1" hidden="0"/>
    </dxf>
    <dxf>
      <numFmt numFmtId="3" formatCode="#,##0"/>
      <alignment horizontal="general" vertical="bottom" textRotation="0" wrapText="1" indent="0" justifyLastLine="0" shrinkToFit="0" readingOrder="0"/>
      <border diagonalUp="0" diagonalDown="0" outline="0">
        <left style="medium">
          <color indexed="64"/>
        </left>
        <right/>
        <top/>
        <bottom/>
      </border>
    </dxf>
    <dxf>
      <numFmt numFmtId="3" formatCode="#,##0"/>
      <alignment horizontal="general" vertical="bottom" textRotation="0" wrapText="1" indent="0" justifyLastLine="0" shrinkToFit="0" readingOrder="0"/>
      <border diagonalUp="0" diagonalDown="0" outline="0">
        <left style="medium">
          <color indexed="64"/>
        </left>
        <right style="medium">
          <color indexed="64"/>
        </right>
        <top/>
        <bottom/>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outline="0">
        <left style="medium">
          <color indexed="64"/>
        </left>
        <right style="medium">
          <color indexed="64"/>
        </right>
        <top/>
        <bottom/>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left style="medium">
          <color indexed="64"/>
        </left>
        <right style="medium">
          <color indexed="64"/>
        </right>
        <top/>
        <bottom/>
        <vertical/>
        <horizontal/>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left style="medium">
          <color indexed="64"/>
        </left>
        <right style="medium">
          <color indexed="64"/>
        </right>
        <top/>
        <bottom/>
        <vertical/>
        <horizontal/>
      </border>
      <protection locked="0" hidden="0"/>
    </dxf>
    <dxf>
      <border diagonalUp="0" diagonalDown="0">
        <left style="medium">
          <color rgb="FF000000"/>
        </left>
        <right style="medium">
          <color rgb="FF000000"/>
        </right>
        <top style="medium">
          <color rgb="FF000000"/>
        </top>
        <bottom style="medium">
          <color rgb="FF000000"/>
        </bottom>
      </border>
    </dxf>
    <dxf>
      <alignment horizontal="general" vertical="bottom" textRotation="0" wrapText="1" indent="0" justifyLastLine="0" shrinkToFit="0" readingOrder="0"/>
    </dxf>
    <dxf>
      <alignment horizontal="center" vertical="center" textRotation="0" wrapText="1" indent="0" justifyLastLine="0" shrinkToFit="0" readingOrder="0"/>
    </dxf>
    <dxf>
      <protection locked="1" hidden="1"/>
    </dxf>
    <dxf>
      <numFmt numFmtId="0" formatCode="General"/>
      <alignment horizontal="general" vertical="bottom" textRotation="0" wrapText="1" indent="0" justifyLastLine="0" shrinkToFit="0" readingOrder="0"/>
      <protection locked="1" hidden="1"/>
    </dxf>
    <dxf>
      <protection locked="1" hidden="1"/>
    </dxf>
    <dxf>
      <numFmt numFmtId="0" formatCode="General"/>
      <alignment horizontal="general" vertical="bottom" textRotation="0" wrapText="1" indent="0" justifyLastLine="0" shrinkToFit="0" readingOrder="0"/>
      <protection locked="1" hidden="1"/>
    </dxf>
    <dxf>
      <protection locked="1" hidden="1"/>
    </dxf>
    <dxf>
      <numFmt numFmtId="0" formatCode="General"/>
      <alignment horizontal="general" vertical="bottom" textRotation="0" wrapText="1" indent="0" justifyLastLine="0" shrinkToFit="0" readingOrder="0"/>
      <protection locked="1" hidden="1"/>
    </dxf>
    <dxf>
      <protection locked="1" hidden="1"/>
    </dxf>
    <dxf>
      <numFmt numFmtId="0" formatCode="General"/>
      <alignment horizontal="general" vertical="bottom" textRotation="0" wrapText="1" indent="0" justifyLastLine="0" shrinkToFit="0" readingOrder="0"/>
      <protection locked="1" hidden="1"/>
    </dxf>
    <dxf>
      <protection locked="1" hidden="1"/>
    </dxf>
    <dxf>
      <numFmt numFmtId="0" formatCode="General"/>
      <alignment horizontal="general" vertical="bottom" textRotation="0" wrapText="1" indent="0" justifyLastLine="0" shrinkToFit="0" readingOrder="0"/>
      <protection locked="1" hidden="1"/>
    </dxf>
    <dxf>
      <font>
        <b val="0"/>
        <i val="0"/>
        <strike val="0"/>
        <condense val="0"/>
        <extend val="0"/>
        <outline val="0"/>
        <shadow val="0"/>
        <u val="none"/>
        <vertAlign val="baseline"/>
        <sz val="11"/>
        <color theme="1"/>
        <name val="Calibri"/>
        <family val="2"/>
        <scheme val="minor"/>
      </font>
      <numFmt numFmtId="13" formatCode="0%"/>
      <alignment horizontal="general" vertical="bottom" textRotation="0" wrapText="1" indent="0" justifyLastLine="0" shrinkToFit="0" readingOrder="0"/>
      <border diagonalUp="0" diagonalDown="0" outline="0">
        <left style="medium">
          <color indexed="64"/>
        </left>
        <right style="medium">
          <color indexed="64"/>
        </right>
        <top/>
        <bottom style="medium">
          <color indexed="64"/>
        </bottom>
      </border>
    </dxf>
    <dxf>
      <border diagonalUp="0" diagonalDown="0">
        <left style="medium">
          <color indexed="64"/>
        </left>
        <right style="medium">
          <color indexed="64"/>
        </right>
        <top/>
        <bottom/>
        <vertical/>
        <horizontal/>
      </border>
      <protection locked="0" hidden="0"/>
    </dxf>
    <dxf>
      <font>
        <b val="0"/>
        <i val="0"/>
        <strike val="0"/>
        <condense val="0"/>
        <extend val="0"/>
        <outline val="0"/>
        <shadow val="0"/>
        <u val="none"/>
        <vertAlign val="baseline"/>
        <sz val="11"/>
        <color theme="1"/>
        <name val="Calibri"/>
        <family val="2"/>
        <scheme val="minor"/>
      </font>
      <numFmt numFmtId="13" formatCode="0%"/>
      <alignment horizontal="general" vertical="bottom" textRotation="0" wrapText="1" indent="0" justifyLastLine="0" shrinkToFit="0" readingOrder="0"/>
      <border diagonalUp="0" diagonalDown="0" outline="0">
        <left style="medium">
          <color indexed="64"/>
        </left>
        <right style="medium">
          <color indexed="64"/>
        </right>
        <top/>
        <bottom/>
      </border>
    </dxf>
    <dxf>
      <numFmt numFmtId="14" formatCode="0.00%"/>
      <fill>
        <patternFill patternType="solid">
          <fgColor indexed="64"/>
          <bgColor theme="4" tint="0.79998168889431442"/>
        </patternFill>
      </fill>
      <alignment horizontal="general" vertical="bottom" textRotation="0" wrapText="1" indent="0" justifyLastLine="0" shrinkToFit="0" readingOrder="0"/>
      <border diagonalUp="0" diagonalDown="0" outline="0">
        <left style="medium">
          <color indexed="64"/>
        </left>
        <right style="medium">
          <color indexed="64"/>
        </right>
        <top/>
        <bottom/>
      </border>
      <protection locked="1" hidden="0"/>
    </dxf>
    <dxf>
      <numFmt numFmtId="3" formatCode="#,##0"/>
      <alignment horizontal="general" vertical="bottom" textRotation="0" wrapText="1" indent="0" justifyLastLine="0" shrinkToFit="0" readingOrder="0"/>
      <border diagonalUp="0" diagonalDown="0" outline="0">
        <left style="medium">
          <color indexed="64"/>
        </left>
        <right style="medium">
          <color indexed="64"/>
        </right>
        <top/>
        <bottom/>
      </border>
    </dxf>
    <dxf>
      <numFmt numFmtId="3" formatCode="#,##0"/>
      <alignment horizontal="general" vertical="bottom" textRotation="0" wrapText="1" indent="0" justifyLastLine="0" shrinkToFit="0" readingOrder="0"/>
      <border diagonalUp="0" diagonalDown="0">
        <left style="medium">
          <color indexed="64"/>
        </left>
        <right style="medium">
          <color indexed="64"/>
        </right>
        <top/>
        <bottom/>
      </border>
      <protection locked="0" hidden="0"/>
    </dxf>
    <dxf>
      <font>
        <b val="0"/>
        <i val="0"/>
        <strike val="0"/>
        <condense val="0"/>
        <extend val="0"/>
        <outline val="0"/>
        <shadow val="0"/>
        <u val="none"/>
        <vertAlign val="baseline"/>
        <sz val="11"/>
        <color theme="1"/>
        <name val="Calibri"/>
        <family val="2"/>
        <scheme val="minor"/>
      </font>
      <numFmt numFmtId="13" formatCode="0%"/>
      <alignment horizontal="general" vertical="bottom" textRotation="0" wrapText="1" indent="0" justifyLastLine="0" shrinkToFit="0" readingOrder="0"/>
      <border diagonalUp="0" diagonalDown="0" outline="0">
        <left style="medium">
          <color indexed="64"/>
        </left>
        <right style="medium">
          <color indexed="64"/>
        </right>
        <top/>
        <bottom/>
      </border>
    </dxf>
    <dxf>
      <numFmt numFmtId="14" formatCode="0.00%"/>
      <fill>
        <patternFill patternType="solid">
          <fgColor indexed="64"/>
          <bgColor theme="4" tint="0.79998168889431442"/>
        </patternFill>
      </fill>
      <alignment horizontal="general" vertical="bottom" textRotation="0" wrapText="1" indent="0" justifyLastLine="0" shrinkToFit="0" readingOrder="0"/>
      <border diagonalUp="0" diagonalDown="0" outline="0">
        <left style="medium">
          <color indexed="64"/>
        </left>
        <right style="medium">
          <color indexed="64"/>
        </right>
        <top/>
        <bottom/>
      </border>
      <protection locked="1" hidden="0"/>
    </dxf>
    <dxf>
      <numFmt numFmtId="3" formatCode="#,##0"/>
      <alignment horizontal="general" vertical="bottom" textRotation="0" wrapText="1" indent="0" justifyLastLine="0" shrinkToFit="0" readingOrder="0"/>
      <border diagonalUp="0" diagonalDown="0" outline="0">
        <left style="medium">
          <color indexed="64"/>
        </left>
        <right/>
        <top/>
        <bottom/>
      </border>
    </dxf>
    <dxf>
      <numFmt numFmtId="3" formatCode="#,##0"/>
      <alignment horizontal="general" vertical="bottom" textRotation="0" wrapText="1" indent="0" justifyLastLine="0" shrinkToFit="0" readingOrder="0"/>
      <border diagonalUp="0" diagonalDown="0">
        <left style="medium">
          <color indexed="64"/>
        </left>
        <right style="medium">
          <color indexed="64"/>
        </right>
        <top/>
        <bottom/>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left style="medium">
          <color indexed="64"/>
        </left>
        <right style="medium">
          <color indexed="64"/>
        </right>
        <top/>
        <bottom/>
        <vertical/>
        <horizontal/>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left style="medium">
          <color indexed="64"/>
        </left>
        <right style="medium">
          <color indexed="64"/>
        </right>
        <top/>
        <bottom/>
        <vertical/>
        <horizontal/>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left style="medium">
          <color indexed="64"/>
        </left>
        <right style="medium">
          <color indexed="64"/>
        </right>
        <top/>
        <bottom/>
        <vertical/>
        <horizontal/>
      </border>
      <protection locked="0" hidden="0"/>
    </dxf>
    <dxf>
      <border diagonalUp="0" diagonalDown="0">
        <left style="medium">
          <color rgb="FF000000"/>
        </left>
        <right style="medium">
          <color rgb="FF000000"/>
        </right>
        <top style="medium">
          <color rgb="FF000000"/>
        </top>
        <bottom style="medium">
          <color rgb="FF000000"/>
        </bottom>
      </border>
    </dxf>
    <dxf>
      <alignment horizontal="general" vertical="bottom" textRotation="0" wrapText="1" indent="0" justifyLastLine="0" shrinkToFit="0" readingOrder="0"/>
    </dxf>
    <dxf>
      <alignment horizontal="general" vertical="center" textRotation="0" wrapText="1" indent="0" justifyLastLine="0" shrinkToFit="0" readingOrder="0"/>
    </dxf>
    <dxf>
      <protection locked="1" hidden="1"/>
    </dxf>
    <dxf>
      <numFmt numFmtId="0" formatCode="General"/>
      <alignment horizontal="general" vertical="bottom" textRotation="0" wrapText="1" indent="0" justifyLastLine="0" shrinkToFit="0" readingOrder="0"/>
      <border>
        <left style="medium">
          <color indexed="64"/>
        </left>
      </border>
      <protection locked="1" hidden="1"/>
    </dxf>
    <dxf>
      <border diagonalUp="0" diagonalDown="0" outline="0">
        <left style="medium">
          <color indexed="64"/>
        </left>
        <right style="medium">
          <color indexed="64"/>
        </right>
        <top/>
        <bottom style="medium">
          <color indexed="64"/>
        </bottom>
      </border>
    </dxf>
    <dxf>
      <border diagonalUp="0" diagonalDown="0">
        <left style="medium">
          <color indexed="64"/>
        </left>
        <right style="medium">
          <color indexed="64"/>
        </right>
        <top/>
        <bottom/>
        <vertical/>
        <horizontal/>
      </border>
      <protection locked="0" hidden="0"/>
    </dxf>
    <dxf>
      <numFmt numFmtId="13" formatCode="0%"/>
      <alignment horizontal="general" vertical="bottom" textRotation="0" wrapText="1" indent="0" justifyLastLine="0" shrinkToFit="0" readingOrder="0"/>
      <border diagonalUp="0" diagonalDown="0" outline="0">
        <left style="medium">
          <color indexed="64"/>
        </left>
        <right style="medium">
          <color indexed="64"/>
        </right>
        <top/>
        <bottom/>
      </border>
    </dxf>
    <dxf>
      <numFmt numFmtId="14" formatCode="0.00%"/>
      <fill>
        <patternFill patternType="solid">
          <fgColor indexed="64"/>
          <bgColor theme="4" tint="0.79998168889431442"/>
        </patternFill>
      </fill>
      <alignment horizontal="general" vertical="bottom" textRotation="0" wrapText="1" indent="0" justifyLastLine="0" shrinkToFit="0" readingOrder="0"/>
      <border diagonalUp="0" diagonalDown="0" outline="0">
        <left style="medium">
          <color indexed="64"/>
        </left>
        <right style="medium">
          <color indexed="64"/>
        </right>
        <top/>
        <bottom/>
      </border>
      <protection locked="1"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outline="0">
        <left style="medium">
          <color indexed="64"/>
        </left>
        <right style="medium">
          <color indexed="64"/>
        </right>
        <top/>
        <bottom/>
      </border>
      <protection locked="0" hidden="0"/>
    </dxf>
    <dxf>
      <numFmt numFmtId="13" formatCode="0%"/>
      <alignment horizontal="general" vertical="bottom" textRotation="0" wrapText="1" indent="0" justifyLastLine="0" shrinkToFit="0" readingOrder="0"/>
      <border diagonalUp="0" diagonalDown="0" outline="0">
        <left style="medium">
          <color indexed="64"/>
        </left>
        <right style="medium">
          <color indexed="64"/>
        </right>
        <top/>
        <bottom/>
      </border>
    </dxf>
    <dxf>
      <numFmt numFmtId="14" formatCode="0.00%"/>
      <fill>
        <patternFill patternType="solid">
          <fgColor indexed="64"/>
          <bgColor theme="4" tint="0.79998168889431442"/>
        </patternFill>
      </fill>
      <alignment horizontal="general" vertical="bottom" textRotation="0" wrapText="1" indent="0" justifyLastLine="0" shrinkToFit="0" readingOrder="0"/>
      <border diagonalUp="0" diagonalDown="0" outline="0">
        <left style="medium">
          <color indexed="64"/>
        </left>
        <right style="medium">
          <color indexed="64"/>
        </right>
        <top/>
        <bottom/>
      </border>
      <protection locked="1" hidden="0"/>
    </dxf>
    <dxf>
      <alignment horizontal="general" vertical="bottom" textRotation="0" wrapText="1" indent="0" justifyLastLine="0" shrinkToFit="0" readingOrder="0"/>
      <border diagonalUp="0" diagonalDown="0" outline="0">
        <left style="medium">
          <color indexed="64"/>
        </left>
        <right/>
        <top/>
        <bottom/>
      </border>
    </dxf>
    <dxf>
      <alignment horizontal="general" vertical="bottom" textRotation="0" wrapText="1" indent="0" justifyLastLine="0" shrinkToFit="0" readingOrder="0"/>
      <border diagonalUp="0" diagonalDown="0" outline="0">
        <left style="medium">
          <color indexed="64"/>
        </left>
        <right style="medium">
          <color indexed="64"/>
        </right>
        <top/>
        <bottom/>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left style="medium">
          <color indexed="64"/>
        </left>
        <right/>
        <top/>
        <bottom/>
        <vertical/>
        <horizontal/>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left style="medium">
          <color indexed="64"/>
        </left>
        <right style="medium">
          <color indexed="64"/>
        </right>
        <top/>
        <bottom/>
        <vertical/>
        <horizontal/>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left style="medium">
          <color indexed="64"/>
        </left>
        <right style="medium">
          <color indexed="64"/>
        </right>
        <top/>
        <bottom/>
        <vertical/>
        <horizontal/>
      </border>
      <protection locked="0" hidden="0"/>
    </dxf>
    <dxf>
      <border diagonalUp="0" diagonalDown="0">
        <left style="medium">
          <color indexed="64"/>
        </left>
        <right style="medium">
          <color indexed="64"/>
        </right>
        <top style="medium">
          <color indexed="64"/>
        </top>
        <bottom style="medium">
          <color indexed="64"/>
        </bottom>
      </border>
    </dxf>
    <dxf>
      <alignment horizontal="general" vertical="bottom" textRotation="0" wrapText="1" indent="0" justifyLastLine="0" shrinkToFit="0" readingOrder="0"/>
    </dxf>
    <dxf>
      <alignment horizontal="center" vertical="center" textRotation="0" wrapText="1" indent="0" justifyLastLine="0" shrinkToFit="0" readingOrder="0"/>
    </dxf>
    <dxf>
      <protection locked="1" hidden="1"/>
    </dxf>
    <dxf>
      <numFmt numFmtId="0" formatCode="General"/>
      <alignment horizontal="general" vertical="bottom" textRotation="0" wrapText="1" indent="0" justifyLastLine="0" shrinkToFit="0" readingOrder="0"/>
      <protection locked="1" hidden="1"/>
    </dxf>
    <dxf>
      <protection locked="1" hidden="1"/>
    </dxf>
    <dxf>
      <numFmt numFmtId="0" formatCode="General"/>
      <alignment horizontal="general" vertical="bottom" textRotation="0" wrapText="1" indent="0" justifyLastLine="0" shrinkToFit="0" readingOrder="0"/>
      <protection locked="1" hidden="1"/>
    </dxf>
    <dxf>
      <protection locked="1" hidden="1"/>
    </dxf>
    <dxf>
      <numFmt numFmtId="0" formatCode="General"/>
      <alignment horizontal="general" vertical="bottom" textRotation="0" wrapText="1" indent="0" justifyLastLine="0" shrinkToFit="0" readingOrder="0"/>
      <protection locked="1" hidden="1"/>
    </dxf>
    <dxf>
      <protection locked="1" hidden="1"/>
    </dxf>
    <dxf>
      <numFmt numFmtId="0" formatCode="General"/>
      <alignment horizontal="general" vertical="bottom" textRotation="0" wrapText="1" indent="0" justifyLastLine="0" shrinkToFit="0" readingOrder="0"/>
      <protection locked="1" hidden="1"/>
    </dxf>
    <dxf>
      <protection locked="1" hidden="1"/>
    </dxf>
    <dxf>
      <numFmt numFmtId="0" formatCode="General"/>
      <alignment horizontal="general" vertical="bottom" textRotation="0" wrapText="1" indent="0" justifyLastLine="0" shrinkToFit="0" readingOrder="0"/>
      <protection locked="1" hidden="1"/>
    </dxf>
    <dxf>
      <numFmt numFmtId="13" formatCode="0%"/>
      <alignment horizontal="general" vertical="bottom" textRotation="0" wrapText="1" indent="0" justifyLastLine="0" shrinkToFit="0" readingOrder="0"/>
      <border diagonalUp="0" diagonalDown="0" outline="0">
        <left style="medium">
          <color indexed="64"/>
        </left>
        <right style="medium">
          <color indexed="64"/>
        </right>
        <top/>
        <bottom style="medium">
          <color indexed="64"/>
        </bottom>
      </border>
    </dxf>
    <dxf>
      <border diagonalUp="0" diagonalDown="0">
        <left style="medium">
          <color indexed="64"/>
        </left>
        <right style="medium">
          <color indexed="64"/>
        </right>
        <top/>
        <bottom/>
        <vertical/>
        <horizontal/>
      </border>
    </dxf>
    <dxf>
      <numFmt numFmtId="13" formatCode="0%"/>
      <alignment horizontal="general" vertical="bottom" textRotation="0" wrapText="1" indent="0" justifyLastLine="0" shrinkToFit="0" readingOrder="0"/>
      <border diagonalUp="0" diagonalDown="0" outline="0">
        <left style="medium">
          <color indexed="64"/>
        </left>
        <right style="medium">
          <color indexed="64"/>
        </right>
        <top/>
        <bottom/>
      </border>
    </dxf>
    <dxf>
      <numFmt numFmtId="14" formatCode="0.00%"/>
      <fill>
        <patternFill patternType="solid">
          <fgColor indexed="64"/>
          <bgColor theme="4" tint="0.79998168889431442"/>
        </patternFill>
      </fill>
      <alignment horizontal="general" vertical="bottom" textRotation="0" wrapText="1" indent="0" justifyLastLine="0" shrinkToFit="0" readingOrder="0"/>
      <border diagonalUp="0" diagonalDown="0" outline="0">
        <left style="medium">
          <color indexed="64"/>
        </left>
        <right style="medium">
          <color indexed="64"/>
        </right>
        <top/>
        <bottom/>
      </border>
      <protection locked="1"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outline="0">
        <left style="medium">
          <color indexed="64"/>
        </left>
        <right style="medium">
          <color indexed="64"/>
        </right>
        <top/>
        <bottom/>
      </border>
      <protection locked="0" hidden="0"/>
    </dxf>
    <dxf>
      <numFmt numFmtId="13" formatCode="0%"/>
      <alignment horizontal="general" vertical="bottom" textRotation="0" wrapText="1" indent="0" justifyLastLine="0" shrinkToFit="0" readingOrder="0"/>
      <border diagonalUp="0" diagonalDown="0" outline="0">
        <left style="medium">
          <color indexed="64"/>
        </left>
        <right style="medium">
          <color indexed="64"/>
        </right>
        <top/>
        <bottom/>
      </border>
    </dxf>
    <dxf>
      <numFmt numFmtId="14" formatCode="0.00%"/>
      <fill>
        <patternFill patternType="solid">
          <fgColor indexed="64"/>
          <bgColor theme="4" tint="0.79998168889431442"/>
        </patternFill>
      </fill>
      <alignment horizontal="general" vertical="bottom" textRotation="0" wrapText="1" indent="0" justifyLastLine="0" shrinkToFit="0" readingOrder="0"/>
      <border diagonalUp="0" diagonalDown="0" outline="0">
        <left style="medium">
          <color indexed="64"/>
        </left>
        <right style="medium">
          <color indexed="64"/>
        </right>
        <top/>
        <bottom/>
      </border>
      <protection locked="1" hidden="0"/>
    </dxf>
    <dxf>
      <alignment horizontal="general" vertical="bottom" textRotation="0" wrapText="1" indent="0" justifyLastLine="0" shrinkToFit="0" readingOrder="0"/>
      <border diagonalUp="0" diagonalDown="0" outline="0">
        <left style="medium">
          <color indexed="64"/>
        </left>
        <right/>
        <top/>
        <bottom/>
      </border>
    </dxf>
    <dxf>
      <alignment horizontal="general" vertical="bottom" textRotation="0" wrapText="1" indent="0" justifyLastLine="0" shrinkToFit="0" readingOrder="0"/>
      <border diagonalUp="0" diagonalDown="0" outline="0">
        <left style="medium">
          <color indexed="64"/>
        </left>
        <right style="medium">
          <color indexed="64"/>
        </right>
        <top/>
        <bottom/>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left style="medium">
          <color indexed="64"/>
        </left>
        <right style="medium">
          <color indexed="64"/>
        </right>
        <top/>
        <bottom/>
        <vertical/>
        <horizontal/>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left style="medium">
          <color indexed="64"/>
        </left>
        <right style="medium">
          <color indexed="64"/>
        </right>
        <top/>
        <bottom/>
        <vertical/>
        <horizontal/>
      </border>
      <protection locked="0" hidden="0"/>
    </dxf>
    <dxf>
      <alignment horizontal="general" vertical="bottom"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border diagonalUp="0" diagonalDown="0">
        <left style="medium">
          <color indexed="64"/>
        </left>
        <right style="medium">
          <color indexed="64"/>
        </right>
        <top/>
        <bottom/>
        <vertical/>
        <horizontal/>
      </border>
      <protection locked="0" hidden="0"/>
    </dxf>
    <dxf>
      <border diagonalUp="0" diagonalDown="0">
        <left style="medium">
          <color indexed="64"/>
        </left>
        <right style="medium">
          <color indexed="64"/>
        </right>
        <top style="medium">
          <color indexed="64"/>
        </top>
        <bottom style="medium">
          <color indexed="64"/>
        </bottom>
      </border>
    </dxf>
    <dxf>
      <alignment horizontal="general" vertical="bottom"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colors>
    <mruColors>
      <color rgb="FFCCFFFF"/>
      <color rgb="FFD1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4869180</xdr:colOff>
      <xdr:row>19</xdr:row>
      <xdr:rowOff>762000</xdr:rowOff>
    </xdr:from>
    <xdr:ext cx="184731" cy="264560"/>
    <xdr:sp macro="" textlink="">
      <xdr:nvSpPr>
        <xdr:cNvPr id="2" name="TextBox 1">
          <a:extLst>
            <a:ext uri="{FF2B5EF4-FFF2-40B4-BE49-F238E27FC236}">
              <a16:creationId xmlns:a16="http://schemas.microsoft.com/office/drawing/2014/main" id="{D1AD0DF3-7470-4CF6-8725-82D7C95D8319}"/>
            </a:ext>
          </a:extLst>
        </xdr:cNvPr>
        <xdr:cNvSpPr txBox="1"/>
      </xdr:nvSpPr>
      <xdr:spPr>
        <a:xfrm>
          <a:off x="5478780" y="8862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0:N26" totalsRowCount="1" headerRowDxfId="99" dataDxfId="98" tableBorderDxfId="97">
  <tableColumns count="13">
    <tableColumn id="1" xr3:uid="{00000000-0010-0000-0000-000001000000}" name="EPA or VT Waste Code" dataDxfId="96" totalsRowDxfId="95"/>
    <tableColumn id="2" xr3:uid="{00000000-0010-0000-0000-000002000000}" name="Name of Hazardous Waste Stream" dataDxfId="94" totalsRowDxfId="93"/>
    <tableColumn id="3" xr3:uid="{00000000-0010-0000-0000-000003000000}" name="Process Generating Waste Stream" dataDxfId="92" totalsRowDxfId="91"/>
    <tableColumn id="4" xr3:uid="{00000000-0010-0000-0000-000004000000}" name="Reporting Year Pounds" totalsRowFunction="sum" dataDxfId="90" totalsRowDxfId="89"/>
    <tableColumn id="5" xr3:uid="{00000000-0010-0000-0000-000005000000}" name="Reporting Year Percent" totalsRowFunction="sum" dataDxfId="88" totalsRowDxfId="87" dataCellStyle="Percent">
      <calculatedColumnFormula>IFERROR(IF(Table2[[#This Row],[Reporting Year Pounds]]/Table2[[#Totals],[Reporting Year Pounds]]&gt;0,Table2[[#This Row],[Reporting Year Pounds]]/Table2[[#Totals],[Reporting Year Pounds]]," ")," ")</calculatedColumnFormula>
    </tableColumn>
    <tableColumn id="6" xr3:uid="{00000000-0010-0000-0000-000006000000}" name="Previous Year Pounds" totalsRowFunction="sum" dataDxfId="86" totalsRowDxfId="85"/>
    <tableColumn id="7" xr3:uid="{00000000-0010-0000-0000-000007000000}" name="Previous Year Percent" totalsRowFunction="sum" dataDxfId="84" totalsRowDxfId="83" dataCellStyle="Percent">
      <calculatedColumnFormula>IFERROR(IF(Table2[[#This Row],[Previous Year Pounds]]/Table2[[#Totals],[Previous Year Pounds]]&gt;0,Table2[[#This Row],[Previous Year Pounds]]/Table2[[#Totals],[Previous Year Pounds]]," ")," ")</calculatedColumnFormula>
    </tableColumn>
    <tableColumn id="21" xr3:uid="{00000000-0010-0000-0000-000015000000}" name="Notes" dataDxfId="82" totalsRowDxfId="81"/>
    <tableColumn id="8" xr3:uid="{00000000-0010-0000-0000-000008000000}" name="&gt;5%" totalsRowFunction="sum" dataDxfId="80" totalsRowDxfId="79">
      <calculatedColumnFormula>IF(Table2[[#This Row],[EPA or VT Waste Code]]="Varied",0,IF(OR(Table2[[#This Row],[Reporting Year Percent]]=" ",Table2[[#This Row],[Reporting Year Percent]]&lt;=0.05)," ",1))</calculatedColumnFormula>
    </tableColumn>
    <tableColumn id="9" xr3:uid="{00000000-0010-0000-0000-000009000000}" name="Duplicates" totalsRowFunction="sum" dataDxfId="78" totalsRowDxfId="77">
      <calculatedColumnFormula>COUNTIF(Table2[EPA or VT Waste Code],Table2[[#This Row],[EPA or VT Waste Code]])</calculatedColumnFormula>
    </tableColumn>
    <tableColumn id="11" xr3:uid="{00000000-0010-0000-0000-00000B000000}" name="Concatenate" dataDxfId="76" totalsRowDxfId="75">
      <calculatedColumnFormula>CONCATENATE(Table2[[#This Row],[EPA or VT Waste Code]],Table2[[#This Row],[&gt;5%]],Table2[[#This Row],[Duplicates]])</calculatedColumnFormula>
    </tableColumn>
    <tableColumn id="10" xr3:uid="{00000000-0010-0000-0000-00000A000000}" name="Count" totalsRowFunction="custom" dataDxfId="74" totalsRowDxfId="73">
      <calculatedColumnFormula>COUNTIF(Table2[Concatenate],Table2[[#This Row],[Concatenate]])</calculatedColumnFormula>
      <totalsRowFormula>ROUNDUP(SUBTOTAL(109,Table2[Count]),0)</totalsRowFormula>
    </tableColumn>
    <tableColumn id="12" xr3:uid="{00000000-0010-0000-0000-00000C000000}" name="Modified Count" totalsRowFunction="sum" dataDxfId="72" totalsRowDxfId="71">
      <calculatedColumnFormula>IF(AND(Table2[[#This Row],[&gt;5%]]=1,Table2[[#This Row],[Duplicates]]=1),1,(IF(AND(Table2[[#This Row],[&gt;5%]]=1,Table2[[#This Row],[Duplicates]]&gt;1),1/Table2[[#This Row],[Count]],0)))</calculatedColumnFormula>
    </tableColumn>
  </tableColumns>
  <tableStyleInfo name="TableStyleMedium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31:J47" totalsRowCount="1" headerRowDxfId="70" dataDxfId="69" tableBorderDxfId="68">
  <tableColumns count="9">
    <tableColumn id="1" xr3:uid="{00000000-0010-0000-0100-000001000000}" name="Product or Chemical" dataDxfId="67" totalsRowDxfId="66"/>
    <tableColumn id="2" xr3:uid="{00000000-0010-0000-0100-000002000000}" name="Process(es) Where Used" dataDxfId="65" totalsRowDxfId="64"/>
    <tableColumn id="10" xr3:uid="{00000000-0010-0000-0100-00000A000000}" name="Other Information (optional)" dataDxfId="63" totalsRowDxfId="62"/>
    <tableColumn id="4" xr3:uid="{00000000-0010-0000-0100-000004000000}" name="Reporting Year Pounds" totalsRowFunction="sum" dataDxfId="61" totalsRowDxfId="60"/>
    <tableColumn id="5" xr3:uid="{00000000-0010-0000-0100-000005000000}" name="Reporting Year Percent" totalsRowFunction="sum" dataDxfId="59" totalsRowDxfId="58" dataCellStyle="Percent">
      <calculatedColumnFormula>IFERROR(IF(Table3[[#This Row],[Reporting Year Pounds]]/Table3[[#Totals],[Reporting Year Pounds]]&gt;0,Table3[[#This Row],[Reporting Year Pounds]]/Table3[[#Totals],[Reporting Year Pounds]]," ")," ")</calculatedColumnFormula>
    </tableColumn>
    <tableColumn id="6" xr3:uid="{00000000-0010-0000-0100-000006000000}" name="Previous Year Pounds" totalsRowFunction="sum" dataDxfId="57" totalsRowDxfId="56"/>
    <tableColumn id="7" xr3:uid="{00000000-0010-0000-0100-000007000000}" name="Previous Year Percent" totalsRowFunction="sum" dataDxfId="55" totalsRowDxfId="54" dataCellStyle="Percent">
      <calculatedColumnFormula>IFERROR(IF(Table3[[#This Row],[Previous Year Pounds]]/Table3[[#Totals],[Previous Year Pounds]]&gt;0,Table3[[#This Row],[Previous Year Pounds]]/Table3[[#Totals],[Previous Year Pounds]]," ")," ")</calculatedColumnFormula>
    </tableColumn>
    <tableColumn id="3" xr3:uid="{00000000-0010-0000-0100-000003000000}" name="Notes" dataDxfId="53" totalsRowDxfId="52"/>
    <tableColumn id="8" xr3:uid="{00000000-0010-0000-0100-000008000000}" name="Count" totalsRowFunction="sum" dataDxfId="51" totalsRowDxfId="50">
      <calculatedColumnFormula>IF(OR(Table3[[#This Row],[Reporting Year Pounds]]&gt;10000, AND(Table3[[#This Row],[Reporting Year Pounds]]&lt;=10000,Table3[[#This Row],[Reporting Year Pounds]]&gt;1000,Table3[[#This Row],[Reporting Year Percent]]&gt;0.1)),1,0)</calculatedColumnFormula>
    </tableColumn>
  </tableColumns>
  <tableStyleInfo name="TableStyleMedium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5" displayName="Table25" ref="B10:N26" totalsRowCount="1" headerRowDxfId="49" dataDxfId="48" tableBorderDxfId="47">
  <tableColumns count="13">
    <tableColumn id="1" xr3:uid="{00000000-0010-0000-0200-000001000000}" name="EPA or VT Waste Code" dataDxfId="46" totalsRowDxfId="45"/>
    <tableColumn id="2" xr3:uid="{00000000-0010-0000-0200-000002000000}" name="Name of Hazardous Waste Stream" dataDxfId="44" totalsRowDxfId="43"/>
    <tableColumn id="3" xr3:uid="{00000000-0010-0000-0200-000003000000}" name="Process Generating Waste Stream" dataDxfId="42" totalsRowDxfId="41"/>
    <tableColumn id="4" xr3:uid="{00000000-0010-0000-0200-000004000000}" name="Current Pounds" totalsRowFunction="sum" dataDxfId="40" totalsRowDxfId="39"/>
    <tableColumn id="5" xr3:uid="{00000000-0010-0000-0200-000005000000}" name="Current Percent" totalsRowFunction="sum" dataDxfId="38" totalsRowDxfId="37" dataCellStyle="Percent">
      <calculatedColumnFormula>IFERROR(IF(Table25[[#This Row],[Current Pounds]]/Table25[[#Totals],[Current Pounds]]&gt;0,Table25[[#This Row],[Current Pounds]]/Table25[[#Totals],[Current Pounds]]," ")," ")</calculatedColumnFormula>
    </tableColumn>
    <tableColumn id="6" xr3:uid="{00000000-0010-0000-0200-000006000000}" name="Previous Pounds" totalsRowFunction="sum" dataDxfId="36" totalsRowDxfId="35"/>
    <tableColumn id="7" xr3:uid="{00000000-0010-0000-0200-000007000000}" name="Previous Percent" totalsRowFunction="sum" dataDxfId="34" totalsRowDxfId="33" dataCellStyle="Percent">
      <calculatedColumnFormula>IFERROR(IF(Table25[[#This Row],[Previous Pounds]]/Table25[[#Totals],[Previous Pounds]]&gt;0,Table25[[#This Row],[Previous Pounds]]/Table25[[#Totals],[Previous Pounds]]," ")," ")</calculatedColumnFormula>
    </tableColumn>
    <tableColumn id="21" xr3:uid="{00000000-0010-0000-0200-000015000000}" name="Notes" dataDxfId="32" totalsRowDxfId="31"/>
    <tableColumn id="8" xr3:uid="{00000000-0010-0000-0200-000008000000}" name="&gt;5%" totalsRowFunction="sum" dataDxfId="30" totalsRowDxfId="29">
      <calculatedColumnFormula>IF(Table25[[#This Row],[EPA or VT Waste Code]]="Varied",0,IF(OR(Table25[[#This Row],[Current Percent]]=" ",Table25[[#This Row],[Current Percent]]&lt;=0.05)," ",1))</calculatedColumnFormula>
    </tableColumn>
    <tableColumn id="9" xr3:uid="{00000000-0010-0000-0200-000009000000}" name="Duplicates" totalsRowFunction="sum" dataDxfId="28" totalsRowDxfId="27">
      <calculatedColumnFormula>COUNTIF(Table25[EPA or VT Waste Code],Table25[[#This Row],[EPA or VT Waste Code]])</calculatedColumnFormula>
    </tableColumn>
    <tableColumn id="11" xr3:uid="{00000000-0010-0000-0200-00000B000000}" name="Concatenate" dataDxfId="26" totalsRowDxfId="25">
      <calculatedColumnFormula>CONCATENATE(Table25[[#This Row],[EPA or VT Waste Code]],Table25[[#This Row],[&gt;5%]],Table25[[#This Row],[Duplicates]])</calculatedColumnFormula>
    </tableColumn>
    <tableColumn id="10" xr3:uid="{00000000-0010-0000-0200-00000A000000}" name="Count" totalsRowFunction="custom" dataDxfId="24" totalsRowDxfId="23">
      <calculatedColumnFormula>COUNTIF(Table25[Concatenate],Table25[[#This Row],[Concatenate]])</calculatedColumnFormula>
      <totalsRowFormula>ROUNDUP(SUBTOTAL(109,Table25[Count]),0)</totalsRowFormula>
    </tableColumn>
    <tableColumn id="12" xr3:uid="{00000000-0010-0000-0200-00000C000000}" name="Modified Count" totalsRowFunction="sum" dataDxfId="22" totalsRowDxfId="21">
      <calculatedColumnFormula>IF(AND(Table25[[#This Row],[&gt;5%]]=1,Table25[[#This Row],[Duplicates]]=1),1,(IF(AND(Table25[[#This Row],[&gt;5%]]=1,Table25[[#This Row],[Duplicates]]&gt;1),1/Table25[[#This Row],[Count]],0)))</calculatedColumnFormula>
    </tableColumn>
  </tableColumns>
  <tableStyleInfo name="TableStyleMedium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36" displayName="Table36" ref="B31:J47" totalsRowCount="1" headerRowDxfId="20" dataDxfId="19" tableBorderDxfId="18">
  <tableColumns count="9">
    <tableColumn id="1" xr3:uid="{00000000-0010-0000-0300-000001000000}" name="Product or Chemical" dataDxfId="17" totalsRowDxfId="16"/>
    <tableColumn id="2" xr3:uid="{00000000-0010-0000-0300-000002000000}" name="Process(es) Where Used" dataDxfId="15" totalsRowDxfId="14"/>
    <tableColumn id="10" xr3:uid="{00000000-0010-0000-0300-00000A000000}" name="Other Information (optional)" dataDxfId="13" totalsRowDxfId="12"/>
    <tableColumn id="4" xr3:uid="{00000000-0010-0000-0300-000004000000}" name="Current Pounds" totalsRowFunction="sum" dataDxfId="11" totalsRowDxfId="10"/>
    <tableColumn id="5" xr3:uid="{00000000-0010-0000-0300-000005000000}" name="Current Percent" totalsRowFunction="sum" dataDxfId="9" totalsRowDxfId="8" dataCellStyle="Percent">
      <calculatedColumnFormula>IFERROR(IF(Table36[[#This Row],[Current Pounds]]/Table36[[#Totals],[Current Pounds]]&gt;0,Table36[[#This Row],[Current Pounds]]/Table36[[#Totals],[Current Pounds]]," ")," ")</calculatedColumnFormula>
    </tableColumn>
    <tableColumn id="6" xr3:uid="{00000000-0010-0000-0300-000006000000}" name="Previous Pounds" totalsRowFunction="sum" dataDxfId="7" totalsRowDxfId="6"/>
    <tableColumn id="7" xr3:uid="{00000000-0010-0000-0300-000007000000}" name="Previous Percent" totalsRowFunction="sum" dataDxfId="5" totalsRowDxfId="4" dataCellStyle="Percent">
      <calculatedColumnFormula>IFERROR(IF(Table36[[#This Row],[Previous Pounds]]/Table36[[#Totals],[Previous Pounds]]&gt;0,Table36[[#This Row],[Previous Pounds]]/Table36[[#Totals],[Previous Pounds]]," ")," ")</calculatedColumnFormula>
    </tableColumn>
    <tableColumn id="3" xr3:uid="{00000000-0010-0000-0300-000003000000}" name="Notes" dataDxfId="3" totalsRowDxfId="2"/>
    <tableColumn id="8" xr3:uid="{00000000-0010-0000-0300-000008000000}" name="Count" totalsRowFunction="sum" dataDxfId="1" totalsRowDxfId="0">
      <calculatedColumnFormula>IF(OR(Table36[[#This Row],[Current Pounds]]&gt;10000, AND(Table36[[#This Row],[Current Pounds]]&lt;=10000,Table36[[#This Row],[Current Pounds]]&gt;1000,Table36[[#This Row],[Current Percent]]&gt;0.1)),1,0)</calculatedColumnFormula>
    </tableColumn>
  </tableColumns>
  <tableStyleInfo name="TableStyleMedium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2:B8" totalsRowShown="0">
  <autoFilter ref="B2:B8" xr:uid="{00000000-0009-0000-0100-000001000000}"/>
  <tableColumns count="1">
    <tableColumn id="1" xr3:uid="{00000000-0010-0000-0400-000001000000}" name="Generator"/>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endy.edwards@vermont.gov?subject=help%20on%20P2FeeCalc%20spreadsheet"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D21"/>
  <sheetViews>
    <sheetView tabSelected="1" zoomScale="130" zoomScaleNormal="130" workbookViewId="0">
      <selection activeCell="J10" sqref="J10"/>
    </sheetView>
  </sheetViews>
  <sheetFormatPr defaultRowHeight="14.4" x14ac:dyDescent="0.3"/>
  <cols>
    <col min="1" max="1" width="3.44140625" customWidth="1"/>
    <col min="2" max="2" width="3.109375" customWidth="1"/>
    <col min="3" max="3" width="82.44140625" customWidth="1"/>
    <col min="4" max="4" width="4.33203125" customWidth="1"/>
    <col min="5" max="5" width="6.6640625" customWidth="1"/>
  </cols>
  <sheetData>
    <row r="1" spans="1:4" ht="16.2" thickBot="1" x14ac:dyDescent="0.35">
      <c r="A1" s="52"/>
      <c r="B1" s="53"/>
      <c r="C1" s="54" t="s">
        <v>71</v>
      </c>
      <c r="D1" s="55"/>
    </row>
    <row r="2" spans="1:4" ht="48" customHeight="1" x14ac:dyDescent="0.3">
      <c r="A2" s="56"/>
      <c r="B2" s="48"/>
      <c r="C2" s="57" t="s">
        <v>72</v>
      </c>
      <c r="D2" s="58"/>
    </row>
    <row r="3" spans="1:4" s="74" customFormat="1" ht="18.600000000000001" customHeight="1" x14ac:dyDescent="0.3">
      <c r="A3" s="70"/>
      <c r="B3" s="71"/>
      <c r="C3" s="72" t="s">
        <v>67</v>
      </c>
      <c r="D3" s="73"/>
    </row>
    <row r="4" spans="1:4" ht="57" customHeight="1" x14ac:dyDescent="0.3">
      <c r="A4" s="56"/>
      <c r="B4" s="48"/>
      <c r="C4" s="57" t="s">
        <v>73</v>
      </c>
      <c r="D4" s="58"/>
    </row>
    <row r="5" spans="1:4" s="74" customFormat="1" ht="7.2" customHeight="1" x14ac:dyDescent="0.3">
      <c r="A5" s="70"/>
      <c r="B5" s="71"/>
      <c r="C5" s="72"/>
      <c r="D5" s="73"/>
    </row>
    <row r="6" spans="1:4" ht="27.6" customHeight="1" x14ac:dyDescent="0.3">
      <c r="A6" s="56"/>
      <c r="B6" s="48"/>
      <c r="C6" s="59" t="s">
        <v>66</v>
      </c>
      <c r="D6" s="58"/>
    </row>
    <row r="7" spans="1:4" ht="9.6" customHeight="1" x14ac:dyDescent="0.3">
      <c r="A7" s="56"/>
      <c r="B7" s="48"/>
      <c r="C7" s="48"/>
      <c r="D7" s="58"/>
    </row>
    <row r="8" spans="1:4" x14ac:dyDescent="0.3">
      <c r="A8" s="56"/>
      <c r="B8" s="75" t="s">
        <v>30</v>
      </c>
      <c r="C8" s="76"/>
      <c r="D8" s="58"/>
    </row>
    <row r="9" spans="1:4" ht="37.200000000000003" customHeight="1" x14ac:dyDescent="0.3">
      <c r="A9" s="56"/>
      <c r="B9" s="65">
        <v>1</v>
      </c>
      <c r="C9" s="49" t="s">
        <v>68</v>
      </c>
      <c r="D9" s="58"/>
    </row>
    <row r="10" spans="1:4" ht="35.4" customHeight="1" x14ac:dyDescent="0.3">
      <c r="A10" s="56"/>
      <c r="B10" s="66">
        <v>2</v>
      </c>
      <c r="C10" s="50" t="s">
        <v>63</v>
      </c>
      <c r="D10" s="58"/>
    </row>
    <row r="11" spans="1:4" ht="65.25" customHeight="1" x14ac:dyDescent="0.3">
      <c r="A11" s="56"/>
      <c r="B11" s="67"/>
      <c r="C11" s="69" t="s">
        <v>78</v>
      </c>
      <c r="D11" s="58"/>
    </row>
    <row r="12" spans="1:4" ht="20.399999999999999" customHeight="1" x14ac:dyDescent="0.3">
      <c r="A12" s="56"/>
      <c r="B12" s="65">
        <v>3</v>
      </c>
      <c r="C12" s="51" t="s">
        <v>58</v>
      </c>
      <c r="D12" s="58"/>
    </row>
    <row r="13" spans="1:4" ht="51.6" customHeight="1" x14ac:dyDescent="0.3">
      <c r="A13" s="56"/>
      <c r="B13" s="65">
        <v>4</v>
      </c>
      <c r="C13" s="49" t="s">
        <v>69</v>
      </c>
      <c r="D13" s="58"/>
    </row>
    <row r="14" spans="1:4" ht="20.399999999999999" customHeight="1" x14ac:dyDescent="0.3">
      <c r="A14" s="56"/>
      <c r="B14" s="65">
        <v>5</v>
      </c>
      <c r="C14" s="51" t="s">
        <v>59</v>
      </c>
      <c r="D14" s="58"/>
    </row>
    <row r="15" spans="1:4" ht="65.25" customHeight="1" x14ac:dyDescent="0.3">
      <c r="A15" s="56"/>
      <c r="B15" s="65">
        <v>6</v>
      </c>
      <c r="C15" s="49" t="s">
        <v>61</v>
      </c>
      <c r="D15" s="58"/>
    </row>
    <row r="16" spans="1:4" ht="20.399999999999999" customHeight="1" x14ac:dyDescent="0.3">
      <c r="A16" s="56"/>
      <c r="B16" s="65">
        <v>7</v>
      </c>
      <c r="C16" s="51" t="s">
        <v>60</v>
      </c>
      <c r="D16" s="58"/>
    </row>
    <row r="17" spans="1:4" ht="21" customHeight="1" x14ac:dyDescent="0.3">
      <c r="A17" s="56"/>
      <c r="B17" s="65">
        <v>8</v>
      </c>
      <c r="C17" s="51" t="s">
        <v>57</v>
      </c>
      <c r="D17" s="58"/>
    </row>
    <row r="18" spans="1:4" ht="49.5" customHeight="1" x14ac:dyDescent="0.3">
      <c r="A18" s="56"/>
      <c r="B18" s="65">
        <v>9</v>
      </c>
      <c r="C18" s="49" t="s">
        <v>70</v>
      </c>
      <c r="D18" s="58"/>
    </row>
    <row r="19" spans="1:4" s="1" customFormat="1" ht="52.5" customHeight="1" x14ac:dyDescent="0.3">
      <c r="A19" s="60"/>
      <c r="B19" s="68">
        <v>10</v>
      </c>
      <c r="C19" s="49" t="s">
        <v>83</v>
      </c>
      <c r="D19" s="61"/>
    </row>
    <row r="20" spans="1:4" ht="65.400000000000006" customHeight="1" x14ac:dyDescent="0.3">
      <c r="A20" s="56"/>
      <c r="B20" s="77" t="s">
        <v>84</v>
      </c>
      <c r="C20" s="78"/>
      <c r="D20" s="58"/>
    </row>
    <row r="21" spans="1:4" x14ac:dyDescent="0.3">
      <c r="A21" s="62"/>
      <c r="B21" s="63"/>
      <c r="C21" s="63"/>
      <c r="D21" s="64"/>
    </row>
  </sheetData>
  <mergeCells count="2">
    <mergeCell ref="B8:C8"/>
    <mergeCell ref="B20:C20"/>
  </mergeCells>
  <hyperlinks>
    <hyperlink ref="C3" r:id="rId1" tooltip="click to start an email" xr:uid="{00000000-0004-0000-0000-000000000000}"/>
    <hyperlink ref="C6" location="'Example Calculation'!A1" tooltip="takes you to example calculation tab" display="Here is an example calculation sheet that shows how hazardous waste and toxics should be entered." xr:uid="{00000000-0004-0000-0000-000001000000}"/>
  </hyperlinks>
  <pageMargins left="0.25" right="0.25"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B1:N47"/>
  <sheetViews>
    <sheetView topLeftCell="A9" zoomScale="85" zoomScaleNormal="85" workbookViewId="0">
      <selection activeCell="Q15" sqref="Q15"/>
    </sheetView>
  </sheetViews>
  <sheetFormatPr defaultColWidth="8.88671875" defaultRowHeight="14.4" x14ac:dyDescent="0.3"/>
  <cols>
    <col min="1" max="1" width="7.88671875" style="1" customWidth="1"/>
    <col min="2" max="2" width="22.33203125" style="1" customWidth="1"/>
    <col min="3" max="3" width="32.109375" style="1" customWidth="1"/>
    <col min="4" max="4" width="27.44140625" style="1" customWidth="1"/>
    <col min="5" max="5" width="10.6640625" style="1" customWidth="1"/>
    <col min="6" max="6" width="10.33203125" style="1" customWidth="1"/>
    <col min="7" max="7" width="12.109375" style="1" customWidth="1"/>
    <col min="8" max="8" width="11.88671875" style="1" customWidth="1"/>
    <col min="9" max="9" width="52.6640625" style="1" customWidth="1"/>
    <col min="10" max="10" width="6.33203125" style="1" hidden="1" customWidth="1"/>
    <col min="11" max="11" width="10" style="1" hidden="1" customWidth="1"/>
    <col min="12" max="12" width="12" style="1" hidden="1" customWidth="1"/>
    <col min="13" max="13" width="6.33203125" style="1" hidden="1" customWidth="1"/>
    <col min="14" max="14" width="8.88671875" style="1" hidden="1" customWidth="1"/>
    <col min="15" max="16384" width="8.88671875" style="1"/>
  </cols>
  <sheetData>
    <row r="1" spans="2:14" ht="23.25" customHeight="1" x14ac:dyDescent="0.3">
      <c r="B1" s="38" t="s">
        <v>56</v>
      </c>
      <c r="D1" s="38" t="s">
        <v>77</v>
      </c>
    </row>
    <row r="2" spans="2:14" ht="31.95" customHeight="1" thickBot="1" x14ac:dyDescent="0.45">
      <c r="B2" s="31" t="s">
        <v>74</v>
      </c>
      <c r="C2" s="31"/>
    </row>
    <row r="3" spans="2:14" ht="30" customHeight="1" thickBot="1" x14ac:dyDescent="0.35">
      <c r="B3" s="8" t="s">
        <v>29</v>
      </c>
      <c r="C3" s="28" t="s">
        <v>5</v>
      </c>
      <c r="K3"/>
      <c r="L3"/>
    </row>
    <row r="4" spans="2:14" ht="15" thickBot="1" x14ac:dyDescent="0.35">
      <c r="B4" s="46" t="s">
        <v>12</v>
      </c>
      <c r="C4" s="47">
        <f>IF(C3="Class A Generator", 2000, IF(C3="Class A Generator and Large User",4000,IF(C3="Class B Generator",400,IF(C3="Class B Generator and Large User",1200,IF(C3="Large User",2000,0)))))</f>
        <v>2000</v>
      </c>
      <c r="K4"/>
      <c r="L4"/>
    </row>
    <row r="5" spans="2:14" ht="20.25" customHeight="1" thickBot="1" x14ac:dyDescent="0.4">
      <c r="B5" s="45" t="s">
        <v>15</v>
      </c>
      <c r="C5" s="44">
        <f>IF((Table2[[#Totals],[Modified Count]]+Table3[[#Totals],[Count]])*400&lt;C4,(Table2[[#Totals],[Modified Count]]+Table3[[#Totals],[Count]])*400,C4)</f>
        <v>0</v>
      </c>
      <c r="E5"/>
    </row>
    <row r="6" spans="2:14" ht="25.95" customHeight="1" x14ac:dyDescent="0.3">
      <c r="C6" s="42" t="s">
        <v>64</v>
      </c>
      <c r="K6"/>
      <c r="L6"/>
    </row>
    <row r="7" spans="2:14" ht="42.6" thickBot="1" x14ac:dyDescent="0.45">
      <c r="B7" s="22" t="s">
        <v>28</v>
      </c>
      <c r="C7" s="30" t="s">
        <v>32</v>
      </c>
      <c r="D7" s="41"/>
      <c r="K7"/>
      <c r="L7"/>
    </row>
    <row r="8" spans="2:14" ht="15" thickBot="1" x14ac:dyDescent="0.35">
      <c r="B8" s="81" t="s">
        <v>0</v>
      </c>
      <c r="C8" s="82"/>
      <c r="D8" s="83"/>
      <c r="E8" s="89" t="s">
        <v>11</v>
      </c>
      <c r="F8" s="90"/>
      <c r="G8" s="90"/>
      <c r="H8" s="91"/>
      <c r="I8"/>
      <c r="K8"/>
      <c r="L8"/>
    </row>
    <row r="9" spans="2:14" ht="15" thickBot="1" x14ac:dyDescent="0.35">
      <c r="B9" s="84"/>
      <c r="C9" s="85"/>
      <c r="D9" s="86"/>
      <c r="E9" s="87" t="s">
        <v>75</v>
      </c>
      <c r="F9" s="88"/>
      <c r="G9" s="79" t="s">
        <v>76</v>
      </c>
      <c r="H9" s="80"/>
      <c r="I9"/>
      <c r="K9"/>
      <c r="L9"/>
    </row>
    <row r="10" spans="2:14" ht="45.6" customHeight="1" x14ac:dyDescent="0.3">
      <c r="B10" s="19" t="s">
        <v>1</v>
      </c>
      <c r="C10" s="19" t="s">
        <v>2</v>
      </c>
      <c r="D10" s="19" t="s">
        <v>3</v>
      </c>
      <c r="E10" s="5" t="s">
        <v>79</v>
      </c>
      <c r="F10" s="4" t="s">
        <v>82</v>
      </c>
      <c r="G10" s="4" t="s">
        <v>80</v>
      </c>
      <c r="H10" s="4" t="s">
        <v>81</v>
      </c>
      <c r="I10" s="4" t="s">
        <v>27</v>
      </c>
      <c r="J10" s="20" t="s">
        <v>14</v>
      </c>
      <c r="K10" s="20" t="s">
        <v>13</v>
      </c>
      <c r="L10" s="20" t="s">
        <v>17</v>
      </c>
      <c r="M10" s="20" t="s">
        <v>16</v>
      </c>
      <c r="N10" s="20" t="s">
        <v>18</v>
      </c>
    </row>
    <row r="11" spans="2:14" ht="18" customHeight="1" x14ac:dyDescent="0.3">
      <c r="B11" s="9"/>
      <c r="C11" s="9"/>
      <c r="D11" s="9"/>
      <c r="E11" s="10"/>
      <c r="F11" s="16" t="str">
        <f>IFERROR(IF(Table2[[#This Row],[Reporting Year Pounds]]/Table2[[#Totals],[Reporting Year Pounds]]&gt;0,Table2[[#This Row],[Reporting Year Pounds]]/Table2[[#Totals],[Reporting Year Pounds]]," ")," ")</f>
        <v xml:space="preserve"> </v>
      </c>
      <c r="G11" s="9"/>
      <c r="H11" s="16" t="str">
        <f>IFERROR(IF(Table2[[#This Row],[Previous Year Pounds]]/Table2[[#Totals],[Previous Year Pounds]]&gt;0,Table2[[#This Row],[Previous Year Pounds]]/Table2[[#Totals],[Previous Year Pounds]]," ")," ")</f>
        <v xml:space="preserve"> </v>
      </c>
      <c r="I11" s="40"/>
      <c r="J11" s="14" t="str">
        <f>IF(Table2[[#This Row],[EPA or VT Waste Code]]="Varied",0,IF(OR(Table2[[#This Row],[Reporting Year Percent]]=" ",Table2[[#This Row],[Reporting Year Percent]]&lt;=0.05)," ",1))</f>
        <v xml:space="preserve"> </v>
      </c>
      <c r="K11" s="14">
        <f>COUNTIF(Table2[EPA or VT Waste Code],Table2[[#This Row],[EPA or VT Waste Code]])</f>
        <v>0</v>
      </c>
      <c r="L11" s="14" t="str">
        <f>CONCATENATE(Table2[[#This Row],[EPA or VT Waste Code]],Table2[[#This Row],[&gt;5%]],Table2[[#This Row],[Duplicates]])</f>
        <v xml:space="preserve"> 0</v>
      </c>
      <c r="M11" s="14">
        <f>COUNTIF(Table2[Concatenate],Table2[[#This Row],[Concatenate]])</f>
        <v>15</v>
      </c>
      <c r="N11" s="14">
        <f>IF(AND(Table2[[#This Row],[&gt;5%]]=1,Table2[[#This Row],[Duplicates]]=1),1,(IF(AND(Table2[[#This Row],[&gt;5%]]=1,Table2[[#This Row],[Duplicates]]&gt;1),1/Table2[[#This Row],[Count]],0)))</f>
        <v>0</v>
      </c>
    </row>
    <row r="12" spans="2:14" ht="20.25" customHeight="1" x14ac:dyDescent="0.3">
      <c r="B12" s="9"/>
      <c r="C12" s="9"/>
      <c r="D12" s="9"/>
      <c r="E12" s="10"/>
      <c r="F12" s="16" t="str">
        <f>IFERROR(IF(Table2[[#This Row],[Reporting Year Pounds]]/Table2[[#Totals],[Reporting Year Pounds]]&gt;0,Table2[[#This Row],[Reporting Year Pounds]]/Table2[[#Totals],[Reporting Year Pounds]]," ")," ")</f>
        <v xml:space="preserve"> </v>
      </c>
      <c r="G12" s="9"/>
      <c r="H12" s="16" t="str">
        <f>IFERROR(IF(Table2[[#This Row],[Previous Year Pounds]]/Table2[[#Totals],[Previous Year Pounds]]&gt;0,Table2[[#This Row],[Previous Year Pounds]]/Table2[[#Totals],[Previous Year Pounds]]," ")," ")</f>
        <v xml:space="preserve"> </v>
      </c>
      <c r="I12" s="40"/>
      <c r="J12" s="14" t="str">
        <f>IF(Table2[[#This Row],[EPA or VT Waste Code]]="Varied",0,IF(OR(Table2[[#This Row],[Reporting Year Percent]]=" ",Table2[[#This Row],[Reporting Year Percent]]&lt;=0.05)," ",1))</f>
        <v xml:space="preserve"> </v>
      </c>
      <c r="K12" s="14">
        <f>COUNTIF(Table2[EPA or VT Waste Code],Table2[[#This Row],[EPA or VT Waste Code]])</f>
        <v>0</v>
      </c>
      <c r="L12" s="14" t="str">
        <f>CONCATENATE(Table2[[#This Row],[EPA or VT Waste Code]],Table2[[#This Row],[&gt;5%]],Table2[[#This Row],[Duplicates]])</f>
        <v xml:space="preserve"> 0</v>
      </c>
      <c r="M12" s="14">
        <f>COUNTIF(Table2[Concatenate],Table2[[#This Row],[Concatenate]])</f>
        <v>15</v>
      </c>
      <c r="N12" s="14">
        <f>IF(AND(Table2[[#This Row],[&gt;5%]]=1,Table2[[#This Row],[Duplicates]]=1),1,(IF(AND(Table2[[#This Row],[&gt;5%]]=1,Table2[[#This Row],[Duplicates]]&gt;1),1/Table2[[#This Row],[Count]],0)))</f>
        <v>0</v>
      </c>
    </row>
    <row r="13" spans="2:14" x14ac:dyDescent="0.3">
      <c r="B13" s="9"/>
      <c r="C13" s="9"/>
      <c r="D13" s="9"/>
      <c r="E13" s="10"/>
      <c r="F13" s="16" t="str">
        <f>IFERROR(IF(Table2[[#This Row],[Reporting Year Pounds]]/Table2[[#Totals],[Reporting Year Pounds]]&gt;0,Table2[[#This Row],[Reporting Year Pounds]]/Table2[[#Totals],[Reporting Year Pounds]]," ")," ")</f>
        <v xml:space="preserve"> </v>
      </c>
      <c r="G13" s="9"/>
      <c r="H13" s="16" t="str">
        <f>IFERROR(IF(Table2[[#This Row],[Previous Year Pounds]]/Table2[[#Totals],[Previous Year Pounds]]&gt;0,Table2[[#This Row],[Previous Year Pounds]]/Table2[[#Totals],[Previous Year Pounds]]," ")," ")</f>
        <v xml:space="preserve"> </v>
      </c>
      <c r="I13" s="40"/>
      <c r="J13" s="14" t="str">
        <f>IF(Table2[[#This Row],[EPA or VT Waste Code]]="Varied",0,IF(OR(Table2[[#This Row],[Reporting Year Percent]]=" ",Table2[[#This Row],[Reporting Year Percent]]&lt;=0.05)," ",1))</f>
        <v xml:space="preserve"> </v>
      </c>
      <c r="K13" s="14">
        <f>COUNTIF(Table2[EPA or VT Waste Code],Table2[[#This Row],[EPA or VT Waste Code]])</f>
        <v>0</v>
      </c>
      <c r="L13" s="14" t="str">
        <f>CONCATENATE(Table2[[#This Row],[EPA or VT Waste Code]],Table2[[#This Row],[&gt;5%]],Table2[[#This Row],[Duplicates]])</f>
        <v xml:space="preserve"> 0</v>
      </c>
      <c r="M13" s="14">
        <f>COUNTIF(Table2[Concatenate],Table2[[#This Row],[Concatenate]])</f>
        <v>15</v>
      </c>
      <c r="N13" s="14">
        <f>IF(AND(Table2[[#This Row],[&gt;5%]]=1,Table2[[#This Row],[Duplicates]]=1),1,(IF(AND(Table2[[#This Row],[&gt;5%]]=1,Table2[[#This Row],[Duplicates]]&gt;1),1/Table2[[#This Row],[Count]],0)))</f>
        <v>0</v>
      </c>
    </row>
    <row r="14" spans="2:14" x14ac:dyDescent="0.3">
      <c r="B14" s="9"/>
      <c r="C14" s="9"/>
      <c r="D14" s="9"/>
      <c r="E14" s="10"/>
      <c r="F14" s="16" t="str">
        <f>IFERROR(IF(Table2[[#This Row],[Reporting Year Pounds]]/Table2[[#Totals],[Reporting Year Pounds]]&gt;0,Table2[[#This Row],[Reporting Year Pounds]]/Table2[[#Totals],[Reporting Year Pounds]]," ")," ")</f>
        <v xml:space="preserve"> </v>
      </c>
      <c r="G14" s="9"/>
      <c r="H14" s="16" t="str">
        <f>IFERROR(IF(Table2[[#This Row],[Previous Year Pounds]]/Table2[[#Totals],[Previous Year Pounds]]&gt;0,Table2[[#This Row],[Previous Year Pounds]]/Table2[[#Totals],[Previous Year Pounds]]," ")," ")</f>
        <v xml:space="preserve"> </v>
      </c>
      <c r="I14" s="40"/>
      <c r="J14" s="14" t="str">
        <f>IF(Table2[[#This Row],[EPA or VT Waste Code]]="Varied",0,IF(OR(Table2[[#This Row],[Reporting Year Percent]]=" ",Table2[[#This Row],[Reporting Year Percent]]&lt;=0.05)," ",1))</f>
        <v xml:space="preserve"> </v>
      </c>
      <c r="K14" s="14">
        <f>COUNTIF(Table2[EPA or VT Waste Code],Table2[[#This Row],[EPA or VT Waste Code]])</f>
        <v>0</v>
      </c>
      <c r="L14" s="14" t="str">
        <f>CONCATENATE(Table2[[#This Row],[EPA or VT Waste Code]],Table2[[#This Row],[&gt;5%]],Table2[[#This Row],[Duplicates]])</f>
        <v xml:space="preserve"> 0</v>
      </c>
      <c r="M14" s="14">
        <f>COUNTIF(Table2[Concatenate],Table2[[#This Row],[Concatenate]])</f>
        <v>15</v>
      </c>
      <c r="N14" s="14">
        <f>IF(AND(Table2[[#This Row],[&gt;5%]]=1,Table2[[#This Row],[Duplicates]]=1),1,(IF(AND(Table2[[#This Row],[&gt;5%]]=1,Table2[[#This Row],[Duplicates]]&gt;1),1/Table2[[#This Row],[Count]],0)))</f>
        <v>0</v>
      </c>
    </row>
    <row r="15" spans="2:14" x14ac:dyDescent="0.3">
      <c r="B15" s="9"/>
      <c r="C15" s="9"/>
      <c r="D15" s="9"/>
      <c r="E15" s="10"/>
      <c r="F15" s="16" t="str">
        <f>IFERROR(IF(Table2[[#This Row],[Reporting Year Pounds]]/Table2[[#Totals],[Reporting Year Pounds]]&gt;0,Table2[[#This Row],[Reporting Year Pounds]]/Table2[[#Totals],[Reporting Year Pounds]]," ")," ")</f>
        <v xml:space="preserve"> </v>
      </c>
      <c r="G15" s="9"/>
      <c r="H15" s="16" t="str">
        <f>IFERROR(IF(Table2[[#This Row],[Previous Year Pounds]]/Table2[[#Totals],[Previous Year Pounds]]&gt;0,Table2[[#This Row],[Previous Year Pounds]]/Table2[[#Totals],[Previous Year Pounds]]," ")," ")</f>
        <v xml:space="preserve"> </v>
      </c>
      <c r="I15" s="40"/>
      <c r="J15" s="14" t="str">
        <f>IF(Table2[[#This Row],[EPA or VT Waste Code]]="Varied",0,IF(OR(Table2[[#This Row],[Reporting Year Percent]]=" ",Table2[[#This Row],[Reporting Year Percent]]&lt;=0.05)," ",1))</f>
        <v xml:space="preserve"> </v>
      </c>
      <c r="K15" s="14">
        <f>COUNTIF(Table2[EPA or VT Waste Code],Table2[[#This Row],[EPA or VT Waste Code]])</f>
        <v>0</v>
      </c>
      <c r="L15" s="14" t="str">
        <f>CONCATENATE(Table2[[#This Row],[EPA or VT Waste Code]],Table2[[#This Row],[&gt;5%]],Table2[[#This Row],[Duplicates]])</f>
        <v xml:space="preserve"> 0</v>
      </c>
      <c r="M15" s="14">
        <f>COUNTIF(Table2[Concatenate],Table2[[#This Row],[Concatenate]])</f>
        <v>15</v>
      </c>
      <c r="N15" s="14">
        <f>IF(AND(Table2[[#This Row],[&gt;5%]]=1,Table2[[#This Row],[Duplicates]]=1),1,(IF(AND(Table2[[#This Row],[&gt;5%]]=1,Table2[[#This Row],[Duplicates]]&gt;1),1/Table2[[#This Row],[Count]],0)))</f>
        <v>0</v>
      </c>
    </row>
    <row r="16" spans="2:14" x14ac:dyDescent="0.3">
      <c r="B16" s="9"/>
      <c r="C16" s="9"/>
      <c r="D16" s="9"/>
      <c r="E16" s="10"/>
      <c r="F16" s="16" t="str">
        <f>IFERROR(IF(Table2[[#This Row],[Reporting Year Pounds]]/Table2[[#Totals],[Reporting Year Pounds]]&gt;0,Table2[[#This Row],[Reporting Year Pounds]]/Table2[[#Totals],[Reporting Year Pounds]]," ")," ")</f>
        <v xml:space="preserve"> </v>
      </c>
      <c r="G16" s="9"/>
      <c r="H16" s="16" t="str">
        <f>IFERROR(IF(Table2[[#This Row],[Previous Year Pounds]]/Table2[[#Totals],[Previous Year Pounds]]&gt;0,Table2[[#This Row],[Previous Year Pounds]]/Table2[[#Totals],[Previous Year Pounds]]," ")," ")</f>
        <v xml:space="preserve"> </v>
      </c>
      <c r="I16" s="40"/>
      <c r="J16" s="14" t="str">
        <f>IF(Table2[[#This Row],[EPA or VT Waste Code]]="Varied",0,IF(OR(Table2[[#This Row],[Reporting Year Percent]]=" ",Table2[[#This Row],[Reporting Year Percent]]&lt;=0.05)," ",1))</f>
        <v xml:space="preserve"> </v>
      </c>
      <c r="K16" s="14">
        <f>COUNTIF(Table2[EPA or VT Waste Code],Table2[[#This Row],[EPA or VT Waste Code]])</f>
        <v>0</v>
      </c>
      <c r="L16" s="14" t="str">
        <f>CONCATENATE(Table2[[#This Row],[EPA or VT Waste Code]],Table2[[#This Row],[&gt;5%]],Table2[[#This Row],[Duplicates]])</f>
        <v xml:space="preserve"> 0</v>
      </c>
      <c r="M16" s="14">
        <f>COUNTIF(Table2[Concatenate],Table2[[#This Row],[Concatenate]])</f>
        <v>15</v>
      </c>
      <c r="N16" s="14">
        <f>IF(AND(Table2[[#This Row],[&gt;5%]]=1,Table2[[#This Row],[Duplicates]]=1),1,(IF(AND(Table2[[#This Row],[&gt;5%]]=1,Table2[[#This Row],[Duplicates]]&gt;1),1/Table2[[#This Row],[Count]],0)))</f>
        <v>0</v>
      </c>
    </row>
    <row r="17" spans="2:14" x14ac:dyDescent="0.3">
      <c r="B17" s="9"/>
      <c r="C17" s="9"/>
      <c r="D17" s="9"/>
      <c r="E17" s="10"/>
      <c r="F17" s="16" t="str">
        <f>IFERROR(IF(Table2[[#This Row],[Reporting Year Pounds]]/Table2[[#Totals],[Reporting Year Pounds]]&gt;0,Table2[[#This Row],[Reporting Year Pounds]]/Table2[[#Totals],[Reporting Year Pounds]]," ")," ")</f>
        <v xml:space="preserve"> </v>
      </c>
      <c r="G17" s="9"/>
      <c r="H17" s="16" t="str">
        <f>IFERROR(IF(Table2[[#This Row],[Previous Year Pounds]]/Table2[[#Totals],[Previous Year Pounds]]&gt;0,Table2[[#This Row],[Previous Year Pounds]]/Table2[[#Totals],[Previous Year Pounds]]," ")," ")</f>
        <v xml:space="preserve"> </v>
      </c>
      <c r="I17" s="40"/>
      <c r="J17" s="14" t="str">
        <f>IF(Table2[[#This Row],[EPA or VT Waste Code]]="Varied",0,IF(OR(Table2[[#This Row],[Reporting Year Percent]]=" ",Table2[[#This Row],[Reporting Year Percent]]&lt;=0.05)," ",1))</f>
        <v xml:space="preserve"> </v>
      </c>
      <c r="K17" s="14">
        <f>COUNTIF(Table2[EPA or VT Waste Code],Table2[[#This Row],[EPA or VT Waste Code]])</f>
        <v>0</v>
      </c>
      <c r="L17" s="14" t="str">
        <f>CONCATENATE(Table2[[#This Row],[EPA or VT Waste Code]],Table2[[#This Row],[&gt;5%]],Table2[[#This Row],[Duplicates]])</f>
        <v xml:space="preserve"> 0</v>
      </c>
      <c r="M17" s="14">
        <f>COUNTIF(Table2[Concatenate],Table2[[#This Row],[Concatenate]])</f>
        <v>15</v>
      </c>
      <c r="N17" s="14">
        <f>IF(AND(Table2[[#This Row],[&gt;5%]]=1,Table2[[#This Row],[Duplicates]]=1),1,(IF(AND(Table2[[#This Row],[&gt;5%]]=1,Table2[[#This Row],[Duplicates]]&gt;1),1/Table2[[#This Row],[Count]],0)))</f>
        <v>0</v>
      </c>
    </row>
    <row r="18" spans="2:14" x14ac:dyDescent="0.3">
      <c r="B18" s="9"/>
      <c r="C18" s="9"/>
      <c r="D18" s="9"/>
      <c r="E18" s="10"/>
      <c r="F18" s="16" t="str">
        <f>IFERROR(IF(Table2[[#This Row],[Reporting Year Pounds]]/Table2[[#Totals],[Reporting Year Pounds]]&gt;0,Table2[[#This Row],[Reporting Year Pounds]]/Table2[[#Totals],[Reporting Year Pounds]]," ")," ")</f>
        <v xml:space="preserve"> </v>
      </c>
      <c r="G18" s="9"/>
      <c r="H18" s="16" t="str">
        <f>IFERROR(IF(Table2[[#This Row],[Previous Year Pounds]]/Table2[[#Totals],[Previous Year Pounds]]&gt;0,Table2[[#This Row],[Previous Year Pounds]]/Table2[[#Totals],[Previous Year Pounds]]," ")," ")</f>
        <v xml:space="preserve"> </v>
      </c>
      <c r="I18" s="40"/>
      <c r="J18" s="14" t="str">
        <f>IF(Table2[[#This Row],[EPA or VT Waste Code]]="Varied",0,IF(OR(Table2[[#This Row],[Reporting Year Percent]]=" ",Table2[[#This Row],[Reporting Year Percent]]&lt;=0.05)," ",1))</f>
        <v xml:space="preserve"> </v>
      </c>
      <c r="K18" s="14">
        <f>COUNTIF(Table2[EPA or VT Waste Code],Table2[[#This Row],[EPA or VT Waste Code]])</f>
        <v>0</v>
      </c>
      <c r="L18" s="14" t="str">
        <f>CONCATENATE(Table2[[#This Row],[EPA or VT Waste Code]],Table2[[#This Row],[&gt;5%]],Table2[[#This Row],[Duplicates]])</f>
        <v xml:space="preserve"> 0</v>
      </c>
      <c r="M18" s="14">
        <f>COUNTIF(Table2[Concatenate],Table2[[#This Row],[Concatenate]])</f>
        <v>15</v>
      </c>
      <c r="N18" s="14">
        <f>IF(AND(Table2[[#This Row],[&gt;5%]]=1,Table2[[#This Row],[Duplicates]]=1),1,(IF(AND(Table2[[#This Row],[&gt;5%]]=1,Table2[[#This Row],[Duplicates]]&gt;1),1/Table2[[#This Row],[Count]],0)))</f>
        <v>0</v>
      </c>
    </row>
    <row r="19" spans="2:14" x14ac:dyDescent="0.3">
      <c r="B19" s="9"/>
      <c r="C19" s="9"/>
      <c r="D19" s="9"/>
      <c r="E19" s="10"/>
      <c r="F19" s="16" t="str">
        <f>IFERROR(IF(Table2[[#This Row],[Reporting Year Pounds]]/Table2[[#Totals],[Reporting Year Pounds]]&gt;0,Table2[[#This Row],[Reporting Year Pounds]]/Table2[[#Totals],[Reporting Year Pounds]]," ")," ")</f>
        <v xml:space="preserve"> </v>
      </c>
      <c r="G19" s="9"/>
      <c r="H19" s="16" t="str">
        <f>IFERROR(IF(Table2[[#This Row],[Previous Year Pounds]]/Table2[[#Totals],[Previous Year Pounds]]&gt;0,Table2[[#This Row],[Previous Year Pounds]]/Table2[[#Totals],[Previous Year Pounds]]," ")," ")</f>
        <v xml:space="preserve"> </v>
      </c>
      <c r="I19" s="40"/>
      <c r="J19" s="14" t="str">
        <f>IF(Table2[[#This Row],[EPA or VT Waste Code]]="Varied",0,IF(OR(Table2[[#This Row],[Reporting Year Percent]]=" ",Table2[[#This Row],[Reporting Year Percent]]&lt;=0.05)," ",1))</f>
        <v xml:space="preserve"> </v>
      </c>
      <c r="K19" s="14">
        <f>COUNTIF(Table2[EPA or VT Waste Code],Table2[[#This Row],[EPA or VT Waste Code]])</f>
        <v>0</v>
      </c>
      <c r="L19" s="14" t="str">
        <f>CONCATENATE(Table2[[#This Row],[EPA or VT Waste Code]],Table2[[#This Row],[&gt;5%]],Table2[[#This Row],[Duplicates]])</f>
        <v xml:space="preserve"> 0</v>
      </c>
      <c r="M19" s="14">
        <f>COUNTIF(Table2[Concatenate],Table2[[#This Row],[Concatenate]])</f>
        <v>15</v>
      </c>
      <c r="N19" s="14">
        <f>IF(AND(Table2[[#This Row],[&gt;5%]]=1,Table2[[#This Row],[Duplicates]]=1),1,(IF(AND(Table2[[#This Row],[&gt;5%]]=1,Table2[[#This Row],[Duplicates]]&gt;1),1/Table2[[#This Row],[Count]],0)))</f>
        <v>0</v>
      </c>
    </row>
    <row r="20" spans="2:14" x14ac:dyDescent="0.3">
      <c r="B20" s="9"/>
      <c r="C20" s="9"/>
      <c r="D20" s="9"/>
      <c r="E20" s="10"/>
      <c r="F20" s="16" t="str">
        <f>IFERROR(IF(Table2[[#This Row],[Reporting Year Pounds]]/Table2[[#Totals],[Reporting Year Pounds]]&gt;0,Table2[[#This Row],[Reporting Year Pounds]]/Table2[[#Totals],[Reporting Year Pounds]]," ")," ")</f>
        <v xml:space="preserve"> </v>
      </c>
      <c r="G20" s="9"/>
      <c r="H20" s="16" t="str">
        <f>IFERROR(IF(Table2[[#This Row],[Previous Year Pounds]]/Table2[[#Totals],[Previous Year Pounds]]&gt;0,Table2[[#This Row],[Previous Year Pounds]]/Table2[[#Totals],[Previous Year Pounds]]," ")," ")</f>
        <v xml:space="preserve"> </v>
      </c>
      <c r="I20" s="40"/>
      <c r="J20" s="14" t="str">
        <f>IF(Table2[[#This Row],[EPA or VT Waste Code]]="Varied",0,IF(OR(Table2[[#This Row],[Reporting Year Percent]]=" ",Table2[[#This Row],[Reporting Year Percent]]&lt;=0.05)," ",1))</f>
        <v xml:space="preserve"> </v>
      </c>
      <c r="K20" s="14">
        <f>COUNTIF(Table2[EPA or VT Waste Code],Table2[[#This Row],[EPA or VT Waste Code]])</f>
        <v>0</v>
      </c>
      <c r="L20" s="14" t="str">
        <f>CONCATENATE(Table2[[#This Row],[EPA or VT Waste Code]],Table2[[#This Row],[&gt;5%]],Table2[[#This Row],[Duplicates]])</f>
        <v xml:space="preserve"> 0</v>
      </c>
      <c r="M20" s="14">
        <f>COUNTIF(Table2[Concatenate],Table2[[#This Row],[Concatenate]])</f>
        <v>15</v>
      </c>
      <c r="N20" s="14">
        <f>IF(AND(Table2[[#This Row],[&gt;5%]]=1,Table2[[#This Row],[Duplicates]]=1),1,(IF(AND(Table2[[#This Row],[&gt;5%]]=1,Table2[[#This Row],[Duplicates]]&gt;1),1/Table2[[#This Row],[Count]],0)))</f>
        <v>0</v>
      </c>
    </row>
    <row r="21" spans="2:14" x14ac:dyDescent="0.3">
      <c r="B21" s="9"/>
      <c r="C21" s="9"/>
      <c r="D21" s="9"/>
      <c r="E21" s="10"/>
      <c r="F21" s="16" t="str">
        <f>IFERROR(IF(Table2[[#This Row],[Reporting Year Pounds]]/Table2[[#Totals],[Reporting Year Pounds]]&gt;0,Table2[[#This Row],[Reporting Year Pounds]]/Table2[[#Totals],[Reporting Year Pounds]]," ")," ")</f>
        <v xml:space="preserve"> </v>
      </c>
      <c r="G21" s="9"/>
      <c r="H21" s="16" t="str">
        <f>IFERROR(IF(Table2[[#This Row],[Previous Year Pounds]]/Table2[[#Totals],[Previous Year Pounds]]&gt;0,Table2[[#This Row],[Previous Year Pounds]]/Table2[[#Totals],[Previous Year Pounds]]," ")," ")</f>
        <v xml:space="preserve"> </v>
      </c>
      <c r="I21" s="40"/>
      <c r="J21" s="14" t="str">
        <f>IF(Table2[[#This Row],[EPA or VT Waste Code]]="Varied",0,IF(OR(Table2[[#This Row],[Reporting Year Percent]]=" ",Table2[[#This Row],[Reporting Year Percent]]&lt;=0.05)," ",1))</f>
        <v xml:space="preserve"> </v>
      </c>
      <c r="K21" s="14">
        <f>COUNTIF(Table2[EPA or VT Waste Code],Table2[[#This Row],[EPA or VT Waste Code]])</f>
        <v>0</v>
      </c>
      <c r="L21" s="14" t="str">
        <f>CONCATENATE(Table2[[#This Row],[EPA or VT Waste Code]],Table2[[#This Row],[&gt;5%]],Table2[[#This Row],[Duplicates]])</f>
        <v xml:space="preserve"> 0</v>
      </c>
      <c r="M21" s="14">
        <f>COUNTIF(Table2[Concatenate],Table2[[#This Row],[Concatenate]])</f>
        <v>15</v>
      </c>
      <c r="N21" s="14">
        <f>IF(AND(Table2[[#This Row],[&gt;5%]]=1,Table2[[#This Row],[Duplicates]]=1),1,(IF(AND(Table2[[#This Row],[&gt;5%]]=1,Table2[[#This Row],[Duplicates]]&gt;1),1/Table2[[#This Row],[Count]],0)))</f>
        <v>0</v>
      </c>
    </row>
    <row r="22" spans="2:14" x14ac:dyDescent="0.3">
      <c r="B22" s="9"/>
      <c r="C22" s="9"/>
      <c r="D22" s="9"/>
      <c r="E22" s="9"/>
      <c r="F22" s="16" t="str">
        <f>IFERROR(IF(Table2[[#This Row],[Reporting Year Pounds]]/Table2[[#Totals],[Reporting Year Pounds]]&gt;0,Table2[[#This Row],[Reporting Year Pounds]]/Table2[[#Totals],[Reporting Year Pounds]]," ")," ")</f>
        <v xml:space="preserve"> </v>
      </c>
      <c r="G22" s="9"/>
      <c r="H22" s="16" t="str">
        <f>IFERROR(IF(Table2[[#This Row],[Previous Year Pounds]]/Table2[[#Totals],[Previous Year Pounds]]&gt;0,Table2[[#This Row],[Previous Year Pounds]]/Table2[[#Totals],[Previous Year Pounds]]," ")," ")</f>
        <v xml:space="preserve"> </v>
      </c>
      <c r="I22" s="40"/>
      <c r="J22" s="14" t="str">
        <f>IF(Table2[[#This Row],[EPA or VT Waste Code]]="Varied",0,IF(OR(Table2[[#This Row],[Reporting Year Percent]]=" ",Table2[[#This Row],[Reporting Year Percent]]&lt;=0.05)," ",1))</f>
        <v xml:space="preserve"> </v>
      </c>
      <c r="K22" s="14">
        <f>COUNTIF(Table2[EPA or VT Waste Code],Table2[[#This Row],[EPA or VT Waste Code]])</f>
        <v>0</v>
      </c>
      <c r="L22" s="14" t="str">
        <f>CONCATENATE(Table2[[#This Row],[EPA or VT Waste Code]],Table2[[#This Row],[&gt;5%]],Table2[[#This Row],[Duplicates]])</f>
        <v xml:space="preserve"> 0</v>
      </c>
      <c r="M22" s="14">
        <f>COUNTIF(Table2[Concatenate],Table2[[#This Row],[Concatenate]])</f>
        <v>15</v>
      </c>
      <c r="N22" s="14">
        <f>IF(AND(Table2[[#This Row],[&gt;5%]]=1,Table2[[#This Row],[Duplicates]]=1),1,(IF(AND(Table2[[#This Row],[&gt;5%]]=1,Table2[[#This Row],[Duplicates]]&gt;1),1/Table2[[#This Row],[Count]],0)))</f>
        <v>0</v>
      </c>
    </row>
    <row r="23" spans="2:14" x14ac:dyDescent="0.3">
      <c r="B23" s="9"/>
      <c r="C23" s="9"/>
      <c r="D23" s="9"/>
      <c r="E23" s="9"/>
      <c r="F23" s="16" t="str">
        <f>IFERROR(IF(Table2[[#This Row],[Reporting Year Pounds]]/Table2[[#Totals],[Reporting Year Pounds]]&gt;0,Table2[[#This Row],[Reporting Year Pounds]]/Table2[[#Totals],[Reporting Year Pounds]]," ")," ")</f>
        <v xml:space="preserve"> </v>
      </c>
      <c r="G23" s="9"/>
      <c r="H23" s="16" t="str">
        <f>IFERROR(IF(Table2[[#This Row],[Previous Year Pounds]]/Table2[[#Totals],[Previous Year Pounds]]&gt;0,Table2[[#This Row],[Previous Year Pounds]]/Table2[[#Totals],[Previous Year Pounds]]," ")," ")</f>
        <v xml:space="preserve"> </v>
      </c>
      <c r="I23" s="40"/>
      <c r="J23" s="14" t="str">
        <f>IF(Table2[[#This Row],[EPA or VT Waste Code]]="Varied",0,IF(OR(Table2[[#This Row],[Reporting Year Percent]]=" ",Table2[[#This Row],[Reporting Year Percent]]&lt;=0.05)," ",1))</f>
        <v xml:space="preserve"> </v>
      </c>
      <c r="K23" s="14">
        <f>COUNTIF(Table2[EPA or VT Waste Code],Table2[[#This Row],[EPA or VT Waste Code]])</f>
        <v>0</v>
      </c>
      <c r="L23" s="14" t="str">
        <f>CONCATENATE(Table2[[#This Row],[EPA or VT Waste Code]],Table2[[#This Row],[&gt;5%]],Table2[[#This Row],[Duplicates]])</f>
        <v xml:space="preserve"> 0</v>
      </c>
      <c r="M23" s="14">
        <f>COUNTIF(Table2[Concatenate],Table2[[#This Row],[Concatenate]])</f>
        <v>15</v>
      </c>
      <c r="N23" s="14">
        <f>IF(AND(Table2[[#This Row],[&gt;5%]]=1,Table2[[#This Row],[Duplicates]]=1),1,(IF(AND(Table2[[#This Row],[&gt;5%]]=1,Table2[[#This Row],[Duplicates]]&gt;1),1/Table2[[#This Row],[Count]],0)))</f>
        <v>0</v>
      </c>
    </row>
    <row r="24" spans="2:14" x14ac:dyDescent="0.3">
      <c r="B24" s="9"/>
      <c r="C24" s="9"/>
      <c r="D24" s="9"/>
      <c r="E24" s="9"/>
      <c r="F24" s="16" t="str">
        <f>IFERROR(IF(Table2[[#This Row],[Reporting Year Pounds]]/Table2[[#Totals],[Reporting Year Pounds]]&gt;0,Table2[[#This Row],[Reporting Year Pounds]]/Table2[[#Totals],[Reporting Year Pounds]]," ")," ")</f>
        <v xml:space="preserve"> </v>
      </c>
      <c r="G24" s="9"/>
      <c r="H24" s="16" t="str">
        <f>IFERROR(IF(Table2[[#This Row],[Previous Year Pounds]]/Table2[[#Totals],[Previous Year Pounds]]&gt;0,Table2[[#This Row],[Previous Year Pounds]]/Table2[[#Totals],[Previous Year Pounds]]," ")," ")</f>
        <v xml:space="preserve"> </v>
      </c>
      <c r="I24" s="40"/>
      <c r="J24" s="14" t="str">
        <f>IF(Table2[[#This Row],[EPA or VT Waste Code]]="Varied",0,IF(OR(Table2[[#This Row],[Reporting Year Percent]]=" ",Table2[[#This Row],[Reporting Year Percent]]&lt;=0.05)," ",1))</f>
        <v xml:space="preserve"> </v>
      </c>
      <c r="K24" s="14">
        <f>COUNTIF(Table2[EPA or VT Waste Code],Table2[[#This Row],[EPA or VT Waste Code]])</f>
        <v>0</v>
      </c>
      <c r="L24" s="14" t="str">
        <f>CONCATENATE(Table2[[#This Row],[EPA or VT Waste Code]],Table2[[#This Row],[&gt;5%]],Table2[[#This Row],[Duplicates]])</f>
        <v xml:space="preserve"> 0</v>
      </c>
      <c r="M24" s="14">
        <f>COUNTIF(Table2[Concatenate],Table2[[#This Row],[Concatenate]])</f>
        <v>15</v>
      </c>
      <c r="N24" s="14">
        <f>IF(AND(Table2[[#This Row],[&gt;5%]]=1,Table2[[#This Row],[Duplicates]]=1),1,(IF(AND(Table2[[#This Row],[&gt;5%]]=1,Table2[[#This Row],[Duplicates]]&gt;1),1/Table2[[#This Row],[Count]],0)))</f>
        <v>0</v>
      </c>
    </row>
    <row r="25" spans="2:14" ht="15" thickBot="1" x14ac:dyDescent="0.35">
      <c r="B25" s="11"/>
      <c r="C25" s="11"/>
      <c r="D25" s="11"/>
      <c r="E25" s="12"/>
      <c r="F25" s="17" t="str">
        <f>IFERROR(IF(Table2[[#This Row],[Reporting Year Pounds]]/Table2[[#Totals],[Reporting Year Pounds]]&gt;0,Table2[[#This Row],[Reporting Year Pounds]]/Table2[[#Totals],[Reporting Year Pounds]]," ")," ")</f>
        <v xml:space="preserve"> </v>
      </c>
      <c r="G25" s="11"/>
      <c r="H25" s="18" t="str">
        <f>IFERROR(IF(Table2[[#This Row],[Previous Year Pounds]]/Table2[[#Totals],[Previous Year Pounds]]&gt;0,Table2[[#This Row],[Previous Year Pounds]]/Table2[[#Totals],[Previous Year Pounds]]," ")," ")</f>
        <v xml:space="preserve"> </v>
      </c>
      <c r="I25" s="24"/>
      <c r="J25" s="14" t="str">
        <f>IF(Table2[[#This Row],[EPA or VT Waste Code]]="Varied",0,IF(OR(Table2[[#This Row],[Reporting Year Percent]]=" ",Table2[[#This Row],[Reporting Year Percent]]&lt;=0.05)," ",1))</f>
        <v xml:space="preserve"> </v>
      </c>
      <c r="K25" s="14">
        <f>COUNTIF(Table2[EPA or VT Waste Code],Table2[[#This Row],[EPA or VT Waste Code]])</f>
        <v>0</v>
      </c>
      <c r="L25" s="14" t="str">
        <f>CONCATENATE(Table2[[#This Row],[EPA or VT Waste Code]],Table2[[#This Row],[&gt;5%]],Table2[[#This Row],[Duplicates]])</f>
        <v xml:space="preserve"> 0</v>
      </c>
      <c r="M25" s="14">
        <f>COUNTIF(Table2[Concatenate],Table2[[#This Row],[Concatenate]])</f>
        <v>15</v>
      </c>
      <c r="N25" s="14">
        <f>IF(AND(Table2[[#This Row],[&gt;5%]]=1,Table2[[#This Row],[Duplicates]]=1),1,(IF(AND(Table2[[#This Row],[&gt;5%]]=1,Table2[[#This Row],[Duplicates]]&gt;1),1/Table2[[#This Row],[Count]],0)))</f>
        <v>0</v>
      </c>
    </row>
    <row r="26" spans="2:14" ht="15" thickBot="1" x14ac:dyDescent="0.35">
      <c r="B26" s="3"/>
      <c r="C26" s="3"/>
      <c r="D26" s="3"/>
      <c r="E26" s="6">
        <f>SUBTOTAL(109,Table2[Reporting Year Pounds])</f>
        <v>0</v>
      </c>
      <c r="F26" s="7">
        <f>SUBTOTAL(109,Table2[Reporting Year Percent])</f>
        <v>0</v>
      </c>
      <c r="G26" s="3">
        <f>SUBTOTAL(109,Table2[Previous Year Pounds])</f>
        <v>0</v>
      </c>
      <c r="H26" s="7">
        <f>SUBTOTAL(109,Table2[Previous Year Percent])</f>
        <v>0</v>
      </c>
      <c r="I26" s="25"/>
      <c r="J26" s="15">
        <f>SUBTOTAL(109,Table2[&gt;5%])</f>
        <v>0</v>
      </c>
      <c r="K26" s="15">
        <f>SUBTOTAL(109,Table2[Duplicates])</f>
        <v>0</v>
      </c>
      <c r="L26" s="15"/>
      <c r="M26" s="15">
        <f>ROUNDUP(SUBTOTAL(109,Table2[Count]),0)</f>
        <v>225</v>
      </c>
      <c r="N26" s="15">
        <f>SUBTOTAL(109,Table2[Modified Count])</f>
        <v>0</v>
      </c>
    </row>
    <row r="27" spans="2:14" ht="29.4" customHeight="1" x14ac:dyDescent="0.3"/>
    <row r="28" spans="2:14" ht="21.6" thickBot="1" x14ac:dyDescent="0.45">
      <c r="B28" s="22" t="s">
        <v>26</v>
      </c>
      <c r="C28" s="30" t="s">
        <v>33</v>
      </c>
    </row>
    <row r="29" spans="2:14" ht="15" thickBot="1" x14ac:dyDescent="0.35">
      <c r="B29" s="81" t="s">
        <v>0</v>
      </c>
      <c r="C29" s="82"/>
      <c r="D29" s="83"/>
      <c r="E29" s="89" t="s">
        <v>23</v>
      </c>
      <c r="F29" s="90"/>
      <c r="G29" s="90"/>
      <c r="H29" s="91"/>
    </row>
    <row r="30" spans="2:14" ht="15" thickBot="1" x14ac:dyDescent="0.35">
      <c r="B30" s="84"/>
      <c r="C30" s="85"/>
      <c r="D30" s="86"/>
      <c r="E30" s="79" t="s">
        <v>75</v>
      </c>
      <c r="F30" s="80"/>
      <c r="G30" s="79" t="s">
        <v>76</v>
      </c>
      <c r="H30" s="80"/>
    </row>
    <row r="31" spans="2:14" ht="42.6" customHeight="1" x14ac:dyDescent="0.3">
      <c r="B31" s="26" t="s">
        <v>24</v>
      </c>
      <c r="C31" s="26" t="s">
        <v>25</v>
      </c>
      <c r="D31" s="27" t="s">
        <v>31</v>
      </c>
      <c r="E31" s="5" t="s">
        <v>79</v>
      </c>
      <c r="F31" s="4" t="s">
        <v>82</v>
      </c>
      <c r="G31" s="4" t="s">
        <v>80</v>
      </c>
      <c r="H31" s="4" t="s">
        <v>81</v>
      </c>
      <c r="I31" s="4" t="s">
        <v>27</v>
      </c>
      <c r="J31" s="23" t="s">
        <v>16</v>
      </c>
      <c r="K31" s="23"/>
    </row>
    <row r="32" spans="2:14" x14ac:dyDescent="0.3">
      <c r="B32" s="9"/>
      <c r="C32" s="9"/>
      <c r="D32" s="10"/>
      <c r="E32" s="10"/>
      <c r="F32" s="16" t="str">
        <f>IFERROR(IF(Table3[[#This Row],[Reporting Year Pounds]]/Table3[[#Totals],[Reporting Year Pounds]]&gt;0,Table3[[#This Row],[Reporting Year Pounds]]/Table3[[#Totals],[Reporting Year Pounds]]," ")," ")</f>
        <v xml:space="preserve"> </v>
      </c>
      <c r="G32" s="9"/>
      <c r="H32" s="16" t="str">
        <f>IFERROR(IF(Table3[[#This Row],[Previous Year Pounds]]/Table3[[#Totals],[Previous Year Pounds]]&gt;0,Table3[[#This Row],[Previous Year Pounds]]/Table3[[#Totals],[Previous Year Pounds]]," ")," ")</f>
        <v xml:space="preserve"> </v>
      </c>
      <c r="I32" s="40"/>
      <c r="J32" s="14">
        <f>IF(OR(Table3[[#This Row],[Reporting Year Pounds]]&gt;10000, AND(Table3[[#This Row],[Reporting Year Pounds]]&lt;=10000,Table3[[#This Row],[Reporting Year Pounds]]&gt;1000,Table3[[#This Row],[Reporting Year Percent]]&gt;0.1)),1,0)</f>
        <v>0</v>
      </c>
      <c r="K32" s="14"/>
    </row>
    <row r="33" spans="2:11" x14ac:dyDescent="0.3">
      <c r="B33" s="9"/>
      <c r="C33" s="9"/>
      <c r="D33" s="10"/>
      <c r="E33" s="10"/>
      <c r="F33" s="16" t="str">
        <f>IFERROR(IF(Table3[[#This Row],[Reporting Year Pounds]]/Table3[[#Totals],[Reporting Year Pounds]]&gt;0,Table3[[#This Row],[Reporting Year Pounds]]/Table3[[#Totals],[Reporting Year Pounds]]," ")," ")</f>
        <v xml:space="preserve"> </v>
      </c>
      <c r="G33" s="9"/>
      <c r="H33" s="16" t="str">
        <f>IFERROR(IF(Table3[[#This Row],[Previous Year Pounds]]/Table3[[#Totals],[Previous Year Pounds]]&gt;0,Table3[[#This Row],[Previous Year Pounds]]/Table3[[#Totals],[Previous Year Pounds]]," ")," ")</f>
        <v xml:space="preserve"> </v>
      </c>
      <c r="I33" s="40"/>
      <c r="J33" s="14">
        <f>IF(OR(Table3[[#This Row],[Reporting Year Pounds]]&gt;10000, AND(Table3[[#This Row],[Reporting Year Pounds]]&lt;=10000,Table3[[#This Row],[Reporting Year Pounds]]&gt;1000,Table3[[#This Row],[Reporting Year Percent]]&gt;0.1)),1,0)</f>
        <v>0</v>
      </c>
      <c r="K33" s="14"/>
    </row>
    <row r="34" spans="2:11" x14ac:dyDescent="0.3">
      <c r="B34" s="9"/>
      <c r="C34" s="9"/>
      <c r="D34" s="10"/>
      <c r="E34" s="10"/>
      <c r="F34" s="16" t="str">
        <f>IFERROR(IF(Table3[[#This Row],[Reporting Year Pounds]]/Table3[[#Totals],[Reporting Year Pounds]]&gt;0,Table3[[#This Row],[Reporting Year Pounds]]/Table3[[#Totals],[Reporting Year Pounds]]," ")," ")</f>
        <v xml:space="preserve"> </v>
      </c>
      <c r="G34" s="9"/>
      <c r="H34" s="16" t="str">
        <f>IFERROR(IF(Table3[[#This Row],[Previous Year Pounds]]/Table3[[#Totals],[Previous Year Pounds]]&gt;0,Table3[[#This Row],[Previous Year Pounds]]/Table3[[#Totals],[Previous Year Pounds]]," ")," ")</f>
        <v xml:space="preserve"> </v>
      </c>
      <c r="I34" s="40"/>
      <c r="J34" s="14">
        <f>IF(OR(Table3[[#This Row],[Reporting Year Pounds]]&gt;10000, AND(Table3[[#This Row],[Reporting Year Pounds]]&lt;=10000,Table3[[#This Row],[Reporting Year Pounds]]&gt;1000,Table3[[#This Row],[Reporting Year Percent]]&gt;0.1)),1,0)</f>
        <v>0</v>
      </c>
      <c r="K34" s="14"/>
    </row>
    <row r="35" spans="2:11" x14ac:dyDescent="0.3">
      <c r="B35" s="9"/>
      <c r="C35" s="9"/>
      <c r="D35" s="10"/>
      <c r="E35" s="10"/>
      <c r="F35" s="16" t="str">
        <f>IFERROR(IF(Table3[[#This Row],[Reporting Year Pounds]]/Table3[[#Totals],[Reporting Year Pounds]]&gt;0,Table3[[#This Row],[Reporting Year Pounds]]/Table3[[#Totals],[Reporting Year Pounds]]," ")," ")</f>
        <v xml:space="preserve"> </v>
      </c>
      <c r="G35" s="9"/>
      <c r="H35" s="16" t="str">
        <f>IFERROR(IF(Table3[[#This Row],[Previous Year Pounds]]/Table3[[#Totals],[Previous Year Pounds]]&gt;0,Table3[[#This Row],[Previous Year Pounds]]/Table3[[#Totals],[Previous Year Pounds]]," ")," ")</f>
        <v xml:space="preserve"> </v>
      </c>
      <c r="I35" s="40"/>
      <c r="J35" s="14">
        <f>IF(OR(Table3[[#This Row],[Reporting Year Pounds]]&gt;10000, AND(Table3[[#This Row],[Reporting Year Pounds]]&lt;=10000,Table3[[#This Row],[Reporting Year Pounds]]&gt;1000,Table3[[#This Row],[Reporting Year Percent]]&gt;0.1)),1,0)</f>
        <v>0</v>
      </c>
      <c r="K35" s="14"/>
    </row>
    <row r="36" spans="2:11" x14ac:dyDescent="0.3">
      <c r="B36" s="9"/>
      <c r="C36" s="9"/>
      <c r="D36" s="10"/>
      <c r="E36" s="10"/>
      <c r="F36" s="16" t="str">
        <f>IFERROR(IF(Table3[[#This Row],[Reporting Year Pounds]]/Table3[[#Totals],[Reporting Year Pounds]]&gt;0,Table3[[#This Row],[Reporting Year Pounds]]/Table3[[#Totals],[Reporting Year Pounds]]," ")," ")</f>
        <v xml:space="preserve"> </v>
      </c>
      <c r="G36" s="9"/>
      <c r="H36" s="16" t="str">
        <f>IFERROR(IF(Table3[[#This Row],[Previous Year Pounds]]/Table3[[#Totals],[Previous Year Pounds]]&gt;0,Table3[[#This Row],[Previous Year Pounds]]/Table3[[#Totals],[Previous Year Pounds]]," ")," ")</f>
        <v xml:space="preserve"> </v>
      </c>
      <c r="I36" s="40"/>
      <c r="J36" s="14">
        <f>IF(OR(Table3[[#This Row],[Reporting Year Pounds]]&gt;10000, AND(Table3[[#This Row],[Reporting Year Pounds]]&lt;=10000,Table3[[#This Row],[Reporting Year Pounds]]&gt;1000,Table3[[#This Row],[Reporting Year Percent]]&gt;0.1)),1,0)</f>
        <v>0</v>
      </c>
      <c r="K36" s="14"/>
    </row>
    <row r="37" spans="2:11" x14ac:dyDescent="0.3">
      <c r="B37" s="9"/>
      <c r="C37" s="9"/>
      <c r="D37" s="10"/>
      <c r="E37" s="10"/>
      <c r="F37" s="16" t="str">
        <f>IFERROR(IF(Table3[[#This Row],[Reporting Year Pounds]]/Table3[[#Totals],[Reporting Year Pounds]]&gt;0,Table3[[#This Row],[Reporting Year Pounds]]/Table3[[#Totals],[Reporting Year Pounds]]," ")," ")</f>
        <v xml:space="preserve"> </v>
      </c>
      <c r="G37" s="9"/>
      <c r="H37" s="16" t="str">
        <f>IFERROR(IF(Table3[[#This Row],[Previous Year Pounds]]/Table3[[#Totals],[Previous Year Pounds]]&gt;0,Table3[[#This Row],[Previous Year Pounds]]/Table3[[#Totals],[Previous Year Pounds]]," ")," ")</f>
        <v xml:space="preserve"> </v>
      </c>
      <c r="I37" s="40"/>
      <c r="J37" s="14">
        <f>IF(OR(Table3[[#This Row],[Reporting Year Pounds]]&gt;10000, AND(Table3[[#This Row],[Reporting Year Pounds]]&lt;=10000,Table3[[#This Row],[Reporting Year Pounds]]&gt;1000,Table3[[#This Row],[Reporting Year Percent]]&gt;0.1)),1,0)</f>
        <v>0</v>
      </c>
      <c r="K37" s="14"/>
    </row>
    <row r="38" spans="2:11" x14ac:dyDescent="0.3">
      <c r="B38" s="9"/>
      <c r="C38" s="9"/>
      <c r="D38" s="10"/>
      <c r="E38" s="10"/>
      <c r="F38" s="16" t="str">
        <f>IFERROR(IF(Table3[[#This Row],[Reporting Year Pounds]]/Table3[[#Totals],[Reporting Year Pounds]]&gt;0,Table3[[#This Row],[Reporting Year Pounds]]/Table3[[#Totals],[Reporting Year Pounds]]," ")," ")</f>
        <v xml:space="preserve"> </v>
      </c>
      <c r="G38" s="9"/>
      <c r="H38" s="16" t="str">
        <f>IFERROR(IF(Table3[[#This Row],[Previous Year Pounds]]/Table3[[#Totals],[Previous Year Pounds]]&gt;0,Table3[[#This Row],[Previous Year Pounds]]/Table3[[#Totals],[Previous Year Pounds]]," ")," ")</f>
        <v xml:space="preserve"> </v>
      </c>
      <c r="I38" s="40"/>
      <c r="J38" s="14">
        <f>IF(OR(Table3[[#This Row],[Reporting Year Pounds]]&gt;10000, AND(Table3[[#This Row],[Reporting Year Pounds]]&lt;=10000,Table3[[#This Row],[Reporting Year Pounds]]&gt;1000,Table3[[#This Row],[Reporting Year Percent]]&gt;0.1)),1,0)</f>
        <v>0</v>
      </c>
      <c r="K38" s="14"/>
    </row>
    <row r="39" spans="2:11" x14ac:dyDescent="0.3">
      <c r="B39" s="9"/>
      <c r="C39" s="9"/>
      <c r="D39" s="10"/>
      <c r="E39" s="10"/>
      <c r="F39" s="16" t="str">
        <f>IFERROR(IF(Table3[[#This Row],[Reporting Year Pounds]]/Table3[[#Totals],[Reporting Year Pounds]]&gt;0,Table3[[#This Row],[Reporting Year Pounds]]/Table3[[#Totals],[Reporting Year Pounds]]," ")," ")</f>
        <v xml:space="preserve"> </v>
      </c>
      <c r="G39" s="9"/>
      <c r="H39" s="16" t="str">
        <f>IFERROR(IF(Table3[[#This Row],[Previous Year Pounds]]/Table3[[#Totals],[Previous Year Pounds]]&gt;0,Table3[[#This Row],[Previous Year Pounds]]/Table3[[#Totals],[Previous Year Pounds]]," ")," ")</f>
        <v xml:space="preserve"> </v>
      </c>
      <c r="I39" s="40"/>
      <c r="J39" s="14">
        <f>IF(OR(Table3[[#This Row],[Reporting Year Pounds]]&gt;10000, AND(Table3[[#This Row],[Reporting Year Pounds]]&lt;=10000,Table3[[#This Row],[Reporting Year Pounds]]&gt;1000,Table3[[#This Row],[Reporting Year Percent]]&gt;0.1)),1,0)</f>
        <v>0</v>
      </c>
      <c r="K39" s="14"/>
    </row>
    <row r="40" spans="2:11" x14ac:dyDescent="0.3">
      <c r="B40" s="9"/>
      <c r="C40" s="9"/>
      <c r="D40" s="10"/>
      <c r="E40" s="10"/>
      <c r="F40" s="16" t="str">
        <f>IFERROR(IF(Table3[[#This Row],[Reporting Year Pounds]]/Table3[[#Totals],[Reporting Year Pounds]]&gt;0,Table3[[#This Row],[Reporting Year Pounds]]/Table3[[#Totals],[Reporting Year Pounds]]," ")," ")</f>
        <v xml:space="preserve"> </v>
      </c>
      <c r="G40" s="9"/>
      <c r="H40" s="16" t="str">
        <f>IFERROR(IF(Table3[[#This Row],[Previous Year Pounds]]/Table3[[#Totals],[Previous Year Pounds]]&gt;0,Table3[[#This Row],[Previous Year Pounds]]/Table3[[#Totals],[Previous Year Pounds]]," ")," ")</f>
        <v xml:space="preserve"> </v>
      </c>
      <c r="I40" s="40"/>
      <c r="J40" s="14">
        <f>IF(OR(Table3[[#This Row],[Reporting Year Pounds]]&gt;10000, AND(Table3[[#This Row],[Reporting Year Pounds]]&lt;=10000,Table3[[#This Row],[Reporting Year Pounds]]&gt;1000,Table3[[#This Row],[Reporting Year Percent]]&gt;0.1)),1,0)</f>
        <v>0</v>
      </c>
      <c r="K40" s="14"/>
    </row>
    <row r="41" spans="2:11" x14ac:dyDescent="0.3">
      <c r="B41" s="9"/>
      <c r="C41" s="9"/>
      <c r="D41" s="10"/>
      <c r="E41" s="10"/>
      <c r="F41" s="16" t="str">
        <f>IFERROR(IF(Table3[[#This Row],[Reporting Year Pounds]]/Table3[[#Totals],[Reporting Year Pounds]]&gt;0,Table3[[#This Row],[Reporting Year Pounds]]/Table3[[#Totals],[Reporting Year Pounds]]," ")," ")</f>
        <v xml:space="preserve"> </v>
      </c>
      <c r="G41" s="9"/>
      <c r="H41" s="16" t="str">
        <f>IFERROR(IF(Table3[[#This Row],[Previous Year Pounds]]/Table3[[#Totals],[Previous Year Pounds]]&gt;0,Table3[[#This Row],[Previous Year Pounds]]/Table3[[#Totals],[Previous Year Pounds]]," ")," ")</f>
        <v xml:space="preserve"> </v>
      </c>
      <c r="I41" s="40"/>
      <c r="J41" s="14">
        <f>IF(OR(Table3[[#This Row],[Reporting Year Pounds]]&gt;10000, AND(Table3[[#This Row],[Reporting Year Pounds]]&lt;=10000,Table3[[#This Row],[Reporting Year Pounds]]&gt;1000,Table3[[#This Row],[Reporting Year Percent]]&gt;0.1)),1,0)</f>
        <v>0</v>
      </c>
      <c r="K41" s="14"/>
    </row>
    <row r="42" spans="2:11" x14ac:dyDescent="0.3">
      <c r="B42" s="9"/>
      <c r="C42" s="9"/>
      <c r="D42" s="10"/>
      <c r="E42" s="9"/>
      <c r="F42" s="16" t="str">
        <f>IFERROR(IF(Table3[[#This Row],[Reporting Year Pounds]]/Table3[[#Totals],[Reporting Year Pounds]]&gt;0,Table3[[#This Row],[Reporting Year Pounds]]/Table3[[#Totals],[Reporting Year Pounds]]," ")," ")</f>
        <v xml:space="preserve"> </v>
      </c>
      <c r="G42" s="9"/>
      <c r="H42" s="16" t="str">
        <f>IFERROR(IF(Table3[[#This Row],[Previous Year Pounds]]/Table3[[#Totals],[Previous Year Pounds]]&gt;0,Table3[[#This Row],[Previous Year Pounds]]/Table3[[#Totals],[Previous Year Pounds]]," ")," ")</f>
        <v xml:space="preserve"> </v>
      </c>
      <c r="I42" s="40"/>
      <c r="J42" s="21">
        <f>IF(OR(Table3[[#This Row],[Reporting Year Pounds]]&gt;10000, AND(Table3[[#This Row],[Reporting Year Pounds]]&lt;=10000,Table3[[#This Row],[Reporting Year Pounds]]&gt;1000,Table3[[#This Row],[Reporting Year Percent]]&gt;0.1)),1,0)</f>
        <v>0</v>
      </c>
      <c r="K42" s="14"/>
    </row>
    <row r="43" spans="2:11" x14ac:dyDescent="0.3">
      <c r="B43" s="9"/>
      <c r="C43" s="9"/>
      <c r="D43" s="10"/>
      <c r="E43" s="9"/>
      <c r="F43" s="16" t="str">
        <f>IFERROR(IF(Table3[[#This Row],[Reporting Year Pounds]]/Table3[[#Totals],[Reporting Year Pounds]]&gt;0,Table3[[#This Row],[Reporting Year Pounds]]/Table3[[#Totals],[Reporting Year Pounds]]," ")," ")</f>
        <v xml:space="preserve"> </v>
      </c>
      <c r="G43" s="9"/>
      <c r="H43" s="16" t="str">
        <f>IFERROR(IF(Table3[[#This Row],[Previous Year Pounds]]/Table3[[#Totals],[Previous Year Pounds]]&gt;0,Table3[[#This Row],[Previous Year Pounds]]/Table3[[#Totals],[Previous Year Pounds]]," ")," ")</f>
        <v xml:space="preserve"> </v>
      </c>
      <c r="I43" s="40"/>
      <c r="J43" s="21">
        <f>IF(OR(Table3[[#This Row],[Reporting Year Pounds]]&gt;10000, AND(Table3[[#This Row],[Reporting Year Pounds]]&lt;=10000,Table3[[#This Row],[Reporting Year Pounds]]&gt;1000,Table3[[#This Row],[Reporting Year Percent]]&gt;0.1)),1,0)</f>
        <v>0</v>
      </c>
      <c r="K43" s="14"/>
    </row>
    <row r="44" spans="2:11" x14ac:dyDescent="0.3">
      <c r="B44" s="9"/>
      <c r="C44" s="9"/>
      <c r="D44" s="10"/>
      <c r="E44" s="10"/>
      <c r="F44" s="16" t="str">
        <f>IFERROR(IF(Table3[[#This Row],[Reporting Year Pounds]]/Table3[[#Totals],[Reporting Year Pounds]]&gt;0,Table3[[#This Row],[Reporting Year Pounds]]/Table3[[#Totals],[Reporting Year Pounds]]," ")," ")</f>
        <v xml:space="preserve"> </v>
      </c>
      <c r="G44" s="9"/>
      <c r="H44" s="16" t="str">
        <f>IFERROR(IF(Table3[[#This Row],[Previous Year Pounds]]/Table3[[#Totals],[Previous Year Pounds]]&gt;0,Table3[[#This Row],[Previous Year Pounds]]/Table3[[#Totals],[Previous Year Pounds]]," ")," ")</f>
        <v xml:space="preserve"> </v>
      </c>
      <c r="I44" s="40"/>
      <c r="J44" s="14">
        <f>IF(OR(Table3[[#This Row],[Reporting Year Pounds]]&gt;10000, AND(Table3[[#This Row],[Reporting Year Pounds]]&lt;=10000,Table3[[#This Row],[Reporting Year Pounds]]&gt;1000,Table3[[#This Row],[Reporting Year Percent]]&gt;0.1)),1,0)</f>
        <v>0</v>
      </c>
      <c r="K44" s="14"/>
    </row>
    <row r="45" spans="2:11" x14ac:dyDescent="0.3">
      <c r="B45" s="9"/>
      <c r="C45" s="9"/>
      <c r="D45" s="10"/>
      <c r="E45" s="9"/>
      <c r="F45" s="16" t="str">
        <f>IFERROR(IF(Table3[[#This Row],[Reporting Year Pounds]]/Table3[[#Totals],[Reporting Year Pounds]]&gt;0,Table3[[#This Row],[Reporting Year Pounds]]/Table3[[#Totals],[Reporting Year Pounds]]," ")," ")</f>
        <v xml:space="preserve"> </v>
      </c>
      <c r="G45" s="9"/>
      <c r="H45" s="16" t="str">
        <f>IFERROR(IF(Table3[[#This Row],[Previous Year Pounds]]/Table3[[#Totals],[Previous Year Pounds]]&gt;0,Table3[[#This Row],[Previous Year Pounds]]/Table3[[#Totals],[Previous Year Pounds]]," ")," ")</f>
        <v xml:space="preserve"> </v>
      </c>
      <c r="I45" s="40"/>
      <c r="J45" s="21">
        <f>IF(OR(Table3[[#This Row],[Reporting Year Pounds]]&gt;10000, AND(Table3[[#This Row],[Reporting Year Pounds]]&lt;=10000,Table3[[#This Row],[Reporting Year Pounds]]&gt;1000,Table3[[#This Row],[Reporting Year Percent]]&gt;0.1)),1,0)</f>
        <v>0</v>
      </c>
      <c r="K45" s="14"/>
    </row>
    <row r="46" spans="2:11" ht="15" thickBot="1" x14ac:dyDescent="0.35">
      <c r="B46" s="11"/>
      <c r="C46" s="11"/>
      <c r="D46" s="12"/>
      <c r="E46" s="12"/>
      <c r="F46" s="17" t="str">
        <f>IFERROR(IF(Table3[[#This Row],[Reporting Year Pounds]]/Table3[[#Totals],[Reporting Year Pounds]]&gt;0,Table3[[#This Row],[Reporting Year Pounds]]/Table3[[#Totals],[Reporting Year Pounds]]," ")," ")</f>
        <v xml:space="preserve"> </v>
      </c>
      <c r="G46" s="11"/>
      <c r="H46" s="18" t="str">
        <f>IFERROR(IF(Table3[[#This Row],[Previous Year Pounds]]/Table3[[#Totals],[Previous Year Pounds]]&gt;0,Table3[[#This Row],[Previous Year Pounds]]/Table3[[#Totals],[Previous Year Pounds]]," ")," ")</f>
        <v xml:space="preserve"> </v>
      </c>
      <c r="I46" s="40"/>
      <c r="J46" s="14">
        <f>IF(OR(Table3[[#This Row],[Reporting Year Pounds]]&gt;10000, AND(Table3[[#This Row],[Reporting Year Pounds]]&lt;=10000,Table3[[#This Row],[Reporting Year Pounds]]&gt;1000,Table3[[#This Row],[Reporting Year Percent]]&gt;0.1)),1,0)</f>
        <v>0</v>
      </c>
      <c r="K46" s="14"/>
    </row>
    <row r="47" spans="2:11" ht="15" thickBot="1" x14ac:dyDescent="0.35">
      <c r="B47" s="3"/>
      <c r="C47" s="3"/>
      <c r="D47" s="3"/>
      <c r="E47" s="6">
        <f>SUBTOTAL(109,Table3[Reporting Year Pounds])</f>
        <v>0</v>
      </c>
      <c r="F47" s="7">
        <f>SUBTOTAL(109,Table3[Reporting Year Percent])</f>
        <v>0</v>
      </c>
      <c r="G47" s="3">
        <f>SUBTOTAL(109,Table3[Previous Year Pounds])</f>
        <v>0</v>
      </c>
      <c r="H47" s="7">
        <f>SUBTOTAL(109,Table3[Previous Year Percent])</f>
        <v>0</v>
      </c>
      <c r="I47" s="29"/>
      <c r="J47" s="15">
        <f>SUBTOTAL(109,Table3[Count])</f>
        <v>0</v>
      </c>
      <c r="K47" s="15"/>
    </row>
  </sheetData>
  <sheetProtection insertRows="0" selectLockedCells="1"/>
  <mergeCells count="8">
    <mergeCell ref="E30:F30"/>
    <mergeCell ref="G30:H30"/>
    <mergeCell ref="B29:D30"/>
    <mergeCell ref="E9:F9"/>
    <mergeCell ref="G9:H9"/>
    <mergeCell ref="B8:D9"/>
    <mergeCell ref="E8:H8"/>
    <mergeCell ref="E29:H29"/>
  </mergeCells>
  <pageMargins left="0.25" right="0.25" top="0.75" bottom="0.75" header="0.3" footer="0.3"/>
  <pageSetup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'Generator Type'!$B$3:$B$8</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sheetPr>
  <dimension ref="B1:N47"/>
  <sheetViews>
    <sheetView view="pageLayout" zoomScaleNormal="85" workbookViewId="0">
      <selection activeCell="G3" sqref="G3"/>
    </sheetView>
  </sheetViews>
  <sheetFormatPr defaultColWidth="8.88671875" defaultRowHeight="14.4" x14ac:dyDescent="0.3"/>
  <cols>
    <col min="1" max="1" width="7.88671875" style="1" customWidth="1"/>
    <col min="2" max="2" width="23.44140625" style="1" customWidth="1"/>
    <col min="3" max="3" width="30" style="1" customWidth="1"/>
    <col min="4" max="4" width="27.44140625" style="1" customWidth="1"/>
    <col min="5" max="5" width="10.6640625" style="1" customWidth="1"/>
    <col min="6" max="6" width="10.33203125" style="1" customWidth="1"/>
    <col min="7" max="7" width="12.109375" style="1" customWidth="1"/>
    <col min="8" max="8" width="11.88671875" style="1" customWidth="1"/>
    <col min="9" max="9" width="45.6640625" style="1" customWidth="1"/>
    <col min="10" max="14" width="31.44140625" style="1" hidden="1" customWidth="1"/>
    <col min="15" max="15" width="14.33203125" style="1" customWidth="1"/>
    <col min="16" max="16384" width="8.88671875" style="1"/>
  </cols>
  <sheetData>
    <row r="1" spans="2:14" ht="16.95" customHeight="1" x14ac:dyDescent="0.3">
      <c r="B1" s="39" t="s">
        <v>62</v>
      </c>
    </row>
    <row r="2" spans="2:14" ht="31.95" customHeight="1" thickBot="1" x14ac:dyDescent="0.45">
      <c r="B2" s="31" t="s">
        <v>85</v>
      </c>
      <c r="C2" s="31"/>
    </row>
    <row r="3" spans="2:14" ht="30" customHeight="1" thickBot="1" x14ac:dyDescent="0.35">
      <c r="B3" s="8" t="s">
        <v>29</v>
      </c>
      <c r="C3" s="28" t="s">
        <v>10</v>
      </c>
      <c r="K3"/>
      <c r="L3"/>
    </row>
    <row r="4" spans="2:14" ht="15" thickBot="1" x14ac:dyDescent="0.35">
      <c r="B4" s="2" t="s">
        <v>12</v>
      </c>
      <c r="C4" s="13">
        <f>IF(C3="Class A Generator", 2000, IF(C3="Class A Generator and Large User",4000,IF(C3="Class B Generator",400,IF(C3="Class B Generator and Large User",1200,IF(C3="Large User",2000,0)))))</f>
        <v>0</v>
      </c>
      <c r="K4"/>
      <c r="L4"/>
    </row>
    <row r="5" spans="2:14" ht="15" thickBot="1" x14ac:dyDescent="0.35">
      <c r="B5" s="2" t="s">
        <v>15</v>
      </c>
      <c r="C5" s="13">
        <f>IF((Table25[[#Totals],[Modified Count]]+Table36[[#Totals],[Count]])*400&lt;C4,(Table25[[#Totals],[Modified Count]]+Table36[[#Totals],[Count]])*400,C4)</f>
        <v>0</v>
      </c>
      <c r="E5"/>
    </row>
    <row r="6" spans="2:14" ht="19.95" customHeight="1" x14ac:dyDescent="0.3">
      <c r="C6" s="43" t="s">
        <v>65</v>
      </c>
      <c r="D6" s="41"/>
      <c r="K6"/>
      <c r="L6"/>
    </row>
    <row r="7" spans="2:14" ht="21.6" thickBot="1" x14ac:dyDescent="0.45">
      <c r="B7" s="22" t="s">
        <v>28</v>
      </c>
      <c r="C7" s="30" t="s">
        <v>32</v>
      </c>
      <c r="K7"/>
      <c r="L7"/>
    </row>
    <row r="8" spans="2:14" ht="15" thickBot="1" x14ac:dyDescent="0.35">
      <c r="B8" s="81" t="s">
        <v>0</v>
      </c>
      <c r="C8" s="82"/>
      <c r="D8" s="83"/>
      <c r="E8" s="89" t="s">
        <v>11</v>
      </c>
      <c r="F8" s="90"/>
      <c r="G8" s="90"/>
      <c r="H8" s="91"/>
      <c r="I8"/>
      <c r="K8"/>
      <c r="L8"/>
    </row>
    <row r="9" spans="2:14" ht="15" thickBot="1" x14ac:dyDescent="0.35">
      <c r="B9" s="84"/>
      <c r="C9" s="85"/>
      <c r="D9" s="86"/>
      <c r="E9" s="87" t="s">
        <v>75</v>
      </c>
      <c r="F9" s="88"/>
      <c r="G9" s="79" t="s">
        <v>76</v>
      </c>
      <c r="H9" s="80"/>
      <c r="I9"/>
      <c r="K9"/>
      <c r="L9"/>
    </row>
    <row r="10" spans="2:14" ht="45.6" customHeight="1" x14ac:dyDescent="0.3">
      <c r="B10" s="19" t="s">
        <v>1</v>
      </c>
      <c r="C10" s="19" t="s">
        <v>2</v>
      </c>
      <c r="D10" s="19" t="s">
        <v>3</v>
      </c>
      <c r="E10" s="5" t="s">
        <v>19</v>
      </c>
      <c r="F10" s="4" t="s">
        <v>20</v>
      </c>
      <c r="G10" s="4" t="s">
        <v>21</v>
      </c>
      <c r="H10" s="4" t="s">
        <v>22</v>
      </c>
      <c r="I10" s="4" t="s">
        <v>27</v>
      </c>
      <c r="J10" s="20" t="s">
        <v>14</v>
      </c>
      <c r="K10" s="20" t="s">
        <v>13</v>
      </c>
      <c r="L10" s="20" t="s">
        <v>17</v>
      </c>
      <c r="M10" s="20" t="s">
        <v>16</v>
      </c>
      <c r="N10" s="20" t="s">
        <v>18</v>
      </c>
    </row>
    <row r="11" spans="2:14" ht="18" customHeight="1" x14ac:dyDescent="0.3">
      <c r="B11" s="9" t="s">
        <v>34</v>
      </c>
      <c r="C11" s="9" t="s">
        <v>35</v>
      </c>
      <c r="D11" s="9" t="s">
        <v>39</v>
      </c>
      <c r="E11" s="32">
        <v>4500</v>
      </c>
      <c r="F11" s="16">
        <f>IFERROR(IF(Table25[[#This Row],[Current Pounds]]/Table25[[#Totals],[Current Pounds]]&gt;0,Table25[[#This Row],[Current Pounds]]/Table25[[#Totals],[Current Pounds]]," ")," ")</f>
        <v>6.8754774637127578E-2</v>
      </c>
      <c r="G11" s="33">
        <v>6500</v>
      </c>
      <c r="H11" s="16">
        <f>IFERROR(IF(Table25[[#This Row],[Previous Pounds]]/Table25[[#Totals],[Previous Pounds]]&gt;0,Table25[[#This Row],[Previous Pounds]]/Table25[[#Totals],[Previous Pounds]]," ")," ")</f>
        <v>7.8077140214531951E-2</v>
      </c>
      <c r="I11" s="40"/>
      <c r="J11" s="14">
        <f>IF(Table25[[#This Row],[EPA or VT Waste Code]]="Varied",0,IF(OR(Table25[[#This Row],[Current Percent]]=" ",Table25[[#This Row],[Current Percent]]&lt;=0.05)," ",1))</f>
        <v>1</v>
      </c>
      <c r="K11" s="14">
        <f>COUNTIF(Table25[EPA or VT Waste Code],Table25[[#This Row],[EPA or VT Waste Code]])</f>
        <v>2</v>
      </c>
      <c r="L11" s="14" t="str">
        <f>CONCATENATE(Table25[[#This Row],[EPA or VT Waste Code]],Table25[[#This Row],[&gt;5%]],Table25[[#This Row],[Duplicates]])</f>
        <v>VT0212</v>
      </c>
      <c r="M11" s="14">
        <f>COUNTIF(Table25[Concatenate],Table25[[#This Row],[Concatenate]])</f>
        <v>1</v>
      </c>
      <c r="N11" s="14">
        <f>IF(AND(Table25[[#This Row],[&gt;5%]]=1,Table25[[#This Row],[Duplicates]]=1),1,(IF(AND(Table25[[#This Row],[&gt;5%]]=1,Table25[[#This Row],[Duplicates]]&gt;1),1/Table25[[#This Row],[Count]],0)))</f>
        <v>1</v>
      </c>
    </row>
    <row r="12" spans="2:14" x14ac:dyDescent="0.3">
      <c r="B12" s="9" t="s">
        <v>40</v>
      </c>
      <c r="C12" s="9" t="s">
        <v>41</v>
      </c>
      <c r="D12" s="9" t="s">
        <v>50</v>
      </c>
      <c r="E12" s="32">
        <v>45000</v>
      </c>
      <c r="F12" s="16">
        <f>IFERROR(IF(Table25[[#This Row],[Current Pounds]]/Table25[[#Totals],[Current Pounds]]&gt;0,Table25[[#This Row],[Current Pounds]]/Table25[[#Totals],[Current Pounds]]," ")," ")</f>
        <v>0.6875477463712758</v>
      </c>
      <c r="G12" s="33">
        <v>56000</v>
      </c>
      <c r="H12" s="16">
        <f>IFERROR(IF(Table25[[#This Row],[Previous Pounds]]/Table25[[#Totals],[Previous Pounds]]&gt;0,Table25[[#This Row],[Previous Pounds]]/Table25[[#Totals],[Previous Pounds]]," ")," ")</f>
        <v>0.67266459261750611</v>
      </c>
      <c r="I12" s="40"/>
      <c r="J12" s="14">
        <f>IF(Table25[[#This Row],[EPA or VT Waste Code]]="Varied",0,IF(OR(Table25[[#This Row],[Current Percent]]=" ",Table25[[#This Row],[Current Percent]]&lt;=0.05)," ",1))</f>
        <v>1</v>
      </c>
      <c r="K12" s="14">
        <f>COUNTIF(Table25[EPA or VT Waste Code],Table25[[#This Row],[EPA or VT Waste Code]])</f>
        <v>1</v>
      </c>
      <c r="L12" s="14" t="str">
        <f>CONCATENATE(Table25[[#This Row],[EPA or VT Waste Code]],Table25[[#This Row],[&gt;5%]],Table25[[#This Row],[Duplicates]])</f>
        <v>D007,D00211</v>
      </c>
      <c r="M12" s="14">
        <f>COUNTIF(Table25[Concatenate],Table25[[#This Row],[Concatenate]])</f>
        <v>1</v>
      </c>
      <c r="N12" s="14">
        <f>IF(AND(Table25[[#This Row],[&gt;5%]]=1,Table25[[#This Row],[Duplicates]]=1),1,(IF(AND(Table25[[#This Row],[&gt;5%]]=1,Table25[[#This Row],[Duplicates]]&gt;1),1/Table25[[#This Row],[Count]],0)))</f>
        <v>1</v>
      </c>
    </row>
    <row r="13" spans="2:14" x14ac:dyDescent="0.3">
      <c r="B13" s="9" t="s">
        <v>34</v>
      </c>
      <c r="C13" s="9" t="s">
        <v>48</v>
      </c>
      <c r="D13" s="9" t="s">
        <v>36</v>
      </c>
      <c r="E13" s="32">
        <v>600</v>
      </c>
      <c r="F13" s="16">
        <f>IFERROR(IF(Table25[[#This Row],[Current Pounds]]/Table25[[#Totals],[Current Pounds]]&gt;0,Table25[[#This Row],[Current Pounds]]/Table25[[#Totals],[Current Pounds]]," ")," ")</f>
        <v>9.1673032849503445E-3</v>
      </c>
      <c r="G13" s="33">
        <v>1351</v>
      </c>
      <c r="H13" s="16">
        <f>IFERROR(IF(Table25[[#This Row],[Previous Pounds]]/Table25[[#Totals],[Previous Pounds]]&gt;0,Table25[[#This Row],[Previous Pounds]]/Table25[[#Totals],[Previous Pounds]]," ")," ")</f>
        <v>1.6228033296897336E-2</v>
      </c>
      <c r="I13" s="40"/>
      <c r="J13" s="14" t="str">
        <f>IF(Table25[[#This Row],[EPA or VT Waste Code]]="Varied",0,IF(OR(Table25[[#This Row],[Current Percent]]=" ",Table25[[#This Row],[Current Percent]]&lt;=0.05)," ",1))</f>
        <v xml:space="preserve"> </v>
      </c>
      <c r="K13" s="14">
        <f>COUNTIF(Table25[EPA or VT Waste Code],Table25[[#This Row],[EPA or VT Waste Code]])</f>
        <v>2</v>
      </c>
      <c r="L13" s="14" t="str">
        <f>CONCATENATE(Table25[[#This Row],[EPA or VT Waste Code]],Table25[[#This Row],[&gt;5%]],Table25[[#This Row],[Duplicates]])</f>
        <v>VT02 2</v>
      </c>
      <c r="M13" s="14">
        <f>COUNTIF(Table25[Concatenate],Table25[[#This Row],[Concatenate]])</f>
        <v>1</v>
      </c>
      <c r="N13" s="14">
        <f>IF(AND(Table25[[#This Row],[&gt;5%]]=1,Table25[[#This Row],[Duplicates]]=1),1,(IF(AND(Table25[[#This Row],[&gt;5%]]=1,Table25[[#This Row],[Duplicates]]&gt;1),1/Table25[[#This Row],[Count]],0)))</f>
        <v>0</v>
      </c>
    </row>
    <row r="14" spans="2:14" x14ac:dyDescent="0.3">
      <c r="B14" s="9" t="s">
        <v>37</v>
      </c>
      <c r="C14" s="9" t="s">
        <v>38</v>
      </c>
      <c r="D14" s="9" t="s">
        <v>49</v>
      </c>
      <c r="E14" s="32">
        <v>2300</v>
      </c>
      <c r="F14" s="16">
        <f>IFERROR(IF(Table25[[#This Row],[Current Pounds]]/Table25[[#Totals],[Current Pounds]]&gt;0,Table25[[#This Row],[Current Pounds]]/Table25[[#Totals],[Current Pounds]]," ")," ")</f>
        <v>3.5141329258976318E-2</v>
      </c>
      <c r="G14" s="33">
        <v>4000</v>
      </c>
      <c r="H14" s="16">
        <f>IFERROR(IF(Table25[[#This Row],[Previous Pounds]]/Table25[[#Totals],[Previous Pounds]]&gt;0,Table25[[#This Row],[Previous Pounds]]/Table25[[#Totals],[Previous Pounds]]," ")," ")</f>
        <v>4.8047470901250437E-2</v>
      </c>
      <c r="I14" s="40"/>
      <c r="J14" s="14" t="str">
        <f>IF(Table25[[#This Row],[EPA or VT Waste Code]]="Varied",0,IF(OR(Table25[[#This Row],[Current Percent]]=" ",Table25[[#This Row],[Current Percent]]&lt;=0.05)," ",1))</f>
        <v xml:space="preserve"> </v>
      </c>
      <c r="K14" s="14">
        <f>COUNTIF(Table25[EPA or VT Waste Code],Table25[[#This Row],[EPA or VT Waste Code]])</f>
        <v>1</v>
      </c>
      <c r="L14" s="14" t="str">
        <f>CONCATENATE(Table25[[#This Row],[EPA or VT Waste Code]],Table25[[#This Row],[&gt;5%]],Table25[[#This Row],[Duplicates]])</f>
        <v>D001,F003,F005 1</v>
      </c>
      <c r="M14" s="14">
        <f>COUNTIF(Table25[Concatenate],Table25[[#This Row],[Concatenate]])</f>
        <v>1</v>
      </c>
      <c r="N14" s="14">
        <f>IF(AND(Table25[[#This Row],[&gt;5%]]=1,Table25[[#This Row],[Duplicates]]=1),1,(IF(AND(Table25[[#This Row],[&gt;5%]]=1,Table25[[#This Row],[Duplicates]]&gt;1),1/Table25[[#This Row],[Count]],0)))</f>
        <v>0</v>
      </c>
    </row>
    <row r="15" spans="2:14" x14ac:dyDescent="0.3">
      <c r="B15" s="9" t="s">
        <v>45</v>
      </c>
      <c r="C15" s="9" t="s">
        <v>46</v>
      </c>
      <c r="D15" s="9" t="s">
        <v>47</v>
      </c>
      <c r="E15" s="32">
        <v>10000</v>
      </c>
      <c r="F15" s="16">
        <f>IFERROR(IF(Table25[[#This Row],[Current Pounds]]/Table25[[#Totals],[Current Pounds]]&gt;0,Table25[[#This Row],[Current Pounds]]/Table25[[#Totals],[Current Pounds]]," ")," ")</f>
        <v>0.15278838808250572</v>
      </c>
      <c r="G15" s="33">
        <v>12000</v>
      </c>
      <c r="H15" s="16">
        <f>IFERROR(IF(Table25[[#This Row],[Previous Pounds]]/Table25[[#Totals],[Previous Pounds]]&gt;0,Table25[[#This Row],[Previous Pounds]]/Table25[[#Totals],[Previous Pounds]]," ")," ")</f>
        <v>0.1441424127037513</v>
      </c>
      <c r="I15" s="40"/>
      <c r="J15" s="14">
        <f>IF(Table25[[#This Row],[EPA or VT Waste Code]]="Varied",0,IF(OR(Table25[[#This Row],[Current Percent]]=" ",Table25[[#This Row],[Current Percent]]&lt;=0.05)," ",1))</f>
        <v>1</v>
      </c>
      <c r="K15" s="14">
        <f>COUNTIF(Table25[EPA or VT Waste Code],Table25[[#This Row],[EPA or VT Waste Code]])</f>
        <v>1</v>
      </c>
      <c r="L15" s="14" t="str">
        <f>CONCATENATE(Table25[[#This Row],[EPA or VT Waste Code]],Table25[[#This Row],[&gt;5%]],Table25[[#This Row],[Duplicates]])</f>
        <v>F00611</v>
      </c>
      <c r="M15" s="14">
        <f>COUNTIF(Table25[Concatenate],Table25[[#This Row],[Concatenate]])</f>
        <v>1</v>
      </c>
      <c r="N15" s="14">
        <f>IF(AND(Table25[[#This Row],[&gt;5%]]=1,Table25[[#This Row],[Duplicates]]=1),1,(IF(AND(Table25[[#This Row],[&gt;5%]]=1,Table25[[#This Row],[Duplicates]]&gt;1),1/Table25[[#This Row],[Count]],0)))</f>
        <v>1</v>
      </c>
    </row>
    <row r="16" spans="2:14" x14ac:dyDescent="0.3">
      <c r="B16" s="9" t="s">
        <v>42</v>
      </c>
      <c r="C16" s="9" t="s">
        <v>43</v>
      </c>
      <c r="D16" s="9" t="s">
        <v>44</v>
      </c>
      <c r="E16" s="32">
        <v>3050</v>
      </c>
      <c r="F16" s="16">
        <f>IFERROR(IF(Table25[[#This Row],[Current Pounds]]/Table25[[#Totals],[Current Pounds]]&gt;0,Table25[[#This Row],[Current Pounds]]/Table25[[#Totals],[Current Pounds]]," ")," ")</f>
        <v>4.660045836516425E-2</v>
      </c>
      <c r="G16" s="33">
        <v>3400</v>
      </c>
      <c r="H16" s="16">
        <f>IFERROR(IF(Table25[[#This Row],[Previous Pounds]]/Table25[[#Totals],[Previous Pounds]]&gt;0,Table25[[#This Row],[Previous Pounds]]/Table25[[#Totals],[Previous Pounds]]," ")," ")</f>
        <v>4.0840350266062871E-2</v>
      </c>
      <c r="I16" s="40"/>
      <c r="J16" s="14" t="str">
        <f>IF(Table25[[#This Row],[EPA or VT Waste Code]]="Varied",0,IF(OR(Table25[[#This Row],[Current Percent]]=" ",Table25[[#This Row],[Current Percent]]&lt;=0.05)," ",1))</f>
        <v xml:space="preserve"> </v>
      </c>
      <c r="K16" s="14">
        <f>COUNTIF(Table25[EPA or VT Waste Code],Table25[[#This Row],[EPA or VT Waste Code]])</f>
        <v>1</v>
      </c>
      <c r="L16" s="14" t="str">
        <f>CONCATENATE(Table25[[#This Row],[EPA or VT Waste Code]],Table25[[#This Row],[&gt;5%]],Table25[[#This Row],[Duplicates]])</f>
        <v>D002 1</v>
      </c>
      <c r="M16" s="14">
        <f>COUNTIF(Table25[Concatenate],Table25[[#This Row],[Concatenate]])</f>
        <v>1</v>
      </c>
      <c r="N16" s="14">
        <f>IF(AND(Table25[[#This Row],[&gt;5%]]=1,Table25[[#This Row],[Duplicates]]=1),1,(IF(AND(Table25[[#This Row],[&gt;5%]]=1,Table25[[#This Row],[Duplicates]]&gt;1),1/Table25[[#This Row],[Count]],0)))</f>
        <v>0</v>
      </c>
    </row>
    <row r="17" spans="2:14" x14ac:dyDescent="0.3">
      <c r="B17" s="9"/>
      <c r="C17" s="9"/>
      <c r="D17" s="9"/>
      <c r="E17" s="32"/>
      <c r="F17" s="16" t="str">
        <f>IFERROR(IF(Table25[[#This Row],[Current Pounds]]/Table25[[#Totals],[Current Pounds]]&gt;0,Table25[[#This Row],[Current Pounds]]/Table25[[#Totals],[Current Pounds]]," ")," ")</f>
        <v xml:space="preserve"> </v>
      </c>
      <c r="G17" s="33"/>
      <c r="H17" s="16" t="str">
        <f>IFERROR(IF(Table25[[#This Row],[Previous Pounds]]/Table25[[#Totals],[Previous Pounds]]&gt;0,Table25[[#This Row],[Previous Pounds]]/Table25[[#Totals],[Previous Pounds]]," ")," ")</f>
        <v xml:space="preserve"> </v>
      </c>
      <c r="I17" s="40"/>
      <c r="J17" s="14" t="str">
        <f>IF(Table25[[#This Row],[EPA or VT Waste Code]]="Varied",0,IF(OR(Table25[[#This Row],[Current Percent]]=" ",Table25[[#This Row],[Current Percent]]&lt;=0.05)," ",1))</f>
        <v xml:space="preserve"> </v>
      </c>
      <c r="K17" s="14">
        <f>COUNTIF(Table25[EPA or VT Waste Code],Table25[[#This Row],[EPA or VT Waste Code]])</f>
        <v>0</v>
      </c>
      <c r="L17" s="14" t="str">
        <f>CONCATENATE(Table25[[#This Row],[EPA or VT Waste Code]],Table25[[#This Row],[&gt;5%]],Table25[[#This Row],[Duplicates]])</f>
        <v xml:space="preserve"> 0</v>
      </c>
      <c r="M17" s="14">
        <f>COUNTIF(Table25[Concatenate],Table25[[#This Row],[Concatenate]])</f>
        <v>9</v>
      </c>
      <c r="N17" s="14">
        <f>IF(AND(Table25[[#This Row],[&gt;5%]]=1,Table25[[#This Row],[Duplicates]]=1),1,(IF(AND(Table25[[#This Row],[&gt;5%]]=1,Table25[[#This Row],[Duplicates]]&gt;1),1/Table25[[#This Row],[Count]],0)))</f>
        <v>0</v>
      </c>
    </row>
    <row r="18" spans="2:14" x14ac:dyDescent="0.3">
      <c r="B18" s="9"/>
      <c r="C18" s="9"/>
      <c r="D18" s="9"/>
      <c r="E18" s="32"/>
      <c r="F18" s="16" t="str">
        <f>IFERROR(IF(Table25[[#This Row],[Current Pounds]]/Table25[[#Totals],[Current Pounds]]&gt;0,Table25[[#This Row],[Current Pounds]]/Table25[[#Totals],[Current Pounds]]," ")," ")</f>
        <v xml:space="preserve"> </v>
      </c>
      <c r="G18" s="33"/>
      <c r="H18" s="16" t="str">
        <f>IFERROR(IF(Table25[[#This Row],[Previous Pounds]]/Table25[[#Totals],[Previous Pounds]]&gt;0,Table25[[#This Row],[Previous Pounds]]/Table25[[#Totals],[Previous Pounds]]," ")," ")</f>
        <v xml:space="preserve"> </v>
      </c>
      <c r="I18" s="40"/>
      <c r="J18" s="14" t="str">
        <f>IF(Table25[[#This Row],[EPA or VT Waste Code]]="Varied",0,IF(OR(Table25[[#This Row],[Current Percent]]=" ",Table25[[#This Row],[Current Percent]]&lt;=0.05)," ",1))</f>
        <v xml:space="preserve"> </v>
      </c>
      <c r="K18" s="14">
        <f>COUNTIF(Table25[EPA or VT Waste Code],Table25[[#This Row],[EPA or VT Waste Code]])</f>
        <v>0</v>
      </c>
      <c r="L18" s="14" t="str">
        <f>CONCATENATE(Table25[[#This Row],[EPA or VT Waste Code]],Table25[[#This Row],[&gt;5%]],Table25[[#This Row],[Duplicates]])</f>
        <v xml:space="preserve"> 0</v>
      </c>
      <c r="M18" s="14">
        <f>COUNTIF(Table25[Concatenate],Table25[[#This Row],[Concatenate]])</f>
        <v>9</v>
      </c>
      <c r="N18" s="14">
        <f>IF(AND(Table25[[#This Row],[&gt;5%]]=1,Table25[[#This Row],[Duplicates]]=1),1,(IF(AND(Table25[[#This Row],[&gt;5%]]=1,Table25[[#This Row],[Duplicates]]&gt;1),1/Table25[[#This Row],[Count]],0)))</f>
        <v>0</v>
      </c>
    </row>
    <row r="19" spans="2:14" x14ac:dyDescent="0.3">
      <c r="B19" s="9"/>
      <c r="C19" s="9"/>
      <c r="D19" s="9"/>
      <c r="E19" s="32"/>
      <c r="F19" s="16" t="str">
        <f>IFERROR(IF(Table25[[#This Row],[Current Pounds]]/Table25[[#Totals],[Current Pounds]]&gt;0,Table25[[#This Row],[Current Pounds]]/Table25[[#Totals],[Current Pounds]]," ")," ")</f>
        <v xml:space="preserve"> </v>
      </c>
      <c r="G19" s="33"/>
      <c r="H19" s="16" t="str">
        <f>IFERROR(IF(Table25[[#This Row],[Previous Pounds]]/Table25[[#Totals],[Previous Pounds]]&gt;0,Table25[[#This Row],[Previous Pounds]]/Table25[[#Totals],[Previous Pounds]]," ")," ")</f>
        <v xml:space="preserve"> </v>
      </c>
      <c r="I19" s="40"/>
      <c r="J19" s="14" t="str">
        <f>IF(Table25[[#This Row],[EPA or VT Waste Code]]="Varied",0,IF(OR(Table25[[#This Row],[Current Percent]]=" ",Table25[[#This Row],[Current Percent]]&lt;=0.05)," ",1))</f>
        <v xml:space="preserve"> </v>
      </c>
      <c r="K19" s="14">
        <f>COUNTIF(Table25[EPA or VT Waste Code],Table25[[#This Row],[EPA or VT Waste Code]])</f>
        <v>0</v>
      </c>
      <c r="L19" s="14" t="str">
        <f>CONCATENATE(Table25[[#This Row],[EPA or VT Waste Code]],Table25[[#This Row],[&gt;5%]],Table25[[#This Row],[Duplicates]])</f>
        <v xml:space="preserve"> 0</v>
      </c>
      <c r="M19" s="14">
        <f>COUNTIF(Table25[Concatenate],Table25[[#This Row],[Concatenate]])</f>
        <v>9</v>
      </c>
      <c r="N19" s="14">
        <f>IF(AND(Table25[[#This Row],[&gt;5%]]=1,Table25[[#This Row],[Duplicates]]=1),1,(IF(AND(Table25[[#This Row],[&gt;5%]]=1,Table25[[#This Row],[Duplicates]]&gt;1),1/Table25[[#This Row],[Count]],0)))</f>
        <v>0</v>
      </c>
    </row>
    <row r="20" spans="2:14" x14ac:dyDescent="0.3">
      <c r="B20" s="9"/>
      <c r="C20" s="9"/>
      <c r="D20" s="9"/>
      <c r="E20" s="32"/>
      <c r="F20" s="16" t="str">
        <f>IFERROR(IF(Table25[[#This Row],[Current Pounds]]/Table25[[#Totals],[Current Pounds]]&gt;0,Table25[[#This Row],[Current Pounds]]/Table25[[#Totals],[Current Pounds]]," ")," ")</f>
        <v xml:space="preserve"> </v>
      </c>
      <c r="G20" s="33"/>
      <c r="H20" s="16" t="str">
        <f>IFERROR(IF(Table25[[#This Row],[Previous Pounds]]/Table25[[#Totals],[Previous Pounds]]&gt;0,Table25[[#This Row],[Previous Pounds]]/Table25[[#Totals],[Previous Pounds]]," ")," ")</f>
        <v xml:space="preserve"> </v>
      </c>
      <c r="I20" s="40"/>
      <c r="J20" s="14" t="str">
        <f>IF(Table25[[#This Row],[EPA or VT Waste Code]]="Varied",0,IF(OR(Table25[[#This Row],[Current Percent]]=" ",Table25[[#This Row],[Current Percent]]&lt;=0.05)," ",1))</f>
        <v xml:space="preserve"> </v>
      </c>
      <c r="K20" s="14">
        <f>COUNTIF(Table25[EPA or VT Waste Code],Table25[[#This Row],[EPA or VT Waste Code]])</f>
        <v>0</v>
      </c>
      <c r="L20" s="14" t="str">
        <f>CONCATENATE(Table25[[#This Row],[EPA or VT Waste Code]],Table25[[#This Row],[&gt;5%]],Table25[[#This Row],[Duplicates]])</f>
        <v xml:space="preserve"> 0</v>
      </c>
      <c r="M20" s="14">
        <f>COUNTIF(Table25[Concatenate],Table25[[#This Row],[Concatenate]])</f>
        <v>9</v>
      </c>
      <c r="N20" s="14">
        <f>IF(AND(Table25[[#This Row],[&gt;5%]]=1,Table25[[#This Row],[Duplicates]]=1),1,(IF(AND(Table25[[#This Row],[&gt;5%]]=1,Table25[[#This Row],[Duplicates]]&gt;1),1/Table25[[#This Row],[Count]],0)))</f>
        <v>0</v>
      </c>
    </row>
    <row r="21" spans="2:14" x14ac:dyDescent="0.3">
      <c r="B21" s="9"/>
      <c r="C21" s="9"/>
      <c r="D21" s="9"/>
      <c r="E21" s="32"/>
      <c r="F21" s="16" t="str">
        <f>IFERROR(IF(Table25[[#This Row],[Current Pounds]]/Table25[[#Totals],[Current Pounds]]&gt;0,Table25[[#This Row],[Current Pounds]]/Table25[[#Totals],[Current Pounds]]," ")," ")</f>
        <v xml:space="preserve"> </v>
      </c>
      <c r="G21" s="33"/>
      <c r="H21" s="16" t="str">
        <f>IFERROR(IF(Table25[[#This Row],[Previous Pounds]]/Table25[[#Totals],[Previous Pounds]]&gt;0,Table25[[#This Row],[Previous Pounds]]/Table25[[#Totals],[Previous Pounds]]," ")," ")</f>
        <v xml:space="preserve"> </v>
      </c>
      <c r="I21" s="40"/>
      <c r="J21" s="14" t="str">
        <f>IF(Table25[[#This Row],[EPA or VT Waste Code]]="Varied",0,IF(OR(Table25[[#This Row],[Current Percent]]=" ",Table25[[#This Row],[Current Percent]]&lt;=0.05)," ",1))</f>
        <v xml:space="preserve"> </v>
      </c>
      <c r="K21" s="14">
        <f>COUNTIF(Table25[EPA or VT Waste Code],Table25[[#This Row],[EPA or VT Waste Code]])</f>
        <v>0</v>
      </c>
      <c r="L21" s="14" t="str">
        <f>CONCATENATE(Table25[[#This Row],[EPA or VT Waste Code]],Table25[[#This Row],[&gt;5%]],Table25[[#This Row],[Duplicates]])</f>
        <v xml:space="preserve"> 0</v>
      </c>
      <c r="M21" s="14">
        <f>COUNTIF(Table25[Concatenate],Table25[[#This Row],[Concatenate]])</f>
        <v>9</v>
      </c>
      <c r="N21" s="14">
        <f>IF(AND(Table25[[#This Row],[&gt;5%]]=1,Table25[[#This Row],[Duplicates]]=1),1,(IF(AND(Table25[[#This Row],[&gt;5%]]=1,Table25[[#This Row],[Duplicates]]&gt;1),1/Table25[[#This Row],[Count]],0)))</f>
        <v>0</v>
      </c>
    </row>
    <row r="22" spans="2:14" x14ac:dyDescent="0.3">
      <c r="B22" s="9"/>
      <c r="C22" s="9"/>
      <c r="D22" s="9"/>
      <c r="E22" s="33"/>
      <c r="F22" s="16" t="str">
        <f>IFERROR(IF(Table25[[#This Row],[Current Pounds]]/Table25[[#Totals],[Current Pounds]]&gt;0,Table25[[#This Row],[Current Pounds]]/Table25[[#Totals],[Current Pounds]]," ")," ")</f>
        <v xml:space="preserve"> </v>
      </c>
      <c r="G22" s="33"/>
      <c r="H22" s="16" t="str">
        <f>IFERROR(IF(Table25[[#This Row],[Previous Pounds]]/Table25[[#Totals],[Previous Pounds]]&gt;0,Table25[[#This Row],[Previous Pounds]]/Table25[[#Totals],[Previous Pounds]]," ")," ")</f>
        <v xml:space="preserve"> </v>
      </c>
      <c r="I22" s="40"/>
      <c r="J22" s="14" t="str">
        <f>IF(Table25[[#This Row],[EPA or VT Waste Code]]="Varied",0,IF(OR(Table25[[#This Row],[Current Percent]]=" ",Table25[[#This Row],[Current Percent]]&lt;=0.05)," ",1))</f>
        <v xml:space="preserve"> </v>
      </c>
      <c r="K22" s="14">
        <f>COUNTIF(Table25[EPA or VT Waste Code],Table25[[#This Row],[EPA or VT Waste Code]])</f>
        <v>0</v>
      </c>
      <c r="L22" s="14" t="str">
        <f>CONCATENATE(Table25[[#This Row],[EPA or VT Waste Code]],Table25[[#This Row],[&gt;5%]],Table25[[#This Row],[Duplicates]])</f>
        <v xml:space="preserve"> 0</v>
      </c>
      <c r="M22" s="14">
        <f>COUNTIF(Table25[Concatenate],Table25[[#This Row],[Concatenate]])</f>
        <v>9</v>
      </c>
      <c r="N22" s="14">
        <f>IF(AND(Table25[[#This Row],[&gt;5%]]=1,Table25[[#This Row],[Duplicates]]=1),1,(IF(AND(Table25[[#This Row],[&gt;5%]]=1,Table25[[#This Row],[Duplicates]]&gt;1),1/Table25[[#This Row],[Count]],0)))</f>
        <v>0</v>
      </c>
    </row>
    <row r="23" spans="2:14" x14ac:dyDescent="0.3">
      <c r="B23" s="9"/>
      <c r="C23" s="9"/>
      <c r="D23" s="9"/>
      <c r="E23" s="33"/>
      <c r="F23" s="16" t="str">
        <f>IFERROR(IF(Table25[[#This Row],[Current Pounds]]/Table25[[#Totals],[Current Pounds]]&gt;0,Table25[[#This Row],[Current Pounds]]/Table25[[#Totals],[Current Pounds]]," ")," ")</f>
        <v xml:space="preserve"> </v>
      </c>
      <c r="G23" s="33"/>
      <c r="H23" s="16" t="str">
        <f>IFERROR(IF(Table25[[#This Row],[Previous Pounds]]/Table25[[#Totals],[Previous Pounds]]&gt;0,Table25[[#This Row],[Previous Pounds]]/Table25[[#Totals],[Previous Pounds]]," ")," ")</f>
        <v xml:space="preserve"> </v>
      </c>
      <c r="I23" s="40"/>
      <c r="J23" s="14" t="str">
        <f>IF(Table25[[#This Row],[EPA or VT Waste Code]]="Varied",0,IF(OR(Table25[[#This Row],[Current Percent]]=" ",Table25[[#This Row],[Current Percent]]&lt;=0.05)," ",1))</f>
        <v xml:space="preserve"> </v>
      </c>
      <c r="K23" s="14">
        <f>COUNTIF(Table25[EPA or VT Waste Code],Table25[[#This Row],[EPA or VT Waste Code]])</f>
        <v>0</v>
      </c>
      <c r="L23" s="14" t="str">
        <f>CONCATENATE(Table25[[#This Row],[EPA or VT Waste Code]],Table25[[#This Row],[&gt;5%]],Table25[[#This Row],[Duplicates]])</f>
        <v xml:space="preserve"> 0</v>
      </c>
      <c r="M23" s="14">
        <f>COUNTIF(Table25[Concatenate],Table25[[#This Row],[Concatenate]])</f>
        <v>9</v>
      </c>
      <c r="N23" s="14">
        <f>IF(AND(Table25[[#This Row],[&gt;5%]]=1,Table25[[#This Row],[Duplicates]]=1),1,(IF(AND(Table25[[#This Row],[&gt;5%]]=1,Table25[[#This Row],[Duplicates]]&gt;1),1/Table25[[#This Row],[Count]],0)))</f>
        <v>0</v>
      </c>
    </row>
    <row r="24" spans="2:14" x14ac:dyDescent="0.3">
      <c r="B24" s="9"/>
      <c r="C24" s="9"/>
      <c r="D24" s="9"/>
      <c r="E24" s="33"/>
      <c r="F24" s="16" t="str">
        <f>IFERROR(IF(Table25[[#This Row],[Current Pounds]]/Table25[[#Totals],[Current Pounds]]&gt;0,Table25[[#This Row],[Current Pounds]]/Table25[[#Totals],[Current Pounds]]," ")," ")</f>
        <v xml:space="preserve"> </v>
      </c>
      <c r="G24" s="33"/>
      <c r="H24" s="16" t="str">
        <f>IFERROR(IF(Table25[[#This Row],[Previous Pounds]]/Table25[[#Totals],[Previous Pounds]]&gt;0,Table25[[#This Row],[Previous Pounds]]/Table25[[#Totals],[Previous Pounds]]," ")," ")</f>
        <v xml:space="preserve"> </v>
      </c>
      <c r="I24" s="40"/>
      <c r="J24" s="14" t="str">
        <f>IF(Table25[[#This Row],[EPA or VT Waste Code]]="Varied",0,IF(OR(Table25[[#This Row],[Current Percent]]=" ",Table25[[#This Row],[Current Percent]]&lt;=0.05)," ",1))</f>
        <v xml:space="preserve"> </v>
      </c>
      <c r="K24" s="14">
        <f>COUNTIF(Table25[EPA or VT Waste Code],Table25[[#This Row],[EPA or VT Waste Code]])</f>
        <v>0</v>
      </c>
      <c r="L24" s="14" t="str">
        <f>CONCATENATE(Table25[[#This Row],[EPA or VT Waste Code]],Table25[[#This Row],[&gt;5%]],Table25[[#This Row],[Duplicates]])</f>
        <v xml:space="preserve"> 0</v>
      </c>
      <c r="M24" s="14">
        <f>COUNTIF(Table25[Concatenate],Table25[[#This Row],[Concatenate]])</f>
        <v>9</v>
      </c>
      <c r="N24" s="14">
        <f>IF(AND(Table25[[#This Row],[&gt;5%]]=1,Table25[[#This Row],[Duplicates]]=1),1,(IF(AND(Table25[[#This Row],[&gt;5%]]=1,Table25[[#This Row],[Duplicates]]&gt;1),1/Table25[[#This Row],[Count]],0)))</f>
        <v>0</v>
      </c>
    </row>
    <row r="25" spans="2:14" ht="15" thickBot="1" x14ac:dyDescent="0.35">
      <c r="B25" s="11"/>
      <c r="C25" s="11"/>
      <c r="D25" s="11"/>
      <c r="E25" s="34"/>
      <c r="F25" s="17" t="str">
        <f>IFERROR(IF(Table25[[#This Row],[Current Pounds]]/Table25[[#Totals],[Current Pounds]]&gt;0,Table25[[#This Row],[Current Pounds]]/Table25[[#Totals],[Current Pounds]]," ")," ")</f>
        <v xml:space="preserve"> </v>
      </c>
      <c r="G25" s="35"/>
      <c r="H25" s="18" t="str">
        <f>IFERROR(IF(Table25[[#This Row],[Previous Pounds]]/Table25[[#Totals],[Previous Pounds]]&gt;0,Table25[[#This Row],[Previous Pounds]]/Table25[[#Totals],[Previous Pounds]]," ")," ")</f>
        <v xml:space="preserve"> </v>
      </c>
      <c r="I25" s="40"/>
      <c r="J25" s="14" t="str">
        <f>IF(Table25[[#This Row],[EPA or VT Waste Code]]="Varied",0,IF(OR(Table25[[#This Row],[Current Percent]]=" ",Table25[[#This Row],[Current Percent]]&lt;=0.05)," ",1))</f>
        <v xml:space="preserve"> </v>
      </c>
      <c r="K25" s="14">
        <f>COUNTIF(Table25[EPA or VT Waste Code],Table25[[#This Row],[EPA or VT Waste Code]])</f>
        <v>0</v>
      </c>
      <c r="L25" s="14" t="str">
        <f>CONCATENATE(Table25[[#This Row],[EPA or VT Waste Code]],Table25[[#This Row],[&gt;5%]],Table25[[#This Row],[Duplicates]])</f>
        <v xml:space="preserve"> 0</v>
      </c>
      <c r="M25" s="14">
        <f>COUNTIF(Table25[Concatenate],Table25[[#This Row],[Concatenate]])</f>
        <v>9</v>
      </c>
      <c r="N25" s="14">
        <f>IF(AND(Table25[[#This Row],[&gt;5%]]=1,Table25[[#This Row],[Duplicates]]=1),1,(IF(AND(Table25[[#This Row],[&gt;5%]]=1,Table25[[#This Row],[Duplicates]]&gt;1),1/Table25[[#This Row],[Count]],0)))</f>
        <v>0</v>
      </c>
    </row>
    <row r="26" spans="2:14" ht="15" thickBot="1" x14ac:dyDescent="0.35">
      <c r="B26" s="3"/>
      <c r="C26" s="3"/>
      <c r="D26" s="3"/>
      <c r="E26" s="37">
        <f>SUBTOTAL(109,Table25[Current Pounds])</f>
        <v>65450</v>
      </c>
      <c r="F26" s="7">
        <f>SUBTOTAL(109,Table25[Current Percent])</f>
        <v>0.99999999999999989</v>
      </c>
      <c r="G26" s="36">
        <f>SUBTOTAL(109,Table25[Previous Pounds])</f>
        <v>83251</v>
      </c>
      <c r="H26" s="7">
        <f>SUBTOTAL(109,Table25[Previous Percent])</f>
        <v>1</v>
      </c>
      <c r="I26" s="25"/>
      <c r="J26" s="15">
        <f>SUBTOTAL(109,Table25[&gt;5%])</f>
        <v>3</v>
      </c>
      <c r="K26" s="15">
        <f>SUBTOTAL(109,Table25[Duplicates])</f>
        <v>8</v>
      </c>
      <c r="L26" s="15"/>
      <c r="M26" s="15">
        <f>ROUNDUP(SUBTOTAL(109,Table25[Count]),0)</f>
        <v>87</v>
      </c>
      <c r="N26" s="15">
        <f>SUBTOTAL(109,Table25[Modified Count])</f>
        <v>3</v>
      </c>
    </row>
    <row r="27" spans="2:14" ht="29.4" customHeight="1" x14ac:dyDescent="0.3"/>
    <row r="28" spans="2:14" ht="21.6" thickBot="1" x14ac:dyDescent="0.45">
      <c r="B28" s="22" t="s">
        <v>26</v>
      </c>
      <c r="C28" s="30" t="s">
        <v>33</v>
      </c>
    </row>
    <row r="29" spans="2:14" ht="15" thickBot="1" x14ac:dyDescent="0.35">
      <c r="B29" s="81" t="s">
        <v>0</v>
      </c>
      <c r="C29" s="82"/>
      <c r="D29" s="83"/>
      <c r="E29" s="89" t="s">
        <v>23</v>
      </c>
      <c r="F29" s="90"/>
      <c r="G29" s="90"/>
      <c r="H29" s="91"/>
    </row>
    <row r="30" spans="2:14" ht="15" thickBot="1" x14ac:dyDescent="0.35">
      <c r="B30" s="84"/>
      <c r="C30" s="85"/>
      <c r="D30" s="86"/>
      <c r="E30" s="87" t="s">
        <v>75</v>
      </c>
      <c r="F30" s="88"/>
      <c r="G30" s="79" t="s">
        <v>76</v>
      </c>
      <c r="H30" s="80"/>
    </row>
    <row r="31" spans="2:14" ht="42.6" customHeight="1" x14ac:dyDescent="0.3">
      <c r="B31" s="26" t="s">
        <v>24</v>
      </c>
      <c r="C31" s="26" t="s">
        <v>25</v>
      </c>
      <c r="D31" s="27" t="s">
        <v>31</v>
      </c>
      <c r="E31" s="5" t="s">
        <v>19</v>
      </c>
      <c r="F31" s="4" t="s">
        <v>20</v>
      </c>
      <c r="G31" s="4" t="s">
        <v>21</v>
      </c>
      <c r="H31" s="4" t="s">
        <v>22</v>
      </c>
      <c r="I31" s="4" t="s">
        <v>27</v>
      </c>
      <c r="J31" s="23" t="s">
        <v>16</v>
      </c>
      <c r="K31" s="23"/>
    </row>
    <row r="32" spans="2:14" x14ac:dyDescent="0.3">
      <c r="B32" s="9" t="s">
        <v>51</v>
      </c>
      <c r="C32" s="9" t="s">
        <v>50</v>
      </c>
      <c r="D32" s="10"/>
      <c r="E32" s="32">
        <v>10500</v>
      </c>
      <c r="F32" s="16">
        <f>IFERROR(IF(Table36[[#This Row],[Current Pounds]]/Table36[[#Totals],[Current Pounds]]&gt;0,Table36[[#This Row],[Current Pounds]]/Table36[[#Totals],[Current Pounds]]," ")," ")</f>
        <v>0.42</v>
      </c>
      <c r="G32" s="33">
        <v>13000</v>
      </c>
      <c r="H32" s="16">
        <f>IFERROR(IF(Table36[[#This Row],[Previous Pounds]]/Table36[[#Totals],[Previous Pounds]]&gt;0,Table36[[#This Row],[Previous Pounds]]/Table36[[#Totals],[Previous Pounds]]," ")," ")</f>
        <v>0.4642857142857143</v>
      </c>
      <c r="I32" s="24"/>
      <c r="J32" s="14">
        <f>IF(OR(Table36[[#This Row],[Current Pounds]]&gt;10000, AND(Table36[[#This Row],[Current Pounds]]&lt;=10000,Table36[[#This Row],[Current Pounds]]&gt;1000,Table36[[#This Row],[Current Percent]]&gt;0.1)),1,0)</f>
        <v>1</v>
      </c>
      <c r="K32" s="14"/>
    </row>
    <row r="33" spans="2:11" x14ac:dyDescent="0.3">
      <c r="B33" s="9" t="s">
        <v>52</v>
      </c>
      <c r="C33" s="9" t="s">
        <v>53</v>
      </c>
      <c r="D33" s="10"/>
      <c r="E33" s="32">
        <v>11000</v>
      </c>
      <c r="F33" s="16">
        <f>IFERROR(IF(Table36[[#This Row],[Current Pounds]]/Table36[[#Totals],[Current Pounds]]&gt;0,Table36[[#This Row],[Current Pounds]]/Table36[[#Totals],[Current Pounds]]," ")," ")</f>
        <v>0.44</v>
      </c>
      <c r="G33" s="33">
        <v>12000</v>
      </c>
      <c r="H33" s="16">
        <f>IFERROR(IF(Table36[[#This Row],[Previous Pounds]]/Table36[[#Totals],[Previous Pounds]]&gt;0,Table36[[#This Row],[Previous Pounds]]/Table36[[#Totals],[Previous Pounds]]," ")," ")</f>
        <v>0.42857142857142855</v>
      </c>
      <c r="I33" s="24"/>
      <c r="J33" s="14">
        <f>IF(OR(Table36[[#This Row],[Current Pounds]]&gt;10000, AND(Table36[[#This Row],[Current Pounds]]&lt;=10000,Table36[[#This Row],[Current Pounds]]&gt;1000,Table36[[#This Row],[Current Percent]]&gt;0.1)),1,0)</f>
        <v>1</v>
      </c>
      <c r="K33" s="14"/>
    </row>
    <row r="34" spans="2:11" x14ac:dyDescent="0.3">
      <c r="B34" s="9" t="s">
        <v>54</v>
      </c>
      <c r="C34" s="9" t="s">
        <v>55</v>
      </c>
      <c r="D34" s="10"/>
      <c r="E34" s="32">
        <v>3500</v>
      </c>
      <c r="F34" s="16">
        <f>IFERROR(IF(Table36[[#This Row],[Current Pounds]]/Table36[[#Totals],[Current Pounds]]&gt;0,Table36[[#This Row],[Current Pounds]]/Table36[[#Totals],[Current Pounds]]," ")," ")</f>
        <v>0.14000000000000001</v>
      </c>
      <c r="G34" s="33">
        <v>3000</v>
      </c>
      <c r="H34" s="16">
        <f>IFERROR(IF(Table36[[#This Row],[Previous Pounds]]/Table36[[#Totals],[Previous Pounds]]&gt;0,Table36[[#This Row],[Previous Pounds]]/Table36[[#Totals],[Previous Pounds]]," ")," ")</f>
        <v>0.10714285714285714</v>
      </c>
      <c r="I34" s="24"/>
      <c r="J34" s="14">
        <f>IF(OR(Table36[[#This Row],[Current Pounds]]&gt;10000, AND(Table36[[#This Row],[Current Pounds]]&lt;=10000,Table36[[#This Row],[Current Pounds]]&gt;1000,Table36[[#This Row],[Current Percent]]&gt;0.1)),1,0)</f>
        <v>1</v>
      </c>
      <c r="K34" s="14"/>
    </row>
    <row r="35" spans="2:11" x14ac:dyDescent="0.3">
      <c r="B35" s="9"/>
      <c r="C35" s="9"/>
      <c r="D35" s="10"/>
      <c r="E35" s="32"/>
      <c r="F35" s="16" t="str">
        <f>IFERROR(IF(Table36[[#This Row],[Current Pounds]]/Table36[[#Totals],[Current Pounds]]&gt;0,Table36[[#This Row],[Current Pounds]]/Table36[[#Totals],[Current Pounds]]," ")," ")</f>
        <v xml:space="preserve"> </v>
      </c>
      <c r="G35" s="33"/>
      <c r="H35" s="16" t="str">
        <f>IFERROR(IF(Table36[[#This Row],[Previous Pounds]]/Table36[[#Totals],[Previous Pounds]]&gt;0,Table36[[#This Row],[Previous Pounds]]/Table36[[#Totals],[Previous Pounds]]," ")," ")</f>
        <v xml:space="preserve"> </v>
      </c>
      <c r="I35" s="24"/>
      <c r="J35" s="14">
        <f>IF(OR(Table36[[#This Row],[Current Pounds]]&gt;10000, AND(Table36[[#This Row],[Current Pounds]]&lt;=10000,Table36[[#This Row],[Current Pounds]]&gt;1000,Table36[[#This Row],[Current Percent]]&gt;0.1)),1,0)</f>
        <v>0</v>
      </c>
      <c r="K35" s="14"/>
    </row>
    <row r="36" spans="2:11" x14ac:dyDescent="0.3">
      <c r="B36" s="9"/>
      <c r="C36" s="9"/>
      <c r="D36" s="10"/>
      <c r="E36" s="32"/>
      <c r="F36" s="16" t="str">
        <f>IFERROR(IF(Table36[[#This Row],[Current Pounds]]/Table36[[#Totals],[Current Pounds]]&gt;0,Table36[[#This Row],[Current Pounds]]/Table36[[#Totals],[Current Pounds]]," ")," ")</f>
        <v xml:space="preserve"> </v>
      </c>
      <c r="G36" s="33"/>
      <c r="H36" s="16" t="str">
        <f>IFERROR(IF(Table36[[#This Row],[Previous Pounds]]/Table36[[#Totals],[Previous Pounds]]&gt;0,Table36[[#This Row],[Previous Pounds]]/Table36[[#Totals],[Previous Pounds]]," ")," ")</f>
        <v xml:space="preserve"> </v>
      </c>
      <c r="I36" s="24"/>
      <c r="J36" s="14">
        <f>IF(OR(Table36[[#This Row],[Current Pounds]]&gt;10000, AND(Table36[[#This Row],[Current Pounds]]&lt;=10000,Table36[[#This Row],[Current Pounds]]&gt;1000,Table36[[#This Row],[Current Percent]]&gt;0.1)),1,0)</f>
        <v>0</v>
      </c>
      <c r="K36" s="14"/>
    </row>
    <row r="37" spans="2:11" x14ac:dyDescent="0.3">
      <c r="B37" s="9"/>
      <c r="C37" s="9"/>
      <c r="D37" s="10"/>
      <c r="E37" s="32"/>
      <c r="F37" s="16" t="str">
        <f>IFERROR(IF(Table36[[#This Row],[Current Pounds]]/Table36[[#Totals],[Current Pounds]]&gt;0,Table36[[#This Row],[Current Pounds]]/Table36[[#Totals],[Current Pounds]]," ")," ")</f>
        <v xml:space="preserve"> </v>
      </c>
      <c r="G37" s="33"/>
      <c r="H37" s="16" t="str">
        <f>IFERROR(IF(Table36[[#This Row],[Previous Pounds]]/Table36[[#Totals],[Previous Pounds]]&gt;0,Table36[[#This Row],[Previous Pounds]]/Table36[[#Totals],[Previous Pounds]]," ")," ")</f>
        <v xml:space="preserve"> </v>
      </c>
      <c r="I37" s="24"/>
      <c r="J37" s="14">
        <f>IF(OR(Table36[[#This Row],[Current Pounds]]&gt;10000, AND(Table36[[#This Row],[Current Pounds]]&lt;=10000,Table36[[#This Row],[Current Pounds]]&gt;1000,Table36[[#This Row],[Current Percent]]&gt;0.1)),1,0)</f>
        <v>0</v>
      </c>
      <c r="K37" s="14"/>
    </row>
    <row r="38" spans="2:11" x14ac:dyDescent="0.3">
      <c r="B38" s="9"/>
      <c r="C38" s="9"/>
      <c r="D38" s="10"/>
      <c r="E38" s="32"/>
      <c r="F38" s="16" t="str">
        <f>IFERROR(IF(Table36[[#This Row],[Current Pounds]]/Table36[[#Totals],[Current Pounds]]&gt;0,Table36[[#This Row],[Current Pounds]]/Table36[[#Totals],[Current Pounds]]," ")," ")</f>
        <v xml:space="preserve"> </v>
      </c>
      <c r="G38" s="33"/>
      <c r="H38" s="16" t="str">
        <f>IFERROR(IF(Table36[[#This Row],[Previous Pounds]]/Table36[[#Totals],[Previous Pounds]]&gt;0,Table36[[#This Row],[Previous Pounds]]/Table36[[#Totals],[Previous Pounds]]," ")," ")</f>
        <v xml:space="preserve"> </v>
      </c>
      <c r="I38" s="24"/>
      <c r="J38" s="14">
        <f>IF(OR(Table36[[#This Row],[Current Pounds]]&gt;10000, AND(Table36[[#This Row],[Current Pounds]]&lt;=10000,Table36[[#This Row],[Current Pounds]]&gt;1000,Table36[[#This Row],[Current Percent]]&gt;0.1)),1,0)</f>
        <v>0</v>
      </c>
      <c r="K38" s="14"/>
    </row>
    <row r="39" spans="2:11" x14ac:dyDescent="0.3">
      <c r="B39" s="9"/>
      <c r="C39" s="9"/>
      <c r="D39" s="10"/>
      <c r="E39" s="32"/>
      <c r="F39" s="16" t="str">
        <f>IFERROR(IF(Table36[[#This Row],[Current Pounds]]/Table36[[#Totals],[Current Pounds]]&gt;0,Table36[[#This Row],[Current Pounds]]/Table36[[#Totals],[Current Pounds]]," ")," ")</f>
        <v xml:space="preserve"> </v>
      </c>
      <c r="G39" s="33"/>
      <c r="H39" s="16" t="str">
        <f>IFERROR(IF(Table36[[#This Row],[Previous Pounds]]/Table36[[#Totals],[Previous Pounds]]&gt;0,Table36[[#This Row],[Previous Pounds]]/Table36[[#Totals],[Previous Pounds]]," ")," ")</f>
        <v xml:space="preserve"> </v>
      </c>
      <c r="I39" s="24"/>
      <c r="J39" s="14">
        <f>IF(OR(Table36[[#This Row],[Current Pounds]]&gt;10000, AND(Table36[[#This Row],[Current Pounds]]&lt;=10000,Table36[[#This Row],[Current Pounds]]&gt;1000,Table36[[#This Row],[Current Percent]]&gt;0.1)),1,0)</f>
        <v>0</v>
      </c>
      <c r="K39" s="14"/>
    </row>
    <row r="40" spans="2:11" x14ac:dyDescent="0.3">
      <c r="B40" s="9"/>
      <c r="C40" s="9"/>
      <c r="D40" s="10"/>
      <c r="E40" s="32"/>
      <c r="F40" s="16" t="str">
        <f>IFERROR(IF(Table36[[#This Row],[Current Pounds]]/Table36[[#Totals],[Current Pounds]]&gt;0,Table36[[#This Row],[Current Pounds]]/Table36[[#Totals],[Current Pounds]]," ")," ")</f>
        <v xml:space="preserve"> </v>
      </c>
      <c r="G40" s="33"/>
      <c r="H40" s="16" t="str">
        <f>IFERROR(IF(Table36[[#This Row],[Previous Pounds]]/Table36[[#Totals],[Previous Pounds]]&gt;0,Table36[[#This Row],[Previous Pounds]]/Table36[[#Totals],[Previous Pounds]]," ")," ")</f>
        <v xml:space="preserve"> </v>
      </c>
      <c r="I40" s="24"/>
      <c r="J40" s="14">
        <f>IF(OR(Table36[[#This Row],[Current Pounds]]&gt;10000, AND(Table36[[#This Row],[Current Pounds]]&lt;=10000,Table36[[#This Row],[Current Pounds]]&gt;1000,Table36[[#This Row],[Current Percent]]&gt;0.1)),1,0)</f>
        <v>0</v>
      </c>
      <c r="K40" s="14"/>
    </row>
    <row r="41" spans="2:11" x14ac:dyDescent="0.3">
      <c r="B41" s="9"/>
      <c r="C41" s="9"/>
      <c r="D41" s="10"/>
      <c r="E41" s="32"/>
      <c r="F41" s="16" t="str">
        <f>IFERROR(IF(Table36[[#This Row],[Current Pounds]]/Table36[[#Totals],[Current Pounds]]&gt;0,Table36[[#This Row],[Current Pounds]]/Table36[[#Totals],[Current Pounds]]," ")," ")</f>
        <v xml:space="preserve"> </v>
      </c>
      <c r="G41" s="33"/>
      <c r="H41" s="16" t="str">
        <f>IFERROR(IF(Table36[[#This Row],[Previous Pounds]]/Table36[[#Totals],[Previous Pounds]]&gt;0,Table36[[#This Row],[Previous Pounds]]/Table36[[#Totals],[Previous Pounds]]," ")," ")</f>
        <v xml:space="preserve"> </v>
      </c>
      <c r="I41" s="24"/>
      <c r="J41" s="14">
        <f>IF(OR(Table36[[#This Row],[Current Pounds]]&gt;10000, AND(Table36[[#This Row],[Current Pounds]]&lt;=10000,Table36[[#This Row],[Current Pounds]]&gt;1000,Table36[[#This Row],[Current Percent]]&gt;0.1)),1,0)</f>
        <v>0</v>
      </c>
      <c r="K41" s="14"/>
    </row>
    <row r="42" spans="2:11" x14ac:dyDescent="0.3">
      <c r="B42" s="9"/>
      <c r="C42" s="9"/>
      <c r="D42" s="10"/>
      <c r="E42" s="33"/>
      <c r="F42" s="16" t="str">
        <f>IFERROR(IF(Table36[[#This Row],[Current Pounds]]/Table36[[#Totals],[Current Pounds]]&gt;0,Table36[[#This Row],[Current Pounds]]/Table36[[#Totals],[Current Pounds]]," ")," ")</f>
        <v xml:space="preserve"> </v>
      </c>
      <c r="G42" s="33"/>
      <c r="H42" s="16" t="str">
        <f>IFERROR(IF(Table36[[#This Row],[Previous Pounds]]/Table36[[#Totals],[Previous Pounds]]&gt;0,Table36[[#This Row],[Previous Pounds]]/Table36[[#Totals],[Previous Pounds]]," ")," ")</f>
        <v xml:space="preserve"> </v>
      </c>
      <c r="I42" s="24"/>
      <c r="J42" s="21">
        <f>IF(OR(Table36[[#This Row],[Current Pounds]]&gt;10000, AND(Table36[[#This Row],[Current Pounds]]&lt;=10000,Table36[[#This Row],[Current Pounds]]&gt;1000,Table36[[#This Row],[Current Percent]]&gt;0.1)),1,0)</f>
        <v>0</v>
      </c>
      <c r="K42" s="14"/>
    </row>
    <row r="43" spans="2:11" x14ac:dyDescent="0.3">
      <c r="B43" s="9"/>
      <c r="C43" s="9"/>
      <c r="D43" s="10"/>
      <c r="E43" s="33"/>
      <c r="F43" s="16" t="str">
        <f>IFERROR(IF(Table36[[#This Row],[Current Pounds]]/Table36[[#Totals],[Current Pounds]]&gt;0,Table36[[#This Row],[Current Pounds]]/Table36[[#Totals],[Current Pounds]]," ")," ")</f>
        <v xml:space="preserve"> </v>
      </c>
      <c r="G43" s="33"/>
      <c r="H43" s="16" t="str">
        <f>IFERROR(IF(Table36[[#This Row],[Previous Pounds]]/Table36[[#Totals],[Previous Pounds]]&gt;0,Table36[[#This Row],[Previous Pounds]]/Table36[[#Totals],[Previous Pounds]]," ")," ")</f>
        <v xml:space="preserve"> </v>
      </c>
      <c r="I43" s="24"/>
      <c r="J43" s="21">
        <f>IF(OR(Table36[[#This Row],[Current Pounds]]&gt;10000, AND(Table36[[#This Row],[Current Pounds]]&lt;=10000,Table36[[#This Row],[Current Pounds]]&gt;1000,Table36[[#This Row],[Current Percent]]&gt;0.1)),1,0)</f>
        <v>0</v>
      </c>
      <c r="K43" s="14"/>
    </row>
    <row r="44" spans="2:11" x14ac:dyDescent="0.3">
      <c r="B44" s="9"/>
      <c r="C44" s="9"/>
      <c r="D44" s="10"/>
      <c r="E44" s="32"/>
      <c r="F44" s="16" t="str">
        <f>IFERROR(IF(Table36[[#This Row],[Current Pounds]]/Table36[[#Totals],[Current Pounds]]&gt;0,Table36[[#This Row],[Current Pounds]]/Table36[[#Totals],[Current Pounds]]," ")," ")</f>
        <v xml:space="preserve"> </v>
      </c>
      <c r="G44" s="33"/>
      <c r="H44" s="16" t="str">
        <f>IFERROR(IF(Table36[[#This Row],[Previous Pounds]]/Table36[[#Totals],[Previous Pounds]]&gt;0,Table36[[#This Row],[Previous Pounds]]/Table36[[#Totals],[Previous Pounds]]," ")," ")</f>
        <v xml:space="preserve"> </v>
      </c>
      <c r="I44" s="24"/>
      <c r="J44" s="14">
        <f>IF(OR(Table36[[#This Row],[Current Pounds]]&gt;10000, AND(Table36[[#This Row],[Current Pounds]]&lt;=10000,Table36[[#This Row],[Current Pounds]]&gt;1000,Table36[[#This Row],[Current Percent]]&gt;0.1)),1,0)</f>
        <v>0</v>
      </c>
      <c r="K44" s="14"/>
    </row>
    <row r="45" spans="2:11" x14ac:dyDescent="0.3">
      <c r="B45" s="9"/>
      <c r="C45" s="9"/>
      <c r="D45" s="10"/>
      <c r="E45" s="33"/>
      <c r="F45" s="16" t="str">
        <f>IFERROR(IF(Table36[[#This Row],[Current Pounds]]/Table36[[#Totals],[Current Pounds]]&gt;0,Table36[[#This Row],[Current Pounds]]/Table36[[#Totals],[Current Pounds]]," ")," ")</f>
        <v xml:space="preserve"> </v>
      </c>
      <c r="G45" s="33"/>
      <c r="H45" s="16" t="str">
        <f>IFERROR(IF(Table36[[#This Row],[Previous Pounds]]/Table36[[#Totals],[Previous Pounds]]&gt;0,Table36[[#This Row],[Previous Pounds]]/Table36[[#Totals],[Previous Pounds]]," ")," ")</f>
        <v xml:space="preserve"> </v>
      </c>
      <c r="I45" s="24"/>
      <c r="J45" s="21">
        <f>IF(OR(Table36[[#This Row],[Current Pounds]]&gt;10000, AND(Table36[[#This Row],[Current Pounds]]&lt;=10000,Table36[[#This Row],[Current Pounds]]&gt;1000,Table36[[#This Row],[Current Percent]]&gt;0.1)),1,0)</f>
        <v>0</v>
      </c>
      <c r="K45" s="14"/>
    </row>
    <row r="46" spans="2:11" ht="15" thickBot="1" x14ac:dyDescent="0.35">
      <c r="B46" s="11"/>
      <c r="C46" s="11"/>
      <c r="D46" s="12"/>
      <c r="E46" s="34"/>
      <c r="F46" s="17" t="str">
        <f>IFERROR(IF(Table36[[#This Row],[Current Pounds]]/Table36[[#Totals],[Current Pounds]]&gt;0,Table36[[#This Row],[Current Pounds]]/Table36[[#Totals],[Current Pounds]]," ")," ")</f>
        <v xml:space="preserve"> </v>
      </c>
      <c r="G46" s="35"/>
      <c r="H46" s="18" t="str">
        <f>IFERROR(IF(Table36[[#This Row],[Previous Pounds]]/Table36[[#Totals],[Previous Pounds]]&gt;0,Table36[[#This Row],[Previous Pounds]]/Table36[[#Totals],[Previous Pounds]]," ")," ")</f>
        <v xml:space="preserve"> </v>
      </c>
      <c r="I46" s="24"/>
      <c r="J46" s="14">
        <f>IF(OR(Table36[[#This Row],[Current Pounds]]&gt;10000, AND(Table36[[#This Row],[Current Pounds]]&lt;=10000,Table36[[#This Row],[Current Pounds]]&gt;1000,Table36[[#This Row],[Current Percent]]&gt;0.1)),1,0)</f>
        <v>0</v>
      </c>
      <c r="K46" s="14"/>
    </row>
    <row r="47" spans="2:11" ht="15" thickBot="1" x14ac:dyDescent="0.35">
      <c r="B47" s="3"/>
      <c r="C47" s="3"/>
      <c r="D47" s="3"/>
      <c r="E47" s="37">
        <f>SUBTOTAL(109,Table36[Current Pounds])</f>
        <v>25000</v>
      </c>
      <c r="F47" s="7">
        <f>SUBTOTAL(109,Table36[Current Percent])</f>
        <v>1</v>
      </c>
      <c r="G47" s="36">
        <f>SUBTOTAL(109,Table36[Previous Pounds])</f>
        <v>28000</v>
      </c>
      <c r="H47" s="7">
        <f>SUBTOTAL(109,Table36[Previous Percent])</f>
        <v>0.99999999999999989</v>
      </c>
      <c r="I47" s="29"/>
      <c r="J47" s="15">
        <f>SUBTOTAL(109,Table36[Count])</f>
        <v>3</v>
      </c>
      <c r="K47" s="15"/>
    </row>
  </sheetData>
  <sheetProtection selectLockedCells="1"/>
  <mergeCells count="8">
    <mergeCell ref="B8:D9"/>
    <mergeCell ref="E8:H8"/>
    <mergeCell ref="E9:F9"/>
    <mergeCell ref="G9:H9"/>
    <mergeCell ref="B29:D30"/>
    <mergeCell ref="E29:H29"/>
    <mergeCell ref="E30:F30"/>
    <mergeCell ref="G30:H30"/>
  </mergeCells>
  <hyperlinks>
    <hyperlink ref="B1" location="Instructions!A1" display="Return to Instructions Tab" xr:uid="{00000000-0004-0000-0200-000000000000}"/>
  </hyperlinks>
  <pageMargins left="0.25" right="0.25" top="0.75" bottom="0.75" header="0.3" footer="0.3"/>
  <pageSetup orientation="landscape" r:id="rId1"/>
  <headerFooter>
    <oddHeader>&amp;CExample TUHWR Annual Progress Report Fee Calculation</oddHeader>
  </headerFooter>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'Generator Type'!$B$3:$B$8</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B8"/>
  <sheetViews>
    <sheetView workbookViewId="0">
      <selection activeCell="D20" sqref="D20"/>
    </sheetView>
  </sheetViews>
  <sheetFormatPr defaultRowHeight="14.4" x14ac:dyDescent="0.3"/>
  <cols>
    <col min="2" max="2" width="28.44140625" bestFit="1" customWidth="1"/>
  </cols>
  <sheetData>
    <row r="2" spans="2:2" x14ac:dyDescent="0.3">
      <c r="B2" t="s">
        <v>4</v>
      </c>
    </row>
    <row r="3" spans="2:2" x14ac:dyDescent="0.3">
      <c r="B3" t="s">
        <v>5</v>
      </c>
    </row>
    <row r="4" spans="2:2" x14ac:dyDescent="0.3">
      <c r="B4" t="s">
        <v>6</v>
      </c>
    </row>
    <row r="5" spans="2:2" x14ac:dyDescent="0.3">
      <c r="B5" t="s">
        <v>7</v>
      </c>
    </row>
    <row r="6" spans="2:2" x14ac:dyDescent="0.3">
      <c r="B6" t="s">
        <v>8</v>
      </c>
    </row>
    <row r="7" spans="2:2" x14ac:dyDescent="0.3">
      <c r="B7" t="s">
        <v>9</v>
      </c>
    </row>
    <row r="8" spans="2:2" x14ac:dyDescent="0.3">
      <c r="B8" t="s">
        <v>10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Calculation Sheet</vt:lpstr>
      <vt:lpstr>Example Calculation</vt:lpstr>
      <vt:lpstr>Generator Type</vt:lpstr>
      <vt:lpstr>'Example Calculation'!Hazardous</vt:lpstr>
      <vt:lpstr>Hazardous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Kenney, Justin</dc:creator>
  <cp:lastModifiedBy>Youngs, Andrew</cp:lastModifiedBy>
  <dcterms:created xsi:type="dcterms:W3CDTF">2017-01-26T19:08:22Z</dcterms:created>
  <dcterms:modified xsi:type="dcterms:W3CDTF">2025-01-21T16:02:39Z</dcterms:modified>
</cp:coreProperties>
</file>