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Y:\ECD_Assistance\P2 Grant\2018P2grant\Brewery Cohort 2019-2020\"/>
    </mc:Choice>
  </mc:AlternateContent>
  <xr:revisionPtr revIDLastSave="0" documentId="13_ncr:1_{CC2F059F-8396-4BE7-9ED8-059B0E66A41F}" xr6:coauthVersionLast="45" xr6:coauthVersionMax="45" xr10:uidLastSave="{00000000-0000-0000-0000-000000000000}"/>
  <bookViews>
    <workbookView xWindow="-120" yWindow="-120" windowWidth="25440" windowHeight="15390" tabRatio="847" xr2:uid="{E207A827-78FF-4993-BC67-EE0396148C73}"/>
  </bookViews>
  <sheets>
    <sheet name="Directions" sheetId="4" r:id="rId1"/>
    <sheet name="Performance Data Input" sheetId="9" r:id="rId2"/>
    <sheet name="Financial Data Input" sheetId="13" r:id="rId3"/>
    <sheet name="Waste Volume Conversions" sheetId="14" r:id="rId4"/>
    <sheet name="Summary Table" sheetId="11" r:id="rId5"/>
    <sheet name="Summary Charts" sheetId="2" r:id="rId6"/>
    <sheet name="Carbon Footprint " sheetId="12" r:id="rId7"/>
    <sheet name="Source Data" sheetId="10" r:id="rId8"/>
    <sheet name="References"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1" l="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G15" i="9" l="1"/>
  <c r="F14" i="11" s="1"/>
  <c r="C5" i="9" l="1"/>
  <c r="B5" i="12" s="1"/>
  <c r="G5" i="9"/>
  <c r="F5" i="12" s="1"/>
  <c r="I5" i="9" l="1"/>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G6" i="9"/>
  <c r="F6" i="12" s="1"/>
  <c r="G7" i="9"/>
  <c r="F7" i="12" s="1"/>
  <c r="G8" i="9"/>
  <c r="F8" i="12" s="1"/>
  <c r="G9" i="9"/>
  <c r="F9" i="12" s="1"/>
  <c r="G10" i="9"/>
  <c r="F10" i="12" s="1"/>
  <c r="G11" i="9"/>
  <c r="F11" i="12" s="1"/>
  <c r="G12" i="9"/>
  <c r="F12" i="12" s="1"/>
  <c r="G13" i="9"/>
  <c r="F13" i="12" s="1"/>
  <c r="G14" i="9"/>
  <c r="F14" i="12" s="1"/>
  <c r="F15" i="12"/>
  <c r="G16" i="9"/>
  <c r="F16" i="12" s="1"/>
  <c r="G17" i="9"/>
  <c r="F17" i="12" s="1"/>
  <c r="G18" i="9"/>
  <c r="F18" i="12" s="1"/>
  <c r="G19" i="9"/>
  <c r="F19" i="12" s="1"/>
  <c r="G20" i="9"/>
  <c r="F20" i="12" s="1"/>
  <c r="G21" i="9"/>
  <c r="F21" i="12" s="1"/>
  <c r="G22" i="9"/>
  <c r="F22" i="12" s="1"/>
  <c r="G23" i="9"/>
  <c r="F23" i="12" s="1"/>
  <c r="G24" i="9"/>
  <c r="F24" i="12" s="1"/>
  <c r="G25" i="9"/>
  <c r="F25" i="12" s="1"/>
  <c r="G26" i="9"/>
  <c r="F26" i="12" s="1"/>
  <c r="G27" i="9"/>
  <c r="F27" i="12" s="1"/>
  <c r="G28" i="9"/>
  <c r="F28" i="12" s="1"/>
  <c r="G29" i="9"/>
  <c r="F29" i="12" s="1"/>
  <c r="G30" i="9"/>
  <c r="F30" i="12" s="1"/>
  <c r="G31" i="9"/>
  <c r="F31" i="12" s="1"/>
  <c r="G32" i="9"/>
  <c r="F32" i="12" s="1"/>
  <c r="G33" i="9"/>
  <c r="F33" i="12" s="1"/>
  <c r="G34" i="9"/>
  <c r="F34" i="12" s="1"/>
  <c r="G35" i="9"/>
  <c r="F35" i="12" s="1"/>
  <c r="G36" i="9"/>
  <c r="F36" i="12" s="1"/>
  <c r="G37" i="9"/>
  <c r="F37" i="12" s="1"/>
  <c r="G38" i="9"/>
  <c r="F38" i="12" s="1"/>
  <c r="G39" i="9"/>
  <c r="F39" i="12" s="1"/>
  <c r="G40" i="9"/>
  <c r="F40" i="12" s="1"/>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D5" i="9"/>
  <c r="C5" i="12" s="1"/>
  <c r="D6" i="9"/>
  <c r="C6" i="12" s="1"/>
  <c r="D7" i="9"/>
  <c r="C7" i="12" s="1"/>
  <c r="D8" i="9"/>
  <c r="C8" i="12" s="1"/>
  <c r="D9" i="9"/>
  <c r="C9" i="12" s="1"/>
  <c r="D10" i="9"/>
  <c r="C10" i="12" s="1"/>
  <c r="D11" i="9"/>
  <c r="C11" i="12" s="1"/>
  <c r="D12" i="9"/>
  <c r="C12" i="12" s="1"/>
  <c r="D13" i="9"/>
  <c r="C13" i="12" s="1"/>
  <c r="D14" i="9"/>
  <c r="C14" i="12" s="1"/>
  <c r="D15" i="9"/>
  <c r="C15" i="12" s="1"/>
  <c r="D16" i="9"/>
  <c r="C16" i="12" s="1"/>
  <c r="D17" i="9"/>
  <c r="C17" i="12" s="1"/>
  <c r="D18" i="9"/>
  <c r="C18" i="12" s="1"/>
  <c r="D19" i="9"/>
  <c r="C19" i="12" s="1"/>
  <c r="D20" i="9"/>
  <c r="C20" i="12" s="1"/>
  <c r="D21" i="9"/>
  <c r="C21" i="12" s="1"/>
  <c r="D22" i="9"/>
  <c r="C22" i="12" s="1"/>
  <c r="D23" i="9"/>
  <c r="C23" i="12" s="1"/>
  <c r="D24" i="9"/>
  <c r="C24" i="12" s="1"/>
  <c r="D25" i="9"/>
  <c r="C25" i="12" s="1"/>
  <c r="D26" i="9"/>
  <c r="C26" i="12" s="1"/>
  <c r="D27" i="9"/>
  <c r="C27" i="12" s="1"/>
  <c r="D28" i="9"/>
  <c r="C28" i="12" s="1"/>
  <c r="D29" i="9"/>
  <c r="C29" i="12" s="1"/>
  <c r="D30" i="9"/>
  <c r="C30" i="12" s="1"/>
  <c r="D31" i="9"/>
  <c r="C31" i="12" s="1"/>
  <c r="D32" i="9"/>
  <c r="C32" i="12" s="1"/>
  <c r="D33" i="9"/>
  <c r="C33" i="12" s="1"/>
  <c r="D34" i="9"/>
  <c r="C34" i="12" s="1"/>
  <c r="D35" i="9"/>
  <c r="C35" i="12" s="1"/>
  <c r="D36" i="9"/>
  <c r="C36" i="12" s="1"/>
  <c r="D37" i="9"/>
  <c r="C37" i="12" s="1"/>
  <c r="D38" i="9"/>
  <c r="C38" i="12" s="1"/>
  <c r="D39" i="9"/>
  <c r="C39" i="12" s="1"/>
  <c r="D40" i="9"/>
  <c r="C40" i="12" s="1"/>
  <c r="C6" i="9"/>
  <c r="B6" i="12" s="1"/>
  <c r="C7" i="9"/>
  <c r="B7" i="12" s="1"/>
  <c r="C8" i="9"/>
  <c r="B8" i="12" s="1"/>
  <c r="C9" i="9"/>
  <c r="B9" i="12" s="1"/>
  <c r="C10" i="9"/>
  <c r="B10" i="12" s="1"/>
  <c r="C11" i="9"/>
  <c r="B11" i="12" s="1"/>
  <c r="C12" i="9"/>
  <c r="B12" i="12" s="1"/>
  <c r="C13" i="9"/>
  <c r="B13" i="12" s="1"/>
  <c r="C14" i="9"/>
  <c r="B14" i="12" s="1"/>
  <c r="C15" i="9"/>
  <c r="B15" i="12" s="1"/>
  <c r="C16" i="9"/>
  <c r="B16" i="12" s="1"/>
  <c r="C17" i="9"/>
  <c r="B17" i="12" s="1"/>
  <c r="C18" i="9"/>
  <c r="B18" i="12" s="1"/>
  <c r="C19" i="9"/>
  <c r="B19" i="12" s="1"/>
  <c r="C20" i="9"/>
  <c r="B20" i="12" s="1"/>
  <c r="C21" i="9"/>
  <c r="B21" i="12" s="1"/>
  <c r="C22" i="9"/>
  <c r="B22" i="12" s="1"/>
  <c r="C23" i="9"/>
  <c r="B23" i="12" s="1"/>
  <c r="C24" i="9"/>
  <c r="B24" i="12" s="1"/>
  <c r="C25" i="9"/>
  <c r="B25" i="12" s="1"/>
  <c r="C26" i="9"/>
  <c r="B26" i="12" s="1"/>
  <c r="C27" i="9"/>
  <c r="B27" i="12" s="1"/>
  <c r="C28" i="9"/>
  <c r="B28" i="12" s="1"/>
  <c r="C29" i="9"/>
  <c r="B29" i="12" s="1"/>
  <c r="C30" i="9"/>
  <c r="B30" i="12" s="1"/>
  <c r="C31" i="9"/>
  <c r="B31" i="12" s="1"/>
  <c r="C32" i="9"/>
  <c r="B32" i="12" s="1"/>
  <c r="C33" i="9"/>
  <c r="B33" i="12" s="1"/>
  <c r="C34" i="9"/>
  <c r="B34" i="12" s="1"/>
  <c r="C35" i="9"/>
  <c r="B35" i="12" s="1"/>
  <c r="C36" i="9"/>
  <c r="B36" i="12" s="1"/>
  <c r="C37" i="9"/>
  <c r="B37" i="12" s="1"/>
  <c r="C38" i="9"/>
  <c r="B38" i="12" s="1"/>
  <c r="C39" i="9"/>
  <c r="B39" i="12" s="1"/>
  <c r="C40" i="9"/>
  <c r="B40" i="12" s="1"/>
  <c r="P4" i="11" l="1"/>
  <c r="Q4" i="11" s="1"/>
  <c r="P5" i="11"/>
  <c r="Q5" i="11" s="1"/>
  <c r="P6" i="11"/>
  <c r="Q6" i="11" s="1"/>
  <c r="P7" i="11"/>
  <c r="Q7" i="11" s="1"/>
  <c r="P8" i="11"/>
  <c r="Q8" i="11" s="1"/>
  <c r="P9" i="11"/>
  <c r="Q9" i="11" s="1"/>
  <c r="P10" i="11"/>
  <c r="Q10" i="11" s="1"/>
  <c r="P11" i="11"/>
  <c r="Q11" i="11" s="1"/>
  <c r="P12" i="11"/>
  <c r="Q12" i="11" s="1"/>
  <c r="P13" i="11"/>
  <c r="Q13" i="11" s="1"/>
  <c r="P14" i="11"/>
  <c r="Q14" i="11" s="1"/>
  <c r="P15" i="11"/>
  <c r="Q15" i="11" s="1"/>
  <c r="P16" i="11"/>
  <c r="Q16" i="11" s="1"/>
  <c r="P17" i="11"/>
  <c r="Q17" i="11" s="1"/>
  <c r="P18" i="11"/>
  <c r="Q18" i="11" s="1"/>
  <c r="P19" i="11"/>
  <c r="Q19" i="11" s="1"/>
  <c r="P20" i="11"/>
  <c r="Q20" i="11" s="1"/>
  <c r="P21" i="11"/>
  <c r="Q21" i="11" s="1"/>
  <c r="P22" i="11"/>
  <c r="Q22" i="11" s="1"/>
  <c r="P23" i="11"/>
  <c r="Q23" i="11" s="1"/>
  <c r="P24" i="11"/>
  <c r="Q24" i="11" s="1"/>
  <c r="P25" i="11"/>
  <c r="Q25" i="11" s="1"/>
  <c r="P26" i="11"/>
  <c r="Q26" i="11" s="1"/>
  <c r="P27" i="11"/>
  <c r="Q27" i="11" s="1"/>
  <c r="P28" i="11"/>
  <c r="Q28" i="11" s="1"/>
  <c r="P29" i="11"/>
  <c r="Q29" i="11" s="1"/>
  <c r="P30" i="11"/>
  <c r="Q30" i="11" s="1"/>
  <c r="P31" i="11"/>
  <c r="Q31" i="11" s="1"/>
  <c r="P32" i="11"/>
  <c r="Q32" i="11" s="1"/>
  <c r="P33" i="11"/>
  <c r="Q33" i="11" s="1"/>
  <c r="P34" i="11"/>
  <c r="Q34" i="11" s="1"/>
  <c r="P35" i="11"/>
  <c r="Q35" i="11" s="1"/>
  <c r="P36" i="11"/>
  <c r="Q36" i="11" s="1"/>
  <c r="P37" i="11"/>
  <c r="Q37" i="11" s="1"/>
  <c r="P38" i="11"/>
  <c r="Q38" i="11" s="1"/>
  <c r="P39" i="11"/>
  <c r="Q39" i="11" s="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U41" i="13"/>
  <c r="T41" i="13"/>
  <c r="S41" i="13"/>
  <c r="R41" i="13"/>
  <c r="Q41" i="13"/>
  <c r="P41" i="13"/>
  <c r="O41" i="13"/>
  <c r="N41" i="13"/>
  <c r="M41" i="13"/>
  <c r="L41" i="13"/>
  <c r="J41" i="13"/>
  <c r="I41" i="13"/>
  <c r="H41" i="13"/>
  <c r="G41" i="13"/>
  <c r="K41" i="13"/>
  <c r="B41" i="13"/>
  <c r="C41" i="13"/>
  <c r="D41" i="13"/>
  <c r="E41" i="13"/>
  <c r="F41" i="13"/>
  <c r="O4" i="11" l="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O40" i="11" l="1"/>
  <c r="C41" i="12"/>
  <c r="J41" i="12"/>
  <c r="N41" i="12"/>
  <c r="F41" i="12"/>
  <c r="H41" i="12"/>
  <c r="K41" i="12"/>
  <c r="L41" i="12"/>
  <c r="M41" i="12"/>
  <c r="O41" i="12"/>
  <c r="P41" i="12"/>
  <c r="B41" i="12"/>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K4" i="11"/>
  <c r="L4" i="11" s="1"/>
  <c r="K5" i="11"/>
  <c r="L5" i="11" s="1"/>
  <c r="K6" i="11"/>
  <c r="L6" i="11" s="1"/>
  <c r="K7" i="11"/>
  <c r="L7" i="11" s="1"/>
  <c r="K8" i="11"/>
  <c r="L8" i="11" s="1"/>
  <c r="K9" i="11"/>
  <c r="L9" i="11" s="1"/>
  <c r="K10" i="11"/>
  <c r="L10" i="11" s="1"/>
  <c r="K11" i="11"/>
  <c r="L11" i="11" s="1"/>
  <c r="K12" i="11"/>
  <c r="L12" i="11" s="1"/>
  <c r="K13" i="11"/>
  <c r="L13" i="11" s="1"/>
  <c r="K14" i="11"/>
  <c r="L14" i="11" s="1"/>
  <c r="K15" i="11"/>
  <c r="L15" i="11" s="1"/>
  <c r="K16" i="11"/>
  <c r="L16" i="11" s="1"/>
  <c r="K17" i="11"/>
  <c r="L17" i="11" s="1"/>
  <c r="K18" i="11"/>
  <c r="L18" i="11" s="1"/>
  <c r="K19" i="11"/>
  <c r="L19" i="11" s="1"/>
  <c r="K20" i="11"/>
  <c r="L20" i="11" s="1"/>
  <c r="K21" i="11"/>
  <c r="L21" i="11" s="1"/>
  <c r="K22" i="11"/>
  <c r="L22" i="11" s="1"/>
  <c r="K23" i="11"/>
  <c r="L2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K39" i="11"/>
  <c r="L39" i="11" s="1"/>
  <c r="J40" i="11"/>
  <c r="C4" i="11"/>
  <c r="G5" i="11"/>
  <c r="E6" i="12" s="1"/>
  <c r="G4" i="11"/>
  <c r="E5" i="12" s="1"/>
  <c r="G6" i="11"/>
  <c r="E7" i="12" s="1"/>
  <c r="G7" i="11"/>
  <c r="E8" i="12" s="1"/>
  <c r="G8" i="11"/>
  <c r="E9" i="12" s="1"/>
  <c r="G9" i="11"/>
  <c r="E10" i="12" s="1"/>
  <c r="G10" i="11"/>
  <c r="E11" i="12" s="1"/>
  <c r="G11" i="11"/>
  <c r="E12" i="12" s="1"/>
  <c r="G12" i="11"/>
  <c r="E13" i="12" s="1"/>
  <c r="G13" i="11"/>
  <c r="E14" i="12" s="1"/>
  <c r="G14" i="11"/>
  <c r="E15" i="12" s="1"/>
  <c r="G15" i="11"/>
  <c r="E16" i="12" s="1"/>
  <c r="G16" i="11"/>
  <c r="E17" i="12" s="1"/>
  <c r="G17" i="11"/>
  <c r="E18" i="12" s="1"/>
  <c r="G18" i="11"/>
  <c r="E19" i="12" s="1"/>
  <c r="G19" i="11"/>
  <c r="E20" i="12" s="1"/>
  <c r="G20" i="11"/>
  <c r="E21" i="12" s="1"/>
  <c r="G21" i="11"/>
  <c r="E22" i="12" s="1"/>
  <c r="G22" i="11"/>
  <c r="E23" i="12" s="1"/>
  <c r="G23" i="11"/>
  <c r="E24" i="12" s="1"/>
  <c r="G24" i="11"/>
  <c r="E25" i="12" s="1"/>
  <c r="G25" i="11"/>
  <c r="E26" i="12" s="1"/>
  <c r="G26" i="11"/>
  <c r="E27" i="12" s="1"/>
  <c r="G27" i="11"/>
  <c r="E28" i="12" s="1"/>
  <c r="G28" i="11"/>
  <c r="E29" i="12" s="1"/>
  <c r="G29" i="11"/>
  <c r="E30" i="12" s="1"/>
  <c r="G30" i="11"/>
  <c r="E31" i="12" s="1"/>
  <c r="G31" i="11"/>
  <c r="E32" i="12" s="1"/>
  <c r="G32" i="11"/>
  <c r="E33" i="12" s="1"/>
  <c r="G33" i="11"/>
  <c r="E34" i="12" s="1"/>
  <c r="G34" i="11"/>
  <c r="E35" i="12" s="1"/>
  <c r="G35" i="11"/>
  <c r="E36" i="12" s="1"/>
  <c r="G36" i="11"/>
  <c r="E37" i="12" s="1"/>
  <c r="G37" i="11"/>
  <c r="E38" i="12" s="1"/>
  <c r="G38" i="11"/>
  <c r="E39" i="12" s="1"/>
  <c r="G39" i="11"/>
  <c r="E40" i="12" s="1"/>
  <c r="F4" i="11"/>
  <c r="F5" i="11"/>
  <c r="F6" i="11"/>
  <c r="F7" i="11"/>
  <c r="H7" i="11" s="1"/>
  <c r="F8" i="11"/>
  <c r="F9" i="11"/>
  <c r="F10" i="11"/>
  <c r="H10" i="11" s="1"/>
  <c r="F11" i="11"/>
  <c r="H11" i="11" s="1"/>
  <c r="F12" i="11"/>
  <c r="H12" i="11" s="1"/>
  <c r="F13" i="11"/>
  <c r="H13" i="11" s="1"/>
  <c r="H14" i="11"/>
  <c r="F15" i="11"/>
  <c r="H15" i="11" s="1"/>
  <c r="F16" i="11"/>
  <c r="F17" i="11"/>
  <c r="F18" i="11"/>
  <c r="H18" i="11" s="1"/>
  <c r="F19" i="11"/>
  <c r="H19" i="11" s="1"/>
  <c r="F20" i="11"/>
  <c r="H20" i="11" s="1"/>
  <c r="F21" i="11"/>
  <c r="H21" i="11" s="1"/>
  <c r="F22" i="11"/>
  <c r="H22" i="11" s="1"/>
  <c r="F23" i="11"/>
  <c r="H23" i="11" s="1"/>
  <c r="F24" i="11"/>
  <c r="F25" i="11"/>
  <c r="F26" i="11"/>
  <c r="H26" i="11" s="1"/>
  <c r="F27" i="11"/>
  <c r="H27" i="11" s="1"/>
  <c r="F28" i="11"/>
  <c r="H28" i="11" s="1"/>
  <c r="F29" i="11"/>
  <c r="H29" i="11" s="1"/>
  <c r="F30" i="11"/>
  <c r="H30" i="11" s="1"/>
  <c r="F31" i="11"/>
  <c r="H31" i="11" s="1"/>
  <c r="F32" i="11"/>
  <c r="F33" i="11"/>
  <c r="F34" i="11"/>
  <c r="H34" i="11" s="1"/>
  <c r="F35" i="11"/>
  <c r="H35" i="11" s="1"/>
  <c r="F36" i="11"/>
  <c r="H36" i="11" s="1"/>
  <c r="F37" i="11"/>
  <c r="H37" i="11" s="1"/>
  <c r="F38" i="11"/>
  <c r="H38" i="11" s="1"/>
  <c r="F39" i="11"/>
  <c r="H39" i="11" s="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H33" i="11" l="1"/>
  <c r="H25" i="11"/>
  <c r="H17" i="11"/>
  <c r="H9" i="11"/>
  <c r="H32" i="11"/>
  <c r="H16" i="11"/>
  <c r="H8" i="11"/>
  <c r="J8" i="11" s="1"/>
  <c r="H24" i="11"/>
  <c r="J24" i="11" s="1"/>
  <c r="N25" i="11"/>
  <c r="E25" i="11"/>
  <c r="N9" i="11"/>
  <c r="E9" i="11"/>
  <c r="N20" i="11"/>
  <c r="E20" i="11"/>
  <c r="N8" i="11"/>
  <c r="E8" i="11"/>
  <c r="N37" i="11"/>
  <c r="E37" i="11"/>
  <c r="N29" i="11"/>
  <c r="E29" i="11"/>
  <c r="N17" i="11"/>
  <c r="E17" i="11"/>
  <c r="N32" i="11"/>
  <c r="E32" i="11"/>
  <c r="N24" i="11"/>
  <c r="E24" i="11"/>
  <c r="N12" i="11"/>
  <c r="E12" i="11"/>
  <c r="N4" i="11"/>
  <c r="E4" i="11"/>
  <c r="N39" i="11"/>
  <c r="E39" i="11"/>
  <c r="N35" i="11"/>
  <c r="E35" i="11"/>
  <c r="N31" i="11"/>
  <c r="E31" i="11"/>
  <c r="N27" i="11"/>
  <c r="E27" i="11"/>
  <c r="N23" i="11"/>
  <c r="E23" i="11"/>
  <c r="N19" i="11"/>
  <c r="E19" i="11"/>
  <c r="N15" i="11"/>
  <c r="E15" i="11"/>
  <c r="N11" i="11"/>
  <c r="E11" i="11"/>
  <c r="N7" i="11"/>
  <c r="E7" i="11"/>
  <c r="N33" i="11"/>
  <c r="E33" i="11"/>
  <c r="N21" i="11"/>
  <c r="E21" i="11"/>
  <c r="N13" i="11"/>
  <c r="E13" i="11"/>
  <c r="N5" i="11"/>
  <c r="E5" i="11"/>
  <c r="N36" i="11"/>
  <c r="E36" i="11"/>
  <c r="N28" i="11"/>
  <c r="E28" i="11"/>
  <c r="N16" i="11"/>
  <c r="E16" i="11"/>
  <c r="N38" i="11"/>
  <c r="E38" i="11"/>
  <c r="N34" i="11"/>
  <c r="E34" i="11"/>
  <c r="N30" i="11"/>
  <c r="E30" i="11"/>
  <c r="N26" i="11"/>
  <c r="E26" i="11"/>
  <c r="N22" i="11"/>
  <c r="E22" i="11"/>
  <c r="N18" i="11"/>
  <c r="E18" i="11"/>
  <c r="N14" i="11"/>
  <c r="E14" i="11"/>
  <c r="N10" i="11"/>
  <c r="E10" i="11"/>
  <c r="N6" i="11"/>
  <c r="E6" i="11"/>
  <c r="E41" i="12"/>
  <c r="J38" i="11"/>
  <c r="J34" i="11"/>
  <c r="J30" i="11"/>
  <c r="J26" i="11"/>
  <c r="J22" i="11"/>
  <c r="J18" i="11"/>
  <c r="J14" i="11"/>
  <c r="J10" i="11"/>
  <c r="J39" i="11"/>
  <c r="J35" i="11"/>
  <c r="J31" i="11"/>
  <c r="J27" i="11"/>
  <c r="J23" i="11"/>
  <c r="J19" i="11"/>
  <c r="J15" i="11"/>
  <c r="J11" i="11"/>
  <c r="J7" i="11"/>
  <c r="J37" i="11"/>
  <c r="J33" i="11"/>
  <c r="J29" i="11"/>
  <c r="J25" i="11"/>
  <c r="J21" i="11"/>
  <c r="J17" i="11"/>
  <c r="J13" i="11"/>
  <c r="J9" i="11"/>
  <c r="H5" i="11"/>
  <c r="J5" i="11" s="1"/>
  <c r="G40" i="11"/>
  <c r="C40" i="11"/>
  <c r="J36" i="11"/>
  <c r="J32" i="11"/>
  <c r="J28" i="11"/>
  <c r="J20" i="11"/>
  <c r="J16" i="11"/>
  <c r="J12" i="11"/>
  <c r="F40" i="11"/>
  <c r="B40" i="11"/>
  <c r="H4" i="11"/>
  <c r="J4" i="11" s="1"/>
  <c r="L40" i="11"/>
  <c r="K40" i="11"/>
  <c r="H6" i="11"/>
  <c r="J6" i="11" s="1"/>
  <c r="H4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Riechel, Celia</author>
  </authors>
  <commentList>
    <comment ref="B4" authorId="0" shapeId="0" xr:uid="{BDB4BA7F-90C4-45B2-B7C4-B5C2BB42A5D6}">
      <text>
        <r>
          <rPr>
            <b/>
            <sz val="9"/>
            <color indexed="81"/>
            <rFont val="Tahoma"/>
            <family val="2"/>
          </rPr>
          <t>Riechel, Celia:</t>
        </r>
        <r>
          <rPr>
            <sz val="9"/>
            <color indexed="81"/>
            <rFont val="Tahoma"/>
            <family val="2"/>
          </rPr>
          <t xml:space="preserve">
Unit of Product.  For breweries, we assume barrels of beer.  Other potential units could be gallons or pounds, but this template would need to be revised. </t>
        </r>
      </text>
    </comment>
    <comment ref="C4" authorId="0" shapeId="0" xr:uid="{062BF9AE-AB39-4799-A1DC-5CDA333EB0A4}">
      <text>
        <r>
          <rPr>
            <b/>
            <sz val="9"/>
            <color indexed="81"/>
            <rFont val="Tahoma"/>
            <family val="2"/>
          </rPr>
          <t>Riechel, Celia:</t>
        </r>
        <r>
          <rPr>
            <sz val="9"/>
            <color indexed="81"/>
            <rFont val="Tahoma"/>
            <family val="2"/>
          </rPr>
          <t xml:space="preserve">
Trash.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D4" authorId="0" shapeId="0" xr:uid="{E85749B5-027E-436B-A518-735871BF185E}">
      <text>
        <r>
          <rPr>
            <b/>
            <sz val="9"/>
            <color indexed="81"/>
            <rFont val="Tahoma"/>
            <family val="2"/>
          </rPr>
          <t>Riechel, Celia:</t>
        </r>
        <r>
          <rPr>
            <sz val="9"/>
            <color indexed="81"/>
            <rFont val="Tahoma"/>
            <family val="2"/>
          </rPr>
          <t xml:space="preserve">
Process (food) waste sent to landfill. Please note that this is prohibited as of July 1, 2020, so if you have more than a de minimis amount going to landfill, this is an area to focus on for improvements. Do not include wastes disposed of in wastewater (which is also not a preferred disposal method).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E4" authorId="0" shapeId="0" xr:uid="{2BA23944-EE3D-49CC-A1E6-38DFDB303FAB}">
      <text>
        <r>
          <rPr>
            <b/>
            <sz val="9"/>
            <color indexed="81"/>
            <rFont val="Tahoma"/>
            <family val="2"/>
          </rPr>
          <t>Riechel, Celia:</t>
        </r>
        <r>
          <rPr>
            <sz val="9"/>
            <color indexed="81"/>
            <rFont val="Tahoma"/>
            <family val="2"/>
          </rPr>
          <t xml:space="preserve">
Hazardous wastes may include waste petroleum oils, ignitable wastes (including </t>
        </r>
        <r>
          <rPr>
            <u/>
            <sz val="9"/>
            <color indexed="81"/>
            <rFont val="Tahoma"/>
            <family val="2"/>
          </rPr>
          <t>&gt;</t>
        </r>
        <r>
          <rPr>
            <sz val="9"/>
            <color indexed="81"/>
            <rFont val="Tahoma"/>
            <family val="2"/>
          </rPr>
          <t xml:space="preserve">25% alcohol solutions), ethylene glycol antifreeze, many solvents, wastes with a pH &lt;2 or &gt;12.5. Nitric acid wastes may be hazardous for ignitability and corrosivity. EAO can help you determine if what you have is hazardous waste.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F4" authorId="0" shapeId="0" xr:uid="{4EE9016E-C73B-49C1-B8C3-4FC2939345DA}">
      <text>
        <r>
          <rPr>
            <b/>
            <sz val="9"/>
            <color indexed="81"/>
            <rFont val="Tahoma"/>
            <family val="2"/>
          </rPr>
          <t>Riechel, Celia:</t>
        </r>
        <r>
          <rPr>
            <sz val="9"/>
            <color indexed="81"/>
            <rFont val="Tahoma"/>
            <family val="2"/>
          </rPr>
          <t xml:space="preserve">
Food waste sent to compost, animal feed, anaerobic digestion, or other reuse/recycling outlet. Use this category only if you have food waste generated outside of production, eg, from a restaurant. Do not include wastes disposed of in wastewater.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G4" authorId="0" shapeId="0" xr:uid="{042A80C6-E4C1-4E08-A846-082BDCCECC8E}">
      <text>
        <r>
          <rPr>
            <b/>
            <sz val="9"/>
            <color indexed="81"/>
            <rFont val="Tahoma"/>
            <family val="2"/>
          </rPr>
          <t>Riechel, Celia:</t>
        </r>
        <r>
          <rPr>
            <sz val="9"/>
            <color indexed="81"/>
            <rFont val="Tahoma"/>
            <family val="2"/>
          </rPr>
          <t xml:space="preserve">
Standard recyclable materials like paper, plastic, glass, and metal containers.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H4" authorId="0" shapeId="0" xr:uid="{0AA7C737-A3AA-4AFF-9910-9817B53F0258}">
      <text>
        <r>
          <rPr>
            <b/>
            <sz val="9"/>
            <color indexed="81"/>
            <rFont val="Tahoma"/>
            <family val="2"/>
          </rPr>
          <t>Riechel, Celia:</t>
        </r>
        <r>
          <rPr>
            <sz val="9"/>
            <color indexed="81"/>
            <rFont val="Tahoma"/>
            <family val="2"/>
          </rPr>
          <t xml:space="preserve">
Non-standard material, such as furniture, carpeting, other bulky items. You will likely not have anything to put here unless you are upgrading equipment or redesigining areas of your facility, or undertaking other non-routine activities.</t>
        </r>
      </text>
    </comment>
    <comment ref="I4" authorId="0" shapeId="0" xr:uid="{A7BB44C9-FB1E-4692-A574-D4113CAEAB5C}">
      <text>
        <r>
          <rPr>
            <b/>
            <sz val="9"/>
            <color indexed="81"/>
            <rFont val="Tahoma"/>
            <family val="2"/>
          </rPr>
          <t>Riechel, Celia:</t>
        </r>
        <r>
          <rPr>
            <sz val="9"/>
            <color indexed="81"/>
            <rFont val="Tahoma"/>
            <family val="2"/>
          </rPr>
          <t xml:space="preserve">
Solid process waste sent to compost, animal feed, anaerobic digestion, or other reuse/recycling outlet. Do not include wastes disposed of in wastewater. 
If you need to convert volume to weight, use separate </t>
        </r>
        <r>
          <rPr>
            <b/>
            <sz val="9"/>
            <color indexed="81"/>
            <rFont val="Tahoma"/>
            <family val="2"/>
          </rPr>
          <t>Waste Conversion</t>
        </r>
        <r>
          <rPr>
            <sz val="9"/>
            <color indexed="81"/>
            <rFont val="Tahoma"/>
            <family val="2"/>
          </rPr>
          <t xml:space="preserve"> tab and this will autopopulate.</t>
        </r>
      </text>
    </comment>
    <comment ref="J4" authorId="0" shapeId="0" xr:uid="{BBAA8745-6ADA-4E75-9B8C-3AFF6935E554}">
      <text>
        <r>
          <rPr>
            <b/>
            <sz val="9"/>
            <color indexed="81"/>
            <rFont val="Tahoma"/>
            <family val="2"/>
          </rPr>
          <t>Riechel, Celia:</t>
        </r>
        <r>
          <rPr>
            <sz val="9"/>
            <color indexed="81"/>
            <rFont val="Tahoma"/>
            <family val="2"/>
          </rPr>
          <t xml:space="preserve">
Liquid process waste sent to compost, animal feed, anaerobic digestion, or other reuse/recycling outlet. Do not include wastes sent to manure pit where waste is land-applied (include in column L). Do not include wastes disposed of in wastewater. </t>
        </r>
      </text>
    </comment>
    <comment ref="K4" authorId="0" shapeId="0" xr:uid="{86D271FD-AE26-42D9-AF3D-D4DB56451037}">
      <text>
        <r>
          <rPr>
            <b/>
            <sz val="9"/>
            <color indexed="81"/>
            <rFont val="Tahoma"/>
            <family val="2"/>
          </rPr>
          <t>Riechel, Celia:</t>
        </r>
        <r>
          <rPr>
            <sz val="9"/>
            <color indexed="81"/>
            <rFont val="Tahoma"/>
            <family val="2"/>
          </rPr>
          <t xml:space="preserve">
Indicate in source data column how this is measured, as not all municipalities separately meter sewer</t>
        </r>
      </text>
    </comment>
    <comment ref="L4" authorId="0" shapeId="0" xr:uid="{9AC01AE0-DFD0-47BF-9464-D72A14E97D1B}">
      <text>
        <r>
          <rPr>
            <b/>
            <sz val="9"/>
            <color indexed="81"/>
            <rFont val="Tahoma"/>
            <family val="2"/>
          </rPr>
          <t>Riechel, Celia:</t>
        </r>
        <r>
          <rPr>
            <sz val="9"/>
            <color indexed="81"/>
            <rFont val="Tahoma"/>
            <family val="2"/>
          </rPr>
          <t xml:space="preserve">
Waste is sprayed or spread, typically on agricultural fields. Include waste that goes to a manure pit where pit contents are sprayed or spread. Usually requires Indirect Discharge permit. </t>
        </r>
      </text>
    </comment>
    <comment ref="M4" authorId="0" shapeId="0" xr:uid="{0B7A008C-1992-4847-B2F1-CF5685693D19}">
      <text>
        <r>
          <rPr>
            <b/>
            <sz val="9"/>
            <color indexed="81"/>
            <rFont val="Tahoma"/>
            <family val="2"/>
          </rPr>
          <t>Riechel, Celia:</t>
        </r>
        <r>
          <rPr>
            <sz val="9"/>
            <color indexed="81"/>
            <rFont val="Tahoma"/>
            <family val="2"/>
          </rPr>
          <t xml:space="preserve">
Typically a septic system, but could also be a larger in-ground system</t>
        </r>
      </text>
    </comment>
    <comment ref="N4" authorId="0" shapeId="0" xr:uid="{1659C128-151E-44A3-83F1-23118DE7ACD7}">
      <text>
        <r>
          <rPr>
            <b/>
            <sz val="9"/>
            <color indexed="81"/>
            <rFont val="Tahoma"/>
            <family val="2"/>
          </rPr>
          <t>Riechel, Celia:</t>
        </r>
        <r>
          <rPr>
            <sz val="9"/>
            <color indexed="81"/>
            <rFont val="Tahoma"/>
            <family val="2"/>
          </rPr>
          <t xml:space="preserve">
Enter data whenever available. Preferably, this is measured at least quarterly. Not all facilities will be able to obtain samples to generate this data</t>
        </r>
      </text>
    </comment>
    <comment ref="P4" authorId="0" shapeId="0" xr:uid="{141A2B06-4B60-4052-9C05-A46F98EAE72E}">
      <text>
        <r>
          <rPr>
            <b/>
            <sz val="9"/>
            <color indexed="81"/>
            <rFont val="Tahoma"/>
            <family val="2"/>
          </rPr>
          <t>Riechel, Celia:</t>
        </r>
        <r>
          <rPr>
            <sz val="9"/>
            <color indexed="81"/>
            <rFont val="Tahoma"/>
            <family val="2"/>
          </rPr>
          <t xml:space="preserve">
From your utility bill.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Riechel, Celia</author>
  </authors>
  <commentList>
    <comment ref="B4" authorId="0" shapeId="0" xr:uid="{D36A6455-BD9E-45B2-B004-33FEC5A51D18}">
      <text>
        <r>
          <rPr>
            <b/>
            <sz val="9"/>
            <color indexed="81"/>
            <rFont val="Tahoma"/>
            <family val="2"/>
          </rPr>
          <t>Riechel, Celia:</t>
        </r>
        <r>
          <rPr>
            <sz val="9"/>
            <color indexed="81"/>
            <rFont val="Tahoma"/>
            <family val="2"/>
          </rPr>
          <t xml:space="preserve">
Trash</t>
        </r>
      </text>
    </comment>
    <comment ref="C4" authorId="0" shapeId="0" xr:uid="{ADAC38DE-2704-4DCF-8964-74D2BAC8DE0E}">
      <text>
        <r>
          <rPr>
            <b/>
            <sz val="9"/>
            <color indexed="81"/>
            <rFont val="Tahoma"/>
            <family val="2"/>
          </rPr>
          <t>Riechel, Celia:</t>
        </r>
        <r>
          <rPr>
            <sz val="9"/>
            <color indexed="81"/>
            <rFont val="Tahoma"/>
            <family val="2"/>
          </rPr>
          <t xml:space="preserve">
Liquid process waste sent to compost, animal feed, anaerobic digestion, or other reuse/recycling outlet. Do not include wastes disposed of in wastewater. </t>
        </r>
      </text>
    </comment>
    <comment ref="D4" authorId="0" shapeId="0" xr:uid="{A7C8BD12-CF07-4DA0-8CBC-60F954108269}">
      <text>
        <r>
          <rPr>
            <b/>
            <sz val="9"/>
            <color indexed="81"/>
            <rFont val="Tahoma"/>
            <family val="2"/>
          </rPr>
          <t>Riechel, Celia:</t>
        </r>
        <r>
          <rPr>
            <sz val="9"/>
            <color indexed="81"/>
            <rFont val="Tahoma"/>
            <family val="2"/>
          </rPr>
          <t xml:space="preserve">
Hazardous wastes may include waste petroleum oils, ignitable wastes (including </t>
        </r>
        <r>
          <rPr>
            <u/>
            <sz val="9"/>
            <color indexed="81"/>
            <rFont val="Tahoma"/>
            <family val="2"/>
          </rPr>
          <t>&gt;</t>
        </r>
        <r>
          <rPr>
            <sz val="9"/>
            <color indexed="81"/>
            <rFont val="Tahoma"/>
            <family val="2"/>
          </rPr>
          <t>25% alcohol solutions), ethylene glycol antifreeze, many solvents, wastes with a pH &lt;2 or &gt;12.5. Nitric acid wastes may be hazardous for ignitability and corrosivity. EAO can help you determine if what you have is hazardous waste</t>
        </r>
      </text>
    </comment>
    <comment ref="E4" authorId="0" shapeId="0" xr:uid="{3AAB7C87-670D-4C00-8A50-1B63CA41AF6F}">
      <text>
        <r>
          <rPr>
            <b/>
            <sz val="9"/>
            <color indexed="81"/>
            <rFont val="Tahoma"/>
            <family val="2"/>
          </rPr>
          <t>Riechel, Celia:</t>
        </r>
        <r>
          <rPr>
            <sz val="9"/>
            <color indexed="81"/>
            <rFont val="Tahoma"/>
            <family val="2"/>
          </rPr>
          <t xml:space="preserve">
Food waste sent to compost, animal feed, anaerobic digestion, or other reuse/recycling outlet. Use this category only if you have food waste generated outside of production, eg, from a restaurant. Do not include wastes disposed of in wastewater</t>
        </r>
      </text>
    </comment>
    <comment ref="F4" authorId="0" shapeId="0" xr:uid="{CDD497BE-29D1-4201-9783-6CCCA21CF4FC}">
      <text>
        <r>
          <rPr>
            <b/>
            <sz val="9"/>
            <color indexed="81"/>
            <rFont val="Tahoma"/>
            <family val="2"/>
          </rPr>
          <t>Riechel, Celia:</t>
        </r>
        <r>
          <rPr>
            <sz val="9"/>
            <color indexed="81"/>
            <rFont val="Tahoma"/>
            <family val="2"/>
          </rPr>
          <t xml:space="preserve">
Standard recyclable materials like paper, plastic, glass, and metal containers.</t>
        </r>
      </text>
    </comment>
    <comment ref="G4" authorId="0" shapeId="0" xr:uid="{0C2AE9B8-49DB-4A93-8B4F-B5EA4C751833}">
      <text>
        <r>
          <rPr>
            <b/>
            <sz val="9"/>
            <color indexed="81"/>
            <rFont val="Tahoma"/>
            <family val="2"/>
          </rPr>
          <t>Riechel, Celia:</t>
        </r>
        <r>
          <rPr>
            <sz val="9"/>
            <color indexed="81"/>
            <rFont val="Tahoma"/>
            <family val="2"/>
          </rPr>
          <t xml:space="preserve">
Non-standard material, such as furniture, carpeting, other bulky items. You will likely not have anything to put here unless you are upgrading equipment or redesigining areas of your facility, or undertaking other non-routine activities.</t>
        </r>
      </text>
    </comment>
    <comment ref="H4" authorId="0" shapeId="0" xr:uid="{8A0448EB-8F0A-48BE-989C-255CA75C526E}">
      <text>
        <r>
          <rPr>
            <b/>
            <sz val="9"/>
            <color indexed="81"/>
            <rFont val="Tahoma"/>
            <family val="2"/>
          </rPr>
          <t>Riechel, Celia:</t>
        </r>
        <r>
          <rPr>
            <sz val="9"/>
            <color indexed="81"/>
            <rFont val="Tahoma"/>
            <family val="2"/>
          </rPr>
          <t xml:space="preserve">
Solid process waste sent to compost, animal feed, anaerobic digestion, or other reuse/recycling outlet. Do not include wastes disposed of in wastewater. </t>
        </r>
      </text>
    </comment>
    <comment ref="I4" authorId="0" shapeId="0" xr:uid="{FD2DE530-CC5B-46A8-ADCB-049E70872AE0}">
      <text>
        <r>
          <rPr>
            <b/>
            <sz val="9"/>
            <color indexed="81"/>
            <rFont val="Tahoma"/>
            <family val="2"/>
          </rPr>
          <t>Riechel, Celia:</t>
        </r>
        <r>
          <rPr>
            <sz val="9"/>
            <color indexed="81"/>
            <rFont val="Tahoma"/>
            <family val="2"/>
          </rPr>
          <t xml:space="preserve">
Liquid process waste sent to compost, animal feed, anaerobic digestion, or other reuse/recycling outlet. Do not include wastes disposed of in wastewater. </t>
        </r>
      </text>
    </comment>
    <comment ref="J4" authorId="0" shapeId="0" xr:uid="{146FD054-1111-4A40-85AF-BCA377370FFF}">
      <text>
        <r>
          <rPr>
            <b/>
            <sz val="9"/>
            <color indexed="81"/>
            <rFont val="Tahoma"/>
            <family val="2"/>
          </rPr>
          <t>Riechel, Celia:</t>
        </r>
        <r>
          <rPr>
            <sz val="9"/>
            <color indexed="81"/>
            <rFont val="Tahoma"/>
            <family val="2"/>
          </rPr>
          <t xml:space="preserve">
Indicate in source data column how this is determined. You can bundle all charges or record BOD surcharge (if applicable) in separate column M). This is currently manual entry, but you can edit this column to automatically calculate using your sewer rate.</t>
        </r>
      </text>
    </comment>
    <comment ref="L4" authorId="0" shapeId="0" xr:uid="{1DBC5067-CB85-495B-ADDE-908E8C74DD6E}">
      <text>
        <r>
          <rPr>
            <b/>
            <sz val="9"/>
            <color indexed="81"/>
            <rFont val="Tahoma"/>
            <family val="2"/>
          </rPr>
          <t>Riechel, Celia:</t>
        </r>
        <r>
          <rPr>
            <sz val="9"/>
            <color indexed="81"/>
            <rFont val="Tahoma"/>
            <family val="2"/>
          </rPr>
          <t xml:space="preserve"> If you own your septic system, you won't have a charge here, but you may wish to try to capture costs of system expansion or servicing.</t>
        </r>
      </text>
    </comment>
    <comment ref="M4" authorId="0" shapeId="0" xr:uid="{C13C8DA6-4220-45FB-988B-DB5A10BD596E}">
      <text>
        <r>
          <rPr>
            <b/>
            <sz val="9"/>
            <color indexed="81"/>
            <rFont val="Tahoma"/>
            <family val="2"/>
          </rPr>
          <t>Riechel, Celia:</t>
        </r>
        <r>
          <rPr>
            <sz val="9"/>
            <color indexed="81"/>
            <rFont val="Tahoma"/>
            <family val="2"/>
          </rPr>
          <t xml:space="preserve">
You may separately record BOD surcharge here, if applicable, or include in single Wastewater to sewer column J. If you have other surcharges (TSS, phosphorus, etc.) you can add additional columns in this table. Enter data whenever available. </t>
        </r>
      </text>
    </comment>
    <comment ref="O4" authorId="0" shapeId="0" xr:uid="{6CF32902-3DE9-41B8-A704-744277367461}">
      <text>
        <r>
          <rPr>
            <b/>
            <sz val="9"/>
            <color indexed="81"/>
            <rFont val="Tahoma"/>
            <family val="2"/>
          </rPr>
          <t>Riechel, Celia:</t>
        </r>
        <r>
          <rPr>
            <sz val="9"/>
            <color indexed="81"/>
            <rFont val="Tahoma"/>
            <family val="2"/>
          </rPr>
          <t xml:space="preserve">
From your utility bill. You may wish to separate out account or other charges.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Riechel, Celia</author>
  </authors>
  <commentList>
    <comment ref="J3" authorId="0" shapeId="0" xr:uid="{BD135F0F-42F5-4962-8957-92D2430D3FDF}">
      <text>
        <r>
          <rPr>
            <b/>
            <sz val="9"/>
            <color indexed="81"/>
            <rFont val="Tahoma"/>
            <charset val="1"/>
          </rPr>
          <t>Riechel, Celia:</t>
        </r>
        <r>
          <rPr>
            <sz val="9"/>
            <color indexed="81"/>
            <rFont val="Tahoma"/>
            <charset val="1"/>
          </rPr>
          <t xml:space="preserve">
While the term </t>
        </r>
        <r>
          <rPr>
            <i/>
            <sz val="9"/>
            <color indexed="81"/>
            <rFont val="Tahoma"/>
            <family val="2"/>
          </rPr>
          <t>Diversion Rate</t>
        </r>
        <r>
          <rPr>
            <sz val="9"/>
            <color indexed="81"/>
            <rFont val="Tahoma"/>
            <family val="2"/>
          </rPr>
          <t>, which</t>
        </r>
        <r>
          <rPr>
            <sz val="9"/>
            <color indexed="81"/>
            <rFont val="Tahoma"/>
            <charset val="1"/>
          </rPr>
          <t xml:space="preserve"> is sometimes used in the waste industry, is technically more accurate, </t>
        </r>
        <r>
          <rPr>
            <i/>
            <sz val="9"/>
            <color indexed="81"/>
            <rFont val="Tahoma"/>
            <family val="2"/>
          </rPr>
          <t>Recycling Rate</t>
        </r>
        <r>
          <rPr>
            <sz val="9"/>
            <color indexed="81"/>
            <rFont val="Tahoma"/>
            <family val="2"/>
          </rPr>
          <t xml:space="preserve"> is more universally understood</t>
        </r>
        <r>
          <rPr>
            <sz val="9"/>
            <color indexed="81"/>
            <rFont val="Tahoma"/>
            <charset val="1"/>
          </rPr>
          <t xml:space="preserve">.  We have opted for the latter, and use it in the broadest sense to include packaging material recycled and reused, as well as food waste diverted from the landfill or wastewater.  </t>
        </r>
      </text>
    </comment>
  </commentList>
</comments>
</file>

<file path=xl/sharedStrings.xml><?xml version="1.0" encoding="utf-8"?>
<sst xmlns="http://schemas.openxmlformats.org/spreadsheetml/2006/main" count="495" uniqueCount="279">
  <si>
    <t>Column1</t>
  </si>
  <si>
    <t>Apr-18</t>
  </si>
  <si>
    <t>May-18</t>
  </si>
  <si>
    <t>Jun-18</t>
  </si>
  <si>
    <t>Jul-18</t>
  </si>
  <si>
    <t>Aug-18</t>
  </si>
  <si>
    <t>Sep-18</t>
  </si>
  <si>
    <t>Oct-18</t>
  </si>
  <si>
    <t>Nov-18</t>
  </si>
  <si>
    <t>Dec-18</t>
  </si>
  <si>
    <t>Jan-19</t>
  </si>
  <si>
    <t>Feb-19</t>
  </si>
  <si>
    <t>Mar-19</t>
  </si>
  <si>
    <t>Apr-19</t>
  </si>
  <si>
    <t>Total</t>
  </si>
  <si>
    <t>Source data</t>
  </si>
  <si>
    <t>Purchased electricity consumed (kWh)</t>
  </si>
  <si>
    <t>Generated electricity consumed (kWh)</t>
  </si>
  <si>
    <t>Propane (gal)</t>
  </si>
  <si>
    <t>Heating oil (gal)</t>
  </si>
  <si>
    <t>Notes</t>
  </si>
  <si>
    <t>Recycling rate (%)</t>
  </si>
  <si>
    <t>Cells autopopulate</t>
  </si>
  <si>
    <t>Potable water used (gal)</t>
  </si>
  <si>
    <t>Gasoline (gal)</t>
  </si>
  <si>
    <t>Diesel (gal)</t>
  </si>
  <si>
    <t>Wood (tons)</t>
  </si>
  <si>
    <t>Natural gas (Ccf)</t>
  </si>
  <si>
    <t>USEFUL CONVERSIONS</t>
  </si>
  <si>
    <t>1 Ccf natural gas = 100 cf</t>
  </si>
  <si>
    <t>1 Ccf natural gas = 1.037 therms</t>
  </si>
  <si>
    <t>Summary</t>
  </si>
  <si>
    <t>1 gallon propane = 4.23 lbs</t>
  </si>
  <si>
    <t>Metric</t>
  </si>
  <si>
    <t>Solid waste sent to landfill</t>
  </si>
  <si>
    <t>Hazardous waste disposed</t>
  </si>
  <si>
    <t>Recycled material</t>
  </si>
  <si>
    <t>Other recycled/reused material</t>
  </si>
  <si>
    <t>Purchased electricity consumed</t>
  </si>
  <si>
    <t>Generated electricity consumed</t>
  </si>
  <si>
    <t>Natural gas</t>
  </si>
  <si>
    <t>Propane</t>
  </si>
  <si>
    <t>Heating oil</t>
  </si>
  <si>
    <t>Wood</t>
  </si>
  <si>
    <t>Gasoline</t>
  </si>
  <si>
    <t>Diesel</t>
  </si>
  <si>
    <t>Potable water used</t>
  </si>
  <si>
    <t>1 US ton = 2,000 lbs</t>
  </si>
  <si>
    <t>-</t>
  </si>
  <si>
    <r>
      <t>Selected Carbon Footprint Values (MTCO</t>
    </r>
    <r>
      <rPr>
        <vertAlign val="subscript"/>
        <sz val="16"/>
        <color theme="1"/>
        <rFont val="Franklin Gothic Demi Cond"/>
        <family val="2"/>
      </rPr>
      <t>2</t>
    </r>
    <r>
      <rPr>
        <sz val="16"/>
        <color theme="1"/>
        <rFont val="Franklin Gothic Demi Cond"/>
        <family val="2"/>
      </rPr>
      <t>e)</t>
    </r>
  </si>
  <si>
    <t>All diverted wastes (tons)</t>
  </si>
  <si>
    <t>All wastes disposed (tons)</t>
  </si>
  <si>
    <r>
      <t>Values given in metric tons of CO</t>
    </r>
    <r>
      <rPr>
        <vertAlign val="subscript"/>
        <sz val="10"/>
        <color theme="1"/>
        <rFont val="Franklin Gothic Book"/>
        <family val="2"/>
      </rPr>
      <t>2</t>
    </r>
    <r>
      <rPr>
        <sz val="10"/>
        <color theme="1"/>
        <rFont val="Franklin Gothic Book"/>
        <family val="2"/>
      </rPr>
      <t xml:space="preserve"> equivalent (MTCO</t>
    </r>
    <r>
      <rPr>
        <vertAlign val="subscript"/>
        <sz val="10"/>
        <color theme="1"/>
        <rFont val="Franklin Gothic Book"/>
        <family val="2"/>
      </rPr>
      <t>2</t>
    </r>
    <r>
      <rPr>
        <sz val="10"/>
        <color theme="1"/>
        <rFont val="Franklin Gothic Book"/>
        <family val="2"/>
      </rPr>
      <t>e)</t>
    </r>
  </si>
  <si>
    <t>https://www.epa.gov/p2/pollution-prevention-tools-and-calculators</t>
  </si>
  <si>
    <t xml:space="preserve">Purchased electricity consumed CO2e source: EPA eGRID 2016 (February 15, 2018 version), Vermont annual non-baseload output emission rate. </t>
  </si>
  <si>
    <t>https://www.epa.gov/energy/emissions-generation-resource-integrated-database-egrid</t>
  </si>
  <si>
    <t xml:space="preserve">Energy units and calculators: </t>
  </si>
  <si>
    <t>https://www.eia.gov/energyexplained/index.php?page=about_energy_units</t>
  </si>
  <si>
    <t xml:space="preserve">Diesel, gasoline, water use emissions factors from EPA P2 GHG Emissions Calculator: </t>
  </si>
  <si>
    <t xml:space="preserve">https://www.epa.gov/p2/pollution-prevention-tools-and-calculators </t>
  </si>
  <si>
    <t>For a more comprehensive carbon footprint analysis, we recommend you use the EPA's Corporate Climate Leadership calculator and tools, available at:</t>
  </si>
  <si>
    <t>https://www.epa.gov/climateleadership</t>
  </si>
  <si>
    <t>celia.riechel@vermont.gov</t>
  </si>
  <si>
    <t xml:space="preserve">www.eaovt.org </t>
  </si>
  <si>
    <t>Wood heat emissions factors: BTU values from US Forest Service Fuel Value Calculator:</t>
  </si>
  <si>
    <t>https://www.fpl.fs.fed.us/documnts/techline/fuel-value-calculator.pdf</t>
  </si>
  <si>
    <t xml:space="preserve">Uses net CO2e calculation from Biomass Energy Research Center: </t>
  </si>
  <si>
    <t>https://www.biomasscenter.org/pdfs/veic-carbon-emission-and-modern-wood-heating-summary.pdf</t>
  </si>
  <si>
    <t>1 metric ton = 2,204.62 lbs</t>
  </si>
  <si>
    <t>1 therm = 100,000 BTU</t>
  </si>
  <si>
    <t>1 MBTU = 1,000,000 BTU (sometimes also written 1 mmBTU)</t>
  </si>
  <si>
    <t>Hazardous waste disposed (lbs)</t>
  </si>
  <si>
    <t>https://www.epa.gov/warm</t>
  </si>
  <si>
    <t>Process waste diverted - liquid (gal)</t>
  </si>
  <si>
    <t>Liquid process waste assumes  10,000mg/L, or 0.0835 lb/gal</t>
  </si>
  <si>
    <t>Process waste sent to landfill</t>
  </si>
  <si>
    <t>Food &amp; process waste diverted</t>
  </si>
  <si>
    <t>Generic data not available</t>
  </si>
  <si>
    <t xml:space="preserve">Generated electricity consumed CO2e: assumes solar or wind with 0 CO2e. </t>
  </si>
  <si>
    <t xml:space="preserve">Waste emissions factors from: EPA's Waste Reduction Model (WARM), using Vermont average values. </t>
  </si>
  <si>
    <t>https://www.epa.gov/energy/greenhouse-gas-equivalencies-calculator</t>
  </si>
  <si>
    <t>For help translating greenhouse gas emissions into familiar terms when communicating targets and milestones to your employees, customers, and others, use the EPA's Greenhouse Gas Equivalencies Calculator, available at:</t>
  </si>
  <si>
    <r>
      <rPr>
        <sz val="14"/>
        <color rgb="FF263F6A"/>
        <rFont val="Franklin Gothic Demi Cond"/>
        <family val="2"/>
      </rPr>
      <t>Reporting progress</t>
    </r>
    <r>
      <rPr>
        <sz val="11"/>
        <color theme="1"/>
        <rFont val="Palatino Linotype"/>
        <family val="1"/>
      </rPr>
      <t xml:space="preserve">
As part of your participation in the Cohort, you have committed to tracking your performance and sharing information on your progress with DEC. The easiest way to do this is to simply save a version of this workbook with the name of your business and return it to DEC. </t>
    </r>
  </si>
  <si>
    <t>To better assess the carbon footprint of your entire operation and value chain, for instance the impact of operations at your suppliers and the life cycle of your packaging, you may wish to retain the services of a company specializing in corporate GHG accounting.</t>
  </si>
  <si>
    <t xml:space="preserve">For additional calculations related to solid waste, recycling, and food waste, we recommend you use the EPA's Waste Reduction Model (WARM), available at: </t>
  </si>
  <si>
    <t xml:space="preserve">https://www.epa.gov/warm </t>
  </si>
  <si>
    <t>Process waste sent to landfill - solid  (lbs)</t>
  </si>
  <si>
    <t>Hazardous waste disposed  (lbs)</t>
  </si>
  <si>
    <t>Food waste (post-consumer) diverted  (lbs)</t>
  </si>
  <si>
    <t>Recycled material  (lbs)</t>
  </si>
  <si>
    <t>Other recycled/reused material  (lbs)</t>
  </si>
  <si>
    <t>Process waste diverted - solid (lbs)</t>
  </si>
  <si>
    <t>Wastewater to sewer (gal)</t>
  </si>
  <si>
    <t>Wastewater to land surface (gal)</t>
  </si>
  <si>
    <t>Wastewater to soil (in-ground) (gal)</t>
  </si>
  <si>
    <t>Wastewater BOD (mg/L)</t>
  </si>
  <si>
    <t>Jan-18</t>
  </si>
  <si>
    <t>Feb-18</t>
  </si>
  <si>
    <t>Mar-18</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</si>
  <si>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</si>
  <si>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</si>
  <si>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</si>
  <si>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</si>
  <si>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</si>
  <si>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</si>
  <si>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</si>
  <si>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</si>
  <si>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</si>
  <si>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</si>
  <si>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</si>
  <si>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</si>
  <si>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</si>
  <si>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</si>
  <si>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</si>
  <si>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</si>
  <si>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</si>
  <si>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</si>
  <si>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</si>
  <si>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</si>
  <si>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Product</t>
  </si>
  <si>
    <t>Unit of Product:</t>
  </si>
  <si>
    <t>Notes on data sources or methods</t>
  </si>
  <si>
    <t>All recycling &amp; reuse  (tons)</t>
  </si>
  <si>
    <t>Food waste diverted  (tons)</t>
  </si>
  <si>
    <t>Food waste (post-consumer) diverted (lbs)</t>
  </si>
  <si>
    <t>Other recycled/ reused material (lbs)</t>
  </si>
  <si>
    <t>Production (tons product)</t>
  </si>
  <si>
    <t>Date</t>
  </si>
  <si>
    <t xml:space="preserve">Enter data here.  </t>
  </si>
  <si>
    <t>REFERENCES</t>
  </si>
  <si>
    <t>Electricity consumed (MWh)</t>
  </si>
  <si>
    <t>All energy use (MMBTU)</t>
  </si>
  <si>
    <t xml:space="preserve">Water : wastewater </t>
  </si>
  <si>
    <t>Water used (gal)</t>
  </si>
  <si>
    <t>All wastewater (gal)</t>
  </si>
  <si>
    <r>
      <t xml:space="preserve">Water use intensity 
</t>
    </r>
    <r>
      <rPr>
        <sz val="10"/>
        <color theme="1"/>
        <rFont val="Palatino Linotype"/>
        <family val="1"/>
      </rPr>
      <t>(water used/unit of product)</t>
    </r>
  </si>
  <si>
    <t>Food &amp; process waste diversion uses averaged value from composting and anaerobic digestion. This could be significantly refined based on the specific destination of food wastes.</t>
  </si>
  <si>
    <t>If generating through other means (diesel, wood, etc.), add this fuel use to the appropriate column, or create a new table column and copy CO2e equation</t>
  </si>
  <si>
    <t>Assumes water from treated municipal source</t>
  </si>
  <si>
    <t>Water use CO2e source: EPA eGRID 2016 (February 15, 2018 version)</t>
  </si>
  <si>
    <t>Wastewater treatment</t>
  </si>
  <si>
    <t>n/a</t>
  </si>
  <si>
    <t>Performance Data Input</t>
  </si>
  <si>
    <t>Financial Data Input</t>
  </si>
  <si>
    <t>Solid waste sent to landfill ($)</t>
  </si>
  <si>
    <t>Process waste sent to landfill - solid  ($)</t>
  </si>
  <si>
    <t>Hazardous waste disposed ($)</t>
  </si>
  <si>
    <t>Food waste (post-consumer) diverted ($)</t>
  </si>
  <si>
    <t>Recycled material  ($)</t>
  </si>
  <si>
    <t>Other recycled/ reused material ($)</t>
  </si>
  <si>
    <t>Process waste diverted - solid ($)</t>
  </si>
  <si>
    <t>Process waste diverted - liquid ($)</t>
  </si>
  <si>
    <t>Wastewater to sewer ($)</t>
  </si>
  <si>
    <t>Wastewater to land surface ($)</t>
  </si>
  <si>
    <t>Wastewater to soil (in-ground) ($)</t>
  </si>
  <si>
    <t>Wastewater BOD ($)</t>
  </si>
  <si>
    <t>Water used ($)</t>
  </si>
  <si>
    <t>Purchased electricity consumed ($)</t>
  </si>
  <si>
    <t>Natural gas ($)</t>
  </si>
  <si>
    <t>Rate ($/unit)</t>
  </si>
  <si>
    <t>Propane ($)</t>
  </si>
  <si>
    <t>Heating oil ($)</t>
  </si>
  <si>
    <t>Gasoline ($)</t>
  </si>
  <si>
    <t>Diesel ($)</t>
  </si>
  <si>
    <t>Wood ($)</t>
  </si>
  <si>
    <t>https://www.epa.gov/sites/production/files/2016-04/documents/volume_to_weight_conversion_factors_memorandum_04192016_508fnl.pdf</t>
  </si>
  <si>
    <t>Disposal costs ($)</t>
  </si>
  <si>
    <t>Recycling/ diversion costs ($)</t>
  </si>
  <si>
    <t>Energy costs ($)</t>
  </si>
  <si>
    <t>All wastewater costs ($)</t>
  </si>
  <si>
    <t>Energy cost per unit of product ($/ton)</t>
  </si>
  <si>
    <t>Waste disposal costs per unit product ($/ton)</t>
  </si>
  <si>
    <t>Waste volume to weight conversions</t>
  </si>
  <si>
    <t>If your waste data is available by volume, you may use this worksheet to automatically calculate approximate weights.</t>
  </si>
  <si>
    <t>Enter data here.</t>
  </si>
  <si>
    <r>
      <t xml:space="preserve">Solid waste volume-to-weight conversions from conversion factors in </t>
    </r>
    <r>
      <rPr>
        <i/>
        <sz val="11"/>
        <color theme="1"/>
        <rFont val="Calibri"/>
        <family val="2"/>
        <scheme val="minor"/>
      </rPr>
      <t>Measuring Recycling: A Guide for State and Local Governments"</t>
    </r>
    <r>
      <rPr>
        <sz val="11"/>
        <color theme="1"/>
        <rFont val="Calibri"/>
        <family val="2"/>
        <scheme val="minor"/>
      </rPr>
      <t>, US EPA, 1997.</t>
    </r>
  </si>
  <si>
    <t>https://archive.epa.gov/wastes/conserve/tools/recmeas/web/html/download.html</t>
  </si>
  <si>
    <t>Where applicable, values from 2016 update are used:</t>
  </si>
  <si>
    <t>Conversion factors are often ranges or reflect inexact categories.  The following values are used in this sheet:</t>
  </si>
  <si>
    <t>Material type</t>
  </si>
  <si>
    <t>Volume</t>
  </si>
  <si>
    <t>EPA estimated weight (lbs)</t>
  </si>
  <si>
    <t>EPA source</t>
  </si>
  <si>
    <t>1 cu yd</t>
  </si>
  <si>
    <t>300-600</t>
  </si>
  <si>
    <t>1997 value for MSW, commercial-industrial, uncompacted</t>
  </si>
  <si>
    <t>Mixed solid waste (trash), uncompacted</t>
  </si>
  <si>
    <t>We use the low end because VT law requires diversion of food waste, which is one of the heaviest components of waste.</t>
  </si>
  <si>
    <t>Mixed solid waste (trash), compacted</t>
  </si>
  <si>
    <t>400-700</t>
  </si>
  <si>
    <t>See above</t>
  </si>
  <si>
    <t>2016 update value for Mixed MSW - Residential, Insitutional, Commercial, compacted</t>
  </si>
  <si>
    <t>Recyclables, commingled</t>
  </si>
  <si>
    <t>Recyclables, cardboard and chip board</t>
  </si>
  <si>
    <t>74.54 (cardboard and chip board)
106 (cardboard, flattened)</t>
  </si>
  <si>
    <t>2016 update value for Paper, Old Corrugated Containers and Chip Board, uncompacted; and, Old Corrugated Containers, Flattened.</t>
  </si>
  <si>
    <t>Recyclables, metal containers</t>
  </si>
  <si>
    <t>Recyclables, aluminum containers</t>
  </si>
  <si>
    <t>Recyclables, steel containers</t>
  </si>
  <si>
    <t>Recyclables, glass containers</t>
  </si>
  <si>
    <t>Recyclables, glass containers (cu yd)</t>
  </si>
  <si>
    <t>Recyclables, plastic containers</t>
  </si>
  <si>
    <t>2016 update value for Metals, Aluminum Cans, Uncompacted, and Steel Cans, Whole.</t>
  </si>
  <si>
    <t>2016 update value for Metals, Aluminum Cans, Uncompacted</t>
  </si>
  <si>
    <t>50-175</t>
  </si>
  <si>
    <t>Average (mean) values for aluminum and steel cans mean</t>
  </si>
  <si>
    <t>Average (mean) values for cardboard and chipboard/cardbpard mix</t>
  </si>
  <si>
    <t>2016 update value for Metals, Steel Cans, Whole.</t>
  </si>
  <si>
    <t>2016 update value for Glass, Bottles, Loose.</t>
  </si>
  <si>
    <t>2016 update value for Plastic, Mixed PET and HDPE, Loose.</t>
  </si>
  <si>
    <t>Process waste, solid</t>
  </si>
  <si>
    <t>2016 update value for Food, Source Separated Organics - commercial.</t>
  </si>
  <si>
    <t>Recycables, cardboard, baled</t>
  </si>
  <si>
    <t>Recyclables, cardboard, baled (cu yd)</t>
  </si>
  <si>
    <t>700-1,100</t>
  </si>
  <si>
    <t>Mid-point</t>
  </si>
  <si>
    <t>2016 update value for Paper, Old Corrugated Containers, Baled.</t>
  </si>
  <si>
    <t>Recyclables, Plastic, Film, LDPE loose</t>
  </si>
  <si>
    <t>Recyclables, Plastic, Film, LDPE baled</t>
  </si>
  <si>
    <t>2016 update value for Plastic, Film, LDPE, Loose.</t>
  </si>
  <si>
    <t>30"x42"x48" (1.3 cu yd)</t>
  </si>
  <si>
    <t>2016 update value for Plastic, Film, LDPE, Baled.</t>
  </si>
  <si>
    <t>Recyclables, commingled (cu yd)</t>
  </si>
  <si>
    <t>Recyclables, cardboard and chipboard 
(cu yd)</t>
  </si>
  <si>
    <t>Recyclables, metal containers (cu yd)</t>
  </si>
  <si>
    <t>Recyclables, aluminum containers (cu yd)</t>
  </si>
  <si>
    <t>Recyclables, steel containers (cu yd)</t>
  </si>
  <si>
    <t>Food waste, solid</t>
  </si>
  <si>
    <t>135 (Organics - commercial)
396 (Food Waste - restaurants)</t>
  </si>
  <si>
    <t>Mean of values for commercial organics and restaurant food waste</t>
  </si>
  <si>
    <t>2016 update value for Food, Organics - commercial and Food Waste - restaurants.</t>
  </si>
  <si>
    <t>46 (aluminum cans)
50-175 (steel cans)</t>
  </si>
  <si>
    <t>1 cubic yard = 27 cubic feet</t>
  </si>
  <si>
    <t>1 cubic yard = 201.97 gallons</t>
  </si>
  <si>
    <t>Process waste, solid, in trash 
(cu yd)</t>
  </si>
  <si>
    <t>Process waste, solid, diverted 
(cu yd)</t>
  </si>
  <si>
    <t>Food waste 
(cu yd)</t>
  </si>
  <si>
    <t>Recyclables, plastic containers (cu yd)</t>
  </si>
  <si>
    <t>Recyclables, Plastic, Film, LDPE loose
(cu yd)</t>
  </si>
  <si>
    <t>Calculated value of 1 cu yd</t>
  </si>
  <si>
    <t>Cohort template value (lbs)</t>
  </si>
  <si>
    <t xml:space="preserve">Recyclables, Plastic, Film, LDPE baled 
(cu yd) </t>
  </si>
  <si>
    <t>Trash sent to landfill (lbs)</t>
  </si>
  <si>
    <t>Trash sent to landfill  (lbs)</t>
  </si>
  <si>
    <t>Trash, uncompacted 
(cu yd)</t>
  </si>
  <si>
    <t>Trash, compacted 
(cu yd)</t>
  </si>
  <si>
    <t>Use this workbook to record data on your environmental impacts, set sustainability goals, and track your progress.  The workbook is designed to provide a simple way for you to manage and visualize data, without specialized software or training.  It includes tabs for entering data, viewing summary tables and charts, and accessing references.  If you have multiple facilities, you may wish to track their performance separately.</t>
  </si>
  <si>
    <t>111 (commingled recyclables); 58; 88 (commercial recyclables)</t>
  </si>
  <si>
    <t>2016 update value for: Commingled Recyclable Material, Containers (Plastic bottles, Aluminum cans, Steel cans, Glass bottles), Corrugated Containers and Paper; and, Commercial Recyclables Containers (Food/beverage, Glass) Corrugated Containers &amp; Paper</t>
  </si>
  <si>
    <t>Assumes a wet solid</t>
  </si>
  <si>
    <t>The WARM model uses a life-cycle methodology of GHG accounting.  Although impacts are listed in a specific month and attributed to your specific management choice, they would accrue over time and across sectors associated with raw materials extraction, manufacturing/processing, transportation, use, and end-of-life management.</t>
  </si>
  <si>
    <t xml:space="preserve">Negative values indicate net reduction (through sinks (e.g., forest carbon storage from avoided virgin paper production) and avoided emissions) relative to a baseline scenario of landfilling. </t>
  </si>
  <si>
    <t xml:space="preserve">All recycling streams uses Mixed Recyclables value, however, for more accurate accounting, streams that are managed separately (e.g., if you separately manage cardboard or aluminum cans), should have their carbon footprint separately calculated.  Because this is for general planning purposes, we use the simpler combined value.  </t>
  </si>
  <si>
    <r>
      <t xml:space="preserve">The </t>
    </r>
    <r>
      <rPr>
        <b/>
        <sz val="11"/>
        <color theme="4" tint="-0.249977111117893"/>
        <rFont val="Palatino Linotype"/>
        <family val="1"/>
      </rPr>
      <t>Summary Table</t>
    </r>
    <r>
      <rPr>
        <sz val="11"/>
        <color theme="1"/>
        <rFont val="Palatino Linotype"/>
        <family val="2"/>
      </rPr>
      <t xml:space="preserve"> sheet auto-populates (meaning, you don't have to enter anything) using the data entered in the Performance Data Input and Financial Data Input sheets.  It groups submetrics (e.g., Food Waste and Process Waste diverted) into metrics relevant to your Cohort participation goals, or of general sustainbility interest.</t>
    </r>
  </si>
  <si>
    <r>
      <t xml:space="preserve">The </t>
    </r>
    <r>
      <rPr>
        <b/>
        <sz val="11"/>
        <color theme="4" tint="-0.249977111117893"/>
        <rFont val="Palatino Linotype"/>
        <family val="1"/>
      </rPr>
      <t>Summary Charts</t>
    </r>
    <r>
      <rPr>
        <sz val="11"/>
        <color theme="1"/>
        <rFont val="Palatino Linotype"/>
        <family val="2"/>
      </rPr>
      <t xml:space="preserve"> tab also auto-populates from the Performance and Financial Data Input sheets.  The charts provide a visual display of various metrics overlain with production level.</t>
    </r>
  </si>
  <si>
    <r>
      <t xml:space="preserve">The </t>
    </r>
    <r>
      <rPr>
        <b/>
        <sz val="11"/>
        <color theme="4" tint="-0.249977111117893"/>
        <rFont val="Palatino Linotype"/>
        <family val="1"/>
      </rPr>
      <t>Waste Volume Conversions</t>
    </r>
    <r>
      <rPr>
        <sz val="11"/>
        <color theme="1"/>
        <rFont val="Palatino Linotype"/>
        <family val="1"/>
      </rPr>
      <t xml:space="preserve"> sheet can be used to convert volume to weight of most common wastes and recyclables.</t>
    </r>
    <r>
      <rPr>
        <sz val="11"/>
        <color theme="1"/>
        <rFont val="Palatino Linotype"/>
        <family val="2"/>
      </rPr>
      <t xml:space="preserve">  If you enter your volume of waste here, it will automatically populate in the Performance Data Input sheet.</t>
    </r>
  </si>
  <si>
    <r>
      <rPr>
        <sz val="14"/>
        <color rgb="FF263F6A"/>
        <rFont val="Franklin Gothic Demi Cond"/>
        <family val="2"/>
      </rPr>
      <t>Note on carbon footprint</t>
    </r>
    <r>
      <rPr>
        <sz val="11"/>
        <color theme="1"/>
        <rFont val="Palatino Linotype"/>
        <family val="1"/>
      </rPr>
      <t xml:space="preserve">
The template includes an auto-populating </t>
    </r>
    <r>
      <rPr>
        <b/>
        <sz val="11"/>
        <color theme="4" tint="-0.249977111117893"/>
        <rFont val="Palatino Linotype"/>
        <family val="1"/>
      </rPr>
      <t>Carbon Footprint</t>
    </r>
    <r>
      <rPr>
        <sz val="11"/>
        <color theme="1"/>
        <rFont val="Palatino Linotype"/>
        <family val="1"/>
      </rPr>
      <t xml:space="preserve"> table summarizing carbon footprint, as measured by metric tons of carbon dioxide equivalent (MTCO</t>
    </r>
    <r>
      <rPr>
        <vertAlign val="subscript"/>
        <sz val="11"/>
        <color theme="1"/>
        <rFont val="Palatino Linotype"/>
        <family val="1"/>
      </rPr>
      <t>2</t>
    </r>
    <r>
      <rPr>
        <sz val="11"/>
        <color theme="1"/>
        <rFont val="Palatino Linotype"/>
        <family val="1"/>
      </rPr>
      <t xml:space="preserve">e). The protocols for measuring carbon footprint under nationally- and globally-accepted standards are complex and beyond the scope of the Vermont Business Sustainability Cohorts. The carbon footprint values given here are intended to enable you to compare the relative carbon footprint of the metrics you have been asked to track as part of the Cohort, based largely on direct (Scope 1) emissions. We also include indirect (Scope 2) emissions for purchased electricity, and upstream (Scope 3) emissions, more closely approaching a life-cycle assessment, for wood heat, recycling, and food waste diversion. </t>
    </r>
  </si>
  <si>
    <t>Because the model used to estimate impacts of waste management follows a life-cycle methodology comparing alternative management methods, food waste diversion will return a negative value. Users are cautioned not to interpret this as meaning that diversion of wastes is inherently beneficial; rather, they are merely better than disposal. The most effective way to reduce carbon footprint associated with waste management is source reduction.</t>
  </si>
  <si>
    <t xml:space="preserve">Because the footprint is not comprehensive, we recommend it be used for internal planning and communications purposes only. </t>
  </si>
  <si>
    <t xml:space="preserve">If your waste and recycling data is by volume, start with the Waste Volume Conversions sheet, which will autopopulate the Performance Data Input sheet. If you directly enter data in the waste, recycling, and food waste columns of the Performance Data Input sheet, it will overwrite the equations that autopopulate weight from the Waste Volume Conversions sheet.
Not all columns will be relevant to all operations, and you may not be tracking or have data for everything.  Leave cells blank where no data is available.  
Some cells have a small red triangle in the upper right-hand corner indicating a note related to that item.  Hover your mouse over that cell and the note will appear.
To avoid accidental errors, this workbook is not editable.  See note below on adapating the template to your needs. </t>
  </si>
  <si>
    <r>
      <rPr>
        <sz val="14"/>
        <color rgb="FF263F6A"/>
        <rFont val="Franklin Gothic Demi Cond"/>
        <family val="2"/>
      </rPr>
      <t>Directions</t>
    </r>
    <r>
      <rPr>
        <sz val="11"/>
        <color theme="1"/>
        <rFont val="Palatino Linotype"/>
        <family val="1"/>
      </rPr>
      <t xml:space="preserve">
</t>
    </r>
    <r>
      <rPr>
        <b/>
        <sz val="11"/>
        <color theme="1"/>
        <rFont val="Palatino Linotype"/>
        <family val="1"/>
      </rPr>
      <t xml:space="preserve">Enter data only in the </t>
    </r>
    <r>
      <rPr>
        <b/>
        <sz val="11"/>
        <color theme="4" tint="-0.249977111117893"/>
        <rFont val="Palatino Linotype"/>
        <family val="1"/>
      </rPr>
      <t>Performance Data Input</t>
    </r>
    <r>
      <rPr>
        <b/>
        <sz val="11"/>
        <color theme="1"/>
        <rFont val="Palatino Linotype"/>
        <family val="1"/>
      </rPr>
      <t xml:space="preserve">, </t>
    </r>
    <r>
      <rPr>
        <b/>
        <sz val="11"/>
        <color theme="4" tint="-0.249977111117893"/>
        <rFont val="Palatino Linotype"/>
        <family val="1"/>
      </rPr>
      <t>Financial Data Input</t>
    </r>
    <r>
      <rPr>
        <b/>
        <sz val="11"/>
        <rFont val="Palatino Linotype"/>
        <family val="1"/>
      </rPr>
      <t xml:space="preserve">, and </t>
    </r>
    <r>
      <rPr>
        <b/>
        <sz val="11"/>
        <color theme="4" tint="-0.249977111117893"/>
        <rFont val="Palatino Linotype"/>
        <family val="1"/>
      </rPr>
      <t>Waste Volume Conversions</t>
    </r>
    <r>
      <rPr>
        <b/>
        <sz val="11"/>
        <rFont val="Palatino Linotype"/>
        <family val="1"/>
      </rPr>
      <t xml:space="preserve"> (if needed)</t>
    </r>
    <r>
      <rPr>
        <b/>
        <sz val="11"/>
        <color theme="1"/>
        <rFont val="Palatino Linotype"/>
        <family val="1"/>
      </rPr>
      <t xml:space="preserve"> sheets. Enter information on your data sources or estimation methodology in the </t>
    </r>
    <r>
      <rPr>
        <b/>
        <sz val="11"/>
        <color theme="4" tint="-0.249977111117893"/>
        <rFont val="Palatino Linotype"/>
        <family val="1"/>
      </rPr>
      <t>Source Data</t>
    </r>
    <r>
      <rPr>
        <b/>
        <sz val="11"/>
        <color theme="1"/>
        <rFont val="Palatino Linotype"/>
        <family val="1"/>
      </rPr>
      <t xml:space="preserve"> sheet.  </t>
    </r>
    <r>
      <rPr>
        <sz val="11"/>
        <color theme="1"/>
        <rFont val="Palatino Linotype"/>
        <family val="1"/>
      </rPr>
      <t xml:space="preserve">The other sheets generate tables or charts based on the data you input.  </t>
    </r>
  </si>
  <si>
    <t>If you are recording costs, we recommend you include a cost for all performance items you include (meaning, if you record pounds of Solid Waste sent to the landfill, also include the cost associated with the disposal).</t>
  </si>
  <si>
    <r>
      <rPr>
        <sz val="14"/>
        <color rgb="FF263F6A"/>
        <rFont val="Franklin Gothic Demi Cond"/>
        <family val="2"/>
      </rPr>
      <t>Financial data</t>
    </r>
    <r>
      <rPr>
        <sz val="11"/>
        <color theme="1"/>
        <rFont val="Palatino Linotype"/>
        <family val="2"/>
      </rPr>
      <t xml:space="preserve">
Performance data is most powerful as a decisionmaking tool when paired with financial data.  While not required for Cohort participation, you are encouraged to track costs associated with your energy, waste, water, and wastewater, and we have included the </t>
    </r>
    <r>
      <rPr>
        <b/>
        <sz val="11"/>
        <color theme="4" tint="-0.249977111117893"/>
        <rFont val="Palatino Linotype"/>
        <family val="1"/>
      </rPr>
      <t>Financial Data Input</t>
    </r>
    <r>
      <rPr>
        <b/>
        <sz val="11"/>
        <color theme="1"/>
        <rFont val="Palatino Linotype"/>
        <family val="1"/>
      </rPr>
      <t xml:space="preserve"> </t>
    </r>
    <r>
      <rPr>
        <sz val="11"/>
        <color theme="1"/>
        <rFont val="Palatino Linotype"/>
        <family val="1"/>
      </rPr>
      <t>sheet</t>
    </r>
    <r>
      <rPr>
        <sz val="11"/>
        <color theme="1"/>
        <rFont val="Palatino Linotype"/>
        <family val="2"/>
      </rPr>
      <t xml:space="preserve"> in this template for this purpose.  Cost data can be tracked at different levels of granularity.  For instance, you may want to look only at a single top-line value for wastewater charges or you may want to break it down into charges associated with volume, BOD, TSS, or other elements.  We have tried to strike a balance with the template.  If you are sharing this tracking sheet and do not wish to share financial data, you may save a copy and delete the Financial Data Input sheet.  Do not delete in your master copy, as it will cause some charts and tables to read incorrectly.</t>
    </r>
  </si>
  <si>
    <t>Do not change formulas, as this may cause summary tables or charts to read incorrectly.  If you find an error or have a question on methodology, please contact DEC.</t>
  </si>
  <si>
    <r>
      <rPr>
        <sz val="14"/>
        <color rgb="FF263F6A"/>
        <rFont val="Franklin Gothic Demi Cond"/>
        <family val="2"/>
      </rPr>
      <t>Adapt the template to your needs</t>
    </r>
    <r>
      <rPr>
        <sz val="11"/>
        <color theme="1"/>
        <rFont val="Palatino Linotype"/>
        <family val="1"/>
      </rPr>
      <t xml:space="preserve">
The template is a tool to help you track performance, set goals, and measure progress.  Many features of this template are locked to help preserve the functionality and formatting.  However, if you wish to make changes to adapt to your specific needs, and you are comfortable with Excel, we encourage you to do so.  </t>
    </r>
    <r>
      <rPr>
        <sz val="11"/>
        <rFont val="Palatino Linotype"/>
        <family val="1"/>
      </rPr>
      <t>The unlock code is: GREEN</t>
    </r>
    <r>
      <rPr>
        <b/>
        <sz val="11"/>
        <color theme="1"/>
        <rFont val="Palatino Linotype"/>
        <family val="1"/>
      </rPr>
      <t xml:space="preserve"> </t>
    </r>
    <r>
      <rPr>
        <sz val="11"/>
        <color theme="1"/>
        <rFont val="Palatino Linotype"/>
        <family val="1"/>
      </rPr>
      <t xml:space="preserve"> 
Additional metrics can be added in the tables and charts expanded to include those additional metrics.  Additional months and years can be added to allow you to continue tracking beyond the formal Cohort measurement period.  All tables are formatted as Tables and should maintain formatting and references, and update to include additional metrics/months, so long as you </t>
    </r>
    <r>
      <rPr>
        <b/>
        <sz val="11"/>
        <color theme="1"/>
        <rFont val="Palatino Linotype"/>
        <family val="1"/>
      </rPr>
      <t>right click (or Mac equivalent) in the table itself to add or delete rows/columns</t>
    </r>
    <r>
      <rPr>
        <sz val="11"/>
        <color theme="1"/>
        <rFont val="Palatino Linotype"/>
        <family val="1"/>
      </rPr>
      <t>, rather than highlighting all of column C or row 12, etc.  Tutorials on Microsoft tables are available online.</t>
    </r>
  </si>
  <si>
    <r>
      <t xml:space="preserve">Enter data here.  </t>
    </r>
    <r>
      <rPr>
        <sz val="11"/>
        <color theme="1"/>
        <rFont val="Palatino Linotype"/>
        <family val="1"/>
      </rPr>
      <t xml:space="preserve">If your data on waste materials is by volume, use the </t>
    </r>
    <r>
      <rPr>
        <b/>
        <sz val="11"/>
        <color theme="4" tint="-0.249977111117893"/>
        <rFont val="Palatino Linotype"/>
        <family val="1"/>
      </rPr>
      <t>Waste Volume Conversion</t>
    </r>
    <r>
      <rPr>
        <sz val="11"/>
        <color theme="1"/>
        <rFont val="Palatino Linotype"/>
        <family val="1"/>
      </rPr>
      <t xml:space="preserve"> tab to calculate weights. These will automatically populate this table.</t>
    </r>
  </si>
  <si>
    <r>
      <t xml:space="preserve">Column headings link to </t>
    </r>
    <r>
      <rPr>
        <b/>
        <sz val="11"/>
        <color theme="4" tint="-0.249977111117893"/>
        <rFont val="Palatino Linotype"/>
        <family val="1"/>
      </rPr>
      <t>Source Data</t>
    </r>
    <r>
      <rPr>
        <sz val="11"/>
        <color theme="4"/>
        <rFont val="Palatino Linotype"/>
        <family val="1"/>
      </rPr>
      <t xml:space="preserve"> </t>
    </r>
    <r>
      <rPr>
        <sz val="11"/>
        <rFont val="Palatino Linotype"/>
        <family val="1"/>
      </rPr>
      <t>tab</t>
    </r>
    <r>
      <rPr>
        <sz val="11"/>
        <color theme="1"/>
        <rFont val="Palatino Linotype"/>
        <family val="1"/>
      </rPr>
      <t>, where you can provide details on your data sources or calculation methods</t>
    </r>
  </si>
  <si>
    <r>
      <t xml:space="preserve">Column headings link to </t>
    </r>
    <r>
      <rPr>
        <b/>
        <sz val="11"/>
        <color theme="4" tint="-0.249977111117893"/>
        <rFont val="Palatino Linotype"/>
        <family val="1"/>
      </rPr>
      <t>Source Data</t>
    </r>
    <r>
      <rPr>
        <sz val="11"/>
        <color theme="4"/>
        <rFont val="Palatino Linotype"/>
        <family val="1"/>
      </rPr>
      <t xml:space="preserve"> </t>
    </r>
    <r>
      <rPr>
        <sz val="11"/>
        <rFont val="Palatino Linotype"/>
        <family val="1"/>
      </rPr>
      <t>tab</t>
    </r>
    <r>
      <rPr>
        <sz val="11"/>
        <color theme="1"/>
        <rFont val="Palatino Linotype"/>
        <family val="1"/>
      </rPr>
      <t>, where you can provide details on your data sources or calculation methods, including rates of charge</t>
    </r>
  </si>
  <si>
    <r>
      <t xml:space="preserve">See </t>
    </r>
    <r>
      <rPr>
        <b/>
        <sz val="11"/>
        <color theme="4" tint="-0.249977111117893"/>
        <rFont val="Palatino Linotype"/>
        <family val="1"/>
      </rPr>
      <t>References</t>
    </r>
    <r>
      <rPr>
        <sz val="11"/>
        <color theme="1"/>
        <rFont val="Palatino Linotype"/>
        <family val="1"/>
      </rPr>
      <t xml:space="preserve"> for source data.</t>
    </r>
  </si>
  <si>
    <r>
      <t xml:space="preserve">Calculated weight will automatically input into corresponding </t>
    </r>
    <r>
      <rPr>
        <b/>
        <sz val="11"/>
        <color theme="4" tint="-0.249977111117893"/>
        <rFont val="Palatino Linotype"/>
        <family val="1"/>
      </rPr>
      <t>Performance Data Input</t>
    </r>
    <r>
      <rPr>
        <sz val="11"/>
        <color theme="1"/>
        <rFont val="Palatino Linotype"/>
        <family val="1"/>
      </rPr>
      <t xml:space="preserve"> cells. </t>
    </r>
  </si>
  <si>
    <r>
      <t xml:space="preserve">List source of data or method of estimation for data entered in </t>
    </r>
    <r>
      <rPr>
        <b/>
        <sz val="11"/>
        <color theme="4" tint="-0.249977111117893"/>
        <rFont val="Palatino Linotype"/>
        <family val="1"/>
      </rPr>
      <t>Performance</t>
    </r>
    <r>
      <rPr>
        <sz val="11"/>
        <color theme="4" tint="-0.249977111117893"/>
        <rFont val="Palatino Linotype"/>
        <family val="1"/>
      </rPr>
      <t xml:space="preserve"> </t>
    </r>
    <r>
      <rPr>
        <b/>
        <sz val="11"/>
        <color theme="4" tint="-0.249977111117893"/>
        <rFont val="Palatino Linotype"/>
        <family val="1"/>
      </rPr>
      <t>Data Input</t>
    </r>
    <r>
      <rPr>
        <sz val="11"/>
        <color theme="1"/>
        <rFont val="Palatino Linotype"/>
        <family val="1"/>
      </rPr>
      <t xml:space="preserve"> or </t>
    </r>
    <r>
      <rPr>
        <b/>
        <sz val="11"/>
        <color theme="4" tint="-0.249977111117893"/>
        <rFont val="Palatino Linotype"/>
        <family val="1"/>
      </rPr>
      <t>Financial Data Input</t>
    </r>
    <r>
      <rPr>
        <sz val="11"/>
        <color theme="1"/>
        <rFont val="Palatino Linotype"/>
        <family val="1"/>
      </rPr>
      <t xml:space="preserve"> sheets. </t>
    </r>
  </si>
  <si>
    <r>
      <rPr>
        <sz val="20"/>
        <color rgb="FF206C49"/>
        <rFont val="Franklin Gothic Demi Cond"/>
        <family val="2"/>
      </rPr>
      <t>VERMONT GREEN BREWERY COHORT</t>
    </r>
    <r>
      <rPr>
        <sz val="16"/>
        <color theme="1"/>
        <rFont val="Franklin Gothic Demi Cond"/>
        <family val="2"/>
      </rPr>
      <t xml:space="preserve">
</t>
    </r>
    <r>
      <rPr>
        <sz val="16"/>
        <color rgb="FF263F6A"/>
        <rFont val="Franklin Gothic Demi Cond"/>
        <family val="2"/>
      </rPr>
      <t xml:space="preserve">Environmental impact tracking and reporting template </t>
    </r>
  </si>
  <si>
    <t>Barrels (bbl)</t>
  </si>
  <si>
    <t>For breweries, the standard is to use barrels</t>
  </si>
  <si>
    <t>1 barrel beer = 31 gallons</t>
  </si>
  <si>
    <t>Wastewater cost per unit of product ($/barrel)</t>
  </si>
  <si>
    <t>1 gallon beer = 8.34 lbs</t>
  </si>
  <si>
    <t>Version 11/24/19</t>
  </si>
  <si>
    <r>
      <rPr>
        <sz val="16"/>
        <color rgb="FF263F6A"/>
        <rFont val="Franklin Gothic Demi Cond"/>
        <family val="2"/>
      </rPr>
      <t>Contact us</t>
    </r>
    <r>
      <rPr>
        <sz val="11"/>
        <color theme="1"/>
        <rFont val="Palatino Linotype"/>
        <family val="1"/>
      </rPr>
      <t xml:space="preserve">
Vermont Department of Environmental Conservation
802-585-4904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</si>
</sst>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mm\-yy;@"/>
    <numFmt numFmtId="166" formatCode="&quot;$&quot;#,##0.00"/>
    <numFmt numFmtId="167" formatCode="&quot;$&quot;#,##0"/>
  </numFmts>
  <fonts count="35" x14ac:knownFonts="1">
    <font>
      <sz val="11"/>
      <color theme="1"/>
      <name val="Calibri"/>
      <family val="2"/>
      <scheme val="minor"/>
    </font>
    <font>
      <sz val="11"/>
      <color theme="1"/>
      <name val="Palatino Linotype"/>
      <family val="1"/>
    </font>
    <font>
      <b/>
      <sz val="11"/>
      <color theme="1"/>
      <name val="Palatino Linotype"/>
      <family val="1"/>
    </font>
    <font>
      <b/>
      <sz val="9"/>
      <color indexed="81"/>
      <name val="Tahoma"/>
      <family val="2"/>
    </font>
    <font>
      <sz val="9"/>
      <color indexed="81"/>
      <name val="Tahoma"/>
      <family val="2"/>
    </font>
    <font>
      <sz val="11"/>
      <color theme="1"/>
      <name val="Franklin Gothic Demi Cond"/>
      <family val="2"/>
    </font>
    <font>
      <vertAlign val="subscript"/>
      <sz val="11"/>
      <color theme="1"/>
      <name val="Palatino Linotype"/>
      <family val="1"/>
    </font>
    <font>
      <sz val="16"/>
      <color theme="1"/>
      <name val="Franklin Gothic Demi Cond"/>
      <family val="2"/>
    </font>
    <font>
      <vertAlign val="subscript"/>
      <sz val="16"/>
      <color theme="1"/>
      <name val="Franklin Gothic Demi Cond"/>
      <family val="2"/>
    </font>
    <font>
      <sz val="10"/>
      <color theme="1"/>
      <name val="Franklin Gothic Book"/>
      <family val="2"/>
    </font>
    <font>
      <vertAlign val="subscript"/>
      <sz val="10"/>
      <color theme="1"/>
      <name val="Franklin Gothic Book"/>
      <family val="2"/>
    </font>
    <font>
      <sz val="16"/>
      <color rgb="FF263F6A"/>
      <name val="Franklin Gothic Demi Cond"/>
      <family val="2"/>
    </font>
    <font>
      <sz val="11"/>
      <color theme="1"/>
      <name val="Palatino Linotype"/>
      <family val="2"/>
    </font>
    <font>
      <sz val="12"/>
      <color rgb="FF263F6A"/>
      <name val="Franklin Gothic Demi Cond"/>
      <family val="2"/>
    </font>
    <font>
      <sz val="14"/>
      <color rgb="FF263F6A"/>
      <name val="Franklin Gothic Demi Cond"/>
      <family val="2"/>
    </font>
    <font>
      <u/>
      <sz val="11"/>
      <color theme="10"/>
      <name val="Calibri"/>
      <family val="2"/>
      <scheme val="minor"/>
    </font>
    <font>
      <sz val="11"/>
      <name val="Calibri"/>
      <family val="2"/>
      <scheme val="minor"/>
    </font>
    <font>
      <sz val="20"/>
      <color rgb="FF206C49"/>
      <name val="Franklin Gothic Demi Cond"/>
      <family val="2"/>
    </font>
    <font>
      <u/>
      <sz val="9"/>
      <color indexed="81"/>
      <name val="Tahoma"/>
      <family val="2"/>
    </font>
    <font>
      <sz val="11"/>
      <name val="Palatino Linotype"/>
      <family val="1"/>
    </font>
    <font>
      <b/>
      <sz val="11"/>
      <name val="Palatino Linotype"/>
      <family val="1"/>
    </font>
    <font>
      <sz val="10"/>
      <name val="Palatino Linotype"/>
      <family val="1"/>
    </font>
    <font>
      <sz val="11"/>
      <color theme="4"/>
      <name val="Palatino Linotype"/>
      <family val="1"/>
    </font>
    <font>
      <sz val="10"/>
      <color theme="1"/>
      <name val="Palatino Linotype"/>
      <family val="1"/>
    </font>
    <font>
      <sz val="18"/>
      <color theme="1"/>
      <name val="Franklin Gothic Demi Cond"/>
      <family val="2"/>
    </font>
    <font>
      <u/>
      <sz val="10"/>
      <name val="Palatino Linotype"/>
      <family val="1"/>
    </font>
    <font>
      <sz val="20"/>
      <color theme="1"/>
      <name val="Franklin Gothic Demi Cond"/>
      <family val="2"/>
    </font>
    <font>
      <sz val="8"/>
      <name val="Calibri"/>
      <family val="2"/>
      <scheme val="minor"/>
    </font>
    <font>
      <i/>
      <sz val="11"/>
      <color theme="1"/>
      <name val="Calibri"/>
      <family val="2"/>
      <scheme val="minor"/>
    </font>
    <font>
      <sz val="10"/>
      <color theme="1"/>
      <name val="Calibri"/>
      <family val="2"/>
      <scheme val="minor"/>
    </font>
    <font>
      <b/>
      <sz val="11"/>
      <color theme="4" tint="-0.249977111117893"/>
      <name val="Palatino Linotype"/>
      <family val="1"/>
    </font>
    <font>
      <sz val="9"/>
      <color indexed="81"/>
      <name val="Tahoma"/>
      <charset val="1"/>
    </font>
    <font>
      <b/>
      <sz val="9"/>
      <color indexed="81"/>
      <name val="Tahoma"/>
      <charset val="1"/>
    </font>
    <font>
      <i/>
      <sz val="9"/>
      <color indexed="81"/>
      <name val="Tahoma"/>
      <family val="2"/>
    </font>
    <font>
      <sz val="11"/>
      <color theme="4" tint="-0.249977111117893"/>
      <name val="Palatino Linotype"/>
      <family val="1"/>
    </font>
  </fonts>
  <fills count="9">
    <fill>
      <patternFill patternType="none"/>
    </fill>
    <fill>
      <patternFill patternType="gray125"/>
    </fill>
    <fill>
      <patternFill patternType="solid">
        <fgColor rgb="FF8B8178"/>
        <bgColor indexed="64"/>
      </patternFill>
    </fill>
    <fill>
      <patternFill patternType="solid">
        <fgColor theme="4" tint="0.79998168889431442"/>
        <bgColor indexed="64"/>
      </patternFill>
    </fill>
    <fill>
      <patternFill patternType="solid">
        <fgColor rgb="FF3095B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s>
  <cellStyleXfs count="2">
    <xf numFmtId="0" fontId="0" fillId="0" borderId="0"/>
    <xf numFmtId="0" fontId="15" fillId="0" borderId="0" applyNumberFormat="0" applyFill="0" applyBorder="0" applyAlignment="0" applyProtection="0"/>
  </cellStyleXfs>
  <cellXfs count="79">
    <xf numFmtId="0" fontId="0" fillId="0" borderId="0" xfId="0"/>
    <xf numFmtId="0" fontId="1" fillId="0" borderId="0" xfId="0" applyFont="1" applyFill="1"/>
    <xf numFmtId="0" fontId="1" fillId="2" borderId="0" xfId="0" applyFont="1" applyFill="1"/>
    <xf numFmtId="0" fontId="1" fillId="3" borderId="2" xfId="0" applyFont="1" applyFill="1" applyBorder="1" applyAlignment="1">
      <alignment vertical="center" wrapText="1"/>
    </xf>
    <xf numFmtId="0" fontId="12" fillId="3" borderId="2" xfId="0" applyFont="1" applyFill="1" applyBorder="1" applyAlignment="1">
      <alignment vertical="center" wrapText="1"/>
    </xf>
    <xf numFmtId="0" fontId="15" fillId="3" borderId="2" xfId="1" applyFill="1" applyBorder="1" applyAlignment="1">
      <alignment vertical="top"/>
    </xf>
    <xf numFmtId="0" fontId="1" fillId="3" borderId="2" xfId="0" applyFont="1" applyFill="1" applyBorder="1" applyAlignment="1">
      <alignment wrapText="1"/>
    </xf>
    <xf numFmtId="0" fontId="15" fillId="3" borderId="2" xfId="1" applyFill="1" applyBorder="1"/>
    <xf numFmtId="0" fontId="1" fillId="2" borderId="0" xfId="0" applyFont="1" applyFill="1" applyAlignment="1">
      <alignment vertical="center"/>
    </xf>
    <xf numFmtId="0" fontId="15" fillId="3" borderId="2" xfId="1" applyFill="1" applyBorder="1" applyAlignment="1">
      <alignment vertical="center"/>
    </xf>
    <xf numFmtId="0" fontId="15" fillId="3" borderId="3" xfId="1" applyFill="1" applyBorder="1" applyAlignment="1">
      <alignment vertical="center"/>
    </xf>
    <xf numFmtId="0" fontId="7"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5" fillId="3" borderId="2" xfId="1" applyFill="1" applyBorder="1" applyAlignment="1">
      <alignment wrapText="1"/>
    </xf>
    <xf numFmtId="0" fontId="15" fillId="3" borderId="2" xfId="1" applyFill="1" applyBorder="1" applyAlignment="1">
      <alignment vertical="center" wrapText="1"/>
    </xf>
    <xf numFmtId="0" fontId="0" fillId="4" borderId="0" xfId="0" applyFill="1"/>
    <xf numFmtId="0" fontId="1" fillId="5" borderId="0" xfId="0" applyFont="1" applyFill="1"/>
    <xf numFmtId="49" fontId="5" fillId="6" borderId="0" xfId="0" applyNumberFormat="1" applyFont="1" applyFill="1"/>
    <xf numFmtId="0" fontId="0" fillId="6" borderId="0" xfId="0" applyFill="1"/>
    <xf numFmtId="49" fontId="1" fillId="6" borderId="0" xfId="0" applyNumberFormat="1" applyFont="1" applyFill="1"/>
    <xf numFmtId="0" fontId="1" fillId="6" borderId="0" xfId="0" applyFont="1" applyFill="1"/>
    <xf numFmtId="0" fontId="15" fillId="6" borderId="0" xfId="1" applyFill="1"/>
    <xf numFmtId="0" fontId="16" fillId="6" borderId="0" xfId="1" applyFont="1" applyFill="1"/>
    <xf numFmtId="0" fontId="16" fillId="6" borderId="0" xfId="0" applyFont="1" applyFill="1"/>
    <xf numFmtId="49" fontId="7" fillId="6" borderId="0" xfId="0" applyNumberFormat="1" applyFont="1" applyFill="1"/>
    <xf numFmtId="49" fontId="24" fillId="6" borderId="0" xfId="0" applyNumberFormat="1" applyFont="1" applyFill="1"/>
    <xf numFmtId="0" fontId="1" fillId="0" borderId="0" xfId="0" applyFont="1" applyFill="1" applyBorder="1"/>
    <xf numFmtId="0" fontId="23" fillId="0" borderId="0" xfId="0" applyFont="1" applyFill="1" applyAlignment="1">
      <alignment horizontal="center" vertical="center" wrapText="1"/>
    </xf>
    <xf numFmtId="0" fontId="1" fillId="0" borderId="0" xfId="0" applyNumberFormat="1" applyFont="1" applyFill="1"/>
    <xf numFmtId="0" fontId="26" fillId="5" borderId="0" xfId="0" applyFont="1" applyFill="1" applyAlignment="1">
      <alignment horizontal="left" vertical="top"/>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xf>
    <xf numFmtId="0" fontId="1"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center" vertical="center"/>
    </xf>
    <xf numFmtId="3" fontId="29" fillId="0" borderId="0" xfId="0" applyNumberFormat="1" applyFont="1" applyFill="1" applyAlignment="1">
      <alignment horizontal="center" vertical="center"/>
    </xf>
    <xf numFmtId="0" fontId="24" fillId="3" borderId="0" xfId="0" applyFont="1" applyFill="1" applyAlignment="1">
      <alignment vertical="center"/>
    </xf>
    <xf numFmtId="0" fontId="1" fillId="3" borderId="0" xfId="0" applyFont="1" applyFill="1"/>
    <xf numFmtId="0" fontId="1" fillId="3" borderId="0" xfId="0" applyFont="1" applyFill="1" applyAlignment="1">
      <alignment vertical="center"/>
    </xf>
    <xf numFmtId="0" fontId="2" fillId="3" borderId="0" xfId="0" applyFont="1" applyFill="1" applyAlignment="1">
      <alignment vertical="center"/>
    </xf>
    <xf numFmtId="0" fontId="2" fillId="3" borderId="0" xfId="0" applyFont="1" applyFill="1"/>
    <xf numFmtId="3" fontId="1" fillId="0" borderId="0" xfId="0" applyNumberFormat="1" applyFont="1" applyFill="1"/>
    <xf numFmtId="0" fontId="0" fillId="5" borderId="0" xfId="0" applyFill="1"/>
    <xf numFmtId="167" fontId="1" fillId="0" borderId="0" xfId="0" applyNumberFormat="1" applyFont="1" applyFill="1"/>
    <xf numFmtId="164" fontId="1" fillId="0" borderId="0" xfId="0" applyNumberFormat="1" applyFont="1" applyFill="1"/>
    <xf numFmtId="9" fontId="1" fillId="0" borderId="0" xfId="0" applyNumberFormat="1" applyFont="1" applyFill="1"/>
    <xf numFmtId="0" fontId="7" fillId="5" borderId="0" xfId="0" applyFont="1" applyFill="1"/>
    <xf numFmtId="0" fontId="9" fillId="5" borderId="0" xfId="0" applyFont="1" applyFill="1" applyAlignment="1">
      <alignment vertical="center"/>
    </xf>
    <xf numFmtId="0" fontId="23" fillId="5" borderId="0" xfId="0" applyFont="1" applyFill="1" applyAlignment="1">
      <alignment horizontal="center" vertical="center" wrapText="1"/>
    </xf>
    <xf numFmtId="0" fontId="0" fillId="5" borderId="0" xfId="0" applyFill="1" applyBorder="1"/>
    <xf numFmtId="0" fontId="2" fillId="0" borderId="0" xfId="0" applyFont="1" applyFill="1" applyAlignment="1">
      <alignment horizontal="center" vertical="center"/>
    </xf>
    <xf numFmtId="0" fontId="12" fillId="3" borderId="2" xfId="0" applyFont="1" applyFill="1" applyBorder="1" applyAlignment="1">
      <alignment vertical="top" wrapText="1"/>
    </xf>
    <xf numFmtId="0" fontId="21" fillId="0" borderId="4" xfId="0" applyFont="1" applyFill="1" applyBorder="1" applyAlignment="1" applyProtection="1">
      <alignment horizontal="center" vertical="center" wrapText="1"/>
      <protection locked="0"/>
    </xf>
    <xf numFmtId="0" fontId="25" fillId="0" borderId="4" xfId="1" applyFont="1" applyFill="1" applyBorder="1" applyAlignment="1" applyProtection="1">
      <alignment horizontal="center" vertical="center" wrapText="1"/>
      <protection locked="0"/>
    </xf>
    <xf numFmtId="165" fontId="20" fillId="0" borderId="0" xfId="0" applyNumberFormat="1" applyFont="1" applyFill="1" applyBorder="1" applyAlignment="1" applyProtection="1">
      <alignment horizontal="center" vertical="center"/>
      <protection locked="0"/>
    </xf>
    <xf numFmtId="3" fontId="16" fillId="0" borderId="0" xfId="0" applyNumberFormat="1" applyFont="1" applyFill="1" applyBorder="1" applyProtection="1">
      <protection locked="0"/>
    </xf>
    <xf numFmtId="3" fontId="16" fillId="8" borderId="0" xfId="0" applyNumberFormat="1" applyFont="1" applyFill="1" applyProtection="1">
      <protection locked="0"/>
    </xf>
    <xf numFmtId="0" fontId="24" fillId="7" borderId="0" xfId="0" applyFont="1" applyFill="1" applyAlignment="1" applyProtection="1">
      <alignment vertical="center"/>
    </xf>
    <xf numFmtId="0" fontId="0" fillId="7" borderId="0" xfId="0" applyFill="1" applyProtection="1"/>
    <xf numFmtId="0" fontId="2" fillId="7" borderId="0" xfId="0" applyFont="1" applyFill="1" applyAlignment="1" applyProtection="1">
      <alignment vertical="center"/>
    </xf>
    <xf numFmtId="0" fontId="1" fillId="7" borderId="0" xfId="0" applyFont="1" applyFill="1" applyAlignment="1" applyProtection="1">
      <alignment vertical="center"/>
    </xf>
    <xf numFmtId="0" fontId="21" fillId="7" borderId="0" xfId="0" applyFont="1" applyFill="1" applyAlignment="1" applyProtection="1">
      <alignment horizontal="center" vertical="center" wrapText="1"/>
    </xf>
    <xf numFmtId="165" fontId="20" fillId="0" borderId="0" xfId="0" applyNumberFormat="1" applyFont="1" applyFill="1" applyBorder="1" applyAlignment="1" applyProtection="1">
      <alignment horizontal="center" vertical="center"/>
    </xf>
    <xf numFmtId="0" fontId="20" fillId="8" borderId="0" xfId="0" applyFont="1" applyFill="1" applyBorder="1" applyAlignment="1" applyProtection="1">
      <alignment horizontal="center" vertical="center"/>
    </xf>
    <xf numFmtId="0" fontId="24" fillId="5" borderId="0" xfId="0" applyFont="1" applyFill="1" applyAlignment="1" applyProtection="1">
      <alignment vertical="center"/>
    </xf>
    <xf numFmtId="0" fontId="0" fillId="5" borderId="0" xfId="0" applyFill="1" applyProtection="1"/>
    <xf numFmtId="0" fontId="2" fillId="5" borderId="0" xfId="0" applyFont="1" applyFill="1" applyAlignment="1" applyProtection="1">
      <alignment vertical="center"/>
    </xf>
    <xf numFmtId="0" fontId="1" fillId="5" borderId="0" xfId="0" applyFont="1" applyFill="1" applyAlignment="1" applyProtection="1">
      <alignment vertical="center"/>
    </xf>
    <xf numFmtId="0" fontId="21" fillId="5" borderId="0" xfId="0" applyFont="1" applyFill="1" applyAlignment="1" applyProtection="1">
      <alignment horizontal="center" vertical="center" wrapText="1"/>
    </xf>
    <xf numFmtId="167" fontId="16" fillId="0" borderId="0" xfId="0" applyNumberFormat="1" applyFont="1" applyFill="1" applyBorder="1" applyProtection="1">
      <protection locked="0"/>
    </xf>
    <xf numFmtId="0" fontId="20" fillId="0" borderId="0" xfId="0" applyFont="1" applyFill="1" applyBorder="1" applyAlignment="1" applyProtection="1">
      <alignment horizontal="center" vertical="center"/>
      <protection locked="0"/>
    </xf>
    <xf numFmtId="167" fontId="16" fillId="0" borderId="0" xfId="0" applyNumberFormat="1" applyFont="1" applyFill="1" applyProtection="1">
      <protection locked="0"/>
    </xf>
    <xf numFmtId="0" fontId="1" fillId="0" borderId="0" xfId="0" applyFont="1" applyFill="1" applyProtection="1">
      <protection locked="0"/>
    </xf>
    <xf numFmtId="3" fontId="1" fillId="0" borderId="0" xfId="0" applyNumberFormat="1" applyFont="1" applyFill="1" applyProtection="1">
      <protection locked="0"/>
    </xf>
    <xf numFmtId="0" fontId="2" fillId="0" borderId="0" xfId="0" applyFont="1" applyFill="1" applyProtection="1">
      <protection locked="0"/>
    </xf>
    <xf numFmtId="0" fontId="1" fillId="0" borderId="0" xfId="0" applyFont="1" applyFill="1" applyAlignment="1" applyProtection="1">
      <alignment wrapText="1"/>
      <protection locked="0"/>
    </xf>
    <xf numFmtId="166" fontId="1" fillId="0" borderId="0" xfId="0" applyNumberFormat="1" applyFont="1" applyFill="1" applyAlignment="1" applyProtection="1">
      <alignment wrapText="1"/>
      <protection locked="0"/>
    </xf>
    <xf numFmtId="0" fontId="15" fillId="6" borderId="0" xfId="1" applyFill="1" applyProtection="1">
      <protection locked="0"/>
    </xf>
  </cellXfs>
  <cellStyles count="2">
    <cellStyle name="Hyperlink" xfId="1" builtinId="8"/>
    <cellStyle name="Normal" xfId="0" builtinId="0"/>
  </cellStyles>
  <dxfs count="205">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protection locked="0" hidden="0"/>
    </dxf>
    <dxf>
      <font>
        <b/>
        <i val="0"/>
        <strike val="0"/>
        <condense val="0"/>
        <extend val="0"/>
        <outline val="0"/>
        <shadow val="0"/>
        <u val="none"/>
        <vertAlign val="baseline"/>
        <sz val="11"/>
        <color auto="1"/>
        <name val="Palatino Linotype"/>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9" tint="0.59999389629810485"/>
        </patternFill>
      </fill>
      <protection locked="0" hidden="0"/>
    </dxf>
    <dxf>
      <font>
        <b/>
        <i val="0"/>
        <strike val="0"/>
        <condense val="0"/>
        <extend val="0"/>
        <outline val="0"/>
        <shadow val="0"/>
        <u val="none"/>
        <vertAlign val="baseline"/>
        <sz val="11"/>
        <color auto="1"/>
        <name val="Palatino Linotype"/>
        <family val="1"/>
        <scheme val="none"/>
      </font>
      <fill>
        <patternFill patternType="solid">
          <fgColor indexed="64"/>
          <bgColor theme="9" tint="0.59999389629810485"/>
        </patternFill>
      </fill>
      <alignment horizontal="center" vertical="center" textRotation="0" wrapText="0" indent="0" justifyLastLine="0" shrinkToFit="0" readingOrder="0"/>
      <border diagonalUp="0" diagonalDown="0" outline="0">
        <left/>
        <right/>
        <top/>
        <bottom/>
      </border>
      <protection locked="1" hidden="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indent="0" justifyLastLine="0" shrinkToFit="0" readingOrder="0"/>
    </dxf>
    <dxf>
      <font>
        <b val="0"/>
        <i val="0"/>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166" formatCode="&quot;$&quot;#,##0.00"/>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protection locked="0" hidden="0"/>
    </dxf>
    <dxf>
      <font>
        <b/>
        <i val="0"/>
        <strike val="0"/>
        <condense val="0"/>
        <extend val="0"/>
        <outline val="0"/>
        <shadow val="0"/>
        <u val="none"/>
        <vertAlign val="baseline"/>
        <sz val="11"/>
        <color theme="1"/>
        <name val="Palatino Linotype"/>
        <family val="1"/>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name val="Palatino Linotype"/>
        <family val="1"/>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strike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0"/>
        <color theme="1"/>
        <name val="Palatino Linotype"/>
        <family val="1"/>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4" formatCode="#,##0.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4" formatCode="#,##0.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0" formatCode="General"/>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4" formatCode="#,##0.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4" formatCode="#,##0.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167" formatCode="&quot;$&quot;#,##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indexed="65"/>
        </patternFill>
      </fill>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protection locked="0" hidden="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protection locked="0" hidden="0"/>
    </dxf>
    <dxf>
      <font>
        <b/>
        <i val="0"/>
        <strike val="0"/>
        <condense val="0"/>
        <extend val="0"/>
        <outline val="0"/>
        <shadow val="0"/>
        <u val="none"/>
        <vertAlign val="baseline"/>
        <sz val="11"/>
        <color auto="1"/>
        <name val="Palatino Linotype"/>
        <family val="1"/>
        <scheme val="none"/>
      </font>
      <numFmt numFmtId="165" formatCode="[$-409]mmm\-yy;@"/>
      <fill>
        <patternFill patternType="none">
          <fgColor indexed="64"/>
          <bgColor auto="1"/>
        </patternFill>
      </fill>
      <alignment horizontal="center" vertical="center" textRotation="0" wrapText="0" indent="0" justifyLastLine="0" shrinkToFit="0" readingOrder="0"/>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protection locked="0" hidden="0"/>
    </dxf>
    <dxf>
      <border>
        <bottom style="thin">
          <color rgb="FFE2EFDA"/>
        </bottom>
      </border>
    </dxf>
    <dxf>
      <font>
        <b val="0"/>
        <i val="0"/>
        <strike val="0"/>
        <condense val="0"/>
        <extend val="0"/>
        <outline val="0"/>
        <shadow val="0"/>
        <u val="none"/>
        <vertAlign val="baseline"/>
        <sz val="10"/>
        <color auto="1"/>
        <name val="Palatino Linotype"/>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9" tint="0.79998168889431442"/>
        </left>
        <right style="thin">
          <color theme="9" tint="0.79998168889431442"/>
        </right>
        <top/>
        <bottom/>
      </border>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protection locked="0" hidden="0"/>
    </dxf>
    <dxf>
      <font>
        <b/>
        <i val="0"/>
        <strike val="0"/>
        <condense val="0"/>
        <extend val="0"/>
        <outline val="0"/>
        <shadow val="0"/>
        <u val="none"/>
        <vertAlign val="baseline"/>
        <sz val="11"/>
        <color auto="1"/>
        <name val="Palatino Linotype"/>
        <family val="1"/>
        <scheme val="none"/>
      </font>
      <numFmt numFmtId="165" formatCode="[$-409]mmm\-yy;@"/>
      <fill>
        <patternFill patternType="none">
          <fgColor indexed="64"/>
          <bgColor auto="1"/>
        </patternFill>
      </fill>
      <alignment horizontal="center" vertical="center" textRotation="0" wrapText="0" indent="0" justifyLastLine="0" shrinkToFit="0" readingOrder="0"/>
      <protection locked="1" hidden="0"/>
    </dxf>
    <dxf>
      <fill>
        <patternFill patternType="solid">
          <fgColor indexed="64"/>
          <bgColor theme="9" tint="0.59999389629810485"/>
        </patternFill>
      </fill>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protection locked="1" hidden="0"/>
    </dxf>
    <dxf>
      <border>
        <bottom style="thin">
          <color theme="9" tint="0.79998168889431442"/>
        </bottom>
      </border>
    </dxf>
    <dxf>
      <font>
        <b val="0"/>
        <i val="0"/>
        <strike val="0"/>
        <condense val="0"/>
        <extend val="0"/>
        <outline val="0"/>
        <shadow val="0"/>
        <u val="none"/>
        <vertAlign val="baseline"/>
        <sz val="10"/>
        <color auto="1"/>
        <name val="Palatino Linotype"/>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9" tint="0.79998168889431442"/>
        </left>
        <right style="thin">
          <color theme="9" tint="0.79998168889431442"/>
        </right>
        <top/>
        <bottom/>
      </border>
      <protection locked="0" hidden="0"/>
    </dxf>
  </dxfs>
  <tableStyles count="0" defaultTableStyle="TableStyleMedium2" defaultPivotStyle="PivotStyleLight16"/>
  <colors>
    <mruColors>
      <color rgb="FF263F6A"/>
      <color rgb="FF3095B4"/>
      <color rgb="FF8B8178"/>
      <color rgb="FF5482AB"/>
      <color rgb="FF206C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Trash disposed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38670166229222"/>
          <c:y val="0.12541666666666668"/>
          <c:w val="0.71767104111986002"/>
          <c:h val="0.61243912219305907"/>
        </c:manualLayout>
      </c:layout>
      <c:lineChart>
        <c:grouping val="standard"/>
        <c:varyColors val="0"/>
        <c:ser>
          <c:idx val="0"/>
          <c:order val="0"/>
          <c:tx>
            <c:v>Trash</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Table'!$C$4:$C$39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68F4-4619-9B44-0D8B7D533100}"/>
            </c:ext>
          </c:extLst>
        </c:ser>
        <c:dLbls>
          <c:showLegendKey val="0"/>
          <c:showVal val="0"/>
          <c:showCatName val="0"/>
          <c:showSerName val="0"/>
          <c:showPercent val="0"/>
          <c:showBubbleSize val="0"/>
        </c:dLbls>
        <c:marker val="1"/>
        <c:smooth val="0"/>
        <c:axId val="904244888"/>
        <c:axId val="904245216"/>
      </c:lineChart>
      <c:lineChart>
        <c:grouping val="standard"/>
        <c:varyColors val="0"/>
        <c:ser>
          <c:idx val="1"/>
          <c:order val="1"/>
          <c:tx>
            <c:v>Production</c:v>
          </c:tx>
          <c:spPr>
            <a:ln w="28575" cap="rnd">
              <a:solidFill>
                <a:schemeClr val="accent2"/>
              </a:solidFill>
              <a:round/>
            </a:ln>
            <a:effectLst/>
          </c:spPr>
          <c:marker>
            <c:symbol val="none"/>
          </c:marker>
          <c:cat>
            <c:strRef>
              <c:f>'Performance Data Input'!$A$5:$A$40</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1-68F4-4619-9B44-0D8B7D533100}"/>
            </c:ext>
          </c:extLst>
        </c:ser>
        <c:dLbls>
          <c:showLegendKey val="0"/>
          <c:showVal val="0"/>
          <c:showCatName val="0"/>
          <c:showSerName val="0"/>
          <c:showPercent val="0"/>
          <c:showBubbleSize val="0"/>
        </c:dLbls>
        <c:marker val="1"/>
        <c:smooth val="0"/>
        <c:axId val="495823976"/>
        <c:axId val="495830536"/>
      </c:lineChart>
      <c:catAx>
        <c:axId val="90424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245216"/>
        <c:crosses val="autoZero"/>
        <c:auto val="1"/>
        <c:lblAlgn val="ctr"/>
        <c:lblOffset val="100"/>
        <c:noMultiLvlLbl val="0"/>
      </c:catAx>
      <c:valAx>
        <c:axId val="90424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Trash (tons)</a:t>
                </a:r>
              </a:p>
            </c:rich>
          </c:tx>
          <c:layout>
            <c:manualLayout>
              <c:xMode val="edge"/>
              <c:yMode val="edge"/>
              <c:x val="3.3333333333333333E-2"/>
              <c:y val="0.305559930008748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244888"/>
        <c:crosses val="autoZero"/>
        <c:crossBetween val="between"/>
      </c:valAx>
      <c:valAx>
        <c:axId val="4958305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Production (barrels beer)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23976"/>
        <c:crosses val="max"/>
        <c:crossBetween val="between"/>
      </c:valAx>
      <c:catAx>
        <c:axId val="495823976"/>
        <c:scaling>
          <c:orientation val="minMax"/>
        </c:scaling>
        <c:delete val="1"/>
        <c:axPos val="b"/>
        <c:numFmt formatCode="General" sourceLinked="1"/>
        <c:majorTickMark val="out"/>
        <c:minorTickMark val="none"/>
        <c:tickLblPos val="nextTo"/>
        <c:crossAx val="4958305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ysClr val="windowText" lastClr="000000"/>
                </a:solidFill>
              </a:rPr>
              <a:t>Waste</a:t>
            </a:r>
            <a:r>
              <a:rPr lang="en-US" sz="1400" b="1" baseline="0">
                <a:solidFill>
                  <a:sysClr val="windowText" lastClr="000000"/>
                </a:solidFill>
              </a:rPr>
              <a:t> disposal</a:t>
            </a:r>
            <a:r>
              <a:rPr lang="en-US" sz="1400" b="1">
                <a:solidFill>
                  <a:sysClr val="windowText" lastClr="000000"/>
                </a:solidFill>
              </a:rPr>
              <a:t> cost per unit of product ($/ton)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69203849518811"/>
          <c:y val="0.1415080396503835"/>
          <c:w val="0.7945301837270341"/>
          <c:h val="0.5908083819619635"/>
        </c:manualLayout>
      </c:layout>
      <c:lineChart>
        <c:grouping val="standard"/>
        <c:varyColors val="0"/>
        <c:ser>
          <c:idx val="0"/>
          <c:order val="0"/>
          <c:tx>
            <c:v>Waste disposal cost per ton</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Table'!$E$4:$E$39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95E9-4A01-B42E-DEFB18F76036}"/>
            </c:ext>
          </c:extLst>
        </c:ser>
        <c:dLbls>
          <c:showLegendKey val="0"/>
          <c:showVal val="0"/>
          <c:showCatName val="0"/>
          <c:showSerName val="0"/>
          <c:showPercent val="0"/>
          <c:showBubbleSize val="0"/>
        </c:dLbls>
        <c:marker val="1"/>
        <c:smooth val="0"/>
        <c:axId val="423844368"/>
        <c:axId val="423848304"/>
      </c:lineChart>
      <c:lineChart>
        <c:grouping val="standard"/>
        <c:varyColors val="0"/>
        <c:ser>
          <c:idx val="1"/>
          <c:order val="1"/>
          <c:tx>
            <c:v>Production</c:v>
          </c:tx>
          <c:spPr>
            <a:ln w="28575" cap="rnd">
              <a:solidFill>
                <a:schemeClr val="accent2"/>
              </a:solidFill>
              <a:round/>
            </a:ln>
            <a:effectLst/>
          </c:spPr>
          <c:marker>
            <c:symbol val="none"/>
          </c:marker>
          <c:cat>
            <c:strRef>
              <c:f>'Performance Data Input'!$A$4:$A$39</c:f>
              <c:strCache>
                <c:ptCount val="36"/>
                <c:pt idx="0">
                  <c:v>Date</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pt idx="13">
                  <c:v>Jan-19</c:v>
                </c:pt>
                <c:pt idx="14">
                  <c:v>Feb-19</c:v>
                </c:pt>
                <c:pt idx="15">
                  <c:v>Mar-19</c:v>
                </c:pt>
                <c:pt idx="16">
                  <c:v>Apr-19</c:v>
                </c:pt>
                <c:pt idx="17">
                  <c:v>May-19</c:v>
                </c:pt>
                <c:pt idx="18">
                  <c:v>Jun-19</c:v>
                </c:pt>
                <c:pt idx="19">
                  <c:v>Jul-19</c:v>
                </c:pt>
                <c:pt idx="20">
                  <c:v>Aug-19</c:v>
                </c:pt>
                <c:pt idx="21">
                  <c:v>Sep-19</c:v>
                </c:pt>
                <c:pt idx="22">
                  <c:v>Oct-19</c:v>
                </c:pt>
                <c:pt idx="23">
                  <c:v>Nov-19</c:v>
                </c:pt>
                <c:pt idx="24">
                  <c:v>Dec-19</c:v>
                </c:pt>
                <c:pt idx="25">
                  <c:v>Jan-20</c:v>
                </c:pt>
                <c:pt idx="26">
                  <c:v>Feb-20</c:v>
                </c:pt>
                <c:pt idx="27">
                  <c:v>Mar-20</c:v>
                </c:pt>
                <c:pt idx="28">
                  <c:v>Apr-20</c:v>
                </c:pt>
                <c:pt idx="29">
                  <c:v>May-20</c:v>
                </c:pt>
                <c:pt idx="30">
                  <c:v>Jun-20</c:v>
                </c:pt>
                <c:pt idx="31">
                  <c:v>Jul-20</c:v>
                </c:pt>
                <c:pt idx="32">
                  <c:v>Aug-20</c:v>
                </c:pt>
                <c:pt idx="33">
                  <c:v>Sep-20</c:v>
                </c:pt>
                <c:pt idx="34">
                  <c:v>Oct-20</c:v>
                </c:pt>
                <c:pt idx="35">
                  <c:v>Nov-20</c:v>
                </c:pt>
              </c:strCache>
            </c:strRef>
          </c:cat>
          <c:val>
            <c:numRef>
              <c:f>'Performance Data Input'!$B$4:$B$39</c:f>
              <c:numCache>
                <c:formatCode>#,##0</c:formatCode>
                <c:ptCount val="36"/>
                <c:pt idx="0" formatCode="General">
                  <c:v>0</c:v>
                </c:pt>
              </c:numCache>
            </c:numRef>
          </c:val>
          <c:smooth val="0"/>
          <c:extLst>
            <c:ext xmlns:c16="http://schemas.microsoft.com/office/drawing/2014/chart" uri="{C3380CC4-5D6E-409C-BE32-E72D297353CC}">
              <c16:uniqueId val="{00000001-95E9-4A01-B42E-DEFB18F76036}"/>
            </c:ext>
          </c:extLst>
        </c:ser>
        <c:dLbls>
          <c:showLegendKey val="0"/>
          <c:showVal val="0"/>
          <c:showCatName val="0"/>
          <c:showSerName val="0"/>
          <c:showPercent val="0"/>
          <c:showBubbleSize val="0"/>
        </c:dLbls>
        <c:marker val="1"/>
        <c:smooth val="0"/>
        <c:axId val="713763328"/>
        <c:axId val="713759064"/>
      </c:lineChart>
      <c:catAx>
        <c:axId val="42384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8304"/>
        <c:crosses val="autoZero"/>
        <c:auto val="1"/>
        <c:lblAlgn val="ctr"/>
        <c:lblOffset val="100"/>
        <c:noMultiLvlLbl val="0"/>
      </c:catAx>
      <c:valAx>
        <c:axId val="42384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4368"/>
        <c:crosses val="autoZero"/>
        <c:crossBetween val="between"/>
      </c:valAx>
      <c:valAx>
        <c:axId val="7137590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 (barrels beer)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763328"/>
        <c:crosses val="max"/>
        <c:crossBetween val="between"/>
      </c:valAx>
      <c:catAx>
        <c:axId val="713763328"/>
        <c:scaling>
          <c:orientation val="minMax"/>
        </c:scaling>
        <c:delete val="1"/>
        <c:axPos val="b"/>
        <c:numFmt formatCode="General" sourceLinked="1"/>
        <c:majorTickMark val="out"/>
        <c:minorTickMark val="none"/>
        <c:tickLblPos val="nextTo"/>
        <c:crossAx val="713759064"/>
        <c:crosses val="autoZero"/>
        <c:auto val="1"/>
        <c:lblAlgn val="ctr"/>
        <c:lblOffset val="100"/>
        <c:noMultiLvlLbl val="0"/>
      </c:catAx>
      <c:spPr>
        <a:noFill/>
        <a:ln>
          <a:noFill/>
        </a:ln>
        <a:effectLst/>
      </c:spPr>
    </c:plotArea>
    <c:legend>
      <c:legendPos val="b"/>
      <c:layout>
        <c:manualLayout>
          <c:xMode val="edge"/>
          <c:yMode val="edge"/>
          <c:x val="0.13046719160104986"/>
          <c:y val="0.87378538847692577"/>
          <c:w val="0.76128783902012254"/>
          <c:h val="0.10032464388553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ysClr val="windowText" lastClr="000000"/>
                </a:solidFill>
              </a:rPr>
              <a:t>Wastewater cost per unit of product ($/barrel)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69203849518811"/>
          <c:y val="0.1415080396503835"/>
          <c:w val="0.7945301837270341"/>
          <c:h val="0.5908083819619635"/>
        </c:manualLayout>
      </c:layout>
      <c:lineChart>
        <c:grouping val="standard"/>
        <c:varyColors val="0"/>
        <c:ser>
          <c:idx val="0"/>
          <c:order val="0"/>
          <c:tx>
            <c:v>Wastewater cost per barrel</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Table'!$Q$4:$Q$39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732C-43AE-B86C-33F76963640A}"/>
            </c:ext>
          </c:extLst>
        </c:ser>
        <c:dLbls>
          <c:showLegendKey val="0"/>
          <c:showVal val="0"/>
          <c:showCatName val="0"/>
          <c:showSerName val="0"/>
          <c:showPercent val="0"/>
          <c:showBubbleSize val="0"/>
        </c:dLbls>
        <c:marker val="1"/>
        <c:smooth val="0"/>
        <c:axId val="423844368"/>
        <c:axId val="423848304"/>
      </c:lineChart>
      <c:lineChart>
        <c:grouping val="standard"/>
        <c:varyColors val="0"/>
        <c:ser>
          <c:idx val="1"/>
          <c:order val="1"/>
          <c:tx>
            <c:v>Production</c:v>
          </c:tx>
          <c:spPr>
            <a:ln w="28575" cap="rnd">
              <a:solidFill>
                <a:schemeClr val="accent2"/>
              </a:solidFill>
              <a:round/>
            </a:ln>
            <a:effectLst/>
          </c:spPr>
          <c:marker>
            <c:symbol val="none"/>
          </c:marker>
          <c:cat>
            <c:strRef>
              <c:f>'Performance Data Input'!$A$4:$A$39</c:f>
              <c:strCache>
                <c:ptCount val="36"/>
                <c:pt idx="0">
                  <c:v>Date</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pt idx="13">
                  <c:v>Jan-19</c:v>
                </c:pt>
                <c:pt idx="14">
                  <c:v>Feb-19</c:v>
                </c:pt>
                <c:pt idx="15">
                  <c:v>Mar-19</c:v>
                </c:pt>
                <c:pt idx="16">
                  <c:v>Apr-19</c:v>
                </c:pt>
                <c:pt idx="17">
                  <c:v>May-19</c:v>
                </c:pt>
                <c:pt idx="18">
                  <c:v>Jun-19</c:v>
                </c:pt>
                <c:pt idx="19">
                  <c:v>Jul-19</c:v>
                </c:pt>
                <c:pt idx="20">
                  <c:v>Aug-19</c:v>
                </c:pt>
                <c:pt idx="21">
                  <c:v>Sep-19</c:v>
                </c:pt>
                <c:pt idx="22">
                  <c:v>Oct-19</c:v>
                </c:pt>
                <c:pt idx="23">
                  <c:v>Nov-19</c:v>
                </c:pt>
                <c:pt idx="24">
                  <c:v>Dec-19</c:v>
                </c:pt>
                <c:pt idx="25">
                  <c:v>Jan-20</c:v>
                </c:pt>
                <c:pt idx="26">
                  <c:v>Feb-20</c:v>
                </c:pt>
                <c:pt idx="27">
                  <c:v>Mar-20</c:v>
                </c:pt>
                <c:pt idx="28">
                  <c:v>Apr-20</c:v>
                </c:pt>
                <c:pt idx="29">
                  <c:v>May-20</c:v>
                </c:pt>
                <c:pt idx="30">
                  <c:v>Jun-20</c:v>
                </c:pt>
                <c:pt idx="31">
                  <c:v>Jul-20</c:v>
                </c:pt>
                <c:pt idx="32">
                  <c:v>Aug-20</c:v>
                </c:pt>
                <c:pt idx="33">
                  <c:v>Sep-20</c:v>
                </c:pt>
                <c:pt idx="34">
                  <c:v>Oct-20</c:v>
                </c:pt>
                <c:pt idx="35">
                  <c:v>Nov-20</c:v>
                </c:pt>
              </c:strCache>
            </c:strRef>
          </c:cat>
          <c:val>
            <c:numRef>
              <c:f>'Performance Data Input'!$B$4:$B$39</c:f>
              <c:numCache>
                <c:formatCode>#,##0</c:formatCode>
                <c:ptCount val="36"/>
                <c:pt idx="0" formatCode="General">
                  <c:v>0</c:v>
                </c:pt>
              </c:numCache>
            </c:numRef>
          </c:val>
          <c:smooth val="0"/>
          <c:extLst>
            <c:ext xmlns:c16="http://schemas.microsoft.com/office/drawing/2014/chart" uri="{C3380CC4-5D6E-409C-BE32-E72D297353CC}">
              <c16:uniqueId val="{00000001-732C-43AE-B86C-33F76963640A}"/>
            </c:ext>
          </c:extLst>
        </c:ser>
        <c:dLbls>
          <c:showLegendKey val="0"/>
          <c:showVal val="0"/>
          <c:showCatName val="0"/>
          <c:showSerName val="0"/>
          <c:showPercent val="0"/>
          <c:showBubbleSize val="0"/>
        </c:dLbls>
        <c:marker val="1"/>
        <c:smooth val="0"/>
        <c:axId val="713763328"/>
        <c:axId val="713759064"/>
      </c:lineChart>
      <c:catAx>
        <c:axId val="42384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8304"/>
        <c:crosses val="autoZero"/>
        <c:auto val="1"/>
        <c:lblAlgn val="ctr"/>
        <c:lblOffset val="100"/>
        <c:noMultiLvlLbl val="0"/>
      </c:catAx>
      <c:valAx>
        <c:axId val="42384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4368"/>
        <c:crosses val="autoZero"/>
        <c:crossBetween val="between"/>
      </c:valAx>
      <c:valAx>
        <c:axId val="7137590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 (barrels</a:t>
                </a:r>
                <a:r>
                  <a:rPr lang="en-US" baseline="0">
                    <a:solidFill>
                      <a:sysClr val="windowText" lastClr="000000"/>
                    </a:solidFill>
                  </a:rPr>
                  <a:t> beer</a:t>
                </a:r>
                <a:r>
                  <a:rPr lang="en-US">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763328"/>
        <c:crosses val="max"/>
        <c:crossBetween val="between"/>
      </c:valAx>
      <c:catAx>
        <c:axId val="713763328"/>
        <c:scaling>
          <c:orientation val="minMax"/>
        </c:scaling>
        <c:delete val="1"/>
        <c:axPos val="b"/>
        <c:numFmt formatCode="General" sourceLinked="1"/>
        <c:majorTickMark val="out"/>
        <c:minorTickMark val="none"/>
        <c:tickLblPos val="nextTo"/>
        <c:crossAx val="713759064"/>
        <c:crosses val="autoZero"/>
        <c:auto val="1"/>
        <c:lblAlgn val="ctr"/>
        <c:lblOffset val="100"/>
        <c:noMultiLvlLbl val="0"/>
      </c:catAx>
      <c:spPr>
        <a:noFill/>
        <a:ln>
          <a:noFill/>
        </a:ln>
        <a:effectLst/>
      </c:spPr>
    </c:plotArea>
    <c:legend>
      <c:legendPos val="b"/>
      <c:layout>
        <c:manualLayout>
          <c:xMode val="edge"/>
          <c:yMode val="edge"/>
          <c:x val="0.13046719160104986"/>
          <c:y val="0.87378538847692577"/>
          <c:w val="0.76128783902012254"/>
          <c:h val="0.10032464388553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All</a:t>
            </a:r>
            <a:r>
              <a:rPr lang="en-US" b="1" baseline="0">
                <a:solidFill>
                  <a:sysClr val="windowText" lastClr="000000"/>
                </a:solidFill>
              </a:rPr>
              <a:t> f</a:t>
            </a:r>
            <a:r>
              <a:rPr lang="en-US" b="1">
                <a:solidFill>
                  <a:sysClr val="windowText" lastClr="000000"/>
                </a:solidFill>
              </a:rPr>
              <a:t>ood</a:t>
            </a:r>
            <a:r>
              <a:rPr lang="en-US" b="1" baseline="0">
                <a:solidFill>
                  <a:sysClr val="windowText" lastClr="000000"/>
                </a:solidFill>
              </a:rPr>
              <a:t> waste diverted</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16447944006999"/>
          <c:y val="0.14856481481481484"/>
          <c:w val="0.70933770778652672"/>
          <c:h val="0.61243912219305907"/>
        </c:manualLayout>
      </c:layout>
      <c:lineChart>
        <c:grouping val="standard"/>
        <c:varyColors val="0"/>
        <c:ser>
          <c:idx val="0"/>
          <c:order val="0"/>
          <c:tx>
            <c:v>Food waste diverted</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Table'!$G$4:$G$39</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DC30-4F60-BCE7-00B7A06CC439}"/>
            </c:ext>
          </c:extLst>
        </c:ser>
        <c:ser>
          <c:idx val="2"/>
          <c:order val="1"/>
          <c:tx>
            <c:v>Trash</c:v>
          </c:tx>
          <c:spPr>
            <a:ln w="28575" cap="rnd">
              <a:solidFill>
                <a:schemeClr val="accent3"/>
              </a:solidFill>
              <a:round/>
            </a:ln>
            <a:effectLst/>
          </c:spPr>
          <c:marker>
            <c:symbol val="none"/>
          </c:marker>
          <c:val>
            <c:numRef>
              <c:f>'Performance Data Input'!$C$5:$C$40</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F997-4783-AE4E-0D8BB8E84C1A}"/>
            </c:ext>
          </c:extLst>
        </c:ser>
        <c:dLbls>
          <c:showLegendKey val="0"/>
          <c:showVal val="0"/>
          <c:showCatName val="0"/>
          <c:showSerName val="0"/>
          <c:showPercent val="0"/>
          <c:showBubbleSize val="0"/>
        </c:dLbls>
        <c:marker val="1"/>
        <c:smooth val="0"/>
        <c:axId val="904244888"/>
        <c:axId val="904245216"/>
      </c:lineChart>
      <c:lineChart>
        <c:grouping val="standard"/>
        <c:varyColors val="0"/>
        <c:ser>
          <c:idx val="1"/>
          <c:order val="2"/>
          <c:tx>
            <c:v>Production</c:v>
          </c:tx>
          <c:spPr>
            <a:ln w="28575" cap="rnd">
              <a:solidFill>
                <a:schemeClr val="accent2"/>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1-DC30-4F60-BCE7-00B7A06CC439}"/>
            </c:ext>
          </c:extLst>
        </c:ser>
        <c:dLbls>
          <c:showLegendKey val="0"/>
          <c:showVal val="0"/>
          <c:showCatName val="0"/>
          <c:showSerName val="0"/>
          <c:showPercent val="0"/>
          <c:showBubbleSize val="0"/>
        </c:dLbls>
        <c:marker val="1"/>
        <c:smooth val="0"/>
        <c:axId val="913104552"/>
        <c:axId val="913105536"/>
      </c:lineChart>
      <c:catAx>
        <c:axId val="90424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245216"/>
        <c:crosses val="autoZero"/>
        <c:auto val="1"/>
        <c:lblAlgn val="ctr"/>
        <c:lblOffset val="100"/>
        <c:noMultiLvlLbl val="0"/>
      </c:catAx>
      <c:valAx>
        <c:axId val="90424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Food waste diverted/trash</a:t>
                </a:r>
                <a:r>
                  <a:rPr lang="en-US" baseline="0"/>
                  <a:t> disposed</a:t>
                </a:r>
                <a:r>
                  <a:rPr lang="en-US"/>
                  <a:t> (tons)</a:t>
                </a:r>
              </a:p>
            </c:rich>
          </c:tx>
          <c:layout>
            <c:manualLayout>
              <c:xMode val="edge"/>
              <c:yMode val="edge"/>
              <c:x val="1.3888888888888888E-2"/>
              <c:y val="0.166671041119860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244888"/>
        <c:crosses val="autoZero"/>
        <c:crossBetween val="between"/>
      </c:valAx>
      <c:valAx>
        <c:axId val="9131055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Prodution (barrels</a:t>
                </a:r>
                <a:r>
                  <a:rPr lang="en-US" baseline="0"/>
                  <a:t> beer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104552"/>
        <c:crosses val="max"/>
        <c:crossBetween val="between"/>
      </c:valAx>
      <c:catAx>
        <c:axId val="913104552"/>
        <c:scaling>
          <c:orientation val="minMax"/>
        </c:scaling>
        <c:delete val="1"/>
        <c:axPos val="b"/>
        <c:numFmt formatCode="General" sourceLinked="1"/>
        <c:majorTickMark val="out"/>
        <c:minorTickMark val="none"/>
        <c:tickLblPos val="nextTo"/>
        <c:crossAx val="913105536"/>
        <c:crosses val="autoZero"/>
        <c:auto val="1"/>
        <c:lblAlgn val="ctr"/>
        <c:lblOffset val="100"/>
        <c:noMultiLvlLbl val="0"/>
      </c:catAx>
      <c:spPr>
        <a:noFill/>
        <a:ln>
          <a:noFill/>
        </a:ln>
        <a:effectLst/>
      </c:spPr>
    </c:plotArea>
    <c:legend>
      <c:legendPos val="b"/>
      <c:layout>
        <c:manualLayout>
          <c:xMode val="edge"/>
          <c:yMode val="edge"/>
          <c:x val="0.12792410323709535"/>
          <c:y val="0.92187445319335082"/>
          <c:w val="0.6911019247594051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Electricity consumed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38670166229222"/>
          <c:y val="0.16245370370370371"/>
          <c:w val="0.69822659667541553"/>
          <c:h val="0.5754020851560222"/>
        </c:manualLayout>
      </c:layout>
      <c:barChart>
        <c:barDir val="col"/>
        <c:grouping val="clustered"/>
        <c:varyColors val="0"/>
        <c:ser>
          <c:idx val="0"/>
          <c:order val="0"/>
          <c:tx>
            <c:v>Electricity consumed</c:v>
          </c:tx>
          <c:spPr>
            <a:solidFill>
              <a:schemeClr val="accent1"/>
            </a:solidFill>
            <a:ln>
              <a:noFill/>
            </a:ln>
            <a:effectLst/>
          </c:spPr>
          <c:invertIfNegative val="0"/>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Table'!$K$4:$K$39</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529-4A48-84C2-A606244057B6}"/>
            </c:ext>
          </c:extLst>
        </c:ser>
        <c:dLbls>
          <c:showLegendKey val="0"/>
          <c:showVal val="0"/>
          <c:showCatName val="0"/>
          <c:showSerName val="0"/>
          <c:showPercent val="0"/>
          <c:showBubbleSize val="0"/>
        </c:dLbls>
        <c:gapWidth val="219"/>
        <c:axId val="1003844368"/>
        <c:axId val="1003844696"/>
      </c:barChart>
      <c:lineChart>
        <c:grouping val="standard"/>
        <c:varyColors val="0"/>
        <c:ser>
          <c:idx val="1"/>
          <c:order val="1"/>
          <c:tx>
            <c:v>Production</c:v>
          </c:tx>
          <c:spPr>
            <a:ln w="28575" cap="rnd">
              <a:solidFill>
                <a:schemeClr val="accent2"/>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1-1529-4A48-84C2-A606244057B6}"/>
            </c:ext>
          </c:extLst>
        </c:ser>
        <c:dLbls>
          <c:showLegendKey val="0"/>
          <c:showVal val="0"/>
          <c:showCatName val="0"/>
          <c:showSerName val="0"/>
          <c:showPercent val="0"/>
          <c:showBubbleSize val="0"/>
        </c:dLbls>
        <c:marker val="1"/>
        <c:smooth val="0"/>
        <c:axId val="1004520984"/>
        <c:axId val="1004520656"/>
      </c:lineChart>
      <c:catAx>
        <c:axId val="100384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844696"/>
        <c:crosses val="autoZero"/>
        <c:auto val="1"/>
        <c:lblAlgn val="ctr"/>
        <c:lblOffset val="100"/>
        <c:noMultiLvlLbl val="0"/>
      </c:catAx>
      <c:valAx>
        <c:axId val="1003844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(MWh)</a:t>
                </a:r>
              </a:p>
            </c:rich>
          </c:tx>
          <c:layout>
            <c:manualLayout>
              <c:xMode val="edge"/>
              <c:yMode val="edge"/>
              <c:x val="3.3333333333333333E-2"/>
              <c:y val="0.183175488480606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844368"/>
        <c:crosses val="autoZero"/>
        <c:crossBetween val="between"/>
      </c:valAx>
      <c:valAx>
        <c:axId val="10045206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Production (barrels beer)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520984"/>
        <c:crosses val="max"/>
        <c:crossBetween val="between"/>
      </c:valAx>
      <c:catAx>
        <c:axId val="1004520984"/>
        <c:scaling>
          <c:orientation val="minMax"/>
        </c:scaling>
        <c:delete val="1"/>
        <c:axPos val="b"/>
        <c:numFmt formatCode="General" sourceLinked="1"/>
        <c:majorTickMark val="out"/>
        <c:minorTickMark val="none"/>
        <c:tickLblPos val="nextTo"/>
        <c:crossAx val="1004520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t>Water use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316447944006999"/>
          <c:y val="0.13467592592592595"/>
          <c:w val="0.68711548556430446"/>
          <c:h val="0.61706875182268883"/>
        </c:manualLayout>
      </c:layout>
      <c:barChart>
        <c:barDir val="col"/>
        <c:grouping val="clustered"/>
        <c:varyColors val="0"/>
        <c:ser>
          <c:idx val="0"/>
          <c:order val="0"/>
          <c:tx>
            <c:v>Water used</c:v>
          </c:tx>
          <c:spPr>
            <a:solidFill>
              <a:schemeClr val="accent1"/>
            </a:solidFill>
            <a:ln>
              <a:noFill/>
            </a:ln>
            <a:effectLst/>
          </c:spPr>
          <c:invertIfNegative val="0"/>
          <c:cat>
            <c:strRef>
              <c:f>'Performance Data Input'!$A$5:$A$40</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Input'!$O$5:$O$40</c:f>
              <c:numCache>
                <c:formatCode>#,##0</c:formatCode>
                <c:ptCount val="36"/>
              </c:numCache>
            </c:numRef>
          </c:val>
          <c:extLst>
            <c:ext xmlns:c16="http://schemas.microsoft.com/office/drawing/2014/chart" uri="{C3380CC4-5D6E-409C-BE32-E72D297353CC}">
              <c16:uniqueId val="{00000000-532A-442F-A599-1CD06A6357E3}"/>
            </c:ext>
          </c:extLst>
        </c:ser>
        <c:dLbls>
          <c:showLegendKey val="0"/>
          <c:showVal val="0"/>
          <c:showCatName val="0"/>
          <c:showSerName val="0"/>
          <c:showPercent val="0"/>
          <c:showBubbleSize val="0"/>
        </c:dLbls>
        <c:gapWidth val="219"/>
        <c:axId val="1035354672"/>
        <c:axId val="1043964104"/>
      </c:barChart>
      <c:lineChart>
        <c:grouping val="standard"/>
        <c:varyColors val="0"/>
        <c:ser>
          <c:idx val="1"/>
          <c:order val="1"/>
          <c:tx>
            <c:v>Production</c:v>
          </c:tx>
          <c:spPr>
            <a:ln w="28575" cap="rnd">
              <a:solidFill>
                <a:schemeClr val="accent2"/>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1-532A-442F-A599-1CD06A6357E3}"/>
            </c:ext>
          </c:extLst>
        </c:ser>
        <c:dLbls>
          <c:showLegendKey val="0"/>
          <c:showVal val="0"/>
          <c:showCatName val="0"/>
          <c:showSerName val="0"/>
          <c:showPercent val="0"/>
          <c:showBubbleSize val="0"/>
        </c:dLbls>
        <c:marker val="1"/>
        <c:smooth val="0"/>
        <c:axId val="1004749128"/>
        <c:axId val="1004748800"/>
      </c:lineChart>
      <c:catAx>
        <c:axId val="103535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3964104"/>
        <c:crosses val="autoZero"/>
        <c:auto val="1"/>
        <c:lblAlgn val="ctr"/>
        <c:lblOffset val="100"/>
        <c:noMultiLvlLbl val="0"/>
      </c:catAx>
      <c:valAx>
        <c:axId val="1043964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Water use (thousands gal)</a:t>
                </a:r>
              </a:p>
            </c:rich>
          </c:tx>
          <c:layout>
            <c:manualLayout>
              <c:xMode val="edge"/>
              <c:yMode val="edge"/>
              <c:x val="4.1458442694663165E-2"/>
              <c:y val="0.21171733741615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35354672"/>
        <c:crosses val="autoZero"/>
        <c:crossBetween val="between"/>
        <c:dispUnits>
          <c:builtInUnit val="thousands"/>
        </c:dispUnits>
      </c:valAx>
      <c:valAx>
        <c:axId val="1004748800"/>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Production (barrels beer)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04749128"/>
        <c:crosses val="max"/>
        <c:crossBetween val="between"/>
      </c:valAx>
      <c:catAx>
        <c:axId val="1004749128"/>
        <c:scaling>
          <c:orientation val="minMax"/>
        </c:scaling>
        <c:delete val="1"/>
        <c:axPos val="b"/>
        <c:numFmt formatCode="General" sourceLinked="1"/>
        <c:majorTickMark val="out"/>
        <c:minorTickMark val="none"/>
        <c:tickLblPos val="nextTo"/>
        <c:crossAx val="1004748800"/>
        <c:crosses val="autoZero"/>
        <c:auto val="1"/>
        <c:lblAlgn val="ctr"/>
        <c:lblOffset val="100"/>
        <c:noMultiLvlLbl val="0"/>
      </c:catAx>
      <c:spPr>
        <a:noFill/>
        <a:ln>
          <a:noFill/>
        </a:ln>
        <a:effectLst/>
      </c:spPr>
    </c:plotArea>
    <c:legend>
      <c:legendPos val="b"/>
      <c:layout>
        <c:manualLayout>
          <c:xMode val="edge"/>
          <c:yMode val="edge"/>
          <c:x val="0.19718263342082237"/>
          <c:y val="0.90798556430446198"/>
          <c:w val="0.6056347331583552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Energy use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2003499562555"/>
          <c:y val="0.14393518518518519"/>
          <c:w val="0.68000437445319339"/>
          <c:h val="0.61186096529600464"/>
        </c:manualLayout>
      </c:layout>
      <c:barChart>
        <c:barDir val="col"/>
        <c:grouping val="clustered"/>
        <c:varyColors val="0"/>
        <c:ser>
          <c:idx val="0"/>
          <c:order val="0"/>
          <c:tx>
            <c:v>All energy use</c:v>
          </c:tx>
          <c:spPr>
            <a:solidFill>
              <a:schemeClr val="accent1"/>
            </a:solidFill>
            <a:ln>
              <a:noFill/>
            </a:ln>
            <a:effectLst/>
          </c:spPr>
          <c:invertIfNegative val="0"/>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Table'!$L$4:$L$39</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7D2C-4B6E-9801-1925021C2C06}"/>
            </c:ext>
          </c:extLst>
        </c:ser>
        <c:dLbls>
          <c:showLegendKey val="0"/>
          <c:showVal val="0"/>
          <c:showCatName val="0"/>
          <c:showSerName val="0"/>
          <c:showPercent val="0"/>
          <c:showBubbleSize val="0"/>
        </c:dLbls>
        <c:gapWidth val="219"/>
        <c:axId val="1001822504"/>
        <c:axId val="1001828408"/>
      </c:barChart>
      <c:lineChart>
        <c:grouping val="standard"/>
        <c:varyColors val="0"/>
        <c:ser>
          <c:idx val="1"/>
          <c:order val="1"/>
          <c:tx>
            <c:v>Production</c:v>
          </c:tx>
          <c:spPr>
            <a:ln w="28575" cap="rnd">
              <a:solidFill>
                <a:schemeClr val="accent2"/>
              </a:solidFill>
              <a:round/>
            </a:ln>
            <a:effectLst/>
          </c:spPr>
          <c:marker>
            <c:symbol val="none"/>
          </c:marker>
          <c:cat>
            <c:numRef>
              <c:f>'Summary Table'!$B$4:$B$39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'Summary Table'!$B$4:$B$39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1-7D2C-4B6E-9801-1925021C2C06}"/>
            </c:ext>
          </c:extLst>
        </c:ser>
        <c:dLbls>
          <c:showLegendKey val="0"/>
          <c:showVal val="0"/>
          <c:showCatName val="0"/>
          <c:showSerName val="0"/>
          <c:showPercent val="0"/>
          <c:showBubbleSize val="0"/>
        </c:dLbls>
        <c:marker val="1"/>
        <c:smooth val="0"/>
        <c:axId val="1078643648"/>
        <c:axId val="1078646928"/>
      </c:lineChart>
      <c:catAx>
        <c:axId val="100182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828408"/>
        <c:crosses val="autoZero"/>
        <c:auto val="1"/>
        <c:lblAlgn val="ctr"/>
        <c:lblOffset val="100"/>
        <c:noMultiLvlLbl val="0"/>
      </c:catAx>
      <c:valAx>
        <c:axId val="1001828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(MMBTU)</a:t>
                </a:r>
              </a:p>
            </c:rich>
          </c:tx>
          <c:layout>
            <c:manualLayout>
              <c:xMode val="edge"/>
              <c:yMode val="edge"/>
              <c:x val="4.7222222222222221E-2"/>
              <c:y val="0.392388815981335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822504"/>
        <c:crosses val="autoZero"/>
        <c:crossBetween val="between"/>
      </c:valAx>
      <c:valAx>
        <c:axId val="10786469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a:t>
                </a:r>
                <a:r>
                  <a:rPr lang="en-US" baseline="0">
                    <a:solidFill>
                      <a:sysClr val="windowText" lastClr="000000"/>
                    </a:solidFill>
                  </a:rPr>
                  <a:t> (barrels beer)</a:t>
                </a:r>
                <a:endParaRPr lang="en-US">
                  <a:solidFill>
                    <a:sysClr val="windowText" lastClr="000000"/>
                  </a:solidFill>
                </a:endParaRPr>
              </a:p>
            </c:rich>
          </c:tx>
          <c:layout>
            <c:manualLayout>
              <c:xMode val="edge"/>
              <c:yMode val="edge"/>
              <c:x val="0.91603379585695111"/>
              <c:y val="0.282632030100283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8643648"/>
        <c:crosses val="max"/>
        <c:crossBetween val="between"/>
      </c:valAx>
      <c:catAx>
        <c:axId val="1078643648"/>
        <c:scaling>
          <c:orientation val="minMax"/>
        </c:scaling>
        <c:delete val="1"/>
        <c:axPos val="b"/>
        <c:numFmt formatCode="#,##0" sourceLinked="1"/>
        <c:majorTickMark val="out"/>
        <c:minorTickMark val="none"/>
        <c:tickLblPos val="nextTo"/>
        <c:crossAx val="10786469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Waste disposal and</a:t>
            </a:r>
            <a:r>
              <a:rPr lang="en-US" b="1" baseline="0">
                <a:solidFill>
                  <a:sysClr val="windowText" lastClr="000000"/>
                </a:solidFill>
              </a:rPr>
              <a:t> </a:t>
            </a:r>
            <a:r>
              <a:rPr lang="en-US" b="1">
                <a:solidFill>
                  <a:sysClr val="windowText" lastClr="000000"/>
                </a:solidFill>
              </a:rPr>
              <a:t>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38670166229222"/>
          <c:y val="0.15319444444444447"/>
          <c:w val="0.72515726159230098"/>
          <c:h val="0.53836504811898511"/>
        </c:manualLayout>
      </c:layout>
      <c:areaChart>
        <c:grouping val="stacked"/>
        <c:varyColors val="0"/>
        <c:ser>
          <c:idx val="0"/>
          <c:order val="0"/>
          <c:tx>
            <c:v>All diverted wastes</c:v>
          </c:tx>
          <c:spPr>
            <a:solidFill>
              <a:schemeClr val="accent1"/>
            </a:solidFill>
            <a:ln w="25400">
              <a:noFill/>
            </a:ln>
            <a:effectLst/>
          </c:spP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Table'!$H$4:$H$39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C8A3-4A17-90BC-CA328198EB7F}"/>
            </c:ext>
          </c:extLst>
        </c:ser>
        <c:ser>
          <c:idx val="1"/>
          <c:order val="1"/>
          <c:tx>
            <c:v>All wastes disposed</c:v>
          </c:tx>
          <c:spPr>
            <a:solidFill>
              <a:schemeClr val="accent2"/>
            </a:solidFill>
            <a:ln w="25400">
              <a:noFill/>
            </a:ln>
            <a:effectLst/>
          </c:spP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Table'!$C$4:$C$39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C8A3-4A17-90BC-CA328198EB7F}"/>
            </c:ext>
          </c:extLst>
        </c:ser>
        <c:dLbls>
          <c:showLegendKey val="0"/>
          <c:showVal val="0"/>
          <c:showCatName val="0"/>
          <c:showSerName val="0"/>
          <c:showPercent val="0"/>
          <c:showBubbleSize val="0"/>
        </c:dLbls>
        <c:axId val="1042159360"/>
        <c:axId val="1042164280"/>
      </c:areaChart>
      <c:lineChart>
        <c:grouping val="standard"/>
        <c:varyColors val="0"/>
        <c:ser>
          <c:idx val="2"/>
          <c:order val="2"/>
          <c:tx>
            <c:v>Recycling rate</c:v>
          </c:tx>
          <c:spPr>
            <a:ln w="28575" cap="rnd">
              <a:solidFill>
                <a:schemeClr val="accent3"/>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Table'!$J$4:$J$39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C8A3-4A17-90BC-CA328198EB7F}"/>
            </c:ext>
          </c:extLst>
        </c:ser>
        <c:dLbls>
          <c:showLegendKey val="0"/>
          <c:showVal val="0"/>
          <c:showCatName val="0"/>
          <c:showSerName val="0"/>
          <c:showPercent val="0"/>
          <c:showBubbleSize val="0"/>
        </c:dLbls>
        <c:marker val="1"/>
        <c:smooth val="0"/>
        <c:axId val="555624544"/>
        <c:axId val="556232968"/>
      </c:lineChart>
      <c:catAx>
        <c:axId val="104215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164280"/>
        <c:crosses val="autoZero"/>
        <c:auto val="1"/>
        <c:lblAlgn val="ctr"/>
        <c:lblOffset val="100"/>
        <c:noMultiLvlLbl val="0"/>
      </c:catAx>
      <c:valAx>
        <c:axId val="1042164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Waste (tons)</a:t>
                </a:r>
              </a:p>
            </c:rich>
          </c:tx>
          <c:layout>
            <c:manualLayout>
              <c:xMode val="edge"/>
              <c:yMode val="edge"/>
              <c:x val="2.7777777777777776E-2"/>
              <c:y val="0.325849008457276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159360"/>
        <c:crosses val="autoZero"/>
        <c:crossBetween val="between"/>
      </c:valAx>
      <c:valAx>
        <c:axId val="55623296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Diversion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5624544"/>
        <c:crosses val="max"/>
        <c:crossBetween val="between"/>
      </c:valAx>
      <c:catAx>
        <c:axId val="555624544"/>
        <c:scaling>
          <c:orientation val="minMax"/>
        </c:scaling>
        <c:delete val="1"/>
        <c:axPos val="b"/>
        <c:numFmt formatCode="General" sourceLinked="1"/>
        <c:majorTickMark val="out"/>
        <c:minorTickMark val="none"/>
        <c:tickLblPos val="nextTo"/>
        <c:crossAx val="5562329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Wastewater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33092738407698"/>
          <c:y val="0.17171296296296296"/>
          <c:w val="0.73389129483814519"/>
          <c:h val="0.55630540974044906"/>
        </c:manualLayout>
      </c:layout>
      <c:lineChart>
        <c:grouping val="standard"/>
        <c:varyColors val="0"/>
        <c:ser>
          <c:idx val="0"/>
          <c:order val="0"/>
          <c:tx>
            <c:v>Wastewater</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Table'!$O$4:$O$39</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8F28-4DD9-94F1-6F87ADEE74CC}"/>
            </c:ext>
          </c:extLst>
        </c:ser>
        <c:dLbls>
          <c:showLegendKey val="0"/>
          <c:showVal val="0"/>
          <c:showCatName val="0"/>
          <c:showSerName val="0"/>
          <c:showPercent val="0"/>
          <c:showBubbleSize val="0"/>
        </c:dLbls>
        <c:marker val="1"/>
        <c:smooth val="0"/>
        <c:axId val="456490384"/>
        <c:axId val="504962680"/>
      </c:lineChart>
      <c:lineChart>
        <c:grouping val="standard"/>
        <c:varyColors val="0"/>
        <c:ser>
          <c:idx val="1"/>
          <c:order val="1"/>
          <c:tx>
            <c:v>Production</c:v>
          </c:tx>
          <c:spPr>
            <a:ln w="28575" cap="rnd">
              <a:solidFill>
                <a:schemeClr val="accent2"/>
              </a:solidFill>
              <a:round/>
            </a:ln>
            <a:effectLst/>
          </c:spPr>
          <c:marker>
            <c:symbol val="none"/>
          </c:marker>
          <c:cat>
            <c:strRef>
              <c:f>'Performance Data Input'!$A$5:$A$40</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0-04EF-472A-898E-C8440299BEF0}"/>
            </c:ext>
          </c:extLst>
        </c:ser>
        <c:dLbls>
          <c:showLegendKey val="0"/>
          <c:showVal val="0"/>
          <c:showCatName val="0"/>
          <c:showSerName val="0"/>
          <c:showPercent val="0"/>
          <c:showBubbleSize val="0"/>
        </c:dLbls>
        <c:marker val="1"/>
        <c:smooth val="0"/>
        <c:axId val="483896200"/>
        <c:axId val="483894560"/>
      </c:lineChart>
      <c:catAx>
        <c:axId val="45649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962680"/>
        <c:crosses val="autoZero"/>
        <c:auto val="1"/>
        <c:lblAlgn val="ctr"/>
        <c:lblOffset val="100"/>
        <c:noMultiLvlLbl val="0"/>
      </c:catAx>
      <c:valAx>
        <c:axId val="504962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Wastewater (thousands gallons)</a:t>
                </a:r>
              </a:p>
            </c:rich>
          </c:tx>
          <c:layout>
            <c:manualLayout>
              <c:xMode val="edge"/>
              <c:yMode val="edge"/>
              <c:x val="3.1069335083114609E-2"/>
              <c:y val="0.171712962962962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90384"/>
        <c:crosses val="autoZero"/>
        <c:crossBetween val="between"/>
        <c:dispUnits>
          <c:builtInUnit val="thousands"/>
        </c:dispUnits>
      </c:valAx>
      <c:valAx>
        <c:axId val="4838945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 (barrels</a:t>
                </a:r>
                <a:r>
                  <a:rPr lang="en-US" baseline="0">
                    <a:solidFill>
                      <a:sysClr val="windowText" lastClr="000000"/>
                    </a:solidFill>
                  </a:rPr>
                  <a:t> beer</a:t>
                </a:r>
                <a:r>
                  <a:rPr lang="en-US">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896200"/>
        <c:crosses val="max"/>
        <c:crossBetween val="between"/>
      </c:valAx>
      <c:catAx>
        <c:axId val="483896200"/>
        <c:scaling>
          <c:orientation val="minMax"/>
        </c:scaling>
        <c:delete val="1"/>
        <c:axPos val="b"/>
        <c:numFmt formatCode="General" sourceLinked="1"/>
        <c:majorTickMark val="out"/>
        <c:minorTickMark val="none"/>
        <c:tickLblPos val="nextTo"/>
        <c:crossAx val="483894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Wastewater organic content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33092738407698"/>
          <c:y val="0.17171296296296296"/>
          <c:w val="0.73389129483814519"/>
          <c:h val="0.55630540974044906"/>
        </c:manualLayout>
      </c:layout>
      <c:barChart>
        <c:barDir val="col"/>
        <c:grouping val="clustered"/>
        <c:varyColors val="0"/>
        <c:ser>
          <c:idx val="0"/>
          <c:order val="0"/>
          <c:tx>
            <c:v>Wastewater BOD</c:v>
          </c:tx>
          <c:spPr>
            <a:solidFill>
              <a:schemeClr val="accent1"/>
            </a:solidFill>
            <a:ln w="25400">
              <a:noFill/>
            </a:ln>
            <a:effectLst/>
          </c:spPr>
          <c:invertIfNegative val="0"/>
          <c:cat>
            <c:strRef>
              <c:f>'Performance Data Input'!$A$5:$A$40</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'Performance Data Input'!$N$5:$N$40</c:f>
              <c:numCache>
                <c:formatCode>#,##0</c:formatCode>
                <c:ptCount val="36"/>
              </c:numCache>
            </c:numRef>
          </c:val>
          <c:extLst>
            <c:ext xmlns:c16="http://schemas.microsoft.com/office/drawing/2014/chart" uri="{C3380CC4-5D6E-409C-BE32-E72D297353CC}">
              <c16:uniqueId val="{00000000-690B-4337-BC18-088415313B9D}"/>
            </c:ext>
          </c:extLst>
        </c:ser>
        <c:dLbls>
          <c:showLegendKey val="0"/>
          <c:showVal val="0"/>
          <c:showCatName val="0"/>
          <c:showSerName val="0"/>
          <c:showPercent val="0"/>
          <c:showBubbleSize val="0"/>
        </c:dLbls>
        <c:gapWidth val="150"/>
        <c:axId val="456490384"/>
        <c:axId val="504962680"/>
      </c:barChart>
      <c:lineChart>
        <c:grouping val="standard"/>
        <c:varyColors val="0"/>
        <c:ser>
          <c:idx val="1"/>
          <c:order val="1"/>
          <c:tx>
            <c:v>Production</c:v>
          </c:tx>
          <c:spPr>
            <a:ln w="28575" cap="rnd">
              <a:solidFill>
                <a:schemeClr val="accent2"/>
              </a:solidFill>
              <a:round/>
            </a:ln>
            <a:effectLst/>
          </c:spPr>
          <c:marker>
            <c:symbol val="none"/>
          </c:marker>
          <c:cat>
            <c:strRef>
              <c:f>'Performance Data Input'!$A$4:$A$39</c:f>
              <c:strCache>
                <c:ptCount val="36"/>
                <c:pt idx="0">
                  <c:v>Date</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pt idx="13">
                  <c:v>Jan-19</c:v>
                </c:pt>
                <c:pt idx="14">
                  <c:v>Feb-19</c:v>
                </c:pt>
                <c:pt idx="15">
                  <c:v>Mar-19</c:v>
                </c:pt>
                <c:pt idx="16">
                  <c:v>Apr-19</c:v>
                </c:pt>
                <c:pt idx="17">
                  <c:v>May-19</c:v>
                </c:pt>
                <c:pt idx="18">
                  <c:v>Jun-19</c:v>
                </c:pt>
                <c:pt idx="19">
                  <c:v>Jul-19</c:v>
                </c:pt>
                <c:pt idx="20">
                  <c:v>Aug-19</c:v>
                </c:pt>
                <c:pt idx="21">
                  <c:v>Sep-19</c:v>
                </c:pt>
                <c:pt idx="22">
                  <c:v>Oct-19</c:v>
                </c:pt>
                <c:pt idx="23">
                  <c:v>Nov-19</c:v>
                </c:pt>
                <c:pt idx="24">
                  <c:v>Dec-19</c:v>
                </c:pt>
                <c:pt idx="25">
                  <c:v>Jan-20</c:v>
                </c:pt>
                <c:pt idx="26">
                  <c:v>Feb-20</c:v>
                </c:pt>
                <c:pt idx="27">
                  <c:v>Mar-20</c:v>
                </c:pt>
                <c:pt idx="28">
                  <c:v>Apr-20</c:v>
                </c:pt>
                <c:pt idx="29">
                  <c:v>May-20</c:v>
                </c:pt>
                <c:pt idx="30">
                  <c:v>Jun-20</c:v>
                </c:pt>
                <c:pt idx="31">
                  <c:v>Jul-20</c:v>
                </c:pt>
                <c:pt idx="32">
                  <c:v>Aug-20</c:v>
                </c:pt>
                <c:pt idx="33">
                  <c:v>Sep-20</c:v>
                </c:pt>
                <c:pt idx="34">
                  <c:v>Oct-20</c:v>
                </c:pt>
                <c:pt idx="35">
                  <c:v>Nov-20</c:v>
                </c:pt>
              </c:strCache>
            </c:strRef>
          </c:cat>
          <c:val>
            <c:numRef>
              <c:f>'Performance Data Input'!$B$5:$B$40</c:f>
              <c:numCache>
                <c:formatCode>#,##0</c:formatCode>
                <c:ptCount val="36"/>
              </c:numCache>
            </c:numRef>
          </c:val>
          <c:smooth val="0"/>
          <c:extLst>
            <c:ext xmlns:c16="http://schemas.microsoft.com/office/drawing/2014/chart" uri="{C3380CC4-5D6E-409C-BE32-E72D297353CC}">
              <c16:uniqueId val="{00000001-690B-4337-BC18-088415313B9D}"/>
            </c:ext>
          </c:extLst>
        </c:ser>
        <c:dLbls>
          <c:showLegendKey val="0"/>
          <c:showVal val="0"/>
          <c:showCatName val="0"/>
          <c:showSerName val="0"/>
          <c:showPercent val="0"/>
          <c:showBubbleSize val="0"/>
        </c:dLbls>
        <c:marker val="1"/>
        <c:smooth val="0"/>
        <c:axId val="674627144"/>
        <c:axId val="674623864"/>
      </c:lineChart>
      <c:catAx>
        <c:axId val="45649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962680"/>
        <c:crosses val="autoZero"/>
        <c:auto val="1"/>
        <c:lblAlgn val="ctr"/>
        <c:lblOffset val="100"/>
        <c:noMultiLvlLbl val="0"/>
      </c:catAx>
      <c:valAx>
        <c:axId val="504962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Wastewater</a:t>
                </a:r>
                <a:r>
                  <a:rPr lang="en-US" baseline="0">
                    <a:solidFill>
                      <a:sysClr val="windowText" lastClr="000000"/>
                    </a:solidFill>
                  </a:rPr>
                  <a:t> BOD (mg/L</a:t>
                </a:r>
                <a:r>
                  <a:rPr lang="en-US">
                    <a:solidFill>
                      <a:sysClr val="windowText" lastClr="000000"/>
                    </a:solidFill>
                  </a:rPr>
                  <a:t>)</a:t>
                </a:r>
              </a:p>
            </c:rich>
          </c:tx>
          <c:layout>
            <c:manualLayout>
              <c:xMode val="edge"/>
              <c:yMode val="edge"/>
              <c:x val="3.1069335083114609E-2"/>
              <c:y val="0.22726851851851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90384"/>
        <c:crosses val="autoZero"/>
        <c:crossBetween val="between"/>
        <c:dispUnits>
          <c:builtInUnit val="thousands"/>
        </c:dispUnits>
      </c:valAx>
      <c:valAx>
        <c:axId val="6746238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 (barrels</a:t>
                </a:r>
                <a:r>
                  <a:rPr lang="en-US" baseline="0">
                    <a:solidFill>
                      <a:sysClr val="windowText" lastClr="000000"/>
                    </a:solidFill>
                  </a:rPr>
                  <a:t> beer</a:t>
                </a:r>
                <a:r>
                  <a:rPr lang="en-US">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627144"/>
        <c:crosses val="max"/>
        <c:crossBetween val="between"/>
      </c:valAx>
      <c:catAx>
        <c:axId val="674627144"/>
        <c:scaling>
          <c:orientation val="minMax"/>
        </c:scaling>
        <c:delete val="1"/>
        <c:axPos val="b"/>
        <c:numFmt formatCode="General" sourceLinked="1"/>
        <c:majorTickMark val="out"/>
        <c:minorTickMark val="none"/>
        <c:tickLblPos val="nextTo"/>
        <c:crossAx val="6746238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ysClr val="windowText" lastClr="000000"/>
                </a:solidFill>
              </a:rPr>
              <a:t>Energy cost per unit of product ($/ton)     </a:t>
            </a:r>
          </a:p>
        </c:rich>
      </c:tx>
      <c:layout>
        <c:manualLayout>
          <c:xMode val="edge"/>
          <c:yMode val="edge"/>
          <c:x val="0.18046522309711283"/>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69203849518811"/>
          <c:y val="0.1415080396503835"/>
          <c:w val="0.7945301837270341"/>
          <c:h val="0.5908083819619635"/>
        </c:manualLayout>
      </c:layout>
      <c:lineChart>
        <c:grouping val="standard"/>
        <c:varyColors val="0"/>
        <c:ser>
          <c:idx val="0"/>
          <c:order val="0"/>
          <c:tx>
            <c:v>Energy cost per ton</c:v>
          </c:tx>
          <c:spPr>
            <a:ln w="28575" cap="rnd">
              <a:solidFill>
                <a:schemeClr val="accent1"/>
              </a:solidFill>
              <a:round/>
            </a:ln>
            <a:effectLst/>
          </c:spPr>
          <c:marker>
            <c:symbol val="none"/>
          </c:marker>
          <c:cat>
            <c:strRef>
              <c:f>'Summary Table'!$A$4:$A$39</c:f>
              <c:strCache>
                <c:ptCount val="36"/>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pt idx="28">
                  <c:v>May-20</c:v>
                </c:pt>
                <c:pt idx="29">
                  <c:v>Jun-20</c:v>
                </c:pt>
                <c:pt idx="30">
                  <c:v>Jul-20</c:v>
                </c:pt>
                <c:pt idx="31">
                  <c:v>Aug-20</c:v>
                </c:pt>
                <c:pt idx="32">
                  <c:v>Sep-20</c:v>
                </c:pt>
                <c:pt idx="33">
                  <c:v>Oct-20</c:v>
                </c:pt>
                <c:pt idx="34">
                  <c:v>Nov-20</c:v>
                </c:pt>
                <c:pt idx="35">
                  <c:v>Dec-20</c:v>
                </c:pt>
              </c:strCache>
            </c:strRef>
          </c:cat>
          <c:val>
            <c:numRef>
              <c:f>'Summary Table'!$N$3:$N$40</c:f>
              <c:numCache>
                <c:formatCode>"$"#,##0</c:formatCode>
                <c:ptCount val="3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6EA5-4AAA-A1F2-4BDD8167809D}"/>
            </c:ext>
          </c:extLst>
        </c:ser>
        <c:dLbls>
          <c:showLegendKey val="0"/>
          <c:showVal val="0"/>
          <c:showCatName val="0"/>
          <c:showSerName val="0"/>
          <c:showPercent val="0"/>
          <c:showBubbleSize val="0"/>
        </c:dLbls>
        <c:marker val="1"/>
        <c:smooth val="0"/>
        <c:axId val="423844368"/>
        <c:axId val="423848304"/>
      </c:lineChart>
      <c:lineChart>
        <c:grouping val="standard"/>
        <c:varyColors val="0"/>
        <c:ser>
          <c:idx val="1"/>
          <c:order val="1"/>
          <c:tx>
            <c:v>Production</c:v>
          </c:tx>
          <c:spPr>
            <a:ln w="28575" cap="rnd">
              <a:solidFill>
                <a:schemeClr val="accent2"/>
              </a:solidFill>
              <a:round/>
            </a:ln>
            <a:effectLst/>
          </c:spPr>
          <c:marker>
            <c:symbol val="none"/>
          </c:marker>
          <c:cat>
            <c:strRef>
              <c:f>'Performance Data Input'!$A$4:$A$39</c:f>
              <c:strCache>
                <c:ptCount val="36"/>
                <c:pt idx="0">
                  <c:v>Date</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pt idx="13">
                  <c:v>Jan-19</c:v>
                </c:pt>
                <c:pt idx="14">
                  <c:v>Feb-19</c:v>
                </c:pt>
                <c:pt idx="15">
                  <c:v>Mar-19</c:v>
                </c:pt>
                <c:pt idx="16">
                  <c:v>Apr-19</c:v>
                </c:pt>
                <c:pt idx="17">
                  <c:v>May-19</c:v>
                </c:pt>
                <c:pt idx="18">
                  <c:v>Jun-19</c:v>
                </c:pt>
                <c:pt idx="19">
                  <c:v>Jul-19</c:v>
                </c:pt>
                <c:pt idx="20">
                  <c:v>Aug-19</c:v>
                </c:pt>
                <c:pt idx="21">
                  <c:v>Sep-19</c:v>
                </c:pt>
                <c:pt idx="22">
                  <c:v>Oct-19</c:v>
                </c:pt>
                <c:pt idx="23">
                  <c:v>Nov-19</c:v>
                </c:pt>
                <c:pt idx="24">
                  <c:v>Dec-19</c:v>
                </c:pt>
                <c:pt idx="25">
                  <c:v>Jan-20</c:v>
                </c:pt>
                <c:pt idx="26">
                  <c:v>Feb-20</c:v>
                </c:pt>
                <c:pt idx="27">
                  <c:v>Mar-20</c:v>
                </c:pt>
                <c:pt idx="28">
                  <c:v>Apr-20</c:v>
                </c:pt>
                <c:pt idx="29">
                  <c:v>May-20</c:v>
                </c:pt>
                <c:pt idx="30">
                  <c:v>Jun-20</c:v>
                </c:pt>
                <c:pt idx="31">
                  <c:v>Jul-20</c:v>
                </c:pt>
                <c:pt idx="32">
                  <c:v>Aug-20</c:v>
                </c:pt>
                <c:pt idx="33">
                  <c:v>Sep-20</c:v>
                </c:pt>
                <c:pt idx="34">
                  <c:v>Oct-20</c:v>
                </c:pt>
                <c:pt idx="35">
                  <c:v>Nov-20</c:v>
                </c:pt>
              </c:strCache>
            </c:strRef>
          </c:cat>
          <c:val>
            <c:numRef>
              <c:f>'Performance Data Input'!$B$4:$B$39</c:f>
              <c:numCache>
                <c:formatCode>#,##0</c:formatCode>
                <c:ptCount val="36"/>
                <c:pt idx="0" formatCode="General">
                  <c:v>0</c:v>
                </c:pt>
              </c:numCache>
            </c:numRef>
          </c:val>
          <c:smooth val="0"/>
          <c:extLst>
            <c:ext xmlns:c16="http://schemas.microsoft.com/office/drawing/2014/chart" uri="{C3380CC4-5D6E-409C-BE32-E72D297353CC}">
              <c16:uniqueId val="{00000001-6EA5-4AAA-A1F2-4BDD8167809D}"/>
            </c:ext>
          </c:extLst>
        </c:ser>
        <c:dLbls>
          <c:showLegendKey val="0"/>
          <c:showVal val="0"/>
          <c:showCatName val="0"/>
          <c:showSerName val="0"/>
          <c:showPercent val="0"/>
          <c:showBubbleSize val="0"/>
        </c:dLbls>
        <c:marker val="1"/>
        <c:smooth val="0"/>
        <c:axId val="713763328"/>
        <c:axId val="713759064"/>
      </c:lineChart>
      <c:catAx>
        <c:axId val="42384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8304"/>
        <c:crosses val="autoZero"/>
        <c:auto val="1"/>
        <c:lblAlgn val="ctr"/>
        <c:lblOffset val="100"/>
        <c:noMultiLvlLbl val="0"/>
      </c:catAx>
      <c:valAx>
        <c:axId val="42384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844368"/>
        <c:crosses val="autoZero"/>
        <c:crossBetween val="between"/>
      </c:valAx>
      <c:valAx>
        <c:axId val="7137590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Production (barrels</a:t>
                </a:r>
                <a:r>
                  <a:rPr lang="en-US" baseline="0">
                    <a:solidFill>
                      <a:sysClr val="windowText" lastClr="000000"/>
                    </a:solidFill>
                  </a:rPr>
                  <a:t> beer</a:t>
                </a:r>
                <a:r>
                  <a:rPr lang="en-US">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763328"/>
        <c:crosses val="max"/>
        <c:crossBetween val="between"/>
      </c:valAx>
      <c:catAx>
        <c:axId val="713763328"/>
        <c:scaling>
          <c:orientation val="minMax"/>
        </c:scaling>
        <c:delete val="1"/>
        <c:axPos val="b"/>
        <c:numFmt formatCode="General" sourceLinked="1"/>
        <c:majorTickMark val="out"/>
        <c:minorTickMark val="none"/>
        <c:tickLblPos val="nextTo"/>
        <c:crossAx val="713759064"/>
        <c:crosses val="autoZero"/>
        <c:auto val="1"/>
        <c:lblAlgn val="ctr"/>
        <c:lblOffset val="100"/>
        <c:noMultiLvlLbl val="0"/>
      </c:catAx>
      <c:spPr>
        <a:noFill/>
        <a:ln>
          <a:noFill/>
        </a:ln>
        <a:effectLst/>
      </c:spPr>
    </c:plotArea>
    <c:legend>
      <c:legendPos val="b"/>
      <c:layout>
        <c:manualLayout>
          <c:xMode val="edge"/>
          <c:yMode val="edge"/>
          <c:x val="0.13046719160104986"/>
          <c:y val="0.87378538847692577"/>
          <c:w val="0.76128783902012254"/>
          <c:h val="0.10032464388553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Source Data'!A1"/><Relationship Id="rId13" Type="http://schemas.openxmlformats.org/officeDocument/2006/relationships/hyperlink" Target="mailto:celia.riechel@vermont.gov?subject=Business%20Sustainability%20Cohort%20tracking%20sheet" TargetMode="External"/><Relationship Id="rId3" Type="http://schemas.openxmlformats.org/officeDocument/2006/relationships/hyperlink" Target="#'Summary charts'!A1"/><Relationship Id="rId7" Type="http://schemas.openxmlformats.org/officeDocument/2006/relationships/hyperlink" Target="#'Waste Volume Conversions'!A1"/><Relationship Id="rId12" Type="http://schemas.openxmlformats.org/officeDocument/2006/relationships/hyperlink" Target="https://www.epa.gov/climateleadership" TargetMode="External"/><Relationship Id="rId2" Type="http://schemas.openxmlformats.org/officeDocument/2006/relationships/hyperlink" Target="#'Summary Table'!A1"/><Relationship Id="rId1" Type="http://schemas.openxmlformats.org/officeDocument/2006/relationships/hyperlink" Target="#'Performance Data Input'!A1"/><Relationship Id="rId6" Type="http://schemas.openxmlformats.org/officeDocument/2006/relationships/hyperlink" Target="#'Waste volume conversions'!A1"/><Relationship Id="rId11" Type="http://schemas.openxmlformats.org/officeDocument/2006/relationships/hyperlink" Target="https://www.epa.gov/energy/greenhouse-gas-equivalencies-calculator" TargetMode="External"/><Relationship Id="rId5" Type="http://schemas.openxmlformats.org/officeDocument/2006/relationships/hyperlink" Target="#'Financial Data Input'!A1"/><Relationship Id="rId10" Type="http://schemas.openxmlformats.org/officeDocument/2006/relationships/hyperlink" Target="https://www.epa.gov/warm" TargetMode="External"/><Relationship Id="rId4" Type="http://schemas.openxmlformats.org/officeDocument/2006/relationships/hyperlink" Target="#'Carbon footprint '!A1"/><Relationship Id="rId9" Type="http://schemas.openxmlformats.org/officeDocument/2006/relationships/hyperlink" Target="https://www.epa.gov/p2/pollution-prevention-tools-and-calculators" TargetMode="External"/><Relationship Id="rId14" Type="http://schemas.openxmlformats.org/officeDocument/2006/relationships/hyperlink" Target="http://www.eaovt.org"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Waste Volume Conversions'!A1"/><Relationship Id="rId1" Type="http://schemas.openxmlformats.org/officeDocument/2006/relationships/hyperlink" Target="#'Source Data'!A1"/></Relationships>
</file>

<file path=xl/drawings/_rels/drawing3.xml.rels><?xml version="1.0" encoding="UTF-8" standalone="yes"?>
<Relationships xmlns="http://schemas.openxmlformats.org/package/2006/relationships"><Relationship Id="rId1" Type="http://schemas.openxmlformats.org/officeDocument/2006/relationships/hyperlink" Target="#'Source Data'!A1"/></Relationships>
</file>

<file path=xl/drawings/_rels/drawing4.xml.rels><?xml version="1.0" encoding="UTF-8" standalone="yes"?>
<Relationships xmlns="http://schemas.openxmlformats.org/package/2006/relationships"><Relationship Id="rId2" Type="http://schemas.openxmlformats.org/officeDocument/2006/relationships/hyperlink" Target="#References!A1"/><Relationship Id="rId1" Type="http://schemas.openxmlformats.org/officeDocument/2006/relationships/hyperlink" Target="#'Performance Data Input'!A1"/></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hyperlink" Target="#'Financial Data Input'!A1"/><Relationship Id="rId1" Type="http://schemas.openxmlformats.org/officeDocument/2006/relationships/hyperlink" Target="#'Data Input TRANSPOSED'!A1"/></Relationships>
</file>

<file path=xl/drawings/drawing1.xml><?xml version="1.0" encoding="utf-8"?>
<xdr:wsDr xmlns:xdr="http://schemas.openxmlformats.org/drawingml/2006/spreadsheetDrawing" xmlns:a="http://schemas.openxmlformats.org/drawingml/2006/main">
  <xdr:twoCellAnchor>
    <xdr:from>
      <xdr:col>1</xdr:col>
      <xdr:colOff>1533525</xdr:colOff>
      <xdr:row>4</xdr:row>
      <xdr:rowOff>371475</xdr:rowOff>
    </xdr:from>
    <xdr:to>
      <xdr:col>1</xdr:col>
      <xdr:colOff>3143251</xdr:colOff>
      <xdr:row>4</xdr:row>
      <xdr:rowOff>542925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409867B-82D0-4237-B293-DE0A2B264D40}"/>
            </a:ext>
          </a:extLst>
        </xdr:cNvPr>
        <xdr:cNvSpPr/>
      </xdr:nvSpPr>
      <xdr:spPr>
        <a:xfrm>
          <a:off x="1752600" y="2514600"/>
          <a:ext cx="1609726"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285750</xdr:colOff>
      <xdr:row>6</xdr:row>
      <xdr:rowOff>47625</xdr:rowOff>
    </xdr:from>
    <xdr:to>
      <xdr:col>1</xdr:col>
      <xdr:colOff>1390650</xdr:colOff>
      <xdr:row>6</xdr:row>
      <xdr:rowOff>228600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0697331-F233-4904-B4F0-9761A1492120}"/>
            </a:ext>
          </a:extLst>
        </xdr:cNvPr>
        <xdr:cNvSpPr/>
      </xdr:nvSpPr>
      <xdr:spPr>
        <a:xfrm>
          <a:off x="504825" y="4953000"/>
          <a:ext cx="11049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295275</xdr:colOff>
      <xdr:row>7</xdr:row>
      <xdr:rowOff>47625</xdr:rowOff>
    </xdr:from>
    <xdr:to>
      <xdr:col>1</xdr:col>
      <xdr:colOff>1476375</xdr:colOff>
      <xdr:row>7</xdr:row>
      <xdr:rowOff>200025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FF99D7DD-BE20-41E1-9628-41C56E53512B}"/>
            </a:ext>
          </a:extLst>
        </xdr:cNvPr>
        <xdr:cNvSpPr/>
      </xdr:nvSpPr>
      <xdr:spPr>
        <a:xfrm>
          <a:off x="514350" y="5667375"/>
          <a:ext cx="1181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2705100</xdr:colOff>
      <xdr:row>14</xdr:row>
      <xdr:rowOff>323851</xdr:rowOff>
    </xdr:from>
    <xdr:to>
      <xdr:col>1</xdr:col>
      <xdr:colOff>3886199</xdr:colOff>
      <xdr:row>14</xdr:row>
      <xdr:rowOff>514350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5C68F758-03C9-450A-8220-AB76A91CF7AC}"/>
            </a:ext>
          </a:extLst>
        </xdr:cNvPr>
        <xdr:cNvSpPr/>
      </xdr:nvSpPr>
      <xdr:spPr>
        <a:xfrm>
          <a:off x="2924175" y="12506326"/>
          <a:ext cx="1181099"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3209925</xdr:colOff>
      <xdr:row>4</xdr:row>
      <xdr:rowOff>371474</xdr:rowOff>
    </xdr:from>
    <xdr:to>
      <xdr:col>1</xdr:col>
      <xdr:colOff>4629150</xdr:colOff>
      <xdr:row>4</xdr:row>
      <xdr:rowOff>533399</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30D5098E-5067-41B7-8E50-C46A3CF18EC8}"/>
            </a:ext>
          </a:extLst>
        </xdr:cNvPr>
        <xdr:cNvSpPr/>
      </xdr:nvSpPr>
      <xdr:spPr>
        <a:xfrm>
          <a:off x="3429000" y="2514599"/>
          <a:ext cx="14192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247650</xdr:colOff>
      <xdr:row>9</xdr:row>
      <xdr:rowOff>752475</xdr:rowOff>
    </xdr:from>
    <xdr:to>
      <xdr:col>1</xdr:col>
      <xdr:colOff>1676401</xdr:colOff>
      <xdr:row>9</xdr:row>
      <xdr:rowOff>933450</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92272DF7-6EB5-4399-AF61-5000A3884D3B}"/>
            </a:ext>
          </a:extLst>
        </xdr:cNvPr>
        <xdr:cNvSpPr/>
      </xdr:nvSpPr>
      <xdr:spPr>
        <a:xfrm>
          <a:off x="466725" y="7286625"/>
          <a:ext cx="1428751"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295275</xdr:colOff>
      <xdr:row>8</xdr:row>
      <xdr:rowOff>47625</xdr:rowOff>
    </xdr:from>
    <xdr:to>
      <xdr:col>1</xdr:col>
      <xdr:colOff>2143125</xdr:colOff>
      <xdr:row>8</xdr:row>
      <xdr:rowOff>219074</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9640F656-8936-4982-97D8-4EB45C94246C}"/>
            </a:ext>
          </a:extLst>
        </xdr:cNvPr>
        <xdr:cNvSpPr/>
      </xdr:nvSpPr>
      <xdr:spPr>
        <a:xfrm>
          <a:off x="514350" y="6124575"/>
          <a:ext cx="1847850"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4981575</xdr:colOff>
      <xdr:row>4</xdr:row>
      <xdr:rowOff>361950</xdr:rowOff>
    </xdr:from>
    <xdr:to>
      <xdr:col>1</xdr:col>
      <xdr:colOff>6838950</xdr:colOff>
      <xdr:row>4</xdr:row>
      <xdr:rowOff>533400</xdr:rowOff>
    </xdr:to>
    <xdr:sp macro="" textlink="">
      <xdr:nvSpPr>
        <xdr:cNvPr id="6" name="Rectangle 5">
          <a:hlinkClick xmlns:r="http://schemas.openxmlformats.org/officeDocument/2006/relationships" r:id="rId7"/>
          <a:extLst>
            <a:ext uri="{FF2B5EF4-FFF2-40B4-BE49-F238E27FC236}">
              <a16:creationId xmlns:a16="http://schemas.microsoft.com/office/drawing/2014/main" id="{18B89963-06AA-48A5-8711-705148CBB0F2}"/>
            </a:ext>
          </a:extLst>
        </xdr:cNvPr>
        <xdr:cNvSpPr/>
      </xdr:nvSpPr>
      <xdr:spPr>
        <a:xfrm>
          <a:off x="5200650" y="2505075"/>
          <a:ext cx="1857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4933950</xdr:colOff>
      <xdr:row>4</xdr:row>
      <xdr:rowOff>600075</xdr:rowOff>
    </xdr:from>
    <xdr:to>
      <xdr:col>1</xdr:col>
      <xdr:colOff>5753099</xdr:colOff>
      <xdr:row>4</xdr:row>
      <xdr:rowOff>762000</xdr:rowOff>
    </xdr:to>
    <xdr:sp macro="" textlink="">
      <xdr:nvSpPr>
        <xdr:cNvPr id="11" name="Rectangle 10">
          <a:hlinkClick xmlns:r="http://schemas.openxmlformats.org/officeDocument/2006/relationships" r:id="rId8"/>
          <a:extLst>
            <a:ext uri="{FF2B5EF4-FFF2-40B4-BE49-F238E27FC236}">
              <a16:creationId xmlns:a16="http://schemas.microsoft.com/office/drawing/2014/main" id="{3E1CC8C5-00C0-4501-9867-0E44624B7745}"/>
            </a:ext>
          </a:extLst>
        </xdr:cNvPr>
        <xdr:cNvSpPr/>
      </xdr:nvSpPr>
      <xdr:spPr>
        <a:xfrm>
          <a:off x="5153025" y="2743200"/>
          <a:ext cx="81914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17</xdr:row>
      <xdr:rowOff>9525</xdr:rowOff>
    </xdr:from>
    <xdr:to>
      <xdr:col>1</xdr:col>
      <xdr:colOff>4114800</xdr:colOff>
      <xdr:row>17</xdr:row>
      <xdr:rowOff>219075</xdr:rowOff>
    </xdr:to>
    <xdr:sp macro="" textlink="">
      <xdr:nvSpPr>
        <xdr:cNvPr id="3" name="Rectangle 2">
          <a:hlinkClick xmlns:r="http://schemas.openxmlformats.org/officeDocument/2006/relationships" r:id="rId9"/>
          <a:extLst>
            <a:ext uri="{FF2B5EF4-FFF2-40B4-BE49-F238E27FC236}">
              <a16:creationId xmlns:a16="http://schemas.microsoft.com/office/drawing/2014/main" id="{C0FDF3A5-286F-4D84-B992-82E70655F25A}"/>
            </a:ext>
          </a:extLst>
        </xdr:cNvPr>
        <xdr:cNvSpPr/>
      </xdr:nvSpPr>
      <xdr:spPr>
        <a:xfrm>
          <a:off x="228600" y="15306675"/>
          <a:ext cx="410527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19051</xdr:colOff>
      <xdr:row>19</xdr:row>
      <xdr:rowOff>47625</xdr:rowOff>
    </xdr:from>
    <xdr:to>
      <xdr:col>1</xdr:col>
      <xdr:colOff>1733551</xdr:colOff>
      <xdr:row>19</xdr:row>
      <xdr:rowOff>257174</xdr:rowOff>
    </xdr:to>
    <xdr:sp macro="" textlink="">
      <xdr:nvSpPr>
        <xdr:cNvPr id="12" name="Rectangle 11">
          <a:hlinkClick xmlns:r="http://schemas.openxmlformats.org/officeDocument/2006/relationships" r:id="rId10"/>
          <a:extLst>
            <a:ext uri="{FF2B5EF4-FFF2-40B4-BE49-F238E27FC236}">
              <a16:creationId xmlns:a16="http://schemas.microsoft.com/office/drawing/2014/main" id="{71C7F009-24DE-45E7-A282-F09DB80D8F05}"/>
            </a:ext>
          </a:extLst>
        </xdr:cNvPr>
        <xdr:cNvSpPr/>
      </xdr:nvSpPr>
      <xdr:spPr>
        <a:xfrm>
          <a:off x="238126" y="16078200"/>
          <a:ext cx="17145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21</xdr:row>
      <xdr:rowOff>28575</xdr:rowOff>
    </xdr:from>
    <xdr:to>
      <xdr:col>1</xdr:col>
      <xdr:colOff>4248150</xdr:colOff>
      <xdr:row>22</xdr:row>
      <xdr:rowOff>9525</xdr:rowOff>
    </xdr:to>
    <xdr:sp macro="" textlink="">
      <xdr:nvSpPr>
        <xdr:cNvPr id="13" name="Rectangle 12">
          <a:hlinkClick xmlns:r="http://schemas.openxmlformats.org/officeDocument/2006/relationships" r:id="rId11"/>
          <a:extLst>
            <a:ext uri="{FF2B5EF4-FFF2-40B4-BE49-F238E27FC236}">
              <a16:creationId xmlns:a16="http://schemas.microsoft.com/office/drawing/2014/main" id="{1014D014-DD68-4341-8B18-2C966DE419C1}"/>
            </a:ext>
          </a:extLst>
        </xdr:cNvPr>
        <xdr:cNvSpPr/>
      </xdr:nvSpPr>
      <xdr:spPr>
        <a:xfrm>
          <a:off x="238125" y="16849725"/>
          <a:ext cx="42291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57150</xdr:rowOff>
    </xdr:from>
    <xdr:to>
      <xdr:col>1</xdr:col>
      <xdr:colOff>2438400</xdr:colOff>
      <xdr:row>23</xdr:row>
      <xdr:rowOff>219075</xdr:rowOff>
    </xdr:to>
    <xdr:sp macro="" textlink="">
      <xdr:nvSpPr>
        <xdr:cNvPr id="14" name="Rectangle 13">
          <a:hlinkClick xmlns:r="http://schemas.openxmlformats.org/officeDocument/2006/relationships" r:id="rId12"/>
          <a:extLst>
            <a:ext uri="{FF2B5EF4-FFF2-40B4-BE49-F238E27FC236}">
              <a16:creationId xmlns:a16="http://schemas.microsoft.com/office/drawing/2014/main" id="{CDA35C39-274C-436F-8151-F7C77AB1A69B}"/>
            </a:ext>
          </a:extLst>
        </xdr:cNvPr>
        <xdr:cNvSpPr/>
      </xdr:nvSpPr>
      <xdr:spPr>
        <a:xfrm>
          <a:off x="219075" y="17573625"/>
          <a:ext cx="24384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26</xdr:row>
      <xdr:rowOff>47625</xdr:rowOff>
    </xdr:from>
    <xdr:to>
      <xdr:col>1</xdr:col>
      <xdr:colOff>1638300</xdr:colOff>
      <xdr:row>26</xdr:row>
      <xdr:rowOff>238125</xdr:rowOff>
    </xdr:to>
    <xdr:sp macro="" textlink="">
      <xdr:nvSpPr>
        <xdr:cNvPr id="15" name="Rectangle 14">
          <a:hlinkClick xmlns:r="http://schemas.openxmlformats.org/officeDocument/2006/relationships" r:id="rId13"/>
          <a:extLst>
            <a:ext uri="{FF2B5EF4-FFF2-40B4-BE49-F238E27FC236}">
              <a16:creationId xmlns:a16="http://schemas.microsoft.com/office/drawing/2014/main" id="{621F2855-8C47-4D43-AEE2-8A4A9A5242A7}"/>
            </a:ext>
          </a:extLst>
        </xdr:cNvPr>
        <xdr:cNvSpPr/>
      </xdr:nvSpPr>
      <xdr:spPr>
        <a:xfrm>
          <a:off x="228600" y="19450050"/>
          <a:ext cx="16287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27</xdr:row>
      <xdr:rowOff>47624</xdr:rowOff>
    </xdr:from>
    <xdr:to>
      <xdr:col>1</xdr:col>
      <xdr:colOff>1000125</xdr:colOff>
      <xdr:row>27</xdr:row>
      <xdr:rowOff>228599</xdr:rowOff>
    </xdr:to>
    <xdr:sp macro="" textlink="">
      <xdr:nvSpPr>
        <xdr:cNvPr id="16" name="Rectangle 15">
          <a:hlinkClick xmlns:r="http://schemas.openxmlformats.org/officeDocument/2006/relationships" r:id="rId14"/>
          <a:extLst>
            <a:ext uri="{FF2B5EF4-FFF2-40B4-BE49-F238E27FC236}">
              <a16:creationId xmlns:a16="http://schemas.microsoft.com/office/drawing/2014/main" id="{FC38D1A2-59D0-4E67-9E72-4B49F7F6BAB1}"/>
            </a:ext>
          </a:extLst>
        </xdr:cNvPr>
        <xdr:cNvSpPr/>
      </xdr:nvSpPr>
      <xdr:spPr>
        <a:xfrm>
          <a:off x="219075" y="19697699"/>
          <a:ext cx="10001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657224</xdr:colOff>
      <xdr:row>2</xdr:row>
      <xdr:rowOff>38100</xdr:rowOff>
    </xdr:from>
    <xdr:to>
      <xdr:col>2</xdr:col>
      <xdr:colOff>638174</xdr:colOff>
      <xdr:row>2</xdr:row>
      <xdr:rowOff>180976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13F27F7-CF2B-4B06-9E3B-59D6F7558504}"/>
            </a:ext>
          </a:extLst>
        </xdr:cNvPr>
        <xdr:cNvSpPr/>
      </xdr:nvSpPr>
      <xdr:spPr>
        <a:xfrm>
          <a:off x="1657349" y="561975"/>
          <a:ext cx="790575"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276225</xdr:colOff>
      <xdr:row>1</xdr:row>
      <xdr:rowOff>47625</xdr:rowOff>
    </xdr:from>
    <xdr:to>
      <xdr:col>7</xdr:col>
      <xdr:colOff>419100</xdr:colOff>
      <xdr:row>1</xdr:row>
      <xdr:rowOff>180975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A6E4EEF-4675-431F-A6C7-94EB93E903A1}"/>
            </a:ext>
          </a:extLst>
        </xdr:cNvPr>
        <xdr:cNvSpPr/>
      </xdr:nvSpPr>
      <xdr:spPr>
        <a:xfrm>
          <a:off x="4514850" y="352425"/>
          <a:ext cx="1762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742950</xdr:colOff>
      <xdr:row>2</xdr:row>
      <xdr:rowOff>19050</xdr:rowOff>
    </xdr:from>
    <xdr:to>
      <xdr:col>2</xdr:col>
      <xdr:colOff>771525</xdr:colOff>
      <xdr:row>2</xdr:row>
      <xdr:rowOff>209550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F47AA02-409C-41C8-A69C-B536BBC8D7D1}"/>
            </a:ext>
          </a:extLst>
        </xdr:cNvPr>
        <xdr:cNvSpPr/>
      </xdr:nvSpPr>
      <xdr:spPr>
        <a:xfrm>
          <a:off x="1743075" y="542925"/>
          <a:ext cx="8382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4</xdr:row>
      <xdr:rowOff>38100</xdr:rowOff>
    </xdr:from>
    <xdr:to>
      <xdr:col>5</xdr:col>
      <xdr:colOff>542925</xdr:colOff>
      <xdr:row>4</xdr:row>
      <xdr:rowOff>200025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97D495E-9308-4D46-BB75-D193B8083002}"/>
            </a:ext>
          </a:extLst>
        </xdr:cNvPr>
        <xdr:cNvSpPr/>
      </xdr:nvSpPr>
      <xdr:spPr>
        <a:xfrm>
          <a:off x="3962400" y="990600"/>
          <a:ext cx="16383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276225</xdr:colOff>
      <xdr:row>2</xdr:row>
      <xdr:rowOff>38100</xdr:rowOff>
    </xdr:from>
    <xdr:to>
      <xdr:col>1</xdr:col>
      <xdr:colOff>276225</xdr:colOff>
      <xdr:row>2</xdr:row>
      <xdr:rowOff>190500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012B786-ADD5-497A-B15A-3E384078A42A}"/>
            </a:ext>
          </a:extLst>
        </xdr:cNvPr>
        <xdr:cNvSpPr/>
      </xdr:nvSpPr>
      <xdr:spPr>
        <a:xfrm>
          <a:off x="276225" y="552450"/>
          <a:ext cx="7239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1</xdr:row>
      <xdr:rowOff>9525</xdr:rowOff>
    </xdr:from>
    <xdr:to>
      <xdr:col>7</xdr:col>
      <xdr:colOff>504825</xdr:colOff>
      <xdr:row>15</xdr:row>
      <xdr:rowOff>85725</xdr:rowOff>
    </xdr:to>
    <xdr:graphicFrame macro="">
      <xdr:nvGraphicFramePr>
        <xdr:cNvPr id="2" name="Chart 1">
          <a:extLst>
            <a:ext uri="{FF2B5EF4-FFF2-40B4-BE49-F238E27FC236}">
              <a16:creationId xmlns:a16="http://schemas.microsoft.com/office/drawing/2014/main" id="{53A5C0F9-603F-47E8-BDFB-0A8BF1B6D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15</xdr:col>
      <xdr:colOff>304800</xdr:colOff>
      <xdr:row>15</xdr:row>
      <xdr:rowOff>76200</xdr:rowOff>
    </xdr:to>
    <xdr:graphicFrame macro="">
      <xdr:nvGraphicFramePr>
        <xdr:cNvPr id="3" name="Chart 2">
          <a:extLst>
            <a:ext uri="{FF2B5EF4-FFF2-40B4-BE49-F238E27FC236}">
              <a16:creationId xmlns:a16="http://schemas.microsoft.com/office/drawing/2014/main" id="{20B5122D-A079-49AF-B80C-45FF60FF4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16</xdr:row>
      <xdr:rowOff>152400</xdr:rowOff>
    </xdr:from>
    <xdr:to>
      <xdr:col>7</xdr:col>
      <xdr:colOff>514350</xdr:colOff>
      <xdr:row>31</xdr:row>
      <xdr:rowOff>38100</xdr:rowOff>
    </xdr:to>
    <xdr:graphicFrame macro="">
      <xdr:nvGraphicFramePr>
        <xdr:cNvPr id="4" name="Chart 3">
          <a:extLst>
            <a:ext uri="{FF2B5EF4-FFF2-40B4-BE49-F238E27FC236}">
              <a16:creationId xmlns:a16="http://schemas.microsoft.com/office/drawing/2014/main" id="{8B118054-9F6F-45EC-94F9-6FB245354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38100</xdr:colOff>
      <xdr:row>16</xdr:row>
      <xdr:rowOff>152400</xdr:rowOff>
    </xdr:from>
    <xdr:to>
      <xdr:col>15</xdr:col>
      <xdr:colOff>342900</xdr:colOff>
      <xdr:row>31</xdr:row>
      <xdr:rowOff>38100</xdr:rowOff>
    </xdr:to>
    <xdr:graphicFrame macro="">
      <xdr:nvGraphicFramePr>
        <xdr:cNvPr id="5" name="Chart 4">
          <a:extLst>
            <a:ext uri="{FF2B5EF4-FFF2-40B4-BE49-F238E27FC236}">
              <a16:creationId xmlns:a16="http://schemas.microsoft.com/office/drawing/2014/main" id="{0B2852CE-93BD-4B7B-889D-3AD57A44F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32</xdr:row>
      <xdr:rowOff>0</xdr:rowOff>
    </xdr:from>
    <xdr:to>
      <xdr:col>7</xdr:col>
      <xdr:colOff>504825</xdr:colOff>
      <xdr:row>46</xdr:row>
      <xdr:rowOff>76200</xdr:rowOff>
    </xdr:to>
    <xdr:graphicFrame macro="">
      <xdr:nvGraphicFramePr>
        <xdr:cNvPr id="6" name="Chart 5">
          <a:extLst>
            <a:ext uri="{FF2B5EF4-FFF2-40B4-BE49-F238E27FC236}">
              <a16:creationId xmlns:a16="http://schemas.microsoft.com/office/drawing/2014/main" id="{04E1355D-9D23-464F-997B-E2FF2935C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76200</xdr:colOff>
      <xdr:row>32</xdr:row>
      <xdr:rowOff>28575</xdr:rowOff>
    </xdr:from>
    <xdr:to>
      <xdr:col>15</xdr:col>
      <xdr:colOff>381000</xdr:colOff>
      <xdr:row>46</xdr:row>
      <xdr:rowOff>104775</xdr:rowOff>
    </xdr:to>
    <xdr:graphicFrame macro="">
      <xdr:nvGraphicFramePr>
        <xdr:cNvPr id="7" name="Chart 6">
          <a:extLst>
            <a:ext uri="{FF2B5EF4-FFF2-40B4-BE49-F238E27FC236}">
              <a16:creationId xmlns:a16="http://schemas.microsoft.com/office/drawing/2014/main" id="{243ABDFC-E101-4B16-8E09-B94283F80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200025</xdr:colOff>
      <xdr:row>47</xdr:row>
      <xdr:rowOff>76200</xdr:rowOff>
    </xdr:from>
    <xdr:to>
      <xdr:col>7</xdr:col>
      <xdr:colOff>504825</xdr:colOff>
      <xdr:row>61</xdr:row>
      <xdr:rowOff>152400</xdr:rowOff>
    </xdr:to>
    <xdr:graphicFrame macro="">
      <xdr:nvGraphicFramePr>
        <xdr:cNvPr id="8" name="Chart 7">
          <a:extLst>
            <a:ext uri="{FF2B5EF4-FFF2-40B4-BE49-F238E27FC236}">
              <a16:creationId xmlns:a16="http://schemas.microsoft.com/office/drawing/2014/main" id="{027D23BD-F2B7-4D3D-A1FB-BA34CEE02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66675</xdr:colOff>
      <xdr:row>47</xdr:row>
      <xdr:rowOff>66675</xdr:rowOff>
    </xdr:from>
    <xdr:to>
      <xdr:col>15</xdr:col>
      <xdr:colOff>371475</xdr:colOff>
      <xdr:row>61</xdr:row>
      <xdr:rowOff>142875</xdr:rowOff>
    </xdr:to>
    <xdr:graphicFrame macro="">
      <xdr:nvGraphicFramePr>
        <xdr:cNvPr id="10" name="Chart 9">
          <a:extLst>
            <a:ext uri="{FF2B5EF4-FFF2-40B4-BE49-F238E27FC236}">
              <a16:creationId xmlns:a16="http://schemas.microsoft.com/office/drawing/2014/main" id="{4FBF5EAE-E9BD-406C-B2E0-FE59A3CD8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62</xdr:row>
      <xdr:rowOff>142874</xdr:rowOff>
    </xdr:from>
    <xdr:to>
      <xdr:col>7</xdr:col>
      <xdr:colOff>495300</xdr:colOff>
      <xdr:row>78</xdr:row>
      <xdr:rowOff>38099</xdr:rowOff>
    </xdr:to>
    <xdr:graphicFrame macro="">
      <xdr:nvGraphicFramePr>
        <xdr:cNvPr id="11" name="Chart 10">
          <a:extLst>
            <a:ext uri="{FF2B5EF4-FFF2-40B4-BE49-F238E27FC236}">
              <a16:creationId xmlns:a16="http://schemas.microsoft.com/office/drawing/2014/main" id="{D476394D-2C3C-4BB3-B20B-2CCAED3C2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114300</xdr:colOff>
      <xdr:row>62</xdr:row>
      <xdr:rowOff>114300</xdr:rowOff>
    </xdr:from>
    <xdr:to>
      <xdr:col>15</xdr:col>
      <xdr:colOff>419100</xdr:colOff>
      <xdr:row>78</xdr:row>
      <xdr:rowOff>9525</xdr:rowOff>
    </xdr:to>
    <xdr:graphicFrame macro="">
      <xdr:nvGraphicFramePr>
        <xdr:cNvPr id="12" name="Chart 11">
          <a:extLst>
            <a:ext uri="{FF2B5EF4-FFF2-40B4-BE49-F238E27FC236}">
              <a16:creationId xmlns:a16="http://schemas.microsoft.com/office/drawing/2014/main" id="{AE3D9A17-8F80-42C9-A16F-281199DB4A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190500</xdr:colOff>
      <xdr:row>78</xdr:row>
      <xdr:rowOff>152400</xdr:rowOff>
    </xdr:from>
    <xdr:to>
      <xdr:col>7</xdr:col>
      <xdr:colOff>495300</xdr:colOff>
      <xdr:row>94</xdr:row>
      <xdr:rowOff>47625</xdr:rowOff>
    </xdr:to>
    <xdr:graphicFrame macro="">
      <xdr:nvGraphicFramePr>
        <xdr:cNvPr id="13" name="Chart 12">
          <a:extLst>
            <a:ext uri="{FF2B5EF4-FFF2-40B4-BE49-F238E27FC236}">
              <a16:creationId xmlns:a16="http://schemas.microsoft.com/office/drawing/2014/main" id="{2AEBB0E5-953B-4034-99AB-50528B0DE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1162050</xdr:colOff>
      <xdr:row>1</xdr:row>
      <xdr:rowOff>28575</xdr:rowOff>
    </xdr:from>
    <xdr:to>
      <xdr:col>1</xdr:col>
      <xdr:colOff>2800350</xdr:colOff>
      <xdr:row>2</xdr:row>
      <xdr:rowOff>9525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9B1546E-DB1A-4F2B-AB88-B3BD0F127CF8}"/>
            </a:ext>
          </a:extLst>
        </xdr:cNvPr>
        <xdr:cNvSpPr/>
      </xdr:nvSpPr>
      <xdr:spPr>
        <a:xfrm>
          <a:off x="3952875" y="333375"/>
          <a:ext cx="16383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3009900</xdr:colOff>
      <xdr:row>1</xdr:row>
      <xdr:rowOff>9525</xdr:rowOff>
    </xdr:from>
    <xdr:to>
      <xdr:col>1</xdr:col>
      <xdr:colOff>4419600</xdr:colOff>
      <xdr:row>1</xdr:row>
      <xdr:rowOff>200025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5FF2E20-6E63-45E9-82F1-76E6A6EE09C6}"/>
            </a:ext>
          </a:extLst>
        </xdr:cNvPr>
        <xdr:cNvSpPr/>
      </xdr:nvSpPr>
      <xdr:spPr>
        <a:xfrm>
          <a:off x="5800725" y="314325"/>
          <a:ext cx="14097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1F85D4-CFFD-4FDA-BB7C-0CFDB5CE2C39}" name="PerfmDataInput" displayName="PerfmDataInput" ref="A4:W41" totalsRowCount="1" headerRowDxfId="204" dataDxfId="202" totalsRowDxfId="201" headerRowBorderDxfId="203">
  <autoFilter ref="A4:W40" xr:uid="{B3235FDD-E7E5-41F9-A76A-C92E74EA3D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D7FFD1B-B0E0-455E-BFF1-76D13F16F779}" name="Date" totalsRowLabel="Total" dataDxfId="200" totalsRowDxfId="43"/>
    <tableColumn id="2" xr3:uid="{8D518249-B0D3-4109-A61A-44ADA7F98FD6}" name="Barrels (bbl)" dataDxfId="199" totalsRowDxfId="42"/>
    <tableColumn id="3" xr3:uid="{5BC99C97-B099-43B1-AD2B-15ADB66F6C3C}" name="Trash sent to landfill (lbs)" dataDxfId="198" totalsRowDxfId="41">
      <calculatedColumnFormula>('Waste Volume Conversions'!B7*References!$E$42)+('Waste Volume Conversions'!C7*References!$E$43)</calculatedColumnFormula>
    </tableColumn>
    <tableColumn id="4" xr3:uid="{16CEADBD-AA6A-4575-BD1C-3F02B9D56A89}" name="Process waste sent to landfill - solid  (lbs)" dataDxfId="197" totalsRowDxfId="40">
      <calculatedColumnFormula>('Waste Volume Conversions'!N7*References!$E$54)</calculatedColumnFormula>
    </tableColumn>
    <tableColumn id="5" xr3:uid="{1B85F72E-0EB3-4593-9CB0-48705CED40C5}" name="Hazardous waste disposed (lbs)" dataDxfId="196" totalsRowDxfId="39"/>
    <tableColumn id="6" xr3:uid="{5B38F5C3-BBDD-4AF0-9163-7849A574E76A}" name="Food waste (post-consumer) diverted (lbs)" dataDxfId="195" totalsRowDxfId="38">
      <calculatedColumnFormula>('Waste Volume Conversions'!P7*References!$E$55)</calculatedColumnFormula>
    </tableColumn>
    <tableColumn id="7" xr3:uid="{E029453E-7E0F-49F6-8E4E-B81748873051}" name="Recycled material  (lbs)" dataDxfId="194" totalsRowDxfId="37">
      <calculatedColumnFormula>('Waste Volume Conversions'!D7*References!$E$44)+('Waste Volume Conversions'!E7*References!$E$45)+('Waste Volume Conversions'!F7*References!$E$46)+('Waste Volume Conversions'!G7*References!$E$47)+('Waste Volume Conversions'!H7*References!$E$48)+('Waste Volume Conversions'!I7*References!$E$49)+('Waste Volume Conversions'!J7*References!$E$50)+('Waste Volume Conversions'!K7*References!$E$51)+('Waste Volume Conversions'!L7*References!$E$52)+('Waste Volume Conversions'!M7*References!$E$53)</calculatedColumnFormula>
    </tableColumn>
    <tableColumn id="8" xr3:uid="{FB9281ED-314B-4A76-B8A2-B1292301BCD1}" name="Other recycled/ reused material (lbs)" dataDxfId="193" totalsRowDxfId="36"/>
    <tableColumn id="9" xr3:uid="{8B212959-1C1B-41BB-A365-9DECB9DAA150}" name="Process waste diverted - solid (lbs)" dataDxfId="192" totalsRowDxfId="35">
      <calculatedColumnFormula>('Waste Volume Conversions'!O7*References!$E$54)</calculatedColumnFormula>
    </tableColumn>
    <tableColumn id="10" xr3:uid="{0268EF75-A063-4AFC-AF17-56B01646FDAD}" name="Process waste diverted - liquid (gal)" dataDxfId="191" totalsRowDxfId="34"/>
    <tableColumn id="11" xr3:uid="{F3CA8975-7BB6-449A-BB53-8BD810B5BE6B}" name="Wastewater to sewer (gal)" dataDxfId="190" totalsRowDxfId="33"/>
    <tableColumn id="12" xr3:uid="{66CEDE39-4C3D-416B-93F9-548B03D6029A}" name="Wastewater to land surface (gal)" dataDxfId="189" totalsRowDxfId="32"/>
    <tableColumn id="13" xr3:uid="{F131CEF1-6418-449C-B27A-DDD0BC3D498B}" name="Wastewater to soil (in-ground) (gal)" dataDxfId="188" totalsRowDxfId="31"/>
    <tableColumn id="14" xr3:uid="{B0B0BDD9-FC8E-4218-AF45-E8C58259B57E}" name="Wastewater BOD (mg/L)" dataDxfId="187" totalsRowDxfId="30"/>
    <tableColumn id="15" xr3:uid="{9366253B-A644-418F-A339-97AFF88B69B6}" name="Water used (gal)" dataDxfId="186" totalsRowDxfId="29"/>
    <tableColumn id="16" xr3:uid="{82C82C23-05C6-4EC8-85FF-7BE51D1784CE}" name="Purchased electricity consumed (kWh)" dataDxfId="185" totalsRowDxfId="28"/>
    <tableColumn id="17" xr3:uid="{55ADA0CD-345C-4448-9AEA-7C7D50737B9F}" name="Generated electricity consumed (kWh)" dataDxfId="184" totalsRowDxfId="27"/>
    <tableColumn id="18" xr3:uid="{D94B9747-55AC-40DA-B8AA-A86B9FD88CA6}" name="Natural gas (Ccf)" dataDxfId="183" totalsRowDxfId="26"/>
    <tableColumn id="19" xr3:uid="{C80F3BE4-2824-47D9-BFEE-DEC4A9EE7249}" name="Propane (gal)" dataDxfId="182" totalsRowDxfId="25"/>
    <tableColumn id="20" xr3:uid="{9DE0CC7C-C713-4876-87BA-7237863D76A4}" name="Heating oil (gal)" dataDxfId="181" totalsRowDxfId="24"/>
    <tableColumn id="21" xr3:uid="{A3A361A0-462F-4363-94E1-2B9AB85A10A3}" name="Wood (tons)" dataDxfId="180" totalsRowDxfId="23"/>
    <tableColumn id="22" xr3:uid="{7514FA2F-8E33-4DB2-84E5-09975F3B56F1}" name="Gasoline (gal)" dataDxfId="179" totalsRowDxfId="22"/>
    <tableColumn id="23" xr3:uid="{0E60B47A-FF74-4974-A406-A3E1A30CCD71}" name="Diesel (gal)" dataDxfId="178" totalsRowDxfId="21"/>
  </tableColumns>
  <tableStyleInfo name="TableStyleMedium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FC22FD-376A-485E-8FDA-1FB544C154BB}" name="FinanceDataInput8" displayName="FinanceDataInput8" ref="A4:U41" totalsRowCount="1" headerRowDxfId="177" dataDxfId="175" totalsRowDxfId="174" headerRowBorderDxfId="176">
  <autoFilter ref="A4:U40" xr:uid="{B3235FDD-E7E5-41F9-A76A-C92E74EA3D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3886275-E2A9-4856-842B-D8DB8B480142}" name="Date" totalsRowLabel="Total" dataDxfId="173" totalsRowDxfId="20"/>
    <tableColumn id="3" xr3:uid="{045B79DB-C0E2-47F5-A0CD-428A9372F372}" name="Solid waste sent to landfill ($)" totalsRowFunction="sum" dataDxfId="172" totalsRowDxfId="19"/>
    <tableColumn id="4" xr3:uid="{88638706-45B5-4CD0-9153-5010486673D8}" name="Process waste sent to landfill - solid  ($)" totalsRowFunction="sum" dataDxfId="171" totalsRowDxfId="18"/>
    <tableColumn id="5" xr3:uid="{6BEA0B46-9315-48BF-B488-7647E78D89FA}" name="Hazardous waste disposed ($)" totalsRowFunction="sum" dataDxfId="170" totalsRowDxfId="17"/>
    <tableColumn id="6" xr3:uid="{9C4E7910-C907-48A7-92EB-E0FE1C1B9F70}" name="Food waste (post-consumer) diverted ($)" totalsRowFunction="sum" dataDxfId="169" totalsRowDxfId="16"/>
    <tableColumn id="7" xr3:uid="{B712A983-9286-4BCC-906C-04BABF1B8E23}" name="Recycled material  ($)" totalsRowFunction="sum" dataDxfId="168" totalsRowDxfId="15"/>
    <tableColumn id="8" xr3:uid="{1D458DD7-F11C-4D7F-A4EB-33293509D024}" name="Other recycled/ reused material ($)" totalsRowFunction="sum" dataDxfId="167" totalsRowDxfId="14"/>
    <tableColumn id="9" xr3:uid="{0C84AF59-5E73-44E1-8B52-A7B6180B23D4}" name="Process waste diverted - solid ($)" totalsRowFunction="sum" dataDxfId="166" totalsRowDxfId="13"/>
    <tableColumn id="10" xr3:uid="{26BF2935-44B9-486B-B7A0-CC6E77F337C0}" name="Process waste diverted - liquid ($)" totalsRowFunction="sum" dataDxfId="165" totalsRowDxfId="12"/>
    <tableColumn id="11" xr3:uid="{34CE14A7-5502-49D0-9514-C2267EF56998}" name="Wastewater to sewer ($)" totalsRowFunction="sum" dataDxfId="164" totalsRowDxfId="11"/>
    <tableColumn id="12" xr3:uid="{D73CE69A-0D8D-4B61-AEB3-5ED9AF3C40C4}" name="Wastewater to land surface ($)" totalsRowFunction="sum" dataDxfId="163" totalsRowDxfId="10"/>
    <tableColumn id="13" xr3:uid="{68CB13DA-A4CF-45A6-866F-9DB69E5DE3EA}" name="Wastewater to soil (in-ground) ($)" totalsRowFunction="sum" dataDxfId="162" totalsRowDxfId="9"/>
    <tableColumn id="14" xr3:uid="{A9D9C9D2-6F57-4EFC-A571-68AE6B8B9AD6}" name="Wastewater BOD ($)" totalsRowFunction="sum" dataDxfId="161" totalsRowDxfId="8"/>
    <tableColumn id="15" xr3:uid="{69AC7265-1FEA-4EF4-B0EA-A9F920C5349E}" name="Water used ($)" totalsRowFunction="sum" dataDxfId="160" totalsRowDxfId="7"/>
    <tableColumn id="16" xr3:uid="{2C4B6B70-E7F8-4DE4-A6D7-5E1A67FD950F}" name="Purchased electricity consumed ($)" totalsRowFunction="sum" dataDxfId="159" totalsRowDxfId="6"/>
    <tableColumn id="18" xr3:uid="{6B977335-047D-4F39-8FA5-A38E8C8E2912}" name="Natural gas ($)" totalsRowFunction="sum" dataDxfId="158" totalsRowDxfId="5"/>
    <tableColumn id="19" xr3:uid="{B0E967DF-9A06-4086-8CBB-D5C37127E248}" name="Propane ($)" totalsRowFunction="sum" dataDxfId="157" totalsRowDxfId="4"/>
    <tableColumn id="20" xr3:uid="{78D03304-4356-4D59-806B-9069B999F96F}" name="Heating oil ($)" totalsRowFunction="sum" dataDxfId="156" totalsRowDxfId="3"/>
    <tableColumn id="21" xr3:uid="{0076A614-CD2D-453A-AA83-B3460E1BCCB5}" name="Wood ($)" totalsRowFunction="sum" dataDxfId="155" totalsRowDxfId="2"/>
    <tableColumn id="22" xr3:uid="{A985B851-CC02-4B05-9D38-9708B5F77F16}" name="Gasoline ($)" totalsRowFunction="sum" dataDxfId="154" totalsRowDxfId="1"/>
    <tableColumn id="23" xr3:uid="{002AF101-FFEB-48A6-AF41-0731F9D80BE6}" name="Diesel ($)" totalsRowFunction="sum" dataDxfId="153" totalsRowDxfId="0"/>
  </tableColumns>
  <tableStyleInfo name="TableStyleMedium5"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C0B375F-E3D6-41A7-BEED-6AE4F45976DB}" name="WasteConversions" displayName="WasteConversions" ref="A6:P42" totalsRowShown="0" headerRowDxfId="152" dataDxfId="151">
  <autoFilter ref="A6:P42" xr:uid="{131E0239-8A14-4677-95EC-6F656649C4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12AD9F0-F403-4834-BEC5-597D357C63DE}" name="Date" dataDxfId="150"/>
    <tableColumn id="2" xr3:uid="{64CE47B1-6C13-4C64-AE71-2CC35829E9A9}" name="Trash, uncompacted _x000a_(cu yd)" dataDxfId="149"/>
    <tableColumn id="3" xr3:uid="{227840EC-4370-48D6-8E98-E1C933788DB6}" name="Trash, compacted _x000a_(cu yd)" dataDxfId="148"/>
    <tableColumn id="4" xr3:uid="{70FE147D-E6BB-4176-A462-EB734ACBCD77}" name="Recyclables, commingled (cu yd)" dataDxfId="147"/>
    <tableColumn id="5" xr3:uid="{53DE64B1-1220-48D1-8F5D-A9E486671934}" name="Recyclables, cardboard and chipboard _x000a_(cu yd)" dataDxfId="146"/>
    <tableColumn id="11" xr3:uid="{8723B48B-0037-4683-9450-D00EF1C05174}" name="Recyclables, cardboard, baled (cu yd)" dataDxfId="145"/>
    <tableColumn id="7" xr3:uid="{742B8FA3-C0EE-4579-ACCD-D246CF7B273E}" name="Recyclables, metal containers (cu yd)" dataDxfId="144"/>
    <tableColumn id="8" xr3:uid="{2AF74869-5EEF-4416-89F6-39D011D3BEE6}" name="Recyclables, aluminum containers (cu yd)" dataDxfId="143"/>
    <tableColumn id="9" xr3:uid="{7A989F65-42CF-49E7-A308-B5F99A8F06A1}" name="Recyclables, steel containers (cu yd)" dataDxfId="142"/>
    <tableColumn id="6" xr3:uid="{9191D6DA-8981-41A2-B636-00610C82C5EE}" name="Recyclables, glass containers (cu yd)" dataDxfId="141"/>
    <tableColumn id="16" xr3:uid="{6F59BD81-1F6E-4789-A8A6-8B54B6BB63D2}" name="Recyclables, plastic containers (cu yd)" dataDxfId="140"/>
    <tableColumn id="15" xr3:uid="{93165A9C-9D54-42C9-AF1A-C52732E7D293}" name="Recyclables, Plastic, Film, LDPE loose_x000a_(cu yd)" dataDxfId="139"/>
    <tableColumn id="14" xr3:uid="{F97E4DB5-A7BF-4CF3-9627-C42069353364}" name="Recyclables, Plastic, Film, LDPE baled _x000a_(cu yd) " dataDxfId="138"/>
    <tableColumn id="12" xr3:uid="{AB427887-D07B-47D7-9F66-D82D2A98F1CA}" name="Process waste, solid, in trash _x000a_(cu yd)" dataDxfId="137"/>
    <tableColumn id="10" xr3:uid="{C8C5F3D5-079D-4E57-A239-5C45AB7B6FF3}" name="Process waste, solid, diverted _x000a_(cu yd)" dataDxfId="136"/>
    <tableColumn id="13" xr3:uid="{B66E5D12-24A7-42D7-8080-65A61B4E5A72}" name="Food waste _x000a_(cu yd)" dataDxfId="135"/>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68ECC1-1107-4377-B9DD-B2092AC34E1D}" name="Summary" displayName="Summary" ref="A3:S40" totalsRowCount="1" headerRowDxfId="134" dataDxfId="133" totalsRowDxfId="132">
  <autoFilter ref="A3:S39" xr:uid="{7B434648-00FF-4D0E-A86C-CB4C82FAB2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38D9A6F-3637-47EE-83C1-DC4B577FB38E}" name="Column1" totalsRowLabel="Total" dataDxfId="131" totalsRowDxfId="130"/>
    <tableColumn id="2" xr3:uid="{47D9ABB0-CE2F-40C3-86A7-0515B1912635}" name="Production (tons product)" totalsRowFunction="sum" dataDxfId="129" totalsRowDxfId="128">
      <calculatedColumnFormula>('Performance Data Input'!B5*(31*8.34))/2000</calculatedColumnFormula>
    </tableColumn>
    <tableColumn id="3" xr3:uid="{DEA1D913-47FD-4FE9-A175-90C69C449C0F}" name="All wastes disposed (tons)" totalsRowFunction="sum" dataDxfId="127" totalsRowDxfId="126">
      <calculatedColumnFormula>('Performance Data Input'!C5+'Performance Data Input'!D5+'Performance Data Input'!E5)/2000</calculatedColumnFormula>
    </tableColumn>
    <tableColumn id="13" xr3:uid="{99F050D4-D124-4987-BC9D-120362B4EE0D}" name="Disposal costs ($)" dataDxfId="125" totalsRowDxfId="124">
      <calculatedColumnFormula>'Financial Data Input'!B5+'Financial Data Input'!C5+'Financial Data Input'!D5</calculatedColumnFormula>
    </tableColumn>
    <tableColumn id="18" xr3:uid="{09CB62CA-6EF7-434C-9F9F-E9F75BAB0D84}" name="Waste disposal costs per unit product ($/ton)" dataDxfId="123" totalsRowDxfId="122">
      <calculatedColumnFormula>IFERROR(Summary[[#This Row],[Disposal costs ($)]]/Summary[[#This Row],[Production (tons product)]], " ")</calculatedColumnFormula>
    </tableColumn>
    <tableColumn id="4" xr3:uid="{75DB3D99-7345-404D-8774-8CC1D70A2BC5}" name="All recycling &amp; reuse  (tons)" totalsRowFunction="sum" dataDxfId="121" totalsRowDxfId="120">
      <calculatedColumnFormula>('Performance Data Input'!G5+'Performance Data Input'!H5)/2000</calculatedColumnFormula>
    </tableColumn>
    <tableColumn id="5" xr3:uid="{B1170189-FC4A-42D0-9145-EEEAA3DA7B93}" name="Food waste diverted  (tons)" totalsRowFunction="sum" dataDxfId="119" totalsRowDxfId="118">
      <calculatedColumnFormula>('Performance Data Input'!F5+'Performance Data Input'!I5+('Performance Data Input'!J5)*8.35)/2000</calculatedColumnFormula>
    </tableColumn>
    <tableColumn id="6" xr3:uid="{450A8AE4-6168-43DC-99AB-95861A06DBA9}" name="All diverted wastes (tons)" totalsRowFunction="sum" dataDxfId="117" totalsRowDxfId="116">
      <calculatedColumnFormula>Summary[[#This Row],[All recycling &amp; reuse  (tons)]]+Summary[[#This Row],[Food waste diverted  (tons)]]</calculatedColumnFormula>
    </tableColumn>
    <tableColumn id="14" xr3:uid="{D2A3FCED-6373-4845-8E30-5FB3D5F5695F}" name="Recycling/ diversion costs ($)" dataDxfId="115" totalsRowDxfId="114">
      <calculatedColumnFormula>'Financial Data Input'!E5+'Financial Data Input'!F5+'Financial Data Input'!G5+'Financial Data Input'!H5+'Financial Data Input'!I5</calculatedColumnFormula>
    </tableColumn>
    <tableColumn id="7" xr3:uid="{47003EA7-9CE2-48DF-81AF-6F50719D0801}" name="Recycling rate (%)" totalsRowFunction="custom" dataDxfId="113" totalsRowDxfId="112">
      <calculatedColumnFormula>IFERROR((Summary[[#This Row],[All diverted wastes (tons)]]/(Summary[[#This Row],[All diverted wastes (tons)]]+Summary[[#This Row],[All wastes disposed (tons)]]))," ")</calculatedColumnFormula>
      <totalsRowFormula>IFERROR((Summary[[#This Row],[All diverted wastes (tons)]]/(Summary[[#This Row],[All diverted wastes (tons)]]+Summary[[#This Row],[All wastes disposed (tons)]]))," ")</totalsRowFormula>
    </tableColumn>
    <tableColumn id="8" xr3:uid="{2853F3D3-9868-4FEF-B0B2-097BE93D9CEE}" name="Electricity consumed (MWh)" totalsRowFunction="sum" dataDxfId="111" totalsRowDxfId="110">
      <calculatedColumnFormula>('Performance Data Input'!P5+'Performance Data Input'!Q5)*0.001</calculatedColumnFormula>
    </tableColumn>
    <tableColumn id="9" xr3:uid="{E5370171-17C8-4974-B7F0-0856DDF360A7}" name="All energy use (MMBTU)" totalsRowFunction="sum" dataDxfId="109" totalsRowDxfId="108">
      <calculatedColumnFormula>(Summary[[#This Row],[Electricity consumed (MWh)]]*3412142+'Performance Data Input'!R5*0.1037+'Performance Data Input'!S5*91333+'Performance Data Input'!T5*138500+'Performance Data Input'!U5*16400000+'Performance Data Input'!V5*120429+'Performance Data Input'!W5*137381)/1000000</calculatedColumnFormula>
    </tableColumn>
    <tableColumn id="15" xr3:uid="{B0FA3C3B-277A-47C4-A2B6-883EA467E805}" name="Energy costs ($)" dataDxfId="107" totalsRowDxfId="106">
      <calculatedColumnFormula>'Financial Data Input'!O5+'Financial Data Input'!P5+'Financial Data Input'!Q5+'Financial Data Input'!R5+'Financial Data Input'!S5+'Financial Data Input'!T5+'Financial Data Input'!U5</calculatedColumnFormula>
    </tableColumn>
    <tableColumn id="17" xr3:uid="{3BDF18A2-2201-408F-B9D4-C53A2756E878}" name="Energy cost per unit of product ($/ton)" dataDxfId="105" totalsRowDxfId="104">
      <calculatedColumnFormula>IFERROR(Summary[[#This Row],[Energy costs ($)]]/Summary[[#This Row],[Production (tons product)]], " ")</calculatedColumnFormula>
    </tableColumn>
    <tableColumn id="10" xr3:uid="{CEF334D5-ECD2-498A-B49C-74F614F99DBE}" name="All wastewater (gal)" totalsRowFunction="sum" dataDxfId="103" totalsRowDxfId="102">
      <calculatedColumnFormula>IFERROR('Performance Data Input'!K5+'Performance Data Input'!L5+'Performance Data Input'!M5, " ")</calculatedColumnFormula>
    </tableColumn>
    <tableColumn id="16" xr3:uid="{BA181246-5EF1-4675-AB5B-EB8BDEE68822}" name="All wastewater costs ($)" dataDxfId="101" totalsRowDxfId="100">
      <calculatedColumnFormula>'Financial Data Input'!J5+'Financial Data Input'!K5+'Financial Data Input'!L5+'Financial Data Input'!M5</calculatedColumnFormula>
    </tableColumn>
    <tableColumn id="19" xr3:uid="{C83650DA-6D98-469F-A413-6B0AEAA84DE5}" name="Wastewater cost per unit of product ($/barrel)" dataDxfId="99" totalsRowDxfId="98">
      <calculatedColumnFormula>IFERROR(Summary[[#This Row],[All wastewater costs ($)]]/'Performance Data Input'!B5, " ")</calculatedColumnFormula>
    </tableColumn>
    <tableColumn id="11" xr3:uid="{8A3785BF-8D59-42A8-ADEC-B63ED08A2F55}" name="Water : wastewater " dataDxfId="97" totalsRowDxfId="96">
      <calculatedColumnFormula>IFERROR(('Performance Data Input'!K5+'Performance Data Input'!L5+'Performance Data Input'!M5)/'Performance Data Input'!O5," ")</calculatedColumnFormula>
    </tableColumn>
    <tableColumn id="12" xr3:uid="{FE6680DB-13DA-4D3D-A8B8-030C30B44643}" name="Water use intensity _x000a_(water used/unit of product)" dataDxfId="95" totalsRowDxfId="94">
      <calculatedColumnFormula>IFERROR('Performance Data Input'!O5/'Performance Data Input'!B5," ")</calculatedColumnFormula>
    </tableColumn>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2C52D4-4EA0-4D1A-9B4B-5542769166B0}" name="CO2e" displayName="CO2e" ref="A4:Q41" totalsRowCount="1" headerRowDxfId="93" dataDxfId="92" totalsRowDxfId="91">
  <autoFilter ref="A4:Q40" xr:uid="{F91AA243-C1B0-49E1-91E8-C8EBBEF175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59C002E6-C3EB-469E-AB0C-5238B99CCA65}" name="Column1" totalsRowLabel="Total" dataDxfId="90" totalsRowDxfId="89"/>
    <tableColumn id="2" xr3:uid="{222D9D51-699E-41CD-8ED9-B45DB4762F0F}" name="Solid waste sent to landfill" totalsRowFunction="sum" dataDxfId="88" totalsRowDxfId="87">
      <calculatedColumnFormula>IFERROR(PerfmDataInput[[#This Row],[Trash sent to landfill (lbs)]]*(0.18/2000), " ")</calculatedColumnFormula>
    </tableColumn>
    <tableColumn id="3" xr3:uid="{304D43EB-EFB7-4207-9F10-213E535B5597}" name="Process waste sent to landfill" totalsRowFunction="sum" dataDxfId="86" totalsRowDxfId="85">
      <calculatedColumnFormula>PerfmDataInput[[#This Row],[Process waste sent to landfill - solid  (lbs)]]*(0.43/2000)</calculatedColumnFormula>
    </tableColumn>
    <tableColumn id="4" xr3:uid="{6849C256-1B3A-4A0B-BAB0-61C615100BC8}" name="Hazardous waste disposed" dataDxfId="84" totalsRowDxfId="83"/>
    <tableColumn id="5" xr3:uid="{CB80ECD4-9ED1-441A-85FE-6241630DB382}" name="Food &amp; process waste diverted" totalsRowFunction="sum" dataDxfId="82" totalsRowDxfId="81">
      <calculatedColumnFormula>'Summary Table'!G4*-((0.18+0.03)/2)</calculatedColumnFormula>
    </tableColumn>
    <tableColumn id="6" xr3:uid="{C79E4291-C844-4168-94E8-9846C4C22EE8}" name="Recycled material" totalsRowFunction="sum" dataDxfId="80" totalsRowDxfId="79">
      <calculatedColumnFormula>PerfmDataInput[[#This Row],[Recycled material  (lbs)]]*(-2.63/2000)</calculatedColumnFormula>
    </tableColumn>
    <tableColumn id="7" xr3:uid="{DD76B2A9-7F8D-40F4-8581-08099FE6D2F6}" name="Other recycled/reused material" dataDxfId="78" totalsRowDxfId="77"/>
    <tableColumn id="8" xr3:uid="{A36D1E6D-DF09-4AAB-8E6D-7B780805DB7B}" name="Purchased electricity consumed" totalsRowFunction="sum" dataDxfId="76" totalsRowDxfId="75">
      <calculatedColumnFormula>('Performance Data Input'!P5/1000)*(435.837/2204.62)</calculatedColumnFormula>
    </tableColumn>
    <tableColumn id="9" xr3:uid="{01326C40-398D-4BB7-A741-68B8A6C0323A}" name="Generated electricity consumed" totalsRowLabel="n/a" dataDxfId="74" totalsRowDxfId="73"/>
    <tableColumn id="10" xr3:uid="{8D29BCC9-5E61-4545-BB4F-558661FC632A}" name="Natural gas" totalsRowFunction="sum" dataDxfId="72" totalsRowDxfId="71">
      <calculatedColumnFormula>PerfmDataInput[[#This Row],[Natural gas (Ccf)]]*5</calculatedColumnFormula>
    </tableColumn>
    <tableColumn id="11" xr3:uid="{C3D11F04-FBD3-4CE0-A48C-581B6DCEBDD3}" name="Propane" totalsRowFunction="sum" dataDxfId="70" totalsRowDxfId="69">
      <calculatedColumnFormula>PerfmDataInput[[#This Row],[Propane (gal)]]*0.00572</calculatedColumnFormula>
    </tableColumn>
    <tableColumn id="12" xr3:uid="{B1297600-B84A-403B-9D83-8E5DDFE64C3F}" name="Heating oil" totalsRowFunction="sum" dataDxfId="68" totalsRowDxfId="67">
      <calculatedColumnFormula>PerfmDataInput[[#This Row],[Heating oil (gal)]]*0.01024</calculatedColumnFormula>
    </tableColumn>
    <tableColumn id="13" xr3:uid="{EC2B11E0-693B-4FE1-8149-3D0CADD60AEB}" name="Wood" totalsRowFunction="sum" dataDxfId="66" totalsRowDxfId="65">
      <calculatedColumnFormula>(PerfmDataInput[[#This Row],[Wood (tons)]]*(16400000/1000000))*(29.8/2204.62)</calculatedColumnFormula>
    </tableColumn>
    <tableColumn id="14" xr3:uid="{7925BD90-7F52-4FB2-9B48-F6E273838704}" name="Gasoline" totalsRowFunction="sum" dataDxfId="64" totalsRowDxfId="63">
      <calculatedColumnFormula>PerfmDataInput[[#This Row],[Gasoline (gal)]]*0.00884</calculatedColumnFormula>
    </tableColumn>
    <tableColumn id="15" xr3:uid="{89FAB091-70FE-4068-9BDB-2BDAFB85C15C}" name="Diesel" totalsRowFunction="sum" dataDxfId="62" totalsRowDxfId="61">
      <calculatedColumnFormula>PerfmDataInput[[#This Row],[Diesel (gal)]]*0.01024</calculatedColumnFormula>
    </tableColumn>
    <tableColumn id="16" xr3:uid="{6997BAB3-86E9-48C1-B7C3-D94795E3FDB0}" name="Potable water used" totalsRowFunction="sum" dataDxfId="60" totalsRowDxfId="59">
      <calculatedColumnFormula>(PerfmDataInput[[#This Row],[Water used (gal)]]*(6139/1000000))*((435.837/2204.62)/1000)</calculatedColumnFormula>
    </tableColumn>
    <tableColumn id="17" xr3:uid="{5F719DD8-DDD1-4139-A3D3-E79BB1270CFE}" name="Wastewater treatment" dataDxfId="58" totalsRowDxfId="5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C51CF3B-019E-4D36-82C7-5853951533C4}" name="Table6" displayName="Table6" ref="A4:C27" totalsRowShown="0" headerRowDxfId="56" dataDxfId="55">
  <autoFilter ref="A4:C27" xr:uid="{2E4FE79B-B4C4-4C15-BCA8-FA8CDC9B8C73}">
    <filterColumn colId="0" hiddenButton="1"/>
    <filterColumn colId="1" hiddenButton="1"/>
    <filterColumn colId="2" hiddenButton="1"/>
  </autoFilter>
  <tableColumns count="3">
    <tableColumn id="1" xr3:uid="{426F64F4-6B60-4487-823C-E0B425A971C2}" name="Metric" dataDxfId="54"/>
    <tableColumn id="2" xr3:uid="{9E83A17E-DC48-4370-8E28-56F14089D3C8}" name="Notes on data sources or methods" dataDxfId="53"/>
    <tableColumn id="3" xr3:uid="{3BDD535A-5FE5-462B-A5E4-510F1678D4ED}" name="Rate ($/unit)" dataDxfId="5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C5A9CE-F1DE-4EB1-8C65-87748151344C}" name="SolidWasteReference" displayName="SolidWasteReference" ref="B41:G55" totalsRowShown="0" headerRowDxfId="51" dataDxfId="50">
  <autoFilter ref="B41:G55" xr:uid="{7DA8487E-9C52-404E-B0D3-84ECDA8F4CF6}">
    <filterColumn colId="0" hiddenButton="1"/>
    <filterColumn colId="1" hiddenButton="1"/>
    <filterColumn colId="2" hiddenButton="1"/>
    <filterColumn colId="3" hiddenButton="1"/>
    <filterColumn colId="4" hiddenButton="1"/>
    <filterColumn colId="5" hiddenButton="1"/>
  </autoFilter>
  <tableColumns count="6">
    <tableColumn id="1" xr3:uid="{269B4FDA-836E-4588-92B8-718A9A7DAD0E}" name="Material type" dataDxfId="49"/>
    <tableColumn id="2" xr3:uid="{63265F8D-4FC5-4F41-8A0F-01B819B22951}" name="Volume" dataDxfId="48"/>
    <tableColumn id="3" xr3:uid="{0E63B2B4-EAB2-4566-8C24-F39E0B5B10AC}" name="EPA estimated weight (lbs)" dataDxfId="47"/>
    <tableColumn id="4" xr3:uid="{B58152D4-D14D-410E-B6E7-04694E868BF3}" name="Cohort template value (lbs)" dataDxfId="46"/>
    <tableColumn id="6" xr3:uid="{77C48B3C-E00E-485C-8262-88A9593D76CE}" name="Notes" dataDxfId="45"/>
    <tableColumn id="5" xr3:uid="{07EEAAEE-3B4C-428B-825B-23D3A0E3363A}" name="EPA source" dataDxfId="4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pa.gov/p2/pollution-prevention-tools-and-calculators" TargetMode="External"/><Relationship Id="rId7" Type="http://schemas.openxmlformats.org/officeDocument/2006/relationships/printerSettings" Target="../printerSettings/printerSettings1.bin"/><Relationship Id="rId2" Type="http://schemas.openxmlformats.org/officeDocument/2006/relationships/hyperlink" Target="http://www.eaovt.org/" TargetMode="External"/><Relationship Id="rId1" Type="http://schemas.openxmlformats.org/officeDocument/2006/relationships/hyperlink" Target="mailto:celia.riechel@vermont.gov" TargetMode="External"/><Relationship Id="rId6" Type="http://schemas.openxmlformats.org/officeDocument/2006/relationships/hyperlink" Target="https://www.epa.gov/warm" TargetMode="External"/><Relationship Id="rId5" Type="http://schemas.openxmlformats.org/officeDocument/2006/relationships/hyperlink" Target="https://www.epa.gov/energy/greenhouse-gas-equivalencies-calculator" TargetMode="External"/><Relationship Id="rId4" Type="http://schemas.openxmlformats.org/officeDocument/2006/relationships/hyperlink" Target="https://www.epa.gov/climateleadershi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8" Type="http://schemas.openxmlformats.org/officeDocument/2006/relationships/hyperlink" Target="https://archive.epa.gov/wastes/conserve/tools/recmeas/web/html/download.html" TargetMode="External"/><Relationship Id="rId3" Type="http://schemas.openxmlformats.org/officeDocument/2006/relationships/hyperlink" Target="https://www.epa.gov/p2/pollution-prevention-tools-and-calculators" TargetMode="External"/><Relationship Id="rId7" Type="http://schemas.openxmlformats.org/officeDocument/2006/relationships/hyperlink" Target="https://www.epa.gov/sites/production/files/2016-04/documents/volume_to_weight_conversion_factors_memorandum_04192016_508fnl.pdf" TargetMode="External"/><Relationship Id="rId2" Type="http://schemas.openxmlformats.org/officeDocument/2006/relationships/hyperlink" Target="https://www.eia.gov/energyexplained/index.php?page=about_energy_units" TargetMode="External"/><Relationship Id="rId1" Type="http://schemas.openxmlformats.org/officeDocument/2006/relationships/hyperlink" Target="https://www.epa.gov/energy/emissions-generation-resource-integrated-database-egrid" TargetMode="External"/><Relationship Id="rId6" Type="http://schemas.openxmlformats.org/officeDocument/2006/relationships/hyperlink" Target="https://www.epa.gov/warm" TargetMode="External"/><Relationship Id="rId5" Type="http://schemas.openxmlformats.org/officeDocument/2006/relationships/hyperlink" Target="https://www.biomasscenter.org/pdfs/veic-carbon-emission-and-modern-wood-heating-summary.pdf" TargetMode="External"/><Relationship Id="rId10" Type="http://schemas.openxmlformats.org/officeDocument/2006/relationships/table" Target="../tables/table7.xml"/><Relationship Id="rId4" Type="http://schemas.openxmlformats.org/officeDocument/2006/relationships/hyperlink" Target="https://www.fpl.fs.fed.us/documnts/techline/fuel-value-calculator.pdf"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ACEF-CEBF-4FC9-A165-E3D88F73B6B9}">
  <sheetPr>
    <tabColor rgb="FFFF0000"/>
  </sheetPr>
  <dimension ref="B1:B28"/>
  <sheetViews>
    <sheetView showRowColHeaders="0" tabSelected="1" topLeftCell="A19" zoomScaleNormal="100" workbookViewId="0">
      <selection activeCell="B26" sqref="B26"/>
    </sheetView>
  </sheetViews>
  <sheetFormatPr defaultColWidth="9.140625" defaultRowHeight="16.5" x14ac:dyDescent="0.3"/>
  <cols>
    <col min="1" max="1" width="3.28515625" style="2" customWidth="1"/>
    <col min="2" max="2" width="124" style="2" customWidth="1"/>
    <col min="3" max="16384" width="9.140625" style="2"/>
  </cols>
  <sheetData>
    <row r="1" spans="2:2" ht="17.25" thickBot="1" x14ac:dyDescent="0.35"/>
    <row r="2" spans="2:2" ht="51.75" customHeight="1" x14ac:dyDescent="0.3">
      <c r="B2" s="11" t="s">
        <v>271</v>
      </c>
    </row>
    <row r="3" spans="2:2" ht="22.5" customHeight="1" x14ac:dyDescent="0.3">
      <c r="B3" s="12" t="s">
        <v>277</v>
      </c>
    </row>
    <row r="4" spans="2:2" ht="77.25" customHeight="1" x14ac:dyDescent="0.3">
      <c r="B4" s="3" t="s">
        <v>246</v>
      </c>
    </row>
    <row r="5" spans="2:2" ht="79.5" customHeight="1" x14ac:dyDescent="0.3">
      <c r="B5" s="4" t="s">
        <v>260</v>
      </c>
    </row>
    <row r="6" spans="2:2" ht="134.25" customHeight="1" x14ac:dyDescent="0.3">
      <c r="B6" s="52" t="s">
        <v>259</v>
      </c>
    </row>
    <row r="7" spans="2:2" ht="56.25" customHeight="1" x14ac:dyDescent="0.3">
      <c r="B7" s="52" t="s">
        <v>253</v>
      </c>
    </row>
    <row r="8" spans="2:2" ht="33.75" customHeight="1" x14ac:dyDescent="0.3">
      <c r="B8" s="52" t="s">
        <v>254</v>
      </c>
    </row>
    <row r="9" spans="2:2" ht="34.5" customHeight="1" x14ac:dyDescent="0.3">
      <c r="B9" s="52" t="s">
        <v>255</v>
      </c>
    </row>
    <row r="10" spans="2:2" ht="143.25" customHeight="1" x14ac:dyDescent="0.3">
      <c r="B10" s="4" t="s">
        <v>262</v>
      </c>
    </row>
    <row r="11" spans="2:2" ht="42" customHeight="1" x14ac:dyDescent="0.3">
      <c r="B11" s="52" t="s">
        <v>261</v>
      </c>
    </row>
    <row r="12" spans="2:2" ht="76.5" customHeight="1" x14ac:dyDescent="0.3">
      <c r="B12" s="4" t="s">
        <v>82</v>
      </c>
    </row>
    <row r="13" spans="2:2" ht="165" customHeight="1" x14ac:dyDescent="0.3">
      <c r="B13" s="4" t="s">
        <v>264</v>
      </c>
    </row>
    <row r="14" spans="2:2" ht="39" customHeight="1" x14ac:dyDescent="0.3">
      <c r="B14" s="52" t="s">
        <v>263</v>
      </c>
    </row>
    <row r="15" spans="2:2" ht="139.5" customHeight="1" x14ac:dyDescent="0.3">
      <c r="B15" s="4" t="s">
        <v>256</v>
      </c>
    </row>
    <row r="16" spans="2:2" ht="64.5" customHeight="1" x14ac:dyDescent="0.3">
      <c r="B16" s="52" t="s">
        <v>257</v>
      </c>
    </row>
    <row r="17" spans="2:2" ht="27.75" customHeight="1" x14ac:dyDescent="0.3">
      <c r="B17" s="52" t="s">
        <v>258</v>
      </c>
    </row>
    <row r="18" spans="2:2" ht="21" customHeight="1" x14ac:dyDescent="0.3">
      <c r="B18" s="5" t="s">
        <v>53</v>
      </c>
    </row>
    <row r="19" spans="2:2" ht="36.75" customHeight="1" x14ac:dyDescent="0.3">
      <c r="B19" s="4" t="s">
        <v>84</v>
      </c>
    </row>
    <row r="20" spans="2:2" ht="21.75" customHeight="1" x14ac:dyDescent="0.3">
      <c r="B20" s="14" t="s">
        <v>85</v>
      </c>
    </row>
    <row r="21" spans="2:2" ht="40.5" customHeight="1" x14ac:dyDescent="0.3">
      <c r="B21" s="3" t="s">
        <v>81</v>
      </c>
    </row>
    <row r="22" spans="2:2" ht="18.75" customHeight="1" x14ac:dyDescent="0.3">
      <c r="B22" s="13" t="s">
        <v>80</v>
      </c>
    </row>
    <row r="23" spans="2:2" ht="36" customHeight="1" x14ac:dyDescent="0.3">
      <c r="B23" s="6" t="s">
        <v>60</v>
      </c>
    </row>
    <row r="24" spans="2:2" ht="18.75" customHeight="1" x14ac:dyDescent="0.3">
      <c r="B24" s="7" t="s">
        <v>61</v>
      </c>
    </row>
    <row r="25" spans="2:2" ht="50.25" customHeight="1" x14ac:dyDescent="0.3">
      <c r="B25" s="6" t="s">
        <v>83</v>
      </c>
    </row>
    <row r="26" spans="2:2" ht="79.5" customHeight="1" x14ac:dyDescent="0.3">
      <c r="B26" s="4" t="s">
        <v>278</v>
      </c>
    </row>
    <row r="27" spans="2:2" s="8" customFormat="1" ht="19.5" customHeight="1" x14ac:dyDescent="0.25">
      <c r="B27" s="9" t="s">
        <v>62</v>
      </c>
    </row>
    <row r="28" spans="2:2" s="8" customFormat="1" ht="18" customHeight="1" thickBot="1" x14ac:dyDescent="0.3">
      <c r="B28" s="10" t="s">
        <v>63</v>
      </c>
    </row>
  </sheetData>
  <sheetProtection selectLockedCells="1" selectUnlockedCells="1"/>
  <hyperlinks>
    <hyperlink ref="B27" r:id="rId1" xr:uid="{B67D1351-41CD-4256-BBC3-F46BCF3C299A}"/>
    <hyperlink ref="B28" r:id="rId2" xr:uid="{24E18B9C-1583-490B-BACC-DC4DECC2BC2A}"/>
    <hyperlink ref="B18" r:id="rId3" xr:uid="{67BAF492-0587-498C-894C-7C4039D76746}"/>
    <hyperlink ref="B24" r:id="rId4" xr:uid="{D0653147-DFA8-439B-9C44-2502F3548D08}"/>
    <hyperlink ref="B22" r:id="rId5" xr:uid="{FF7321D3-0872-4AC8-9F1C-70C24EE213C2}"/>
    <hyperlink ref="B20" r:id="rId6" xr:uid="{D5910682-115E-48CC-9662-27A58F0D9181}"/>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235E-7D6A-410E-87FC-709C85C502E8}">
  <sheetPr>
    <tabColor theme="8" tint="-0.249977111117893"/>
  </sheetPr>
  <dimension ref="A1:W41"/>
  <sheetViews>
    <sheetView workbookViewId="0">
      <pane xSplit="1" topLeftCell="B1" activePane="topRight" state="frozen"/>
      <selection pane="topRight" activeCell="B8" sqref="B8"/>
    </sheetView>
  </sheetViews>
  <sheetFormatPr defaultColWidth="9.140625" defaultRowHeight="15" x14ac:dyDescent="0.25"/>
  <cols>
    <col min="1" max="1" width="15" style="59" customWidth="1"/>
    <col min="2" max="17" width="12.140625" style="59" customWidth="1"/>
    <col min="18" max="23" width="10.140625" style="59" customWidth="1"/>
    <col min="24" max="25" width="12.140625" style="59" customWidth="1"/>
    <col min="26" max="16384" width="9.140625" style="59"/>
  </cols>
  <sheetData>
    <row r="1" spans="1:23" ht="24" x14ac:dyDescent="0.25">
      <c r="A1" s="58" t="s">
        <v>142</v>
      </c>
    </row>
    <row r="2" spans="1:23" ht="17.25" x14ac:dyDescent="0.25">
      <c r="A2" s="60" t="s">
        <v>265</v>
      </c>
    </row>
    <row r="3" spans="1:23" ht="17.25" x14ac:dyDescent="0.25">
      <c r="A3" s="61" t="s">
        <v>266</v>
      </c>
    </row>
    <row r="4" spans="1:23" s="62" customFormat="1" ht="76.5" customHeight="1" x14ac:dyDescent="0.25">
      <c r="A4" s="53" t="s">
        <v>127</v>
      </c>
      <c r="B4" s="54" t="s">
        <v>272</v>
      </c>
      <c r="C4" s="54" t="s">
        <v>242</v>
      </c>
      <c r="D4" s="54" t="s">
        <v>86</v>
      </c>
      <c r="E4" s="54" t="s">
        <v>71</v>
      </c>
      <c r="F4" s="54" t="s">
        <v>124</v>
      </c>
      <c r="G4" s="54" t="s">
        <v>89</v>
      </c>
      <c r="H4" s="54" t="s">
        <v>125</v>
      </c>
      <c r="I4" s="54" t="s">
        <v>91</v>
      </c>
      <c r="J4" s="54" t="s">
        <v>73</v>
      </c>
      <c r="K4" s="54" t="s">
        <v>92</v>
      </c>
      <c r="L4" s="54" t="s">
        <v>93</v>
      </c>
      <c r="M4" s="54" t="s">
        <v>94</v>
      </c>
      <c r="N4" s="54" t="s">
        <v>95</v>
      </c>
      <c r="O4" s="54" t="s">
        <v>133</v>
      </c>
      <c r="P4" s="54" t="s">
        <v>16</v>
      </c>
      <c r="Q4" s="54" t="s">
        <v>17</v>
      </c>
      <c r="R4" s="54" t="s">
        <v>27</v>
      </c>
      <c r="S4" s="54" t="s">
        <v>18</v>
      </c>
      <c r="T4" s="54" t="s">
        <v>19</v>
      </c>
      <c r="U4" s="54" t="s">
        <v>26</v>
      </c>
      <c r="V4" s="54" t="s">
        <v>24</v>
      </c>
      <c r="W4" s="54" t="s">
        <v>25</v>
      </c>
    </row>
    <row r="5" spans="1:23" ht="17.25" x14ac:dyDescent="0.25">
      <c r="A5" s="63" t="s">
        <v>96</v>
      </c>
      <c r="B5" s="56"/>
      <c r="C5" s="56">
        <f>('Waste Volume Conversions'!B7*References!$E$42)+('Waste Volume Conversions'!C7*References!$E$43)</f>
        <v>0</v>
      </c>
      <c r="D5" s="56">
        <f>('Waste Volume Conversions'!N7*References!$E$54)</f>
        <v>0</v>
      </c>
      <c r="E5" s="56"/>
      <c r="F5" s="56">
        <f>('Waste Volume Conversions'!P7*References!$E$55)</f>
        <v>0</v>
      </c>
      <c r="G5" s="56">
        <f>('Waste Volume Conversions'!D7*References!$E$44)+('Waste Volume Conversions'!E7*References!$E$45)+('Waste Volume Conversions'!F7*References!$E$46)+('Waste Volume Conversions'!G7*References!$E$47)+('Waste Volume Conversions'!H7*References!$E$48)+('Waste Volume Conversions'!I7*References!$E$49)+('Waste Volume Conversions'!J7*References!$E$50)+('Waste Volume Conversions'!K7*References!$E$51)+('Waste Volume Conversions'!L7*References!$E$52)+('Waste Volume Conversions'!M7*References!$E$53)</f>
        <v>0</v>
      </c>
      <c r="H5" s="56"/>
      <c r="I5" s="56">
        <f>('Waste Volume Conversions'!O7*References!$E$54)</f>
        <v>0</v>
      </c>
      <c r="J5" s="56"/>
      <c r="K5" s="56"/>
      <c r="L5" s="56"/>
      <c r="M5" s="56"/>
      <c r="N5" s="56"/>
      <c r="O5" s="56"/>
      <c r="P5" s="56"/>
      <c r="Q5" s="56"/>
      <c r="R5" s="56"/>
      <c r="S5" s="56"/>
      <c r="T5" s="56"/>
      <c r="U5" s="56"/>
      <c r="V5" s="56"/>
      <c r="W5" s="56"/>
    </row>
    <row r="6" spans="1:23" ht="17.25" x14ac:dyDescent="0.25">
      <c r="A6" s="63" t="s">
        <v>97</v>
      </c>
      <c r="B6" s="56"/>
      <c r="C6" s="56">
        <f>('Waste Volume Conversions'!B8*References!$E$42)+('Waste Volume Conversions'!C8*References!$E$43)</f>
        <v>0</v>
      </c>
      <c r="D6" s="56">
        <f>('Waste Volume Conversions'!N8*References!$E$54)</f>
        <v>0</v>
      </c>
      <c r="E6" s="56"/>
      <c r="F6" s="56">
        <f>('Waste Volume Conversions'!P8*References!$E$55)</f>
        <v>0</v>
      </c>
      <c r="G6" s="56">
        <f>('Waste Volume Conversions'!D8*References!$E$44)+('Waste Volume Conversions'!E8*References!$E$45)+('Waste Volume Conversions'!F8*References!$E$46)+('Waste Volume Conversions'!G8*References!$E$47)+('Waste Volume Conversions'!H8*References!$E$48)+('Waste Volume Conversions'!I8*References!$E$49)+('Waste Volume Conversions'!J8*References!$E$50)+('Waste Volume Conversions'!K8*References!$E$51)+('Waste Volume Conversions'!L8*References!$E$52)+('Waste Volume Conversions'!M8*References!$E$53)</f>
        <v>0</v>
      </c>
      <c r="H6" s="56"/>
      <c r="I6" s="56">
        <f>('Waste Volume Conversions'!O8*References!$E$54)</f>
        <v>0</v>
      </c>
      <c r="J6" s="56"/>
      <c r="K6" s="56"/>
      <c r="L6" s="56"/>
      <c r="M6" s="56"/>
      <c r="N6" s="56"/>
      <c r="O6" s="56"/>
      <c r="P6" s="56"/>
      <c r="Q6" s="56"/>
      <c r="R6" s="56"/>
      <c r="S6" s="56"/>
      <c r="T6" s="56"/>
      <c r="U6" s="56"/>
      <c r="V6" s="56"/>
      <c r="W6" s="56"/>
    </row>
    <row r="7" spans="1:23" ht="17.25" x14ac:dyDescent="0.25">
      <c r="A7" s="63" t="s">
        <v>98</v>
      </c>
      <c r="B7" s="56"/>
      <c r="C7" s="56">
        <f>('Waste Volume Conversions'!B9*References!$E$42)+('Waste Volume Conversions'!C9*References!$E$43)</f>
        <v>0</v>
      </c>
      <c r="D7" s="56">
        <f>('Waste Volume Conversions'!N9*References!$E$54)</f>
        <v>0</v>
      </c>
      <c r="E7" s="56"/>
      <c r="F7" s="56">
        <f>('Waste Volume Conversions'!P9*References!$E$55)</f>
        <v>0</v>
      </c>
      <c r="G7" s="56">
        <f>('Waste Volume Conversions'!D9*References!$E$44)+('Waste Volume Conversions'!E9*References!$E$45)+('Waste Volume Conversions'!F9*References!$E$46)+('Waste Volume Conversions'!G9*References!$E$47)+('Waste Volume Conversions'!H9*References!$E$48)+('Waste Volume Conversions'!I9*References!$E$49)+('Waste Volume Conversions'!J9*References!$E$50)+('Waste Volume Conversions'!K9*References!$E$51)+('Waste Volume Conversions'!L9*References!$E$52)+('Waste Volume Conversions'!M9*References!$E$53)</f>
        <v>0</v>
      </c>
      <c r="H7" s="56"/>
      <c r="I7" s="56">
        <f>('Waste Volume Conversions'!O9*References!$E$54)</f>
        <v>0</v>
      </c>
      <c r="J7" s="56"/>
      <c r="K7" s="56"/>
      <c r="L7" s="56"/>
      <c r="M7" s="56"/>
      <c r="N7" s="56"/>
      <c r="O7" s="56"/>
      <c r="P7" s="56"/>
      <c r="Q7" s="56"/>
      <c r="R7" s="56"/>
      <c r="S7" s="56"/>
      <c r="T7" s="56"/>
      <c r="U7" s="56"/>
      <c r="V7" s="56"/>
      <c r="W7" s="56"/>
    </row>
    <row r="8" spans="1:23" ht="17.25" x14ac:dyDescent="0.25">
      <c r="A8" s="63" t="s">
        <v>1</v>
      </c>
      <c r="B8" s="56"/>
      <c r="C8" s="56">
        <f>('Waste Volume Conversions'!B10*References!$E$42)+('Waste Volume Conversions'!C10*References!$E$43)</f>
        <v>0</v>
      </c>
      <c r="D8" s="56">
        <f>('Waste Volume Conversions'!N10*References!$E$54)</f>
        <v>0</v>
      </c>
      <c r="E8" s="56"/>
      <c r="F8" s="56">
        <f>('Waste Volume Conversions'!P10*References!$E$55)</f>
        <v>0</v>
      </c>
      <c r="G8" s="56">
        <f>('Waste Volume Conversions'!D10*References!$E$44)+('Waste Volume Conversions'!E10*References!$E$45)+('Waste Volume Conversions'!F10*References!$E$46)+('Waste Volume Conversions'!G10*References!$E$47)+('Waste Volume Conversions'!H10*References!$E$48)+('Waste Volume Conversions'!I10*References!$E$49)+('Waste Volume Conversions'!J10*References!$E$50)+('Waste Volume Conversions'!K10*References!$E$51)+('Waste Volume Conversions'!L10*References!$E$52)+('Waste Volume Conversions'!M10*References!$E$53)</f>
        <v>0</v>
      </c>
      <c r="H8" s="56"/>
      <c r="I8" s="56">
        <f>('Waste Volume Conversions'!O10*References!$E$54)</f>
        <v>0</v>
      </c>
      <c r="J8" s="56"/>
      <c r="K8" s="56"/>
      <c r="L8" s="56"/>
      <c r="M8" s="56"/>
      <c r="N8" s="56"/>
      <c r="O8" s="56"/>
      <c r="P8" s="56"/>
      <c r="Q8" s="56"/>
      <c r="R8" s="56"/>
      <c r="S8" s="56"/>
      <c r="T8" s="56"/>
      <c r="U8" s="56"/>
      <c r="V8" s="56"/>
      <c r="W8" s="56"/>
    </row>
    <row r="9" spans="1:23" ht="17.25" x14ac:dyDescent="0.25">
      <c r="A9" s="63" t="s">
        <v>2</v>
      </c>
      <c r="B9" s="56"/>
      <c r="C9" s="56">
        <f>('Waste Volume Conversions'!B11*References!$E$42)+('Waste Volume Conversions'!C11*References!$E$43)</f>
        <v>0</v>
      </c>
      <c r="D9" s="56">
        <f>('Waste Volume Conversions'!N11*References!$E$54)</f>
        <v>0</v>
      </c>
      <c r="E9" s="56"/>
      <c r="F9" s="56">
        <f>('Waste Volume Conversions'!P11*References!$E$55)</f>
        <v>0</v>
      </c>
      <c r="G9" s="56">
        <f>('Waste Volume Conversions'!D11*References!$E$44)+('Waste Volume Conversions'!E11*References!$E$45)+('Waste Volume Conversions'!F11*References!$E$46)+('Waste Volume Conversions'!G11*References!$E$47)+('Waste Volume Conversions'!H11*References!$E$48)+('Waste Volume Conversions'!I11*References!$E$49)+('Waste Volume Conversions'!J11*References!$E$50)+('Waste Volume Conversions'!K11*References!$E$51)+('Waste Volume Conversions'!L11*References!$E$52)+('Waste Volume Conversions'!M11*References!$E$53)</f>
        <v>0</v>
      </c>
      <c r="H9" s="56"/>
      <c r="I9" s="56">
        <f>('Waste Volume Conversions'!O11*References!$E$54)</f>
        <v>0</v>
      </c>
      <c r="J9" s="56"/>
      <c r="K9" s="56"/>
      <c r="L9" s="56"/>
      <c r="M9" s="56"/>
      <c r="N9" s="56"/>
      <c r="O9" s="56"/>
      <c r="P9" s="56"/>
      <c r="Q9" s="56"/>
      <c r="R9" s="56"/>
      <c r="S9" s="56"/>
      <c r="T9" s="56"/>
      <c r="U9" s="56"/>
      <c r="V9" s="56"/>
      <c r="W9" s="56"/>
    </row>
    <row r="10" spans="1:23" ht="17.25" x14ac:dyDescent="0.25">
      <c r="A10" s="63" t="s">
        <v>3</v>
      </c>
      <c r="B10" s="56"/>
      <c r="C10" s="56">
        <f>('Waste Volume Conversions'!B12*References!$E$42)+('Waste Volume Conversions'!C12*References!$E$43)</f>
        <v>0</v>
      </c>
      <c r="D10" s="56">
        <f>('Waste Volume Conversions'!N12*References!$E$54)</f>
        <v>0</v>
      </c>
      <c r="E10" s="56"/>
      <c r="F10" s="56">
        <f>('Waste Volume Conversions'!P12*References!$E$55)</f>
        <v>0</v>
      </c>
      <c r="G10" s="56">
        <f>('Waste Volume Conversions'!D12*References!$E$44)+('Waste Volume Conversions'!E12*References!$E$45)+('Waste Volume Conversions'!F12*References!$E$46)+('Waste Volume Conversions'!G12*References!$E$47)+('Waste Volume Conversions'!H12*References!$E$48)+('Waste Volume Conversions'!I12*References!$E$49)+('Waste Volume Conversions'!J12*References!$E$50)+('Waste Volume Conversions'!K12*References!$E$51)+('Waste Volume Conversions'!L12*References!$E$52)+('Waste Volume Conversions'!M12*References!$E$53)</f>
        <v>0</v>
      </c>
      <c r="H10" s="56"/>
      <c r="I10" s="56">
        <f>('Waste Volume Conversions'!O12*References!$E$54)</f>
        <v>0</v>
      </c>
      <c r="J10" s="56"/>
      <c r="K10" s="56"/>
      <c r="L10" s="56"/>
      <c r="M10" s="56"/>
      <c r="N10" s="56"/>
      <c r="O10" s="56"/>
      <c r="P10" s="56"/>
      <c r="Q10" s="56"/>
      <c r="R10" s="56"/>
      <c r="S10" s="56"/>
      <c r="T10" s="56"/>
      <c r="U10" s="56"/>
      <c r="V10" s="56"/>
      <c r="W10" s="56"/>
    </row>
    <row r="11" spans="1:23" ht="17.25" x14ac:dyDescent="0.25">
      <c r="A11" s="63" t="s">
        <v>4</v>
      </c>
      <c r="B11" s="56"/>
      <c r="C11" s="56">
        <f>('Waste Volume Conversions'!B13*References!$E$42)+('Waste Volume Conversions'!C13*References!$E$43)</f>
        <v>0</v>
      </c>
      <c r="D11" s="56">
        <f>('Waste Volume Conversions'!N13*References!$E$54)</f>
        <v>0</v>
      </c>
      <c r="E11" s="56"/>
      <c r="F11" s="56">
        <f>('Waste Volume Conversions'!P13*References!$E$55)</f>
        <v>0</v>
      </c>
      <c r="G11" s="56">
        <f>('Waste Volume Conversions'!D13*References!$E$44)+('Waste Volume Conversions'!E13*References!$E$45)+('Waste Volume Conversions'!F13*References!$E$46)+('Waste Volume Conversions'!G13*References!$E$47)+('Waste Volume Conversions'!H13*References!$E$48)+('Waste Volume Conversions'!I13*References!$E$49)+('Waste Volume Conversions'!J13*References!$E$50)+('Waste Volume Conversions'!K13*References!$E$51)+('Waste Volume Conversions'!L13*References!$E$52)+('Waste Volume Conversions'!M13*References!$E$53)</f>
        <v>0</v>
      </c>
      <c r="H11" s="56"/>
      <c r="I11" s="56">
        <f>('Waste Volume Conversions'!O13*References!$E$54)</f>
        <v>0</v>
      </c>
      <c r="J11" s="56"/>
      <c r="K11" s="56"/>
      <c r="L11" s="56"/>
      <c r="M11" s="56"/>
      <c r="N11" s="56"/>
      <c r="O11" s="56"/>
      <c r="P11" s="56"/>
      <c r="Q11" s="56"/>
      <c r="R11" s="56"/>
      <c r="S11" s="56"/>
      <c r="T11" s="56"/>
      <c r="U11" s="56"/>
      <c r="V11" s="56"/>
      <c r="W11" s="56"/>
    </row>
    <row r="12" spans="1:23" ht="17.25" x14ac:dyDescent="0.25">
      <c r="A12" s="63" t="s">
        <v>5</v>
      </c>
      <c r="B12" s="56"/>
      <c r="C12" s="56">
        <f>('Waste Volume Conversions'!B14*References!$E$42)+('Waste Volume Conversions'!C14*References!$E$43)</f>
        <v>0</v>
      </c>
      <c r="D12" s="56">
        <f>('Waste Volume Conversions'!N14*References!$E$54)</f>
        <v>0</v>
      </c>
      <c r="E12" s="56"/>
      <c r="F12" s="56">
        <f>('Waste Volume Conversions'!P14*References!$E$55)</f>
        <v>0</v>
      </c>
      <c r="G12" s="56">
        <f>('Waste Volume Conversions'!D14*References!$E$44)+('Waste Volume Conversions'!E14*References!$E$45)+('Waste Volume Conversions'!F14*References!$E$46)+('Waste Volume Conversions'!G14*References!$E$47)+('Waste Volume Conversions'!H14*References!$E$48)+('Waste Volume Conversions'!I14*References!$E$49)+('Waste Volume Conversions'!J14*References!$E$50)+('Waste Volume Conversions'!K14*References!$E$51)+('Waste Volume Conversions'!L14*References!$E$52)+('Waste Volume Conversions'!M14*References!$E$53)</f>
        <v>0</v>
      </c>
      <c r="H12" s="56"/>
      <c r="I12" s="56">
        <f>('Waste Volume Conversions'!O14*References!$E$54)</f>
        <v>0</v>
      </c>
      <c r="J12" s="56"/>
      <c r="K12" s="56"/>
      <c r="L12" s="56"/>
      <c r="M12" s="56"/>
      <c r="N12" s="56"/>
      <c r="O12" s="56"/>
      <c r="P12" s="56"/>
      <c r="Q12" s="56"/>
      <c r="R12" s="56"/>
      <c r="S12" s="56"/>
      <c r="T12" s="56"/>
      <c r="U12" s="56"/>
      <c r="V12" s="56"/>
      <c r="W12" s="56"/>
    </row>
    <row r="13" spans="1:23" ht="17.25" x14ac:dyDescent="0.25">
      <c r="A13" s="63" t="s">
        <v>6</v>
      </c>
      <c r="B13" s="56"/>
      <c r="C13" s="56">
        <f>('Waste Volume Conversions'!B15*References!$E$42)+('Waste Volume Conversions'!C15*References!$E$43)</f>
        <v>0</v>
      </c>
      <c r="D13" s="56">
        <f>('Waste Volume Conversions'!N15*References!$E$54)</f>
        <v>0</v>
      </c>
      <c r="E13" s="56"/>
      <c r="F13" s="56">
        <f>('Waste Volume Conversions'!P15*References!$E$55)</f>
        <v>0</v>
      </c>
      <c r="G13" s="56">
        <f>('Waste Volume Conversions'!D15*References!$E$44)+('Waste Volume Conversions'!E15*References!$E$45)+('Waste Volume Conversions'!F15*References!$E$46)+('Waste Volume Conversions'!G15*References!$E$47)+('Waste Volume Conversions'!H15*References!$E$48)+('Waste Volume Conversions'!I15*References!$E$49)+('Waste Volume Conversions'!J15*References!$E$50)+('Waste Volume Conversions'!K15*References!$E$51)+('Waste Volume Conversions'!L15*References!$E$52)+('Waste Volume Conversions'!M15*References!$E$53)</f>
        <v>0</v>
      </c>
      <c r="H13" s="56"/>
      <c r="I13" s="56">
        <f>('Waste Volume Conversions'!O15*References!$E$54)</f>
        <v>0</v>
      </c>
      <c r="J13" s="56"/>
      <c r="K13" s="56"/>
      <c r="L13" s="56"/>
      <c r="M13" s="56"/>
      <c r="N13" s="56"/>
      <c r="O13" s="56"/>
      <c r="P13" s="56"/>
      <c r="Q13" s="56"/>
      <c r="R13" s="56"/>
      <c r="S13" s="56"/>
      <c r="T13" s="56"/>
      <c r="U13" s="56"/>
      <c r="V13" s="56"/>
      <c r="W13" s="56"/>
    </row>
    <row r="14" spans="1:23" ht="17.25" x14ac:dyDescent="0.25">
      <c r="A14" s="63" t="s">
        <v>7</v>
      </c>
      <c r="B14" s="56"/>
      <c r="C14" s="56">
        <f>('Waste Volume Conversions'!B16*References!$E$42)+('Waste Volume Conversions'!C16*References!$E$43)</f>
        <v>0</v>
      </c>
      <c r="D14" s="56">
        <f>('Waste Volume Conversions'!N16*References!$E$54)</f>
        <v>0</v>
      </c>
      <c r="E14" s="56"/>
      <c r="F14" s="56">
        <f>('Waste Volume Conversions'!P16*References!$E$55)</f>
        <v>0</v>
      </c>
      <c r="G14" s="56">
        <f>('Waste Volume Conversions'!D16*References!$E$44)+('Waste Volume Conversions'!E16*References!$E$45)+('Waste Volume Conversions'!F16*References!$E$46)+('Waste Volume Conversions'!G16*References!$E$47)+('Waste Volume Conversions'!H16*References!$E$48)+('Waste Volume Conversions'!I16*References!$E$49)+('Waste Volume Conversions'!J16*References!$E$50)+('Waste Volume Conversions'!K16*References!$E$51)+('Waste Volume Conversions'!L16*References!$E$52)+('Waste Volume Conversions'!M16*References!$E$53)</f>
        <v>0</v>
      </c>
      <c r="H14" s="56"/>
      <c r="I14" s="56">
        <f>('Waste Volume Conversions'!O16*References!$E$54)</f>
        <v>0</v>
      </c>
      <c r="J14" s="56"/>
      <c r="K14" s="56"/>
      <c r="L14" s="56"/>
      <c r="M14" s="56"/>
      <c r="N14" s="56"/>
      <c r="O14" s="56"/>
      <c r="P14" s="56"/>
      <c r="Q14" s="56"/>
      <c r="R14" s="56"/>
      <c r="S14" s="56"/>
      <c r="T14" s="56"/>
      <c r="U14" s="56"/>
      <c r="V14" s="56"/>
      <c r="W14" s="56"/>
    </row>
    <row r="15" spans="1:23" ht="17.25" x14ac:dyDescent="0.25">
      <c r="A15" s="63" t="s">
        <v>8</v>
      </c>
      <c r="B15" s="56"/>
      <c r="C15" s="56">
        <f>('Waste Volume Conversions'!B17*References!$E$42)+('Waste Volume Conversions'!C17*References!$E$43)</f>
        <v>0</v>
      </c>
      <c r="D15" s="56">
        <f>('Waste Volume Conversions'!N17*References!$E$54)</f>
        <v>0</v>
      </c>
      <c r="E15" s="56"/>
      <c r="F15" s="56">
        <f>('Waste Volume Conversions'!P17*References!$E$55)</f>
        <v>0</v>
      </c>
      <c r="G15" s="56">
        <f>('Waste Volume Conversions'!D17*References!$E$44)+('Waste Volume Conversions'!E17*References!$E$45)+('Waste Volume Conversions'!F17*References!$E$46)+('Waste Volume Conversions'!G17*References!$E$47)+('Waste Volume Conversions'!H17*References!$E$48)+('Waste Volume Conversions'!I17*References!$E$49)+('Waste Volume Conversions'!J17*References!$E$50)+('Waste Volume Conversions'!K17*References!$E$51)+('Waste Volume Conversions'!L17*References!$E$52)+('Waste Volume Conversions'!M17*References!$E$53)</f>
        <v>0</v>
      </c>
      <c r="H15" s="56"/>
      <c r="I15" s="56">
        <f>('Waste Volume Conversions'!O17*References!$E$54)</f>
        <v>0</v>
      </c>
      <c r="J15" s="56"/>
      <c r="K15" s="56"/>
      <c r="L15" s="56"/>
      <c r="M15" s="56"/>
      <c r="N15" s="56"/>
      <c r="O15" s="56"/>
      <c r="P15" s="56"/>
      <c r="Q15" s="56"/>
      <c r="R15" s="56"/>
      <c r="S15" s="56"/>
      <c r="T15" s="56"/>
      <c r="U15" s="56"/>
      <c r="V15" s="56"/>
      <c r="W15" s="56"/>
    </row>
    <row r="16" spans="1:23" ht="17.25" x14ac:dyDescent="0.25">
      <c r="A16" s="63" t="s">
        <v>9</v>
      </c>
      <c r="B16" s="56"/>
      <c r="C16" s="56">
        <f>('Waste Volume Conversions'!B18*References!$E$42)+('Waste Volume Conversions'!C18*References!$E$43)</f>
        <v>0</v>
      </c>
      <c r="D16" s="56">
        <f>('Waste Volume Conversions'!N18*References!$E$54)</f>
        <v>0</v>
      </c>
      <c r="E16" s="56"/>
      <c r="F16" s="56">
        <f>('Waste Volume Conversions'!P18*References!$E$55)</f>
        <v>0</v>
      </c>
      <c r="G16" s="56">
        <f>('Waste Volume Conversions'!D18*References!$E$44)+('Waste Volume Conversions'!E18*References!$E$45)+('Waste Volume Conversions'!F18*References!$E$46)+('Waste Volume Conversions'!G18*References!$E$47)+('Waste Volume Conversions'!H18*References!$E$48)+('Waste Volume Conversions'!I18*References!$E$49)+('Waste Volume Conversions'!J18*References!$E$50)+('Waste Volume Conversions'!K18*References!$E$51)+('Waste Volume Conversions'!L18*References!$E$52)+('Waste Volume Conversions'!M18*References!$E$53)</f>
        <v>0</v>
      </c>
      <c r="H16" s="56"/>
      <c r="I16" s="56">
        <f>('Waste Volume Conversions'!O18*References!$E$54)</f>
        <v>0</v>
      </c>
      <c r="J16" s="56"/>
      <c r="K16" s="56"/>
      <c r="L16" s="56"/>
      <c r="M16" s="56"/>
      <c r="N16" s="56"/>
      <c r="O16" s="56"/>
      <c r="P16" s="56"/>
      <c r="Q16" s="56"/>
      <c r="R16" s="56"/>
      <c r="S16" s="56"/>
      <c r="T16" s="56"/>
      <c r="U16" s="56"/>
      <c r="V16" s="56"/>
      <c r="W16" s="56"/>
    </row>
    <row r="17" spans="1:23" ht="17.25" x14ac:dyDescent="0.25">
      <c r="A17" s="63" t="s">
        <v>10</v>
      </c>
      <c r="B17" s="56"/>
      <c r="C17" s="56">
        <f>('Waste Volume Conversions'!B19*References!$E$42)+('Waste Volume Conversions'!C19*References!$E$43)</f>
        <v>0</v>
      </c>
      <c r="D17" s="56">
        <f>('Waste Volume Conversions'!N19*References!$E$54)</f>
        <v>0</v>
      </c>
      <c r="E17" s="56"/>
      <c r="F17" s="56">
        <f>('Waste Volume Conversions'!P19*References!$E$55)</f>
        <v>0</v>
      </c>
      <c r="G17" s="56">
        <f>('Waste Volume Conversions'!D19*References!$E$44)+('Waste Volume Conversions'!E19*References!$E$45)+('Waste Volume Conversions'!F19*References!$E$46)+('Waste Volume Conversions'!G19*References!$E$47)+('Waste Volume Conversions'!H19*References!$E$48)+('Waste Volume Conversions'!I19*References!$E$49)+('Waste Volume Conversions'!J19*References!$E$50)+('Waste Volume Conversions'!K19*References!$E$51)+('Waste Volume Conversions'!L19*References!$E$52)+('Waste Volume Conversions'!M19*References!$E$53)</f>
        <v>0</v>
      </c>
      <c r="H17" s="56"/>
      <c r="I17" s="56">
        <f>('Waste Volume Conversions'!O19*References!$E$54)</f>
        <v>0</v>
      </c>
      <c r="J17" s="56"/>
      <c r="K17" s="56"/>
      <c r="L17" s="56"/>
      <c r="M17" s="56"/>
      <c r="N17" s="56"/>
      <c r="O17" s="56"/>
      <c r="P17" s="56"/>
      <c r="Q17" s="56"/>
      <c r="R17" s="56"/>
      <c r="S17" s="56"/>
      <c r="T17" s="56"/>
      <c r="U17" s="56"/>
      <c r="V17" s="56"/>
      <c r="W17" s="56"/>
    </row>
    <row r="18" spans="1:23" ht="17.25" x14ac:dyDescent="0.25">
      <c r="A18" s="63" t="s">
        <v>11</v>
      </c>
      <c r="B18" s="56"/>
      <c r="C18" s="56">
        <f>('Waste Volume Conversions'!B20*References!$E$42)+('Waste Volume Conversions'!C20*References!$E$43)</f>
        <v>0</v>
      </c>
      <c r="D18" s="56">
        <f>('Waste Volume Conversions'!N20*References!$E$54)</f>
        <v>0</v>
      </c>
      <c r="E18" s="56"/>
      <c r="F18" s="56">
        <f>('Waste Volume Conversions'!P20*References!$E$55)</f>
        <v>0</v>
      </c>
      <c r="G18" s="56">
        <f>('Waste Volume Conversions'!D20*References!$E$44)+('Waste Volume Conversions'!E20*References!$E$45)+('Waste Volume Conversions'!F20*References!$E$46)+('Waste Volume Conversions'!G20*References!$E$47)+('Waste Volume Conversions'!H20*References!$E$48)+('Waste Volume Conversions'!I20*References!$E$49)+('Waste Volume Conversions'!J20*References!$E$50)+('Waste Volume Conversions'!K20*References!$E$51)+('Waste Volume Conversions'!L20*References!$E$52)+('Waste Volume Conversions'!M20*References!$E$53)</f>
        <v>0</v>
      </c>
      <c r="H18" s="56"/>
      <c r="I18" s="56">
        <f>('Waste Volume Conversions'!O20*References!$E$54)</f>
        <v>0</v>
      </c>
      <c r="J18" s="56"/>
      <c r="K18" s="56"/>
      <c r="L18" s="56"/>
      <c r="M18" s="56"/>
      <c r="N18" s="56"/>
      <c r="O18" s="56"/>
      <c r="P18" s="56"/>
      <c r="Q18" s="56"/>
      <c r="R18" s="56"/>
      <c r="S18" s="56"/>
      <c r="T18" s="56"/>
      <c r="U18" s="56"/>
      <c r="V18" s="56"/>
      <c r="W18" s="56"/>
    </row>
    <row r="19" spans="1:23" ht="17.25" x14ac:dyDescent="0.25">
      <c r="A19" s="63" t="s">
        <v>12</v>
      </c>
      <c r="B19" s="56"/>
      <c r="C19" s="56">
        <f>('Waste Volume Conversions'!B21*References!$E$42)+('Waste Volume Conversions'!C21*References!$E$43)</f>
        <v>0</v>
      </c>
      <c r="D19" s="56">
        <f>('Waste Volume Conversions'!N21*References!$E$54)</f>
        <v>0</v>
      </c>
      <c r="E19" s="56"/>
      <c r="F19" s="56">
        <f>('Waste Volume Conversions'!P21*References!$E$55)</f>
        <v>0</v>
      </c>
      <c r="G19" s="56">
        <f>('Waste Volume Conversions'!D21*References!$E$44)+('Waste Volume Conversions'!E21*References!$E$45)+('Waste Volume Conversions'!F21*References!$E$46)+('Waste Volume Conversions'!G21*References!$E$47)+('Waste Volume Conversions'!H21*References!$E$48)+('Waste Volume Conversions'!I21*References!$E$49)+('Waste Volume Conversions'!J21*References!$E$50)+('Waste Volume Conversions'!K21*References!$E$51)+('Waste Volume Conversions'!L21*References!$E$52)+('Waste Volume Conversions'!M21*References!$E$53)</f>
        <v>0</v>
      </c>
      <c r="H19" s="56"/>
      <c r="I19" s="56">
        <f>('Waste Volume Conversions'!O21*References!$E$54)</f>
        <v>0</v>
      </c>
      <c r="J19" s="56"/>
      <c r="K19" s="56"/>
      <c r="L19" s="56"/>
      <c r="M19" s="56"/>
      <c r="N19" s="56"/>
      <c r="O19" s="56"/>
      <c r="P19" s="56"/>
      <c r="Q19" s="56"/>
      <c r="R19" s="56"/>
      <c r="S19" s="56"/>
      <c r="T19" s="56"/>
      <c r="U19" s="56"/>
      <c r="V19" s="56"/>
      <c r="W19" s="56"/>
    </row>
    <row r="20" spans="1:23" ht="17.25" x14ac:dyDescent="0.25">
      <c r="A20" s="63" t="s">
        <v>13</v>
      </c>
      <c r="B20" s="56"/>
      <c r="C20" s="56">
        <f>('Waste Volume Conversions'!B22*References!$E$42)+('Waste Volume Conversions'!C22*References!$E$43)</f>
        <v>0</v>
      </c>
      <c r="D20" s="56">
        <f>('Waste Volume Conversions'!N22*References!$E$54)</f>
        <v>0</v>
      </c>
      <c r="E20" s="56"/>
      <c r="F20" s="56">
        <f>('Waste Volume Conversions'!P22*References!$E$55)</f>
        <v>0</v>
      </c>
      <c r="G20" s="56">
        <f>('Waste Volume Conversions'!D22*References!$E$44)+('Waste Volume Conversions'!E22*References!$E$45)+('Waste Volume Conversions'!F22*References!$E$46)+('Waste Volume Conversions'!G22*References!$E$47)+('Waste Volume Conversions'!H22*References!$E$48)+('Waste Volume Conversions'!I22*References!$E$49)+('Waste Volume Conversions'!J22*References!$E$50)+('Waste Volume Conversions'!K22*References!$E$51)+('Waste Volume Conversions'!L22*References!$E$52)+('Waste Volume Conversions'!M22*References!$E$53)</f>
        <v>0</v>
      </c>
      <c r="H20" s="56"/>
      <c r="I20" s="56">
        <f>('Waste Volume Conversions'!O22*References!$E$54)</f>
        <v>0</v>
      </c>
      <c r="J20" s="56"/>
      <c r="K20" s="56"/>
      <c r="L20" s="56"/>
      <c r="M20" s="56"/>
      <c r="N20" s="56"/>
      <c r="O20" s="56"/>
      <c r="P20" s="56"/>
      <c r="Q20" s="56"/>
      <c r="R20" s="56"/>
      <c r="S20" s="56"/>
      <c r="T20" s="56"/>
      <c r="U20" s="56"/>
      <c r="V20" s="56"/>
      <c r="W20" s="56"/>
    </row>
    <row r="21" spans="1:23" ht="17.25" x14ac:dyDescent="0.25">
      <c r="A21" s="63" t="s">
        <v>99</v>
      </c>
      <c r="B21" s="56"/>
      <c r="C21" s="56">
        <f>('Waste Volume Conversions'!B23*References!$E$42)+('Waste Volume Conversions'!C23*References!$E$43)</f>
        <v>0</v>
      </c>
      <c r="D21" s="56">
        <f>('Waste Volume Conversions'!N23*References!$E$54)</f>
        <v>0</v>
      </c>
      <c r="E21" s="56"/>
      <c r="F21" s="56">
        <f>('Waste Volume Conversions'!P23*References!$E$55)</f>
        <v>0</v>
      </c>
      <c r="G21" s="56">
        <f>('Waste Volume Conversions'!D23*References!$E$44)+('Waste Volume Conversions'!E23*References!$E$45)+('Waste Volume Conversions'!F23*References!$E$46)+('Waste Volume Conversions'!G23*References!$E$47)+('Waste Volume Conversions'!H23*References!$E$48)+('Waste Volume Conversions'!I23*References!$E$49)+('Waste Volume Conversions'!J23*References!$E$50)+('Waste Volume Conversions'!K23*References!$E$51)+('Waste Volume Conversions'!L23*References!$E$52)+('Waste Volume Conversions'!M23*References!$E$53)</f>
        <v>0</v>
      </c>
      <c r="H21" s="56"/>
      <c r="I21" s="56">
        <f>('Waste Volume Conversions'!O23*References!$E$54)</f>
        <v>0</v>
      </c>
      <c r="J21" s="56"/>
      <c r="K21" s="56"/>
      <c r="L21" s="56"/>
      <c r="M21" s="56"/>
      <c r="N21" s="56"/>
      <c r="O21" s="56"/>
      <c r="P21" s="56"/>
      <c r="Q21" s="56"/>
      <c r="R21" s="56"/>
      <c r="S21" s="56"/>
      <c r="T21" s="56"/>
      <c r="U21" s="56"/>
      <c r="V21" s="56"/>
      <c r="W21" s="56"/>
    </row>
    <row r="22" spans="1:23" ht="17.25" x14ac:dyDescent="0.25">
      <c r="A22" s="63" t="s">
        <v>100</v>
      </c>
      <c r="B22" s="56"/>
      <c r="C22" s="56">
        <f>('Waste Volume Conversions'!B24*References!$E$42)+('Waste Volume Conversions'!C24*References!$E$43)</f>
        <v>0</v>
      </c>
      <c r="D22" s="56">
        <f>('Waste Volume Conversions'!N24*References!$E$54)</f>
        <v>0</v>
      </c>
      <c r="E22" s="56"/>
      <c r="F22" s="56">
        <f>('Waste Volume Conversions'!P24*References!$E$55)</f>
        <v>0</v>
      </c>
      <c r="G22" s="56">
        <f>('Waste Volume Conversions'!D24*References!$E$44)+('Waste Volume Conversions'!E24*References!$E$45)+('Waste Volume Conversions'!F24*References!$E$46)+('Waste Volume Conversions'!G24*References!$E$47)+('Waste Volume Conversions'!H24*References!$E$48)+('Waste Volume Conversions'!I24*References!$E$49)+('Waste Volume Conversions'!J24*References!$E$50)+('Waste Volume Conversions'!K24*References!$E$51)+('Waste Volume Conversions'!L24*References!$E$52)+('Waste Volume Conversions'!M24*References!$E$53)</f>
        <v>0</v>
      </c>
      <c r="H22" s="56"/>
      <c r="I22" s="56">
        <f>('Waste Volume Conversions'!O24*References!$E$54)</f>
        <v>0</v>
      </c>
      <c r="J22" s="56"/>
      <c r="K22" s="56"/>
      <c r="L22" s="56"/>
      <c r="M22" s="56"/>
      <c r="N22" s="56"/>
      <c r="O22" s="56"/>
      <c r="P22" s="56"/>
      <c r="Q22" s="56"/>
      <c r="R22" s="56"/>
      <c r="S22" s="56"/>
      <c r="T22" s="56"/>
      <c r="U22" s="56"/>
      <c r="V22" s="56"/>
      <c r="W22" s="56"/>
    </row>
    <row r="23" spans="1:23" ht="17.25" x14ac:dyDescent="0.25">
      <c r="A23" s="63" t="s">
        <v>101</v>
      </c>
      <c r="B23" s="56"/>
      <c r="C23" s="56">
        <f>('Waste Volume Conversions'!B25*References!$E$42)+('Waste Volume Conversions'!C25*References!$E$43)</f>
        <v>0</v>
      </c>
      <c r="D23" s="56">
        <f>('Waste Volume Conversions'!N25*References!$E$54)</f>
        <v>0</v>
      </c>
      <c r="E23" s="56"/>
      <c r="F23" s="56">
        <f>('Waste Volume Conversions'!P25*References!$E$55)</f>
        <v>0</v>
      </c>
      <c r="G23" s="56">
        <f>('Waste Volume Conversions'!D25*References!$E$44)+('Waste Volume Conversions'!E25*References!$E$45)+('Waste Volume Conversions'!F25*References!$E$46)+('Waste Volume Conversions'!G25*References!$E$47)+('Waste Volume Conversions'!H25*References!$E$48)+('Waste Volume Conversions'!I25*References!$E$49)+('Waste Volume Conversions'!J25*References!$E$50)+('Waste Volume Conversions'!K25*References!$E$51)+('Waste Volume Conversions'!L25*References!$E$52)+('Waste Volume Conversions'!M25*References!$E$53)</f>
        <v>0</v>
      </c>
      <c r="H23" s="56"/>
      <c r="I23" s="56">
        <f>('Waste Volume Conversions'!O25*References!$E$54)</f>
        <v>0</v>
      </c>
      <c r="J23" s="56"/>
      <c r="K23" s="56"/>
      <c r="L23" s="56"/>
      <c r="M23" s="56"/>
      <c r="N23" s="56"/>
      <c r="O23" s="56"/>
      <c r="P23" s="56"/>
      <c r="Q23" s="56"/>
      <c r="R23" s="56"/>
      <c r="S23" s="56"/>
      <c r="T23" s="56"/>
      <c r="U23" s="56"/>
      <c r="V23" s="56"/>
      <c r="W23" s="56"/>
    </row>
    <row r="24" spans="1:23" ht="17.25" x14ac:dyDescent="0.25">
      <c r="A24" s="63" t="s">
        <v>102</v>
      </c>
      <c r="B24" s="56"/>
      <c r="C24" s="56">
        <f>('Waste Volume Conversions'!B26*References!$E$42)+('Waste Volume Conversions'!C26*References!$E$43)</f>
        <v>0</v>
      </c>
      <c r="D24" s="56">
        <f>('Waste Volume Conversions'!N26*References!$E$54)</f>
        <v>0</v>
      </c>
      <c r="E24" s="56"/>
      <c r="F24" s="56">
        <f>('Waste Volume Conversions'!P26*References!$E$55)</f>
        <v>0</v>
      </c>
      <c r="G24" s="56">
        <f>('Waste Volume Conversions'!D26*References!$E$44)+('Waste Volume Conversions'!E26*References!$E$45)+('Waste Volume Conversions'!F26*References!$E$46)+('Waste Volume Conversions'!G26*References!$E$47)+('Waste Volume Conversions'!H26*References!$E$48)+('Waste Volume Conversions'!I26*References!$E$49)+('Waste Volume Conversions'!J26*References!$E$50)+('Waste Volume Conversions'!K26*References!$E$51)+('Waste Volume Conversions'!L26*References!$E$52)+('Waste Volume Conversions'!M26*References!$E$53)</f>
        <v>0</v>
      </c>
      <c r="H24" s="56"/>
      <c r="I24" s="56">
        <f>('Waste Volume Conversions'!O26*References!$E$54)</f>
        <v>0</v>
      </c>
      <c r="J24" s="56"/>
      <c r="K24" s="56"/>
      <c r="L24" s="56"/>
      <c r="M24" s="56"/>
      <c r="N24" s="56"/>
      <c r="O24" s="56"/>
      <c r="P24" s="56"/>
      <c r="Q24" s="56"/>
      <c r="R24" s="56"/>
      <c r="S24" s="56"/>
      <c r="T24" s="56"/>
      <c r="U24" s="56"/>
      <c r="V24" s="56"/>
      <c r="W24" s="56"/>
    </row>
    <row r="25" spans="1:23" ht="17.25" x14ac:dyDescent="0.25">
      <c r="A25" s="63" t="s">
        <v>103</v>
      </c>
      <c r="B25" s="56"/>
      <c r="C25" s="56">
        <f>('Waste Volume Conversions'!B27*References!$E$42)+('Waste Volume Conversions'!C27*References!$E$43)</f>
        <v>0</v>
      </c>
      <c r="D25" s="56">
        <f>('Waste Volume Conversions'!N27*References!$E$54)</f>
        <v>0</v>
      </c>
      <c r="E25" s="56"/>
      <c r="F25" s="56">
        <f>('Waste Volume Conversions'!P27*References!$E$55)</f>
        <v>0</v>
      </c>
      <c r="G25" s="56">
        <f>('Waste Volume Conversions'!D27*References!$E$44)+('Waste Volume Conversions'!E27*References!$E$45)+('Waste Volume Conversions'!F27*References!$E$46)+('Waste Volume Conversions'!G27*References!$E$47)+('Waste Volume Conversions'!H27*References!$E$48)+('Waste Volume Conversions'!I27*References!$E$49)+('Waste Volume Conversions'!J27*References!$E$50)+('Waste Volume Conversions'!K27*References!$E$51)+('Waste Volume Conversions'!L27*References!$E$52)+('Waste Volume Conversions'!M27*References!$E$53)</f>
        <v>0</v>
      </c>
      <c r="H25" s="56"/>
      <c r="I25" s="56">
        <f>('Waste Volume Conversions'!O27*References!$E$54)</f>
        <v>0</v>
      </c>
      <c r="J25" s="56"/>
      <c r="K25" s="56"/>
      <c r="L25" s="56"/>
      <c r="M25" s="56"/>
      <c r="N25" s="56"/>
      <c r="O25" s="56"/>
      <c r="P25" s="56"/>
      <c r="Q25" s="56"/>
      <c r="R25" s="56"/>
      <c r="S25" s="56"/>
      <c r="T25" s="56"/>
      <c r="U25" s="56"/>
      <c r="V25" s="56"/>
      <c r="W25" s="56"/>
    </row>
    <row r="26" spans="1:23" ht="17.25" x14ac:dyDescent="0.25">
      <c r="A26" s="63" t="s">
        <v>104</v>
      </c>
      <c r="B26" s="56"/>
      <c r="C26" s="56">
        <f>('Waste Volume Conversions'!B28*References!$E$42)+('Waste Volume Conversions'!C28*References!$E$43)</f>
        <v>0</v>
      </c>
      <c r="D26" s="56">
        <f>('Waste Volume Conversions'!N28*References!$E$54)</f>
        <v>0</v>
      </c>
      <c r="E26" s="56"/>
      <c r="F26" s="56">
        <f>('Waste Volume Conversions'!P28*References!$E$55)</f>
        <v>0</v>
      </c>
      <c r="G26" s="56">
        <f>('Waste Volume Conversions'!D28*References!$E$44)+('Waste Volume Conversions'!E28*References!$E$45)+('Waste Volume Conversions'!F28*References!$E$46)+('Waste Volume Conversions'!G28*References!$E$47)+('Waste Volume Conversions'!H28*References!$E$48)+('Waste Volume Conversions'!I28*References!$E$49)+('Waste Volume Conversions'!J28*References!$E$50)+('Waste Volume Conversions'!K28*References!$E$51)+('Waste Volume Conversions'!L28*References!$E$52)+('Waste Volume Conversions'!M28*References!$E$53)</f>
        <v>0</v>
      </c>
      <c r="H26" s="56"/>
      <c r="I26" s="56">
        <f>('Waste Volume Conversions'!O28*References!$E$54)</f>
        <v>0</v>
      </c>
      <c r="J26" s="56"/>
      <c r="K26" s="56"/>
      <c r="L26" s="56"/>
      <c r="M26" s="56"/>
      <c r="N26" s="56"/>
      <c r="O26" s="56"/>
      <c r="P26" s="56"/>
      <c r="Q26" s="56"/>
      <c r="R26" s="56"/>
      <c r="S26" s="56"/>
      <c r="T26" s="56"/>
      <c r="U26" s="56"/>
      <c r="V26" s="56"/>
      <c r="W26" s="56"/>
    </row>
    <row r="27" spans="1:23" ht="17.25" x14ac:dyDescent="0.25">
      <c r="A27" s="63" t="s">
        <v>105</v>
      </c>
      <c r="B27" s="56"/>
      <c r="C27" s="56">
        <f>('Waste Volume Conversions'!B29*References!$E$42)+('Waste Volume Conversions'!C29*References!$E$43)</f>
        <v>0</v>
      </c>
      <c r="D27" s="56">
        <f>('Waste Volume Conversions'!N29*References!$E$54)</f>
        <v>0</v>
      </c>
      <c r="E27" s="56"/>
      <c r="F27" s="56">
        <f>('Waste Volume Conversions'!P29*References!$E$55)</f>
        <v>0</v>
      </c>
      <c r="G27" s="56">
        <f>('Waste Volume Conversions'!D29*References!$E$44)+('Waste Volume Conversions'!E29*References!$E$45)+('Waste Volume Conversions'!F29*References!$E$46)+('Waste Volume Conversions'!G29*References!$E$47)+('Waste Volume Conversions'!H29*References!$E$48)+('Waste Volume Conversions'!I29*References!$E$49)+('Waste Volume Conversions'!J29*References!$E$50)+('Waste Volume Conversions'!K29*References!$E$51)+('Waste Volume Conversions'!L29*References!$E$52)+('Waste Volume Conversions'!M29*References!$E$53)</f>
        <v>0</v>
      </c>
      <c r="H27" s="56"/>
      <c r="I27" s="56">
        <f>('Waste Volume Conversions'!O29*References!$E$54)</f>
        <v>0</v>
      </c>
      <c r="J27" s="56"/>
      <c r="K27" s="56"/>
      <c r="L27" s="56"/>
      <c r="M27" s="56"/>
      <c r="N27" s="56"/>
      <c r="O27" s="56"/>
      <c r="P27" s="56"/>
      <c r="Q27" s="56"/>
      <c r="R27" s="56"/>
      <c r="S27" s="56"/>
      <c r="T27" s="56"/>
      <c r="U27" s="56"/>
      <c r="V27" s="56"/>
      <c r="W27" s="56"/>
    </row>
    <row r="28" spans="1:23" ht="17.25" x14ac:dyDescent="0.25">
      <c r="A28" s="63" t="s">
        <v>106</v>
      </c>
      <c r="B28" s="56"/>
      <c r="C28" s="56">
        <f>('Waste Volume Conversions'!B30*References!$E$42)+('Waste Volume Conversions'!C30*References!$E$43)</f>
        <v>0</v>
      </c>
      <c r="D28" s="56">
        <f>('Waste Volume Conversions'!N30*References!$E$54)</f>
        <v>0</v>
      </c>
      <c r="E28" s="56"/>
      <c r="F28" s="56">
        <f>('Waste Volume Conversions'!P30*References!$E$55)</f>
        <v>0</v>
      </c>
      <c r="G28" s="56">
        <f>('Waste Volume Conversions'!D30*References!$E$44)+('Waste Volume Conversions'!E30*References!$E$45)+('Waste Volume Conversions'!F30*References!$E$46)+('Waste Volume Conversions'!G30*References!$E$47)+('Waste Volume Conversions'!H30*References!$E$48)+('Waste Volume Conversions'!I30*References!$E$49)+('Waste Volume Conversions'!J30*References!$E$50)+('Waste Volume Conversions'!K30*References!$E$51)+('Waste Volume Conversions'!L30*References!$E$52)+('Waste Volume Conversions'!M30*References!$E$53)</f>
        <v>0</v>
      </c>
      <c r="H28" s="56"/>
      <c r="I28" s="56">
        <f>('Waste Volume Conversions'!O30*References!$E$54)</f>
        <v>0</v>
      </c>
      <c r="J28" s="56"/>
      <c r="K28" s="56"/>
      <c r="L28" s="56"/>
      <c r="M28" s="56"/>
      <c r="N28" s="56"/>
      <c r="O28" s="56"/>
      <c r="P28" s="56"/>
      <c r="Q28" s="56"/>
      <c r="R28" s="56"/>
      <c r="S28" s="56"/>
      <c r="T28" s="56"/>
      <c r="U28" s="56"/>
      <c r="V28" s="56"/>
      <c r="W28" s="56"/>
    </row>
    <row r="29" spans="1:23" ht="17.25" x14ac:dyDescent="0.25">
      <c r="A29" s="63" t="s">
        <v>107</v>
      </c>
      <c r="B29" s="56"/>
      <c r="C29" s="56">
        <f>('Waste Volume Conversions'!B31*References!$E$42)+('Waste Volume Conversions'!C31*References!$E$43)</f>
        <v>0</v>
      </c>
      <c r="D29" s="56">
        <f>('Waste Volume Conversions'!N31*References!$E$54)</f>
        <v>0</v>
      </c>
      <c r="E29" s="56"/>
      <c r="F29" s="56">
        <f>('Waste Volume Conversions'!P31*References!$E$55)</f>
        <v>0</v>
      </c>
      <c r="G29" s="56">
        <f>('Waste Volume Conversions'!D31*References!$E$44)+('Waste Volume Conversions'!E31*References!$E$45)+('Waste Volume Conversions'!F31*References!$E$46)+('Waste Volume Conversions'!G31*References!$E$47)+('Waste Volume Conversions'!H31*References!$E$48)+('Waste Volume Conversions'!I31*References!$E$49)+('Waste Volume Conversions'!J31*References!$E$50)+('Waste Volume Conversions'!K31*References!$E$51)+('Waste Volume Conversions'!L31*References!$E$52)+('Waste Volume Conversions'!M31*References!$E$53)</f>
        <v>0</v>
      </c>
      <c r="H29" s="56"/>
      <c r="I29" s="56">
        <f>('Waste Volume Conversions'!O31*References!$E$54)</f>
        <v>0</v>
      </c>
      <c r="J29" s="56"/>
      <c r="K29" s="56"/>
      <c r="L29" s="56"/>
      <c r="M29" s="56"/>
      <c r="N29" s="56"/>
      <c r="O29" s="56"/>
      <c r="P29" s="56"/>
      <c r="Q29" s="56"/>
      <c r="R29" s="56"/>
      <c r="S29" s="56"/>
      <c r="T29" s="56"/>
      <c r="U29" s="56"/>
      <c r="V29" s="56"/>
      <c r="W29" s="56"/>
    </row>
    <row r="30" spans="1:23" ht="17.25" x14ac:dyDescent="0.25">
      <c r="A30" s="63" t="s">
        <v>108</v>
      </c>
      <c r="B30" s="56"/>
      <c r="C30" s="56">
        <f>('Waste Volume Conversions'!B32*References!$E$42)+('Waste Volume Conversions'!C32*References!$E$43)</f>
        <v>0</v>
      </c>
      <c r="D30" s="56">
        <f>('Waste Volume Conversions'!N32*References!$E$54)</f>
        <v>0</v>
      </c>
      <c r="E30" s="56"/>
      <c r="F30" s="56">
        <f>('Waste Volume Conversions'!P32*References!$E$55)</f>
        <v>0</v>
      </c>
      <c r="G30" s="56">
        <f>('Waste Volume Conversions'!D32*References!$E$44)+('Waste Volume Conversions'!E32*References!$E$45)+('Waste Volume Conversions'!F32*References!$E$46)+('Waste Volume Conversions'!G32*References!$E$47)+('Waste Volume Conversions'!H32*References!$E$48)+('Waste Volume Conversions'!I32*References!$E$49)+('Waste Volume Conversions'!J32*References!$E$50)+('Waste Volume Conversions'!K32*References!$E$51)+('Waste Volume Conversions'!L32*References!$E$52)+('Waste Volume Conversions'!M32*References!$E$53)</f>
        <v>0</v>
      </c>
      <c r="H30" s="56"/>
      <c r="I30" s="56">
        <f>('Waste Volume Conversions'!O32*References!$E$54)</f>
        <v>0</v>
      </c>
      <c r="J30" s="56"/>
      <c r="K30" s="56"/>
      <c r="L30" s="56"/>
      <c r="M30" s="56"/>
      <c r="N30" s="56"/>
      <c r="O30" s="56"/>
      <c r="P30" s="56"/>
      <c r="Q30" s="56"/>
      <c r="R30" s="56"/>
      <c r="S30" s="56"/>
      <c r="T30" s="56"/>
      <c r="U30" s="56"/>
      <c r="V30" s="56"/>
      <c r="W30" s="56"/>
    </row>
    <row r="31" spans="1:23" ht="17.25" x14ac:dyDescent="0.25">
      <c r="A31" s="63" t="s">
        <v>109</v>
      </c>
      <c r="B31" s="56"/>
      <c r="C31" s="56">
        <f>('Waste Volume Conversions'!B33*References!$E$42)+('Waste Volume Conversions'!C33*References!$E$43)</f>
        <v>0</v>
      </c>
      <c r="D31" s="56">
        <f>('Waste Volume Conversions'!N33*References!$E$54)</f>
        <v>0</v>
      </c>
      <c r="E31" s="56"/>
      <c r="F31" s="56">
        <f>('Waste Volume Conversions'!P33*References!$E$55)</f>
        <v>0</v>
      </c>
      <c r="G31" s="56">
        <f>('Waste Volume Conversions'!D33*References!$E$44)+('Waste Volume Conversions'!E33*References!$E$45)+('Waste Volume Conversions'!F33*References!$E$46)+('Waste Volume Conversions'!G33*References!$E$47)+('Waste Volume Conversions'!H33*References!$E$48)+('Waste Volume Conversions'!I33*References!$E$49)+('Waste Volume Conversions'!J33*References!$E$50)+('Waste Volume Conversions'!K33*References!$E$51)+('Waste Volume Conversions'!L33*References!$E$52)+('Waste Volume Conversions'!M33*References!$E$53)</f>
        <v>0</v>
      </c>
      <c r="H31" s="56"/>
      <c r="I31" s="56">
        <f>('Waste Volume Conversions'!O33*References!$E$54)</f>
        <v>0</v>
      </c>
      <c r="J31" s="56"/>
      <c r="K31" s="56"/>
      <c r="L31" s="56"/>
      <c r="M31" s="56"/>
      <c r="N31" s="56"/>
      <c r="O31" s="56"/>
      <c r="P31" s="56"/>
      <c r="Q31" s="56"/>
      <c r="R31" s="56"/>
      <c r="S31" s="56"/>
      <c r="T31" s="56"/>
      <c r="U31" s="56"/>
      <c r="V31" s="56"/>
      <c r="W31" s="56"/>
    </row>
    <row r="32" spans="1:23" ht="17.25" x14ac:dyDescent="0.25">
      <c r="A32" s="63" t="s">
        <v>110</v>
      </c>
      <c r="B32" s="56"/>
      <c r="C32" s="56">
        <f>('Waste Volume Conversions'!B34*References!$E$42)+('Waste Volume Conversions'!C34*References!$E$43)</f>
        <v>0</v>
      </c>
      <c r="D32" s="56">
        <f>('Waste Volume Conversions'!N34*References!$E$54)</f>
        <v>0</v>
      </c>
      <c r="E32" s="56"/>
      <c r="F32" s="56">
        <f>('Waste Volume Conversions'!P34*References!$E$55)</f>
        <v>0</v>
      </c>
      <c r="G32" s="56">
        <f>('Waste Volume Conversions'!D34*References!$E$44)+('Waste Volume Conversions'!E34*References!$E$45)+('Waste Volume Conversions'!F34*References!$E$46)+('Waste Volume Conversions'!G34*References!$E$47)+('Waste Volume Conversions'!H34*References!$E$48)+('Waste Volume Conversions'!I34*References!$E$49)+('Waste Volume Conversions'!J34*References!$E$50)+('Waste Volume Conversions'!K34*References!$E$51)+('Waste Volume Conversions'!L34*References!$E$52)+('Waste Volume Conversions'!M34*References!$E$53)</f>
        <v>0</v>
      </c>
      <c r="H32" s="56"/>
      <c r="I32" s="56">
        <f>('Waste Volume Conversions'!O34*References!$E$54)</f>
        <v>0</v>
      </c>
      <c r="J32" s="56"/>
      <c r="K32" s="56"/>
      <c r="L32" s="56"/>
      <c r="M32" s="56"/>
      <c r="N32" s="56"/>
      <c r="O32" s="56"/>
      <c r="P32" s="56"/>
      <c r="Q32" s="56"/>
      <c r="R32" s="56"/>
      <c r="S32" s="56"/>
      <c r="T32" s="56"/>
      <c r="U32" s="56"/>
      <c r="V32" s="56"/>
      <c r="W32" s="56"/>
    </row>
    <row r="33" spans="1:23" ht="17.25" x14ac:dyDescent="0.25">
      <c r="A33" s="63" t="s">
        <v>111</v>
      </c>
      <c r="B33" s="56"/>
      <c r="C33" s="56">
        <f>('Waste Volume Conversions'!B35*References!$E$42)+('Waste Volume Conversions'!C35*References!$E$43)</f>
        <v>0</v>
      </c>
      <c r="D33" s="56">
        <f>('Waste Volume Conversions'!N35*References!$E$54)</f>
        <v>0</v>
      </c>
      <c r="E33" s="56"/>
      <c r="F33" s="56">
        <f>('Waste Volume Conversions'!P35*References!$E$55)</f>
        <v>0</v>
      </c>
      <c r="G33" s="56">
        <f>('Waste Volume Conversions'!D35*References!$E$44)+('Waste Volume Conversions'!E35*References!$E$45)+('Waste Volume Conversions'!F35*References!$E$46)+('Waste Volume Conversions'!G35*References!$E$47)+('Waste Volume Conversions'!H35*References!$E$48)+('Waste Volume Conversions'!I35*References!$E$49)+('Waste Volume Conversions'!J35*References!$E$50)+('Waste Volume Conversions'!K35*References!$E$51)+('Waste Volume Conversions'!L35*References!$E$52)+('Waste Volume Conversions'!M35*References!$E$53)</f>
        <v>0</v>
      </c>
      <c r="H33" s="56"/>
      <c r="I33" s="56">
        <f>('Waste Volume Conversions'!O35*References!$E$54)</f>
        <v>0</v>
      </c>
      <c r="J33" s="56"/>
      <c r="K33" s="56"/>
      <c r="L33" s="56"/>
      <c r="M33" s="56"/>
      <c r="N33" s="56"/>
      <c r="O33" s="56"/>
      <c r="P33" s="56"/>
      <c r="Q33" s="56"/>
      <c r="R33" s="56"/>
      <c r="S33" s="56"/>
      <c r="T33" s="56"/>
      <c r="U33" s="56"/>
      <c r="V33" s="56"/>
      <c r="W33" s="56"/>
    </row>
    <row r="34" spans="1:23" ht="17.25" x14ac:dyDescent="0.25">
      <c r="A34" s="63" t="s">
        <v>112</v>
      </c>
      <c r="B34" s="56"/>
      <c r="C34" s="56">
        <f>('Waste Volume Conversions'!B36*References!$E$42)+('Waste Volume Conversions'!C36*References!$E$43)</f>
        <v>0</v>
      </c>
      <c r="D34" s="56">
        <f>('Waste Volume Conversions'!N36*References!$E$54)</f>
        <v>0</v>
      </c>
      <c r="E34" s="56"/>
      <c r="F34" s="56">
        <f>('Waste Volume Conversions'!P36*References!$E$55)</f>
        <v>0</v>
      </c>
      <c r="G34" s="56">
        <f>('Waste Volume Conversions'!D36*References!$E$44)+('Waste Volume Conversions'!E36*References!$E$45)+('Waste Volume Conversions'!F36*References!$E$46)+('Waste Volume Conversions'!G36*References!$E$47)+('Waste Volume Conversions'!H36*References!$E$48)+('Waste Volume Conversions'!I36*References!$E$49)+('Waste Volume Conversions'!J36*References!$E$50)+('Waste Volume Conversions'!K36*References!$E$51)+('Waste Volume Conversions'!L36*References!$E$52)+('Waste Volume Conversions'!M36*References!$E$53)</f>
        <v>0</v>
      </c>
      <c r="H34" s="56"/>
      <c r="I34" s="56">
        <f>('Waste Volume Conversions'!O36*References!$E$54)</f>
        <v>0</v>
      </c>
      <c r="J34" s="56"/>
      <c r="K34" s="56"/>
      <c r="L34" s="56"/>
      <c r="M34" s="56"/>
      <c r="N34" s="56"/>
      <c r="O34" s="56"/>
      <c r="P34" s="56"/>
      <c r="Q34" s="56"/>
      <c r="R34" s="56"/>
      <c r="S34" s="56"/>
      <c r="T34" s="56"/>
      <c r="U34" s="56"/>
      <c r="V34" s="56"/>
      <c r="W34" s="56"/>
    </row>
    <row r="35" spans="1:23" ht="17.25" x14ac:dyDescent="0.25">
      <c r="A35" s="63" t="s">
        <v>113</v>
      </c>
      <c r="B35" s="56"/>
      <c r="C35" s="56">
        <f>('Waste Volume Conversions'!B37*References!$E$42)+('Waste Volume Conversions'!C37*References!$E$43)</f>
        <v>0</v>
      </c>
      <c r="D35" s="56">
        <f>('Waste Volume Conversions'!N37*References!$E$54)</f>
        <v>0</v>
      </c>
      <c r="E35" s="56"/>
      <c r="F35" s="56">
        <f>('Waste Volume Conversions'!P37*References!$E$55)</f>
        <v>0</v>
      </c>
      <c r="G35" s="56">
        <f>('Waste Volume Conversions'!D37*References!$E$44)+('Waste Volume Conversions'!E37*References!$E$45)+('Waste Volume Conversions'!F37*References!$E$46)+('Waste Volume Conversions'!G37*References!$E$47)+('Waste Volume Conversions'!H37*References!$E$48)+('Waste Volume Conversions'!I37*References!$E$49)+('Waste Volume Conversions'!J37*References!$E$50)+('Waste Volume Conversions'!K37*References!$E$51)+('Waste Volume Conversions'!L37*References!$E$52)+('Waste Volume Conversions'!M37*References!$E$53)</f>
        <v>0</v>
      </c>
      <c r="H35" s="56"/>
      <c r="I35" s="56">
        <f>('Waste Volume Conversions'!O37*References!$E$54)</f>
        <v>0</v>
      </c>
      <c r="J35" s="56"/>
      <c r="K35" s="56"/>
      <c r="L35" s="56"/>
      <c r="M35" s="56"/>
      <c r="N35" s="56"/>
      <c r="O35" s="56"/>
      <c r="P35" s="56"/>
      <c r="Q35" s="56"/>
      <c r="R35" s="56"/>
      <c r="S35" s="56"/>
      <c r="T35" s="56"/>
      <c r="U35" s="56"/>
      <c r="V35" s="56"/>
      <c r="W35" s="56"/>
    </row>
    <row r="36" spans="1:23" ht="17.25" x14ac:dyDescent="0.25">
      <c r="A36" s="63" t="s">
        <v>114</v>
      </c>
      <c r="B36" s="56"/>
      <c r="C36" s="56">
        <f>('Waste Volume Conversions'!B38*References!$E$42)+('Waste Volume Conversions'!C38*References!$E$43)</f>
        <v>0</v>
      </c>
      <c r="D36" s="56">
        <f>('Waste Volume Conversions'!N38*References!$E$54)</f>
        <v>0</v>
      </c>
      <c r="E36" s="56"/>
      <c r="F36" s="56">
        <f>('Waste Volume Conversions'!P38*References!$E$55)</f>
        <v>0</v>
      </c>
      <c r="G36" s="56">
        <f>('Waste Volume Conversions'!D38*References!$E$44)+('Waste Volume Conversions'!E38*References!$E$45)+('Waste Volume Conversions'!F38*References!$E$46)+('Waste Volume Conversions'!G38*References!$E$47)+('Waste Volume Conversions'!H38*References!$E$48)+('Waste Volume Conversions'!I38*References!$E$49)+('Waste Volume Conversions'!J38*References!$E$50)+('Waste Volume Conversions'!K38*References!$E$51)+('Waste Volume Conversions'!L38*References!$E$52)+('Waste Volume Conversions'!M38*References!$E$53)</f>
        <v>0</v>
      </c>
      <c r="H36" s="56"/>
      <c r="I36" s="56">
        <f>('Waste Volume Conversions'!O38*References!$E$54)</f>
        <v>0</v>
      </c>
      <c r="J36" s="56"/>
      <c r="K36" s="56"/>
      <c r="L36" s="56"/>
      <c r="M36" s="56"/>
      <c r="N36" s="56"/>
      <c r="O36" s="56"/>
      <c r="P36" s="56"/>
      <c r="Q36" s="56"/>
      <c r="R36" s="56"/>
      <c r="S36" s="56"/>
      <c r="T36" s="56"/>
      <c r="U36" s="56"/>
      <c r="V36" s="56"/>
      <c r="W36" s="56"/>
    </row>
    <row r="37" spans="1:23" ht="17.25" x14ac:dyDescent="0.25">
      <c r="A37" s="63" t="s">
        <v>115</v>
      </c>
      <c r="B37" s="56"/>
      <c r="C37" s="56">
        <f>('Waste Volume Conversions'!B39*References!$E$42)+('Waste Volume Conversions'!C39*References!$E$43)</f>
        <v>0</v>
      </c>
      <c r="D37" s="56">
        <f>('Waste Volume Conversions'!N39*References!$E$54)</f>
        <v>0</v>
      </c>
      <c r="E37" s="56"/>
      <c r="F37" s="56">
        <f>('Waste Volume Conversions'!P39*References!$E$55)</f>
        <v>0</v>
      </c>
      <c r="G37" s="56">
        <f>('Waste Volume Conversions'!D39*References!$E$44)+('Waste Volume Conversions'!E39*References!$E$45)+('Waste Volume Conversions'!F39*References!$E$46)+('Waste Volume Conversions'!G39*References!$E$47)+('Waste Volume Conversions'!H39*References!$E$48)+('Waste Volume Conversions'!I39*References!$E$49)+('Waste Volume Conversions'!J39*References!$E$50)+('Waste Volume Conversions'!K39*References!$E$51)+('Waste Volume Conversions'!L39*References!$E$52)+('Waste Volume Conversions'!M39*References!$E$53)</f>
        <v>0</v>
      </c>
      <c r="H37" s="56"/>
      <c r="I37" s="56">
        <f>('Waste Volume Conversions'!O39*References!$E$54)</f>
        <v>0</v>
      </c>
      <c r="J37" s="56"/>
      <c r="K37" s="56"/>
      <c r="L37" s="56"/>
      <c r="M37" s="56"/>
      <c r="N37" s="56"/>
      <c r="O37" s="56"/>
      <c r="P37" s="56"/>
      <c r="Q37" s="56"/>
      <c r="R37" s="56"/>
      <c r="S37" s="56"/>
      <c r="T37" s="56"/>
      <c r="U37" s="56"/>
      <c r="V37" s="56"/>
      <c r="W37" s="56"/>
    </row>
    <row r="38" spans="1:23" ht="17.25" x14ac:dyDescent="0.25">
      <c r="A38" s="63" t="s">
        <v>116</v>
      </c>
      <c r="B38" s="56"/>
      <c r="C38" s="56">
        <f>('Waste Volume Conversions'!B40*References!$E$42)+('Waste Volume Conversions'!C40*References!$E$43)</f>
        <v>0</v>
      </c>
      <c r="D38" s="56">
        <f>('Waste Volume Conversions'!N40*References!$E$54)</f>
        <v>0</v>
      </c>
      <c r="E38" s="56"/>
      <c r="F38" s="56">
        <f>('Waste Volume Conversions'!P40*References!$E$55)</f>
        <v>0</v>
      </c>
      <c r="G38" s="56">
        <f>('Waste Volume Conversions'!D40*References!$E$44)+('Waste Volume Conversions'!E40*References!$E$45)+('Waste Volume Conversions'!F40*References!$E$46)+('Waste Volume Conversions'!G40*References!$E$47)+('Waste Volume Conversions'!H40*References!$E$48)+('Waste Volume Conversions'!I40*References!$E$49)+('Waste Volume Conversions'!J40*References!$E$50)+('Waste Volume Conversions'!K40*References!$E$51)+('Waste Volume Conversions'!L40*References!$E$52)+('Waste Volume Conversions'!M40*References!$E$53)</f>
        <v>0</v>
      </c>
      <c r="H38" s="56"/>
      <c r="I38" s="56">
        <f>('Waste Volume Conversions'!O40*References!$E$54)</f>
        <v>0</v>
      </c>
      <c r="J38" s="56"/>
      <c r="K38" s="56"/>
      <c r="L38" s="56"/>
      <c r="M38" s="56"/>
      <c r="N38" s="56"/>
      <c r="O38" s="56"/>
      <c r="P38" s="56"/>
      <c r="Q38" s="56"/>
      <c r="R38" s="56"/>
      <c r="S38" s="56"/>
      <c r="T38" s="56"/>
      <c r="U38" s="56"/>
      <c r="V38" s="56"/>
      <c r="W38" s="56"/>
    </row>
    <row r="39" spans="1:23" ht="17.25" x14ac:dyDescent="0.25">
      <c r="A39" s="63" t="s">
        <v>117</v>
      </c>
      <c r="B39" s="56"/>
      <c r="C39" s="56">
        <f>('Waste Volume Conversions'!B41*References!$E$42)+('Waste Volume Conversions'!C41*References!$E$43)</f>
        <v>0</v>
      </c>
      <c r="D39" s="56">
        <f>('Waste Volume Conversions'!N41*References!$E$54)</f>
        <v>0</v>
      </c>
      <c r="E39" s="56"/>
      <c r="F39" s="56">
        <f>('Waste Volume Conversions'!P41*References!$E$55)</f>
        <v>0</v>
      </c>
      <c r="G39" s="56">
        <f>('Waste Volume Conversions'!D41*References!$E$44)+('Waste Volume Conversions'!E41*References!$E$45)+('Waste Volume Conversions'!F41*References!$E$46)+('Waste Volume Conversions'!G41*References!$E$47)+('Waste Volume Conversions'!H41*References!$E$48)+('Waste Volume Conversions'!I41*References!$E$49)+('Waste Volume Conversions'!J41*References!$E$50)+('Waste Volume Conversions'!K41*References!$E$51)+('Waste Volume Conversions'!L41*References!$E$52)+('Waste Volume Conversions'!M41*References!$E$53)</f>
        <v>0</v>
      </c>
      <c r="H39" s="56"/>
      <c r="I39" s="56">
        <f>('Waste Volume Conversions'!O41*References!$E$54)</f>
        <v>0</v>
      </c>
      <c r="J39" s="56"/>
      <c r="K39" s="56"/>
      <c r="L39" s="56"/>
      <c r="M39" s="56"/>
      <c r="N39" s="56"/>
      <c r="O39" s="56"/>
      <c r="P39" s="56"/>
      <c r="Q39" s="56"/>
      <c r="R39" s="56"/>
      <c r="S39" s="56"/>
      <c r="T39" s="56"/>
      <c r="U39" s="56"/>
      <c r="V39" s="56"/>
      <c r="W39" s="56"/>
    </row>
    <row r="40" spans="1:23" ht="17.25" x14ac:dyDescent="0.25">
      <c r="A40" s="63" t="s">
        <v>118</v>
      </c>
      <c r="B40" s="56"/>
      <c r="C40" s="56">
        <f>('Waste Volume Conversions'!B42*References!$E$42)+('Waste Volume Conversions'!C42*References!$E$43)</f>
        <v>0</v>
      </c>
      <c r="D40" s="56">
        <f>('Waste Volume Conversions'!N42*References!$E$54)</f>
        <v>0</v>
      </c>
      <c r="E40" s="56"/>
      <c r="F40" s="56">
        <f>('Waste Volume Conversions'!P42*References!$E$55)</f>
        <v>0</v>
      </c>
      <c r="G40" s="56">
        <f>('Waste Volume Conversions'!D42*References!$E$44)+('Waste Volume Conversions'!E42*References!$E$45)+('Waste Volume Conversions'!F42*References!$E$46)+('Waste Volume Conversions'!G42*References!$E$47)+('Waste Volume Conversions'!H42*References!$E$48)+('Waste Volume Conversions'!I42*References!$E$49)+('Waste Volume Conversions'!J42*References!$E$50)+('Waste Volume Conversions'!K42*References!$E$51)+('Waste Volume Conversions'!L42*References!$E$52)+('Waste Volume Conversions'!M42*References!$E$53)</f>
        <v>0</v>
      </c>
      <c r="H40" s="56"/>
      <c r="I40" s="56">
        <f>('Waste Volume Conversions'!O42*References!$E$54)</f>
        <v>0</v>
      </c>
      <c r="J40" s="56"/>
      <c r="K40" s="56"/>
      <c r="L40" s="56"/>
      <c r="M40" s="56"/>
      <c r="N40" s="56"/>
      <c r="O40" s="56"/>
      <c r="P40" s="56"/>
      <c r="Q40" s="56"/>
      <c r="R40" s="56"/>
      <c r="S40" s="56"/>
      <c r="T40" s="56"/>
      <c r="U40" s="56"/>
      <c r="V40" s="56"/>
      <c r="W40" s="56"/>
    </row>
    <row r="41" spans="1:23" ht="17.25" x14ac:dyDescent="0.25">
      <c r="A41" s="64" t="s">
        <v>14</v>
      </c>
      <c r="B41" s="57"/>
      <c r="C41" s="57"/>
      <c r="D41" s="57"/>
      <c r="E41" s="57"/>
      <c r="F41" s="57"/>
      <c r="G41" s="57"/>
      <c r="H41" s="57"/>
      <c r="I41" s="57"/>
      <c r="J41" s="57"/>
      <c r="K41" s="57"/>
      <c r="L41" s="57"/>
      <c r="M41" s="57"/>
      <c r="N41" s="57"/>
      <c r="O41" s="57"/>
      <c r="P41" s="57"/>
      <c r="Q41" s="57"/>
      <c r="R41" s="57"/>
      <c r="S41" s="57"/>
      <c r="T41" s="57"/>
      <c r="U41" s="57"/>
      <c r="V41" s="57"/>
      <c r="W41" s="57"/>
    </row>
  </sheetData>
  <sheetProtection algorithmName="SHA-512" hashValue="TR9wRRxaxFsqvpCeKqy6TnK1IsEHa7ZTWwnIoOV92WaFetNRR4BNfoHYgmiWkFSNkUash95QplKOZRqjwi4m3g==" saltValue="sJtmS2mflcCJ+ZDMTqEAvw==" spinCount="100000" sheet="1" selectLockedCells="1" autoFilter="0"/>
  <hyperlinks>
    <hyperlink ref="B4" location="'Source Data'!A6" display="Product (lbs)" xr:uid="{90B33431-E92C-4A5F-8996-7439AD21A57B}"/>
    <hyperlink ref="C4" location="'Source Data'!A7" display="Solid waste sent to landfill (lbs)" xr:uid="{96B40B37-ED58-4C99-8C70-8B7784C879FE}"/>
    <hyperlink ref="D4" location="'Source Data'!A8" display="Process waste sent to landfill - solid  (lbs)" xr:uid="{519EC767-91BC-4C6F-A313-A8A3B25FE124}"/>
    <hyperlink ref="E4" location="'Source Data'!A9" display="Hazardous waste disposed (lbs)" xr:uid="{111864D6-95AC-45FB-9695-8CC9F9197BB0}"/>
    <hyperlink ref="F4" location="'Source Data'!A10" display="Food waste (post-consumer) diverted (lbs)" xr:uid="{73E8FF23-A59A-45E3-9B12-4B8EF5D3816D}"/>
    <hyperlink ref="G4" location="'Source Data'!A11" display="Recycled material  (lbs)" xr:uid="{0FFC1641-800E-40C8-8FF8-4BD929D627F2}"/>
    <hyperlink ref="H4" location="'Source Data'!A12" display="Other recycled/ reused material (lbs)" xr:uid="{DF6268FF-28D2-46CE-A1CF-2596D8F92C5A}"/>
    <hyperlink ref="I4" location="'Source Data'!A13" display="Process waste diverted - solid (lbs)" xr:uid="{85DBE2A9-D4B5-4C97-A78F-4D1D28267E8E}"/>
    <hyperlink ref="J4" location="'Source Data'!A14" display="Process waste diverted - liquid (gal)" xr:uid="{3E03B0ED-F6C1-419B-8003-BBC5BE0AA477}"/>
    <hyperlink ref="K4" location="'Source Data'!A15" display="Wastewater to sewer (gal)" xr:uid="{CE6EEAAB-03A9-4D1B-91F0-5E5557C67C5F}"/>
    <hyperlink ref="L4" location="'Source Data'!A16" display="Wastewater to land surface (gal)" xr:uid="{62E302B3-117D-4DAB-928B-38CFA0687DD7}"/>
    <hyperlink ref="M4" location="'Source Data'!A17" display="Wastewater to soil (in-ground) (gal)" xr:uid="{BB071D8C-19F5-40F6-8C8A-75A2933679B1}"/>
    <hyperlink ref="N4" location="'Source Data'!A18" display="Wastewater BOD (mg/L)" xr:uid="{E3646134-7758-4C0E-9055-C011BB10822C}"/>
    <hyperlink ref="O4" location="'Source Data'!A19" display="Water used (gal)" xr:uid="{29112D6F-F5A9-4C0D-9B38-C2F366C19D69}"/>
    <hyperlink ref="P4" location="'Source Data'!A20" display="Purchased electricity consumed (kWh)" xr:uid="{627AA4DF-22C1-40D1-9C6B-A47437558415}"/>
    <hyperlink ref="Q4" location="'Source Data'!A21" display="Generated electricity consumed (kWh)" xr:uid="{A6F96E70-E765-459C-AB21-1F5BE385E995}"/>
    <hyperlink ref="R4" location="'Source Data'!A22" display="Natural gas (Ccf)" xr:uid="{FEE65C87-FCDE-47A7-8B13-1AC9AB6B983B}"/>
    <hyperlink ref="S4" location="'Source Data'!A23" display="Propane (gal)" xr:uid="{32B73AC2-4E25-4D2F-8C9A-B2034E4EB169}"/>
    <hyperlink ref="T4" location="'Source Data'!A24" display="Heating oil (gal)" xr:uid="{DC5426EA-95EA-4085-AA5B-E7E4DDDCDAF0}"/>
    <hyperlink ref="U4" location="'Source Data'!A25" display="Wood (tons)" xr:uid="{EDD0E9CB-F422-4AEA-9EC0-9A3567A92641}"/>
    <hyperlink ref="V4" location="'Source Data'!A26" display="Gasoline (gal)" xr:uid="{D15ED888-01E9-4582-831D-F58C3457A856}"/>
    <hyperlink ref="W4" location="'Source Data'!A27" display="Diesel (gal)" xr:uid="{87E09804-4555-40F8-A8D1-9C1C0AC25B97}"/>
  </hyperlink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34840-5D13-486B-9EF5-230AA3A32F2C}">
  <sheetPr>
    <tabColor theme="8" tint="-0.249977111117893"/>
  </sheetPr>
  <dimension ref="A1:U41"/>
  <sheetViews>
    <sheetView workbookViewId="0">
      <pane xSplit="1" topLeftCell="B1" activePane="topRight" state="frozen"/>
      <selection pane="topRight" activeCell="B4" sqref="B4"/>
    </sheetView>
  </sheetViews>
  <sheetFormatPr defaultColWidth="9.140625" defaultRowHeight="15" x14ac:dyDescent="0.25"/>
  <cols>
    <col min="1" max="1" width="15" style="66" customWidth="1"/>
    <col min="2" max="17" width="12.140625" style="66" customWidth="1"/>
    <col min="18" max="23" width="10.140625" style="66" customWidth="1"/>
    <col min="24" max="25" width="12.140625" style="66" customWidth="1"/>
    <col min="26" max="16384" width="9.140625" style="66"/>
  </cols>
  <sheetData>
    <row r="1" spans="1:21" ht="24" x14ac:dyDescent="0.25">
      <c r="A1" s="65" t="s">
        <v>143</v>
      </c>
    </row>
    <row r="2" spans="1:21" ht="17.25" x14ac:dyDescent="0.25">
      <c r="A2" s="67" t="s">
        <v>128</v>
      </c>
    </row>
    <row r="3" spans="1:21" ht="17.25" x14ac:dyDescent="0.25">
      <c r="A3" s="68" t="s">
        <v>267</v>
      </c>
    </row>
    <row r="4" spans="1:21" s="69" customFormat="1" ht="76.5" customHeight="1" x14ac:dyDescent="0.25">
      <c r="A4" s="53" t="s">
        <v>127</v>
      </c>
      <c r="B4" s="54" t="s">
        <v>144</v>
      </c>
      <c r="C4" s="54" t="s">
        <v>145</v>
      </c>
      <c r="D4" s="54" t="s">
        <v>146</v>
      </c>
      <c r="E4" s="54" t="s">
        <v>147</v>
      </c>
      <c r="F4" s="54" t="s">
        <v>148</v>
      </c>
      <c r="G4" s="54" t="s">
        <v>149</v>
      </c>
      <c r="H4" s="54" t="s">
        <v>150</v>
      </c>
      <c r="I4" s="54" t="s">
        <v>151</v>
      </c>
      <c r="J4" s="54" t="s">
        <v>152</v>
      </c>
      <c r="K4" s="54" t="s">
        <v>153</v>
      </c>
      <c r="L4" s="54" t="s">
        <v>154</v>
      </c>
      <c r="M4" s="54" t="s">
        <v>155</v>
      </c>
      <c r="N4" s="54" t="s">
        <v>156</v>
      </c>
      <c r="O4" s="54" t="s">
        <v>157</v>
      </c>
      <c r="P4" s="54" t="s">
        <v>158</v>
      </c>
      <c r="Q4" s="54" t="s">
        <v>160</v>
      </c>
      <c r="R4" s="54" t="s">
        <v>161</v>
      </c>
      <c r="S4" s="54" t="s">
        <v>164</v>
      </c>
      <c r="T4" s="54" t="s">
        <v>162</v>
      </c>
      <c r="U4" s="54" t="s">
        <v>163</v>
      </c>
    </row>
    <row r="5" spans="1:21" ht="17.25" x14ac:dyDescent="0.25">
      <c r="A5" s="55" t="s">
        <v>96</v>
      </c>
      <c r="B5" s="70"/>
      <c r="C5" s="70"/>
      <c r="D5" s="70"/>
      <c r="E5" s="70"/>
      <c r="F5" s="70"/>
      <c r="G5" s="70"/>
      <c r="H5" s="70"/>
      <c r="I5" s="70"/>
      <c r="J5" s="70"/>
      <c r="K5" s="70"/>
      <c r="L5" s="70"/>
      <c r="M5" s="70"/>
      <c r="N5" s="70"/>
      <c r="O5" s="70"/>
      <c r="P5" s="70"/>
      <c r="Q5" s="70"/>
      <c r="R5" s="70"/>
      <c r="S5" s="70"/>
      <c r="T5" s="70"/>
      <c r="U5" s="70"/>
    </row>
    <row r="6" spans="1:21" ht="17.25" x14ac:dyDescent="0.25">
      <c r="A6" s="55" t="s">
        <v>97</v>
      </c>
      <c r="B6" s="70"/>
      <c r="C6" s="70"/>
      <c r="D6" s="70"/>
      <c r="E6" s="70"/>
      <c r="F6" s="70"/>
      <c r="G6" s="70"/>
      <c r="H6" s="70"/>
      <c r="I6" s="70"/>
      <c r="J6" s="70"/>
      <c r="K6" s="70"/>
      <c r="L6" s="70"/>
      <c r="M6" s="70"/>
      <c r="N6" s="70"/>
      <c r="O6" s="70"/>
      <c r="P6" s="70"/>
      <c r="Q6" s="70"/>
      <c r="R6" s="70"/>
      <c r="S6" s="70"/>
      <c r="T6" s="70"/>
      <c r="U6" s="70"/>
    </row>
    <row r="7" spans="1:21" ht="17.25" x14ac:dyDescent="0.25">
      <c r="A7" s="55" t="s">
        <v>98</v>
      </c>
      <c r="B7" s="70"/>
      <c r="C7" s="70"/>
      <c r="D7" s="70"/>
      <c r="E7" s="70"/>
      <c r="F7" s="70"/>
      <c r="G7" s="70"/>
      <c r="H7" s="70"/>
      <c r="I7" s="70"/>
      <c r="J7" s="70"/>
      <c r="K7" s="70"/>
      <c r="L7" s="70"/>
      <c r="M7" s="70"/>
      <c r="N7" s="70"/>
      <c r="O7" s="70"/>
      <c r="P7" s="70"/>
      <c r="Q7" s="70"/>
      <c r="R7" s="70"/>
      <c r="S7" s="70"/>
      <c r="T7" s="70"/>
      <c r="U7" s="70"/>
    </row>
    <row r="8" spans="1:21" ht="17.25" x14ac:dyDescent="0.25">
      <c r="A8" s="55" t="s">
        <v>1</v>
      </c>
      <c r="B8" s="70"/>
      <c r="C8" s="70"/>
      <c r="D8" s="70"/>
      <c r="E8" s="70"/>
      <c r="F8" s="70"/>
      <c r="G8" s="70"/>
      <c r="H8" s="70"/>
      <c r="I8" s="70"/>
      <c r="J8" s="70"/>
      <c r="K8" s="70"/>
      <c r="L8" s="70"/>
      <c r="M8" s="70"/>
      <c r="N8" s="70"/>
      <c r="O8" s="70"/>
      <c r="P8" s="70"/>
      <c r="Q8" s="70"/>
      <c r="R8" s="70"/>
      <c r="S8" s="70"/>
      <c r="T8" s="70"/>
      <c r="U8" s="70"/>
    </row>
    <row r="9" spans="1:21" ht="17.25" x14ac:dyDescent="0.25">
      <c r="A9" s="55" t="s">
        <v>2</v>
      </c>
      <c r="B9" s="70"/>
      <c r="C9" s="70"/>
      <c r="D9" s="70"/>
      <c r="E9" s="70"/>
      <c r="F9" s="70"/>
      <c r="G9" s="70"/>
      <c r="H9" s="70"/>
      <c r="I9" s="70"/>
      <c r="J9" s="70"/>
      <c r="K9" s="70"/>
      <c r="L9" s="70"/>
      <c r="M9" s="70"/>
      <c r="N9" s="70"/>
      <c r="O9" s="70"/>
      <c r="P9" s="70"/>
      <c r="Q9" s="70"/>
      <c r="R9" s="70"/>
      <c r="S9" s="70"/>
      <c r="T9" s="70"/>
      <c r="U9" s="70"/>
    </row>
    <row r="10" spans="1:21" ht="17.25" x14ac:dyDescent="0.25">
      <c r="A10" s="55" t="s">
        <v>3</v>
      </c>
      <c r="B10" s="70"/>
      <c r="C10" s="70"/>
      <c r="D10" s="70"/>
      <c r="E10" s="70"/>
      <c r="F10" s="70"/>
      <c r="G10" s="70"/>
      <c r="H10" s="70"/>
      <c r="I10" s="70"/>
      <c r="J10" s="70"/>
      <c r="K10" s="70"/>
      <c r="L10" s="70"/>
      <c r="M10" s="70"/>
      <c r="N10" s="70"/>
      <c r="O10" s="70"/>
      <c r="P10" s="70"/>
      <c r="Q10" s="70"/>
      <c r="R10" s="70"/>
      <c r="S10" s="70"/>
      <c r="T10" s="70"/>
      <c r="U10" s="70"/>
    </row>
    <row r="11" spans="1:21" ht="17.25" x14ac:dyDescent="0.25">
      <c r="A11" s="55" t="s">
        <v>4</v>
      </c>
      <c r="B11" s="70"/>
      <c r="C11" s="70"/>
      <c r="D11" s="70"/>
      <c r="E11" s="70"/>
      <c r="F11" s="70"/>
      <c r="G11" s="70"/>
      <c r="H11" s="70"/>
      <c r="I11" s="70"/>
      <c r="J11" s="70"/>
      <c r="K11" s="70"/>
      <c r="L11" s="70"/>
      <c r="M11" s="70"/>
      <c r="N11" s="70"/>
      <c r="O11" s="70"/>
      <c r="P11" s="70"/>
      <c r="Q11" s="70"/>
      <c r="R11" s="70"/>
      <c r="S11" s="70"/>
      <c r="T11" s="70"/>
      <c r="U11" s="70"/>
    </row>
    <row r="12" spans="1:21" ht="17.25" x14ac:dyDescent="0.25">
      <c r="A12" s="55" t="s">
        <v>5</v>
      </c>
      <c r="B12" s="70"/>
      <c r="C12" s="70"/>
      <c r="D12" s="70"/>
      <c r="E12" s="70"/>
      <c r="F12" s="70"/>
      <c r="G12" s="70"/>
      <c r="H12" s="70"/>
      <c r="I12" s="70"/>
      <c r="J12" s="70"/>
      <c r="K12" s="70"/>
      <c r="L12" s="70"/>
      <c r="M12" s="70"/>
      <c r="N12" s="70"/>
      <c r="O12" s="70"/>
      <c r="P12" s="70"/>
      <c r="Q12" s="70"/>
      <c r="R12" s="70"/>
      <c r="S12" s="70"/>
      <c r="T12" s="70"/>
      <c r="U12" s="70"/>
    </row>
    <row r="13" spans="1:21" ht="17.25" x14ac:dyDescent="0.25">
      <c r="A13" s="55" t="s">
        <v>6</v>
      </c>
      <c r="B13" s="70"/>
      <c r="C13" s="70"/>
      <c r="D13" s="70"/>
      <c r="E13" s="70"/>
      <c r="F13" s="70"/>
      <c r="G13" s="70"/>
      <c r="H13" s="70"/>
      <c r="I13" s="70"/>
      <c r="J13" s="70"/>
      <c r="K13" s="70"/>
      <c r="L13" s="70"/>
      <c r="M13" s="70"/>
      <c r="N13" s="70"/>
      <c r="O13" s="70"/>
      <c r="P13" s="70"/>
      <c r="Q13" s="70"/>
      <c r="R13" s="70"/>
      <c r="S13" s="70"/>
      <c r="T13" s="70"/>
      <c r="U13" s="70"/>
    </row>
    <row r="14" spans="1:21" ht="17.25" x14ac:dyDescent="0.25">
      <c r="A14" s="55" t="s">
        <v>7</v>
      </c>
      <c r="B14" s="70"/>
      <c r="C14" s="70"/>
      <c r="D14" s="70"/>
      <c r="E14" s="70"/>
      <c r="F14" s="70"/>
      <c r="G14" s="70"/>
      <c r="H14" s="70"/>
      <c r="I14" s="70"/>
      <c r="J14" s="70"/>
      <c r="K14" s="70"/>
      <c r="L14" s="70"/>
      <c r="M14" s="70"/>
      <c r="N14" s="70"/>
      <c r="O14" s="70"/>
      <c r="P14" s="70"/>
      <c r="Q14" s="70"/>
      <c r="R14" s="70"/>
      <c r="S14" s="70"/>
      <c r="T14" s="70"/>
      <c r="U14" s="70"/>
    </row>
    <row r="15" spans="1:21" ht="17.25" x14ac:dyDescent="0.25">
      <c r="A15" s="55" t="s">
        <v>8</v>
      </c>
      <c r="B15" s="70"/>
      <c r="C15" s="70"/>
      <c r="D15" s="70"/>
      <c r="E15" s="70"/>
      <c r="F15" s="70"/>
      <c r="G15" s="70"/>
      <c r="H15" s="70"/>
      <c r="I15" s="70"/>
      <c r="J15" s="70"/>
      <c r="K15" s="70"/>
      <c r="L15" s="70"/>
      <c r="M15" s="70"/>
      <c r="N15" s="70"/>
      <c r="O15" s="70"/>
      <c r="P15" s="70"/>
      <c r="Q15" s="70"/>
      <c r="R15" s="70"/>
      <c r="S15" s="70"/>
      <c r="T15" s="70"/>
      <c r="U15" s="70"/>
    </row>
    <row r="16" spans="1:21" ht="17.25" x14ac:dyDescent="0.25">
      <c r="A16" s="55" t="s">
        <v>9</v>
      </c>
      <c r="B16" s="70"/>
      <c r="C16" s="70"/>
      <c r="D16" s="70"/>
      <c r="E16" s="70"/>
      <c r="F16" s="70"/>
      <c r="G16" s="70"/>
      <c r="H16" s="70"/>
      <c r="I16" s="70"/>
      <c r="J16" s="70"/>
      <c r="K16" s="70"/>
      <c r="L16" s="70"/>
      <c r="M16" s="70"/>
      <c r="N16" s="70"/>
      <c r="O16" s="70"/>
      <c r="P16" s="70"/>
      <c r="Q16" s="70"/>
      <c r="R16" s="70"/>
      <c r="S16" s="70"/>
      <c r="T16" s="70"/>
      <c r="U16" s="70"/>
    </row>
    <row r="17" spans="1:21" ht="17.25" x14ac:dyDescent="0.25">
      <c r="A17" s="55" t="s">
        <v>10</v>
      </c>
      <c r="B17" s="70"/>
      <c r="C17" s="70"/>
      <c r="D17" s="70"/>
      <c r="E17" s="70"/>
      <c r="F17" s="70"/>
      <c r="G17" s="70"/>
      <c r="H17" s="70"/>
      <c r="I17" s="70"/>
      <c r="J17" s="70"/>
      <c r="K17" s="70"/>
      <c r="L17" s="70"/>
      <c r="M17" s="70"/>
      <c r="N17" s="70"/>
      <c r="O17" s="70"/>
      <c r="P17" s="70"/>
      <c r="Q17" s="70"/>
      <c r="R17" s="70"/>
      <c r="S17" s="70"/>
      <c r="T17" s="70"/>
      <c r="U17" s="70"/>
    </row>
    <row r="18" spans="1:21" ht="17.25" x14ac:dyDescent="0.25">
      <c r="A18" s="55" t="s">
        <v>11</v>
      </c>
      <c r="B18" s="70"/>
      <c r="C18" s="70"/>
      <c r="D18" s="70"/>
      <c r="E18" s="70"/>
      <c r="F18" s="70"/>
      <c r="G18" s="70"/>
      <c r="H18" s="70"/>
      <c r="I18" s="70"/>
      <c r="J18" s="70"/>
      <c r="K18" s="70"/>
      <c r="L18" s="70"/>
      <c r="M18" s="70"/>
      <c r="N18" s="70"/>
      <c r="O18" s="70"/>
      <c r="P18" s="70"/>
      <c r="Q18" s="70"/>
      <c r="R18" s="70"/>
      <c r="S18" s="70"/>
      <c r="T18" s="70"/>
      <c r="U18" s="70"/>
    </row>
    <row r="19" spans="1:21" ht="17.25" x14ac:dyDescent="0.25">
      <c r="A19" s="55" t="s">
        <v>12</v>
      </c>
      <c r="B19" s="70"/>
      <c r="C19" s="70"/>
      <c r="D19" s="70"/>
      <c r="E19" s="70"/>
      <c r="F19" s="70"/>
      <c r="G19" s="70"/>
      <c r="H19" s="70"/>
      <c r="I19" s="70"/>
      <c r="J19" s="70"/>
      <c r="K19" s="70"/>
      <c r="L19" s="70"/>
      <c r="M19" s="70"/>
      <c r="N19" s="70"/>
      <c r="O19" s="70"/>
      <c r="P19" s="70"/>
      <c r="Q19" s="70"/>
      <c r="R19" s="70"/>
      <c r="S19" s="70"/>
      <c r="T19" s="70"/>
      <c r="U19" s="70"/>
    </row>
    <row r="20" spans="1:21" ht="17.25" x14ac:dyDescent="0.25">
      <c r="A20" s="55" t="s">
        <v>13</v>
      </c>
      <c r="B20" s="70"/>
      <c r="C20" s="70"/>
      <c r="D20" s="70"/>
      <c r="E20" s="70"/>
      <c r="F20" s="70"/>
      <c r="G20" s="70"/>
      <c r="H20" s="70"/>
      <c r="I20" s="70"/>
      <c r="J20" s="70"/>
      <c r="K20" s="70"/>
      <c r="L20" s="70"/>
      <c r="M20" s="70"/>
      <c r="N20" s="70"/>
      <c r="O20" s="70"/>
      <c r="P20" s="70"/>
      <c r="Q20" s="70"/>
      <c r="R20" s="70"/>
      <c r="S20" s="70"/>
      <c r="T20" s="70"/>
      <c r="U20" s="70"/>
    </row>
    <row r="21" spans="1:21" ht="17.25" x14ac:dyDescent="0.25">
      <c r="A21" s="55" t="s">
        <v>99</v>
      </c>
      <c r="B21" s="70"/>
      <c r="C21" s="70"/>
      <c r="D21" s="70"/>
      <c r="E21" s="70"/>
      <c r="F21" s="70"/>
      <c r="G21" s="70"/>
      <c r="H21" s="70"/>
      <c r="I21" s="70"/>
      <c r="J21" s="70"/>
      <c r="K21" s="70"/>
      <c r="L21" s="70"/>
      <c r="M21" s="70"/>
      <c r="N21" s="70"/>
      <c r="O21" s="70"/>
      <c r="P21" s="70"/>
      <c r="Q21" s="70"/>
      <c r="R21" s="70"/>
      <c r="S21" s="70"/>
      <c r="T21" s="70"/>
      <c r="U21" s="70"/>
    </row>
    <row r="22" spans="1:21" ht="17.25" x14ac:dyDescent="0.25">
      <c r="A22" s="55" t="s">
        <v>100</v>
      </c>
      <c r="B22" s="70"/>
      <c r="C22" s="70"/>
      <c r="D22" s="70"/>
      <c r="E22" s="70"/>
      <c r="F22" s="70"/>
      <c r="G22" s="70"/>
      <c r="H22" s="70"/>
      <c r="I22" s="70"/>
      <c r="J22" s="70"/>
      <c r="K22" s="70"/>
      <c r="L22" s="70"/>
      <c r="M22" s="70"/>
      <c r="N22" s="70"/>
      <c r="O22" s="70"/>
      <c r="P22" s="70"/>
      <c r="Q22" s="70"/>
      <c r="R22" s="70"/>
      <c r="S22" s="70"/>
      <c r="T22" s="70"/>
      <c r="U22" s="70"/>
    </row>
    <row r="23" spans="1:21" ht="17.25" x14ac:dyDescent="0.25">
      <c r="A23" s="55" t="s">
        <v>101</v>
      </c>
      <c r="B23" s="70"/>
      <c r="C23" s="70"/>
      <c r="D23" s="70"/>
      <c r="E23" s="70"/>
      <c r="F23" s="70"/>
      <c r="G23" s="70"/>
      <c r="H23" s="70"/>
      <c r="I23" s="70"/>
      <c r="J23" s="70"/>
      <c r="K23" s="70"/>
      <c r="L23" s="70"/>
      <c r="M23" s="70"/>
      <c r="N23" s="70"/>
      <c r="O23" s="70"/>
      <c r="P23" s="70"/>
      <c r="Q23" s="70"/>
      <c r="R23" s="70"/>
      <c r="S23" s="70"/>
      <c r="T23" s="70"/>
      <c r="U23" s="70"/>
    </row>
    <row r="24" spans="1:21" ht="17.25" x14ac:dyDescent="0.25">
      <c r="A24" s="55" t="s">
        <v>102</v>
      </c>
      <c r="B24" s="70"/>
      <c r="C24" s="70"/>
      <c r="D24" s="70"/>
      <c r="E24" s="70"/>
      <c r="F24" s="70"/>
      <c r="G24" s="70"/>
      <c r="H24" s="70"/>
      <c r="I24" s="70"/>
      <c r="J24" s="70"/>
      <c r="K24" s="70"/>
      <c r="L24" s="70"/>
      <c r="M24" s="70"/>
      <c r="N24" s="70"/>
      <c r="O24" s="70"/>
      <c r="P24" s="70"/>
      <c r="Q24" s="70"/>
      <c r="R24" s="70"/>
      <c r="S24" s="70"/>
      <c r="T24" s="70"/>
      <c r="U24" s="70"/>
    </row>
    <row r="25" spans="1:21" ht="17.25" x14ac:dyDescent="0.25">
      <c r="A25" s="55" t="s">
        <v>103</v>
      </c>
      <c r="B25" s="70"/>
      <c r="C25" s="70"/>
      <c r="D25" s="70"/>
      <c r="E25" s="70"/>
      <c r="F25" s="70"/>
      <c r="G25" s="70"/>
      <c r="H25" s="70"/>
      <c r="I25" s="70"/>
      <c r="J25" s="70"/>
      <c r="K25" s="70"/>
      <c r="L25" s="70"/>
      <c r="M25" s="70"/>
      <c r="N25" s="70"/>
      <c r="O25" s="70"/>
      <c r="P25" s="70"/>
      <c r="Q25" s="70"/>
      <c r="R25" s="70"/>
      <c r="S25" s="70"/>
      <c r="T25" s="70"/>
      <c r="U25" s="70"/>
    </row>
    <row r="26" spans="1:21" ht="17.25" x14ac:dyDescent="0.25">
      <c r="A26" s="55" t="s">
        <v>104</v>
      </c>
      <c r="B26" s="70"/>
      <c r="C26" s="70"/>
      <c r="D26" s="70"/>
      <c r="E26" s="70"/>
      <c r="F26" s="70"/>
      <c r="G26" s="70"/>
      <c r="H26" s="70"/>
      <c r="I26" s="70"/>
      <c r="J26" s="70"/>
      <c r="K26" s="70"/>
      <c r="L26" s="70"/>
      <c r="M26" s="70"/>
      <c r="N26" s="70"/>
      <c r="O26" s="70"/>
      <c r="P26" s="70"/>
      <c r="Q26" s="70"/>
      <c r="R26" s="70"/>
      <c r="S26" s="70"/>
      <c r="T26" s="70"/>
      <c r="U26" s="70"/>
    </row>
    <row r="27" spans="1:21" ht="17.25" x14ac:dyDescent="0.25">
      <c r="A27" s="55" t="s">
        <v>105</v>
      </c>
      <c r="B27" s="70"/>
      <c r="C27" s="70"/>
      <c r="D27" s="70"/>
      <c r="E27" s="70"/>
      <c r="F27" s="70"/>
      <c r="G27" s="70"/>
      <c r="H27" s="70"/>
      <c r="I27" s="70"/>
      <c r="J27" s="70"/>
      <c r="K27" s="70"/>
      <c r="L27" s="70"/>
      <c r="M27" s="70"/>
      <c r="N27" s="70"/>
      <c r="O27" s="70"/>
      <c r="P27" s="70"/>
      <c r="Q27" s="70"/>
      <c r="R27" s="70"/>
      <c r="S27" s="70"/>
      <c r="T27" s="70"/>
      <c r="U27" s="70"/>
    </row>
    <row r="28" spans="1:21" ht="17.25" x14ac:dyDescent="0.25">
      <c r="A28" s="55" t="s">
        <v>106</v>
      </c>
      <c r="B28" s="70"/>
      <c r="C28" s="70"/>
      <c r="D28" s="70"/>
      <c r="E28" s="70"/>
      <c r="F28" s="70"/>
      <c r="G28" s="70"/>
      <c r="H28" s="70"/>
      <c r="I28" s="70"/>
      <c r="J28" s="70"/>
      <c r="K28" s="70"/>
      <c r="L28" s="70"/>
      <c r="M28" s="70"/>
      <c r="N28" s="70"/>
      <c r="O28" s="70"/>
      <c r="P28" s="70"/>
      <c r="Q28" s="70"/>
      <c r="R28" s="70"/>
      <c r="S28" s="70"/>
      <c r="T28" s="70"/>
      <c r="U28" s="70"/>
    </row>
    <row r="29" spans="1:21" ht="17.25" x14ac:dyDescent="0.25">
      <c r="A29" s="55" t="s">
        <v>107</v>
      </c>
      <c r="B29" s="70"/>
      <c r="C29" s="70"/>
      <c r="D29" s="70"/>
      <c r="E29" s="70"/>
      <c r="F29" s="70"/>
      <c r="G29" s="70"/>
      <c r="H29" s="70"/>
      <c r="I29" s="70"/>
      <c r="J29" s="70"/>
      <c r="K29" s="70"/>
      <c r="L29" s="70"/>
      <c r="M29" s="70"/>
      <c r="N29" s="70"/>
      <c r="O29" s="70"/>
      <c r="P29" s="70"/>
      <c r="Q29" s="70"/>
      <c r="R29" s="70"/>
      <c r="S29" s="70"/>
      <c r="T29" s="70"/>
      <c r="U29" s="70"/>
    </row>
    <row r="30" spans="1:21" ht="17.25" x14ac:dyDescent="0.25">
      <c r="A30" s="55" t="s">
        <v>108</v>
      </c>
      <c r="B30" s="70"/>
      <c r="C30" s="70"/>
      <c r="D30" s="70"/>
      <c r="E30" s="70"/>
      <c r="F30" s="70"/>
      <c r="G30" s="70"/>
      <c r="H30" s="70"/>
      <c r="I30" s="70"/>
      <c r="J30" s="70"/>
      <c r="K30" s="70"/>
      <c r="L30" s="70"/>
      <c r="M30" s="70"/>
      <c r="N30" s="70"/>
      <c r="O30" s="70"/>
      <c r="P30" s="70"/>
      <c r="Q30" s="70"/>
      <c r="R30" s="70"/>
      <c r="S30" s="70"/>
      <c r="T30" s="70"/>
      <c r="U30" s="70"/>
    </row>
    <row r="31" spans="1:21" ht="17.25" x14ac:dyDescent="0.25">
      <c r="A31" s="55" t="s">
        <v>109</v>
      </c>
      <c r="B31" s="70"/>
      <c r="C31" s="70"/>
      <c r="D31" s="70"/>
      <c r="E31" s="70"/>
      <c r="F31" s="70"/>
      <c r="G31" s="70"/>
      <c r="H31" s="70"/>
      <c r="I31" s="70"/>
      <c r="J31" s="70"/>
      <c r="K31" s="70"/>
      <c r="L31" s="70"/>
      <c r="M31" s="70"/>
      <c r="N31" s="70"/>
      <c r="O31" s="70"/>
      <c r="P31" s="70"/>
      <c r="Q31" s="70"/>
      <c r="R31" s="70"/>
      <c r="S31" s="70"/>
      <c r="T31" s="70"/>
      <c r="U31" s="70"/>
    </row>
    <row r="32" spans="1:21" ht="17.25" x14ac:dyDescent="0.25">
      <c r="A32" s="55" t="s">
        <v>110</v>
      </c>
      <c r="B32" s="70"/>
      <c r="C32" s="70"/>
      <c r="D32" s="70"/>
      <c r="E32" s="70"/>
      <c r="F32" s="70"/>
      <c r="G32" s="70"/>
      <c r="H32" s="70"/>
      <c r="I32" s="70"/>
      <c r="J32" s="70"/>
      <c r="K32" s="70"/>
      <c r="L32" s="70"/>
      <c r="M32" s="70"/>
      <c r="N32" s="70"/>
      <c r="O32" s="70"/>
      <c r="P32" s="70"/>
      <c r="Q32" s="70"/>
      <c r="R32" s="70"/>
      <c r="S32" s="70"/>
      <c r="T32" s="70"/>
      <c r="U32" s="70"/>
    </row>
    <row r="33" spans="1:21" ht="17.25" x14ac:dyDescent="0.25">
      <c r="A33" s="55" t="s">
        <v>111</v>
      </c>
      <c r="B33" s="70"/>
      <c r="C33" s="70"/>
      <c r="D33" s="70"/>
      <c r="E33" s="70"/>
      <c r="F33" s="70"/>
      <c r="G33" s="70"/>
      <c r="H33" s="70"/>
      <c r="I33" s="70"/>
      <c r="J33" s="70"/>
      <c r="K33" s="70"/>
      <c r="L33" s="70"/>
      <c r="M33" s="70"/>
      <c r="N33" s="70"/>
      <c r="O33" s="70"/>
      <c r="P33" s="70"/>
      <c r="Q33" s="70"/>
      <c r="R33" s="70"/>
      <c r="S33" s="70"/>
      <c r="T33" s="70"/>
      <c r="U33" s="70"/>
    </row>
    <row r="34" spans="1:21" ht="17.25" x14ac:dyDescent="0.25">
      <c r="A34" s="55" t="s">
        <v>112</v>
      </c>
      <c r="B34" s="70"/>
      <c r="C34" s="70"/>
      <c r="D34" s="70"/>
      <c r="E34" s="70"/>
      <c r="F34" s="70"/>
      <c r="G34" s="70"/>
      <c r="H34" s="70"/>
      <c r="I34" s="70"/>
      <c r="J34" s="70"/>
      <c r="K34" s="70"/>
      <c r="L34" s="70"/>
      <c r="M34" s="70"/>
      <c r="N34" s="70"/>
      <c r="O34" s="70"/>
      <c r="P34" s="70"/>
      <c r="Q34" s="70"/>
      <c r="R34" s="70"/>
      <c r="S34" s="70"/>
      <c r="T34" s="70"/>
      <c r="U34" s="70"/>
    </row>
    <row r="35" spans="1:21" ht="17.25" x14ac:dyDescent="0.25">
      <c r="A35" s="55" t="s">
        <v>113</v>
      </c>
      <c r="B35" s="70"/>
      <c r="C35" s="70"/>
      <c r="D35" s="70"/>
      <c r="E35" s="70"/>
      <c r="F35" s="70"/>
      <c r="G35" s="70"/>
      <c r="H35" s="70"/>
      <c r="I35" s="70"/>
      <c r="J35" s="70"/>
      <c r="K35" s="70"/>
      <c r="L35" s="70"/>
      <c r="M35" s="70"/>
      <c r="N35" s="70"/>
      <c r="O35" s="70"/>
      <c r="P35" s="70"/>
      <c r="Q35" s="70"/>
      <c r="R35" s="70"/>
      <c r="S35" s="70"/>
      <c r="T35" s="70"/>
      <c r="U35" s="70"/>
    </row>
    <row r="36" spans="1:21" ht="17.25" x14ac:dyDescent="0.25">
      <c r="A36" s="55" t="s">
        <v>114</v>
      </c>
      <c r="B36" s="70"/>
      <c r="C36" s="70"/>
      <c r="D36" s="70"/>
      <c r="E36" s="70"/>
      <c r="F36" s="70"/>
      <c r="G36" s="70"/>
      <c r="H36" s="70"/>
      <c r="I36" s="70"/>
      <c r="J36" s="70"/>
      <c r="K36" s="70"/>
      <c r="L36" s="70"/>
      <c r="M36" s="70"/>
      <c r="N36" s="70"/>
      <c r="O36" s="70"/>
      <c r="P36" s="70"/>
      <c r="Q36" s="70"/>
      <c r="R36" s="70"/>
      <c r="S36" s="70"/>
      <c r="T36" s="70"/>
      <c r="U36" s="70"/>
    </row>
    <row r="37" spans="1:21" ht="17.25" x14ac:dyDescent="0.25">
      <c r="A37" s="55" t="s">
        <v>115</v>
      </c>
      <c r="B37" s="70"/>
      <c r="C37" s="70"/>
      <c r="D37" s="70"/>
      <c r="E37" s="70"/>
      <c r="F37" s="70"/>
      <c r="G37" s="70"/>
      <c r="H37" s="70"/>
      <c r="I37" s="70"/>
      <c r="J37" s="70"/>
      <c r="K37" s="70"/>
      <c r="L37" s="70"/>
      <c r="M37" s="70"/>
      <c r="N37" s="70"/>
      <c r="O37" s="70"/>
      <c r="P37" s="70"/>
      <c r="Q37" s="70"/>
      <c r="R37" s="70"/>
      <c r="S37" s="70"/>
      <c r="T37" s="70"/>
      <c r="U37" s="70"/>
    </row>
    <row r="38" spans="1:21" ht="17.25" x14ac:dyDescent="0.25">
      <c r="A38" s="55" t="s">
        <v>116</v>
      </c>
      <c r="B38" s="70"/>
      <c r="C38" s="70"/>
      <c r="D38" s="70"/>
      <c r="E38" s="70"/>
      <c r="F38" s="70"/>
      <c r="G38" s="70"/>
      <c r="H38" s="70"/>
      <c r="I38" s="70"/>
      <c r="J38" s="70"/>
      <c r="K38" s="70"/>
      <c r="L38" s="70"/>
      <c r="M38" s="70"/>
      <c r="N38" s="70"/>
      <c r="O38" s="70"/>
      <c r="P38" s="70"/>
      <c r="Q38" s="70"/>
      <c r="R38" s="70"/>
      <c r="S38" s="70"/>
      <c r="T38" s="70"/>
      <c r="U38" s="70"/>
    </row>
    <row r="39" spans="1:21" ht="17.25" x14ac:dyDescent="0.25">
      <c r="A39" s="55" t="s">
        <v>117</v>
      </c>
      <c r="B39" s="70"/>
      <c r="C39" s="70"/>
      <c r="D39" s="70"/>
      <c r="E39" s="70"/>
      <c r="F39" s="70"/>
      <c r="G39" s="70"/>
      <c r="H39" s="70"/>
      <c r="I39" s="70"/>
      <c r="J39" s="70"/>
      <c r="K39" s="70"/>
      <c r="L39" s="70"/>
      <c r="M39" s="70"/>
      <c r="N39" s="70"/>
      <c r="O39" s="70"/>
      <c r="P39" s="70"/>
      <c r="Q39" s="70"/>
      <c r="R39" s="70"/>
      <c r="S39" s="70"/>
      <c r="T39" s="70"/>
      <c r="U39" s="70"/>
    </row>
    <row r="40" spans="1:21" ht="17.25" x14ac:dyDescent="0.25">
      <c r="A40" s="55" t="s">
        <v>118</v>
      </c>
      <c r="B40" s="70"/>
      <c r="C40" s="70"/>
      <c r="D40" s="70"/>
      <c r="E40" s="70"/>
      <c r="F40" s="70"/>
      <c r="G40" s="70"/>
      <c r="H40" s="70"/>
      <c r="I40" s="70"/>
      <c r="J40" s="70"/>
      <c r="K40" s="70"/>
      <c r="L40" s="70"/>
      <c r="M40" s="70"/>
      <c r="N40" s="70"/>
      <c r="O40" s="70"/>
      <c r="P40" s="70"/>
      <c r="Q40" s="70"/>
      <c r="R40" s="70"/>
      <c r="S40" s="70"/>
      <c r="T40" s="70"/>
      <c r="U40" s="70"/>
    </row>
    <row r="41" spans="1:21" ht="17.25" x14ac:dyDescent="0.25">
      <c r="A41" s="71" t="s">
        <v>14</v>
      </c>
      <c r="B41" s="72">
        <f>SUBTOTAL(109,FinanceDataInput8[Solid waste sent to landfill ($)])</f>
        <v>0</v>
      </c>
      <c r="C41" s="72">
        <f>SUBTOTAL(109,FinanceDataInput8[Process waste sent to landfill - solid  ($)])</f>
        <v>0</v>
      </c>
      <c r="D41" s="72">
        <f>SUBTOTAL(109,FinanceDataInput8[Hazardous waste disposed ($)])</f>
        <v>0</v>
      </c>
      <c r="E41" s="72">
        <f>SUBTOTAL(109,FinanceDataInput8[Food waste (post-consumer) diverted ($)])</f>
        <v>0</v>
      </c>
      <c r="F41" s="72">
        <f>SUBTOTAL(109,FinanceDataInput8[Recycled material  ($)])</f>
        <v>0</v>
      </c>
      <c r="G41" s="72">
        <f>SUBTOTAL(109,FinanceDataInput8[Other recycled/ reused material ($)])</f>
        <v>0</v>
      </c>
      <c r="H41" s="72">
        <f>SUBTOTAL(109,FinanceDataInput8[Process waste diverted - solid ($)])</f>
        <v>0</v>
      </c>
      <c r="I41" s="72">
        <f>SUBTOTAL(109,FinanceDataInput8[Process waste diverted - liquid ($)])</f>
        <v>0</v>
      </c>
      <c r="J41" s="72">
        <f>SUBTOTAL(109,FinanceDataInput8[Wastewater to sewer ($)])</f>
        <v>0</v>
      </c>
      <c r="K41" s="72">
        <f>SUBTOTAL(109,FinanceDataInput8[Wastewater to land surface ($)])</f>
        <v>0</v>
      </c>
      <c r="L41" s="72">
        <f>SUBTOTAL(109,FinanceDataInput8[Wastewater to soil (in-ground) ($)])</f>
        <v>0</v>
      </c>
      <c r="M41" s="72">
        <f>SUBTOTAL(109,FinanceDataInput8[Wastewater BOD ($)])</f>
        <v>0</v>
      </c>
      <c r="N41" s="72">
        <f>SUBTOTAL(109,FinanceDataInput8[Water used ($)])</f>
        <v>0</v>
      </c>
      <c r="O41" s="72">
        <f>SUBTOTAL(109,FinanceDataInput8[Purchased electricity consumed ($)])</f>
        <v>0</v>
      </c>
      <c r="P41" s="72">
        <f>SUBTOTAL(109,FinanceDataInput8[Natural gas ($)])</f>
        <v>0</v>
      </c>
      <c r="Q41" s="72">
        <f>SUBTOTAL(109,FinanceDataInput8[Propane ($)])</f>
        <v>0</v>
      </c>
      <c r="R41" s="72">
        <f>SUBTOTAL(109,FinanceDataInput8[Heating oil ($)])</f>
        <v>0</v>
      </c>
      <c r="S41" s="72">
        <f>SUBTOTAL(109,FinanceDataInput8[Wood ($)])</f>
        <v>0</v>
      </c>
      <c r="T41" s="72">
        <f>SUBTOTAL(109,FinanceDataInput8[Gasoline ($)])</f>
        <v>0</v>
      </c>
      <c r="U41" s="72">
        <f>SUBTOTAL(109,FinanceDataInput8[Diesel ($)])</f>
        <v>0</v>
      </c>
    </row>
  </sheetData>
  <sheetProtection sheet="1" objects="1" scenarios="1" selectLockedCells="1" autoFilter="0"/>
  <hyperlinks>
    <hyperlink ref="B4" location="'Source Data'!A7" display="Solid waste sent to landfill (lbs)" xr:uid="{E49C8D12-021D-4D01-9C38-D97D2052E6D2}"/>
    <hyperlink ref="C4" location="'Source Data'!A8" display="Process waste sent to landfill - solid  (lbs)" xr:uid="{693FFF42-5766-42F4-8851-697F93D4EECD}"/>
    <hyperlink ref="D4" location="'Source Data'!A9" display="Hazardous waste disposed (lbs)" xr:uid="{1786E62D-A3A4-4906-91FC-3F6EBA409639}"/>
    <hyperlink ref="E4" location="'Source Data'!A10" display="Food waste (post-consumer) diverted (lbs)" xr:uid="{886DDD77-B39D-4F0B-8DD7-153C46E7F4E3}"/>
    <hyperlink ref="F4" location="'Source Data'!A11" display="Recycled material  (lbs)" xr:uid="{4568BB40-49C4-4190-A964-5159785D2408}"/>
    <hyperlink ref="G4" location="'Source Data'!A12" display="Other recycled/ reused material (lbs)" xr:uid="{C8C06A64-5F32-4686-8961-6ECB9DB256FA}"/>
    <hyperlink ref="H4" location="'Source Data'!A13" display="Process waste diverted - solid (lbs)" xr:uid="{D75CFC8E-3685-4A82-9F5A-CB76CC5E6B16}"/>
    <hyperlink ref="I4" location="'Source Data'!A14" display="Process waste diverted - liquid (gal)" xr:uid="{D18CCEF6-AAE9-420C-91BA-37DAED1F5BA4}"/>
    <hyperlink ref="J4" location="'Source Data'!A15" display="Wastewater to sewer (gal)" xr:uid="{5952C18D-0BE3-463D-AD8F-53834E7361F4}"/>
    <hyperlink ref="K4" location="'Source Data'!A16" display="Wastewater to land surface (gal)" xr:uid="{4741B559-22D1-43DA-914D-9BAF8B181085}"/>
    <hyperlink ref="L4" location="'Source Data'!A17" display="Wastewater to soil (in-ground) (gal)" xr:uid="{3A817F5C-FEA8-47BE-9330-812A9713B2DC}"/>
    <hyperlink ref="M4" location="'Source Data'!A18" display="Wastewater BOD (mg/L)" xr:uid="{168AFFA6-FADD-4D32-A776-0387F4AEBB49}"/>
    <hyperlink ref="N4" location="'Source Data'!A19" display="Water used (gal)" xr:uid="{F141D7AD-02ED-4B79-ACFB-7DF2F7F6CCCD}"/>
    <hyperlink ref="O4" location="'Source Data'!A20" display="Purchased electricity consumed (kWh)" xr:uid="{02664B6A-8864-4B7C-8819-95FEDE4AB5DB}"/>
    <hyperlink ref="P4" location="'Source Data'!A22" display="Natural gas (Ccf)" xr:uid="{D8747FC7-54B9-41C6-9330-AF30507902F4}"/>
    <hyperlink ref="Q4" location="'Source Data'!A23" display="Propane (gal)" xr:uid="{44F28DF2-3477-47C6-8D51-95EAA470D21D}"/>
    <hyperlink ref="R4" location="'Source Data'!A24" display="Heating oil (gal)" xr:uid="{DBBE8EDD-5B2A-4A69-ACC5-3CFEBD14B88E}"/>
    <hyperlink ref="S4" location="'Source Data'!A25" display="Wood (tons)" xr:uid="{52772BCB-464E-468C-A5CD-3E376A10B9B6}"/>
    <hyperlink ref="T4" location="'Source Data'!A26" display="Gasoline (gal)" xr:uid="{AA6B31C2-4F82-4703-BD4B-DE25D4D0220C}"/>
    <hyperlink ref="U4" location="'Source Data'!A27" display="Diesel (gal)" xr:uid="{B0E6A444-2995-4268-941A-4395FC33316C}"/>
  </hyperlink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1CB5-2494-4EC3-896A-48F44381ECA6}">
  <sheetPr>
    <tabColor theme="8" tint="-0.249977111117893"/>
  </sheetPr>
  <dimension ref="A1:Q42"/>
  <sheetViews>
    <sheetView workbookViewId="0">
      <selection activeCell="C10" sqref="C10"/>
    </sheetView>
  </sheetViews>
  <sheetFormatPr defaultColWidth="9.140625" defaultRowHeight="16.5" x14ac:dyDescent="0.3"/>
  <cols>
    <col min="1" max="1" width="10.85546875" style="38" customWidth="1"/>
    <col min="2" max="2" width="16" style="38" customWidth="1"/>
    <col min="3" max="3" width="16.42578125" style="38" customWidth="1"/>
    <col min="4" max="4" width="15" style="38" customWidth="1"/>
    <col min="5" max="5" width="17.5703125" style="38" customWidth="1"/>
    <col min="6" max="6" width="13.85546875" style="38" customWidth="1"/>
    <col min="7" max="7" width="13.7109375" style="38" customWidth="1"/>
    <col min="8" max="8" width="14" style="38" customWidth="1"/>
    <col min="9" max="9" width="15" style="38" customWidth="1"/>
    <col min="10" max="10" width="13" style="38" customWidth="1"/>
    <col min="11" max="11" width="13.5703125" style="38" customWidth="1"/>
    <col min="12" max="12" width="13.42578125" style="38" customWidth="1"/>
    <col min="13" max="13" width="13" style="38" customWidth="1"/>
    <col min="14" max="14" width="10.85546875" style="38" customWidth="1"/>
    <col min="15" max="15" width="10.7109375" style="38" customWidth="1"/>
    <col min="16" max="16384" width="9.140625" style="38"/>
  </cols>
  <sheetData>
    <row r="1" spans="1:17" ht="24" x14ac:dyDescent="0.3">
      <c r="A1" s="37" t="s">
        <v>172</v>
      </c>
    </row>
    <row r="2" spans="1:17" x14ac:dyDescent="0.3">
      <c r="A2" s="39" t="s">
        <v>173</v>
      </c>
    </row>
    <row r="3" spans="1:17" ht="17.25" x14ac:dyDescent="0.3">
      <c r="A3" s="39" t="s">
        <v>268</v>
      </c>
    </row>
    <row r="4" spans="1:17" ht="17.25" x14ac:dyDescent="0.3">
      <c r="A4" s="40" t="s">
        <v>174</v>
      </c>
    </row>
    <row r="5" spans="1:17" ht="17.25" x14ac:dyDescent="0.3">
      <c r="A5" s="39" t="s">
        <v>269</v>
      </c>
    </row>
    <row r="6" spans="1:17" ht="83.25" customHeight="1" x14ac:dyDescent="0.3">
      <c r="A6" s="30" t="s">
        <v>127</v>
      </c>
      <c r="B6" s="30" t="s">
        <v>244</v>
      </c>
      <c r="C6" s="30" t="s">
        <v>245</v>
      </c>
      <c r="D6" s="30" t="s">
        <v>222</v>
      </c>
      <c r="E6" s="30" t="s">
        <v>223</v>
      </c>
      <c r="F6" s="30" t="s">
        <v>213</v>
      </c>
      <c r="G6" s="30" t="s">
        <v>224</v>
      </c>
      <c r="H6" s="30" t="s">
        <v>225</v>
      </c>
      <c r="I6" s="30" t="s">
        <v>226</v>
      </c>
      <c r="J6" s="30" t="s">
        <v>200</v>
      </c>
      <c r="K6" s="30" t="s">
        <v>237</v>
      </c>
      <c r="L6" s="30" t="s">
        <v>238</v>
      </c>
      <c r="M6" s="30" t="s">
        <v>241</v>
      </c>
      <c r="N6" s="30" t="s">
        <v>234</v>
      </c>
      <c r="O6" s="30" t="s">
        <v>235</v>
      </c>
      <c r="P6" s="30" t="s">
        <v>236</v>
      </c>
    </row>
    <row r="7" spans="1:17" ht="17.25" x14ac:dyDescent="0.35">
      <c r="A7" s="73" t="s">
        <v>96</v>
      </c>
      <c r="B7" s="74"/>
      <c r="C7" s="74"/>
      <c r="D7" s="74"/>
      <c r="E7" s="74"/>
      <c r="F7" s="74"/>
      <c r="G7" s="74"/>
      <c r="H7" s="74"/>
      <c r="I7" s="74"/>
      <c r="J7" s="74"/>
      <c r="K7" s="74"/>
      <c r="L7" s="74"/>
      <c r="M7" s="74"/>
      <c r="N7" s="74"/>
      <c r="O7" s="74"/>
      <c r="P7" s="74"/>
      <c r="Q7" s="41"/>
    </row>
    <row r="8" spans="1:17" x14ac:dyDescent="0.3">
      <c r="A8" s="73" t="s">
        <v>97</v>
      </c>
      <c r="B8" s="74"/>
      <c r="C8" s="74"/>
      <c r="D8" s="74"/>
      <c r="E8" s="74"/>
      <c r="F8" s="74"/>
      <c r="G8" s="74"/>
      <c r="H8" s="74"/>
      <c r="I8" s="74"/>
      <c r="J8" s="74"/>
      <c r="K8" s="74"/>
      <c r="L8" s="74"/>
      <c r="M8" s="74"/>
      <c r="N8" s="74"/>
      <c r="O8" s="74"/>
      <c r="P8" s="74"/>
    </row>
    <row r="9" spans="1:17" x14ac:dyDescent="0.3">
      <c r="A9" s="73" t="s">
        <v>98</v>
      </c>
      <c r="B9" s="74"/>
      <c r="C9" s="74"/>
      <c r="D9" s="74"/>
      <c r="E9" s="74"/>
      <c r="F9" s="74"/>
      <c r="G9" s="74"/>
      <c r="H9" s="74"/>
      <c r="I9" s="74"/>
      <c r="J9" s="74"/>
      <c r="K9" s="74"/>
      <c r="L9" s="74"/>
      <c r="M9" s="74"/>
      <c r="N9" s="74"/>
      <c r="O9" s="74"/>
      <c r="P9" s="74"/>
    </row>
    <row r="10" spans="1:17" x14ac:dyDescent="0.3">
      <c r="A10" s="73" t="s">
        <v>1</v>
      </c>
      <c r="B10" s="74"/>
      <c r="C10" s="74"/>
      <c r="D10" s="74"/>
      <c r="E10" s="74"/>
      <c r="F10" s="74"/>
      <c r="G10" s="74"/>
      <c r="H10" s="74"/>
      <c r="I10" s="74"/>
      <c r="J10" s="74"/>
      <c r="K10" s="74"/>
      <c r="L10" s="74"/>
      <c r="M10" s="74"/>
      <c r="N10" s="74"/>
      <c r="O10" s="74"/>
      <c r="P10" s="74"/>
    </row>
    <row r="11" spans="1:17" x14ac:dyDescent="0.3">
      <c r="A11" s="73" t="s">
        <v>2</v>
      </c>
      <c r="B11" s="74"/>
      <c r="C11" s="74"/>
      <c r="D11" s="74"/>
      <c r="E11" s="74"/>
      <c r="F11" s="74"/>
      <c r="G11" s="74"/>
      <c r="H11" s="74"/>
      <c r="I11" s="74"/>
      <c r="J11" s="74"/>
      <c r="K11" s="74"/>
      <c r="L11" s="74"/>
      <c r="M11" s="74"/>
      <c r="N11" s="74"/>
      <c r="O11" s="74"/>
      <c r="P11" s="74"/>
    </row>
    <row r="12" spans="1:17" x14ac:dyDescent="0.3">
      <c r="A12" s="73" t="s">
        <v>3</v>
      </c>
      <c r="B12" s="74"/>
      <c r="C12" s="74"/>
      <c r="D12" s="74"/>
      <c r="E12" s="74"/>
      <c r="F12" s="74"/>
      <c r="G12" s="74"/>
      <c r="H12" s="74"/>
      <c r="I12" s="74"/>
      <c r="J12" s="74"/>
      <c r="K12" s="74"/>
      <c r="L12" s="74"/>
      <c r="M12" s="74"/>
      <c r="N12" s="74"/>
      <c r="O12" s="74"/>
      <c r="P12" s="74"/>
    </row>
    <row r="13" spans="1:17" x14ac:dyDescent="0.3">
      <c r="A13" s="73" t="s">
        <v>4</v>
      </c>
      <c r="B13" s="74"/>
      <c r="C13" s="74"/>
      <c r="D13" s="74"/>
      <c r="E13" s="74"/>
      <c r="F13" s="74"/>
      <c r="G13" s="74"/>
      <c r="H13" s="74"/>
      <c r="I13" s="74"/>
      <c r="J13" s="74"/>
      <c r="K13" s="74"/>
      <c r="L13" s="74"/>
      <c r="M13" s="74"/>
      <c r="N13" s="74"/>
      <c r="O13" s="74"/>
      <c r="P13" s="74"/>
    </row>
    <row r="14" spans="1:17" x14ac:dyDescent="0.3">
      <c r="A14" s="73" t="s">
        <v>5</v>
      </c>
      <c r="B14" s="74"/>
      <c r="C14" s="74"/>
      <c r="D14" s="74"/>
      <c r="E14" s="74"/>
      <c r="F14" s="74"/>
      <c r="G14" s="74"/>
      <c r="H14" s="74"/>
      <c r="I14" s="74"/>
      <c r="J14" s="74"/>
      <c r="K14" s="74"/>
      <c r="L14" s="74"/>
      <c r="M14" s="74"/>
      <c r="N14" s="74"/>
      <c r="O14" s="74"/>
      <c r="P14" s="74"/>
    </row>
    <row r="15" spans="1:17" x14ac:dyDescent="0.3">
      <c r="A15" s="73" t="s">
        <v>6</v>
      </c>
      <c r="B15" s="74"/>
      <c r="C15" s="74"/>
      <c r="D15" s="74"/>
      <c r="E15" s="74"/>
      <c r="F15" s="74"/>
      <c r="G15" s="74"/>
      <c r="H15" s="74"/>
      <c r="I15" s="74"/>
      <c r="J15" s="74"/>
      <c r="K15" s="74"/>
      <c r="L15" s="74"/>
      <c r="M15" s="74"/>
      <c r="N15" s="74"/>
      <c r="O15" s="74"/>
      <c r="P15" s="74"/>
    </row>
    <row r="16" spans="1:17" x14ac:dyDescent="0.3">
      <c r="A16" s="73" t="s">
        <v>7</v>
      </c>
      <c r="B16" s="74"/>
      <c r="C16" s="74"/>
      <c r="D16" s="74"/>
      <c r="E16" s="74"/>
      <c r="F16" s="74"/>
      <c r="G16" s="74"/>
      <c r="H16" s="74"/>
      <c r="I16" s="74"/>
      <c r="J16" s="74"/>
      <c r="K16" s="74"/>
      <c r="L16" s="74"/>
      <c r="M16" s="74"/>
      <c r="N16" s="74"/>
      <c r="O16" s="74"/>
      <c r="P16" s="74"/>
    </row>
    <row r="17" spans="1:16" x14ac:dyDescent="0.3">
      <c r="A17" s="73" t="s">
        <v>8</v>
      </c>
      <c r="B17" s="74"/>
      <c r="C17" s="74"/>
      <c r="D17" s="74"/>
      <c r="E17" s="74"/>
      <c r="F17" s="74"/>
      <c r="G17" s="74"/>
      <c r="H17" s="74"/>
      <c r="I17" s="74"/>
      <c r="J17" s="74"/>
      <c r="K17" s="74"/>
      <c r="L17" s="74"/>
      <c r="M17" s="74"/>
      <c r="N17" s="74"/>
      <c r="O17" s="74"/>
      <c r="P17" s="74"/>
    </row>
    <row r="18" spans="1:16" x14ac:dyDescent="0.3">
      <c r="A18" s="73" t="s">
        <v>9</v>
      </c>
      <c r="B18" s="74"/>
      <c r="C18" s="74"/>
      <c r="D18" s="74"/>
      <c r="E18" s="74"/>
      <c r="F18" s="74"/>
      <c r="G18" s="74"/>
      <c r="H18" s="74"/>
      <c r="I18" s="74"/>
      <c r="J18" s="74"/>
      <c r="K18" s="74"/>
      <c r="L18" s="74"/>
      <c r="M18" s="74"/>
      <c r="N18" s="74"/>
      <c r="O18" s="74"/>
      <c r="P18" s="74"/>
    </row>
    <row r="19" spans="1:16" x14ac:dyDescent="0.3">
      <c r="A19" s="73" t="s">
        <v>10</v>
      </c>
      <c r="B19" s="74"/>
      <c r="C19" s="74"/>
      <c r="D19" s="74"/>
      <c r="E19" s="74"/>
      <c r="F19" s="74"/>
      <c r="G19" s="74"/>
      <c r="H19" s="74"/>
      <c r="I19" s="74"/>
      <c r="J19" s="74"/>
      <c r="K19" s="74"/>
      <c r="L19" s="74"/>
      <c r="M19" s="74"/>
      <c r="N19" s="74"/>
      <c r="O19" s="74"/>
      <c r="P19" s="74"/>
    </row>
    <row r="20" spans="1:16" x14ac:dyDescent="0.3">
      <c r="A20" s="73" t="s">
        <v>11</v>
      </c>
      <c r="B20" s="74"/>
      <c r="C20" s="74"/>
      <c r="D20" s="74"/>
      <c r="E20" s="74"/>
      <c r="F20" s="74"/>
      <c r="G20" s="74"/>
      <c r="H20" s="74"/>
      <c r="I20" s="74"/>
      <c r="J20" s="74"/>
      <c r="K20" s="74"/>
      <c r="L20" s="74"/>
      <c r="M20" s="74"/>
      <c r="N20" s="74"/>
      <c r="O20" s="74"/>
      <c r="P20" s="74"/>
    </row>
    <row r="21" spans="1:16" x14ac:dyDescent="0.3">
      <c r="A21" s="73" t="s">
        <v>12</v>
      </c>
      <c r="B21" s="74"/>
      <c r="C21" s="74"/>
      <c r="D21" s="74"/>
      <c r="E21" s="74"/>
      <c r="F21" s="74"/>
      <c r="G21" s="74"/>
      <c r="H21" s="74"/>
      <c r="I21" s="74"/>
      <c r="J21" s="74"/>
      <c r="K21" s="74"/>
      <c r="L21" s="74"/>
      <c r="M21" s="74"/>
      <c r="N21" s="74"/>
      <c r="O21" s="74"/>
      <c r="P21" s="74"/>
    </row>
    <row r="22" spans="1:16" x14ac:dyDescent="0.3">
      <c r="A22" s="73" t="s">
        <v>13</v>
      </c>
      <c r="B22" s="74"/>
      <c r="C22" s="74"/>
      <c r="D22" s="74"/>
      <c r="E22" s="74"/>
      <c r="F22" s="74"/>
      <c r="G22" s="74"/>
      <c r="H22" s="74"/>
      <c r="I22" s="74"/>
      <c r="J22" s="74"/>
      <c r="K22" s="74"/>
      <c r="L22" s="74"/>
      <c r="M22" s="74"/>
      <c r="N22" s="74"/>
      <c r="O22" s="74"/>
      <c r="P22" s="74"/>
    </row>
    <row r="23" spans="1:16" x14ac:dyDescent="0.3">
      <c r="A23" s="73" t="s">
        <v>99</v>
      </c>
      <c r="B23" s="74"/>
      <c r="C23" s="74"/>
      <c r="D23" s="74"/>
      <c r="E23" s="74"/>
      <c r="F23" s="74"/>
      <c r="G23" s="74"/>
      <c r="H23" s="74"/>
      <c r="I23" s="74"/>
      <c r="J23" s="74"/>
      <c r="K23" s="74"/>
      <c r="L23" s="74"/>
      <c r="M23" s="74"/>
      <c r="N23" s="74"/>
      <c r="O23" s="74"/>
      <c r="P23" s="74"/>
    </row>
    <row r="24" spans="1:16" x14ac:dyDescent="0.3">
      <c r="A24" s="73" t="s">
        <v>100</v>
      </c>
      <c r="B24" s="74"/>
      <c r="C24" s="74"/>
      <c r="D24" s="74"/>
      <c r="E24" s="74"/>
      <c r="F24" s="74"/>
      <c r="G24" s="74"/>
      <c r="H24" s="74"/>
      <c r="I24" s="74"/>
      <c r="J24" s="74"/>
      <c r="K24" s="74"/>
      <c r="L24" s="74"/>
      <c r="M24" s="74"/>
      <c r="N24" s="74"/>
      <c r="O24" s="74"/>
      <c r="P24" s="74"/>
    </row>
    <row r="25" spans="1:16" x14ac:dyDescent="0.3">
      <c r="A25" s="73" t="s">
        <v>101</v>
      </c>
      <c r="B25" s="74"/>
      <c r="C25" s="74"/>
      <c r="D25" s="74"/>
      <c r="E25" s="74"/>
      <c r="F25" s="74"/>
      <c r="G25" s="74"/>
      <c r="H25" s="74"/>
      <c r="I25" s="74"/>
      <c r="J25" s="74"/>
      <c r="K25" s="74"/>
      <c r="L25" s="74"/>
      <c r="M25" s="74"/>
      <c r="N25" s="74"/>
      <c r="O25" s="74"/>
      <c r="P25" s="74"/>
    </row>
    <row r="26" spans="1:16" x14ac:dyDescent="0.3">
      <c r="A26" s="73" t="s">
        <v>102</v>
      </c>
      <c r="B26" s="74"/>
      <c r="C26" s="74"/>
      <c r="D26" s="74"/>
      <c r="E26" s="74"/>
      <c r="F26" s="74"/>
      <c r="G26" s="74"/>
      <c r="H26" s="74"/>
      <c r="I26" s="74"/>
      <c r="J26" s="74"/>
      <c r="K26" s="74"/>
      <c r="L26" s="74"/>
      <c r="M26" s="74"/>
      <c r="N26" s="74"/>
      <c r="O26" s="74"/>
      <c r="P26" s="74"/>
    </row>
    <row r="27" spans="1:16" x14ac:dyDescent="0.3">
      <c r="A27" s="73" t="s">
        <v>103</v>
      </c>
      <c r="B27" s="74"/>
      <c r="C27" s="74"/>
      <c r="D27" s="74"/>
      <c r="E27" s="74"/>
      <c r="F27" s="74"/>
      <c r="G27" s="74"/>
      <c r="H27" s="74"/>
      <c r="I27" s="74"/>
      <c r="J27" s="74"/>
      <c r="K27" s="74"/>
      <c r="L27" s="74"/>
      <c r="M27" s="74"/>
      <c r="N27" s="74"/>
      <c r="O27" s="74"/>
      <c r="P27" s="74"/>
    </row>
    <row r="28" spans="1:16" x14ac:dyDescent="0.3">
      <c r="A28" s="73" t="s">
        <v>104</v>
      </c>
      <c r="B28" s="74"/>
      <c r="C28" s="74"/>
      <c r="D28" s="74"/>
      <c r="E28" s="74"/>
      <c r="F28" s="74"/>
      <c r="G28" s="74"/>
      <c r="H28" s="74"/>
      <c r="I28" s="74"/>
      <c r="J28" s="74"/>
      <c r="K28" s="74"/>
      <c r="L28" s="74"/>
      <c r="M28" s="74"/>
      <c r="N28" s="74"/>
      <c r="O28" s="74"/>
      <c r="P28" s="74"/>
    </row>
    <row r="29" spans="1:16" x14ac:dyDescent="0.3">
      <c r="A29" s="73" t="s">
        <v>105</v>
      </c>
      <c r="B29" s="74"/>
      <c r="C29" s="74"/>
      <c r="D29" s="74"/>
      <c r="E29" s="74"/>
      <c r="F29" s="74"/>
      <c r="G29" s="74"/>
      <c r="H29" s="74"/>
      <c r="I29" s="74"/>
      <c r="J29" s="74"/>
      <c r="K29" s="74"/>
      <c r="L29" s="74"/>
      <c r="M29" s="74"/>
      <c r="N29" s="74"/>
      <c r="O29" s="74"/>
      <c r="P29" s="74"/>
    </row>
    <row r="30" spans="1:16" x14ac:dyDescent="0.3">
      <c r="A30" s="73" t="s">
        <v>106</v>
      </c>
      <c r="B30" s="74"/>
      <c r="C30" s="74"/>
      <c r="D30" s="74"/>
      <c r="E30" s="74"/>
      <c r="F30" s="74"/>
      <c r="G30" s="74"/>
      <c r="H30" s="74"/>
      <c r="I30" s="74"/>
      <c r="J30" s="74"/>
      <c r="K30" s="74"/>
      <c r="L30" s="74"/>
      <c r="M30" s="74"/>
      <c r="N30" s="74"/>
      <c r="O30" s="74"/>
      <c r="P30" s="74"/>
    </row>
    <row r="31" spans="1:16" x14ac:dyDescent="0.3">
      <c r="A31" s="73" t="s">
        <v>107</v>
      </c>
      <c r="B31" s="74"/>
      <c r="C31" s="74"/>
      <c r="D31" s="74"/>
      <c r="E31" s="74"/>
      <c r="F31" s="74"/>
      <c r="G31" s="74"/>
      <c r="H31" s="74"/>
      <c r="I31" s="74"/>
      <c r="J31" s="74"/>
      <c r="K31" s="74"/>
      <c r="L31" s="74"/>
      <c r="M31" s="74"/>
      <c r="N31" s="74"/>
      <c r="O31" s="74"/>
      <c r="P31" s="74"/>
    </row>
    <row r="32" spans="1:16" x14ac:dyDescent="0.3">
      <c r="A32" s="73" t="s">
        <v>108</v>
      </c>
      <c r="B32" s="74"/>
      <c r="C32" s="74"/>
      <c r="D32" s="74"/>
      <c r="E32" s="74"/>
      <c r="F32" s="74"/>
      <c r="G32" s="74"/>
      <c r="H32" s="74"/>
      <c r="I32" s="74"/>
      <c r="J32" s="74"/>
      <c r="K32" s="74"/>
      <c r="L32" s="74"/>
      <c r="M32" s="74"/>
      <c r="N32" s="74"/>
      <c r="O32" s="74"/>
      <c r="P32" s="74"/>
    </row>
    <row r="33" spans="1:16" x14ac:dyDescent="0.3">
      <c r="A33" s="73" t="s">
        <v>109</v>
      </c>
      <c r="B33" s="74"/>
      <c r="C33" s="74"/>
      <c r="D33" s="74"/>
      <c r="E33" s="74"/>
      <c r="F33" s="74"/>
      <c r="G33" s="74"/>
      <c r="H33" s="74"/>
      <c r="I33" s="74"/>
      <c r="J33" s="74"/>
      <c r="K33" s="74"/>
      <c r="L33" s="74"/>
      <c r="M33" s="74"/>
      <c r="N33" s="74"/>
      <c r="O33" s="74"/>
      <c r="P33" s="74"/>
    </row>
    <row r="34" spans="1:16" x14ac:dyDescent="0.3">
      <c r="A34" s="73" t="s">
        <v>110</v>
      </c>
      <c r="B34" s="74"/>
      <c r="C34" s="74"/>
      <c r="D34" s="74"/>
      <c r="E34" s="74"/>
      <c r="F34" s="74"/>
      <c r="G34" s="74"/>
      <c r="H34" s="74"/>
      <c r="I34" s="74"/>
      <c r="J34" s="74"/>
      <c r="K34" s="74"/>
      <c r="L34" s="74"/>
      <c r="M34" s="74"/>
      <c r="N34" s="74"/>
      <c r="O34" s="74"/>
      <c r="P34" s="74"/>
    </row>
    <row r="35" spans="1:16" x14ac:dyDescent="0.3">
      <c r="A35" s="73" t="s">
        <v>111</v>
      </c>
      <c r="B35" s="74"/>
      <c r="C35" s="74"/>
      <c r="D35" s="74"/>
      <c r="E35" s="74"/>
      <c r="F35" s="74"/>
      <c r="G35" s="74"/>
      <c r="H35" s="74"/>
      <c r="I35" s="74"/>
      <c r="J35" s="74"/>
      <c r="K35" s="74"/>
      <c r="L35" s="74"/>
      <c r="M35" s="74"/>
      <c r="N35" s="74"/>
      <c r="O35" s="74"/>
      <c r="P35" s="74"/>
    </row>
    <row r="36" spans="1:16" x14ac:dyDescent="0.3">
      <c r="A36" s="73" t="s">
        <v>112</v>
      </c>
      <c r="B36" s="74"/>
      <c r="C36" s="74"/>
      <c r="D36" s="74"/>
      <c r="E36" s="74"/>
      <c r="F36" s="74"/>
      <c r="G36" s="74"/>
      <c r="H36" s="74"/>
      <c r="I36" s="74"/>
      <c r="J36" s="74"/>
      <c r="K36" s="74"/>
      <c r="L36" s="74"/>
      <c r="M36" s="74"/>
      <c r="N36" s="74"/>
      <c r="O36" s="74"/>
      <c r="P36" s="74"/>
    </row>
    <row r="37" spans="1:16" x14ac:dyDescent="0.3">
      <c r="A37" s="73" t="s">
        <v>113</v>
      </c>
      <c r="B37" s="74"/>
      <c r="C37" s="74"/>
      <c r="D37" s="74"/>
      <c r="E37" s="74"/>
      <c r="F37" s="74"/>
      <c r="G37" s="74"/>
      <c r="H37" s="74"/>
      <c r="I37" s="74"/>
      <c r="J37" s="74"/>
      <c r="K37" s="74"/>
      <c r="L37" s="74"/>
      <c r="M37" s="74"/>
      <c r="N37" s="74"/>
      <c r="O37" s="74"/>
      <c r="P37" s="74"/>
    </row>
    <row r="38" spans="1:16" x14ac:dyDescent="0.3">
      <c r="A38" s="73" t="s">
        <v>114</v>
      </c>
      <c r="B38" s="74"/>
      <c r="C38" s="74"/>
      <c r="D38" s="74"/>
      <c r="E38" s="74"/>
      <c r="F38" s="74"/>
      <c r="G38" s="74"/>
      <c r="H38" s="74"/>
      <c r="I38" s="74"/>
      <c r="J38" s="74"/>
      <c r="K38" s="74"/>
      <c r="L38" s="74"/>
      <c r="M38" s="74"/>
      <c r="N38" s="74"/>
      <c r="O38" s="74"/>
      <c r="P38" s="74"/>
    </row>
    <row r="39" spans="1:16" x14ac:dyDescent="0.3">
      <c r="A39" s="73" t="s">
        <v>115</v>
      </c>
      <c r="B39" s="74"/>
      <c r="C39" s="74"/>
      <c r="D39" s="74"/>
      <c r="E39" s="74"/>
      <c r="F39" s="74"/>
      <c r="G39" s="74"/>
      <c r="H39" s="74"/>
      <c r="I39" s="74"/>
      <c r="J39" s="74"/>
      <c r="K39" s="74"/>
      <c r="L39" s="74"/>
      <c r="M39" s="74"/>
      <c r="N39" s="74"/>
      <c r="O39" s="74"/>
      <c r="P39" s="74"/>
    </row>
    <row r="40" spans="1:16" x14ac:dyDescent="0.3">
      <c r="A40" s="73" t="s">
        <v>116</v>
      </c>
      <c r="B40" s="74"/>
      <c r="C40" s="74"/>
      <c r="D40" s="74"/>
      <c r="E40" s="74"/>
      <c r="F40" s="74"/>
      <c r="G40" s="74"/>
      <c r="H40" s="74"/>
      <c r="I40" s="74"/>
      <c r="J40" s="74"/>
      <c r="K40" s="74"/>
      <c r="L40" s="74"/>
      <c r="M40" s="74"/>
      <c r="N40" s="74"/>
      <c r="O40" s="74"/>
      <c r="P40" s="74"/>
    </row>
    <row r="41" spans="1:16" x14ac:dyDescent="0.3">
      <c r="A41" s="73" t="s">
        <v>117</v>
      </c>
      <c r="B41" s="74"/>
      <c r="C41" s="74"/>
      <c r="D41" s="74"/>
      <c r="E41" s="74"/>
      <c r="F41" s="74"/>
      <c r="G41" s="74"/>
      <c r="H41" s="74"/>
      <c r="I41" s="74"/>
      <c r="J41" s="74"/>
      <c r="K41" s="74"/>
      <c r="L41" s="74"/>
      <c r="M41" s="74"/>
      <c r="N41" s="74"/>
      <c r="O41" s="74"/>
      <c r="P41" s="74"/>
    </row>
    <row r="42" spans="1:16" x14ac:dyDescent="0.3">
      <c r="A42" s="73" t="s">
        <v>118</v>
      </c>
      <c r="B42" s="74"/>
      <c r="C42" s="74"/>
      <c r="D42" s="74"/>
      <c r="E42" s="74"/>
      <c r="F42" s="74"/>
      <c r="G42" s="74"/>
      <c r="H42" s="74"/>
      <c r="I42" s="74"/>
      <c r="J42" s="74"/>
      <c r="K42" s="74"/>
      <c r="L42" s="74"/>
      <c r="M42" s="74"/>
      <c r="N42" s="74"/>
      <c r="O42" s="74"/>
      <c r="P42" s="74"/>
    </row>
  </sheetData>
  <sheetProtection algorithmName="SHA-512" hashValue="Wbw9JZiqpYN9HFlnT4TSaRHdOH60B2rzg9cWZa1NUFnHh39zuwfY+KabZoS7FsT8SkS6L5mkVBFleRuY3Ner0g==" saltValue="Jt0AW2lzMo+eSAHpkS7akw==" spinCount="100000" sheet="1" objects="1" scenarios="1" selectLockedCells="1"/>
  <phoneticPr fontId="27" type="noConversion"/>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F8CB2-4214-4AF6-BB8E-CF09E7AFA187}">
  <sheetPr>
    <tabColor theme="9"/>
  </sheetPr>
  <dimension ref="A1:S40"/>
  <sheetViews>
    <sheetView workbookViewId="0">
      <selection activeCell="Q8" sqref="Q8"/>
    </sheetView>
  </sheetViews>
  <sheetFormatPr defaultColWidth="9.140625" defaultRowHeight="16.5" x14ac:dyDescent="0.3"/>
  <cols>
    <col min="1" max="1" width="12.140625" style="16" customWidth="1"/>
    <col min="2" max="2" width="13.85546875" style="16" customWidth="1"/>
    <col min="3" max="3" width="14.5703125" style="16" customWidth="1"/>
    <col min="4" max="4" width="12.5703125" style="16" customWidth="1"/>
    <col min="5" max="6" width="14.5703125" style="16" customWidth="1"/>
    <col min="7" max="7" width="13.28515625" style="16" customWidth="1"/>
    <col min="8" max="8" width="13.7109375" style="16" customWidth="1"/>
    <col min="9" max="9" width="11" style="16" customWidth="1"/>
    <col min="10" max="10" width="13" style="16" customWidth="1"/>
    <col min="11" max="11" width="12.42578125" style="16" customWidth="1"/>
    <col min="12" max="12" width="12.28515625" style="16" customWidth="1"/>
    <col min="13" max="13" width="12.7109375" style="16" customWidth="1"/>
    <col min="14" max="14" width="12.5703125" style="16" customWidth="1"/>
    <col min="15" max="15" width="12.85546875" style="16" customWidth="1"/>
    <col min="16" max="16" width="15.42578125" style="16" customWidth="1"/>
    <col min="17" max="17" width="12.5703125" style="16" customWidth="1"/>
    <col min="18" max="16384" width="9.140625" style="16"/>
  </cols>
  <sheetData>
    <row r="1" spans="1:19" ht="27" x14ac:dyDescent="0.3">
      <c r="A1" s="29" t="s">
        <v>31</v>
      </c>
    </row>
    <row r="2" spans="1:19" x14ac:dyDescent="0.3">
      <c r="A2" s="16" t="s">
        <v>22</v>
      </c>
    </row>
    <row r="3" spans="1:19" ht="81" customHeight="1" x14ac:dyDescent="0.3">
      <c r="A3" s="30" t="s">
        <v>0</v>
      </c>
      <c r="B3" s="30" t="s">
        <v>126</v>
      </c>
      <c r="C3" s="30" t="s">
        <v>51</v>
      </c>
      <c r="D3" s="30" t="s">
        <v>166</v>
      </c>
      <c r="E3" s="30" t="s">
        <v>171</v>
      </c>
      <c r="F3" s="30" t="s">
        <v>122</v>
      </c>
      <c r="G3" s="30" t="s">
        <v>123</v>
      </c>
      <c r="H3" s="30" t="s">
        <v>50</v>
      </c>
      <c r="I3" s="30" t="s">
        <v>167</v>
      </c>
      <c r="J3" s="30" t="s">
        <v>21</v>
      </c>
      <c r="K3" s="30" t="s">
        <v>130</v>
      </c>
      <c r="L3" s="30" t="s">
        <v>131</v>
      </c>
      <c r="M3" s="30" t="s">
        <v>168</v>
      </c>
      <c r="N3" s="30" t="s">
        <v>170</v>
      </c>
      <c r="O3" s="30" t="s">
        <v>134</v>
      </c>
      <c r="P3" s="30" t="s">
        <v>169</v>
      </c>
      <c r="Q3" s="30" t="s">
        <v>275</v>
      </c>
      <c r="R3" s="30" t="s">
        <v>132</v>
      </c>
      <c r="S3" s="30" t="s">
        <v>135</v>
      </c>
    </row>
    <row r="4" spans="1:19" x14ac:dyDescent="0.3">
      <c r="A4" s="1" t="s">
        <v>96</v>
      </c>
      <c r="B4" s="42">
        <f>('Performance Data Input'!B5*(31*8.34))/2000</f>
        <v>0</v>
      </c>
      <c r="C4" s="42">
        <f>('Performance Data Input'!C5+'Performance Data Input'!D5+'Performance Data Input'!E5)/2000</f>
        <v>0</v>
      </c>
      <c r="D4" s="44">
        <f>'Financial Data Input'!B5+'Financial Data Input'!C5+'Financial Data Input'!D5</f>
        <v>0</v>
      </c>
      <c r="E4" s="44" t="str">
        <f>IFERROR(Summary[[#This Row],[Disposal costs ($)]]/Summary[[#This Row],[Production (tons product)]], " ")</f>
        <v xml:space="preserve"> </v>
      </c>
      <c r="F4" s="42">
        <f>('Performance Data Input'!G5+'Performance Data Input'!H5)/2000</f>
        <v>0</v>
      </c>
      <c r="G4" s="45">
        <f>('Performance Data Input'!F5+'Performance Data Input'!I5+('Performance Data Input'!J5)*8.35)/2000</f>
        <v>0</v>
      </c>
      <c r="H4" s="42">
        <f>Summary[[#This Row],[All recycling &amp; reuse  (tons)]]+Summary[[#This Row],[Food waste diverted  (tons)]]</f>
        <v>0</v>
      </c>
      <c r="I4" s="44">
        <f>'Financial Data Input'!E5+'Financial Data Input'!F5+'Financial Data Input'!G5+'Financial Data Input'!H5+'Financial Data Input'!I5</f>
        <v>0</v>
      </c>
      <c r="J4" s="46" t="str">
        <f>IFERROR((Summary[[#This Row],[All diverted wastes (tons)]]/(Summary[[#This Row],[All diverted wastes (tons)]]+Summary[[#This Row],[All wastes disposed (tons)]]))," ")</f>
        <v xml:space="preserve"> </v>
      </c>
      <c r="K4" s="1">
        <f>('Performance Data Input'!P5+'Performance Data Input'!Q5)*0.001</f>
        <v>0</v>
      </c>
      <c r="L4" s="45">
        <f>(Summary[[#This Row],[Electricity consumed (MWh)]]*3412142+'Performance Data Input'!R5*0.1037+'Performance Data Input'!S5*91333+'Performance Data Input'!T5*138500+'Performance Data Input'!U5*16400000+'Performance Data Input'!V5*120429+'Performance Data Input'!W5*137381)/1000000</f>
        <v>0</v>
      </c>
      <c r="M4" s="44">
        <f>'Financial Data Input'!O5+'Financial Data Input'!P5+'Financial Data Input'!Q5+'Financial Data Input'!R5+'Financial Data Input'!S5+'Financial Data Input'!T5+'Financial Data Input'!U5</f>
        <v>0</v>
      </c>
      <c r="N4" s="44" t="str">
        <f>IFERROR(Summary[[#This Row],[Energy costs ($)]]/Summary[[#This Row],[Production (tons product)]], " ")</f>
        <v xml:space="preserve"> </v>
      </c>
      <c r="O4" s="42">
        <f>IFERROR('Performance Data Input'!K5+'Performance Data Input'!L5+'Performance Data Input'!M5, " ")</f>
        <v>0</v>
      </c>
      <c r="P4" s="44">
        <f>'Financial Data Input'!J5+'Financial Data Input'!K5+'Financial Data Input'!L5+'Financial Data Input'!M5</f>
        <v>0</v>
      </c>
      <c r="Q4" s="44" t="str">
        <f>IFERROR(Summary[[#This Row],[All wastewater costs ($)]]/'Performance Data Input'!B5, " ")</f>
        <v xml:space="preserve"> </v>
      </c>
      <c r="R4" s="46" t="str">
        <f>IFERROR(('Performance Data Input'!K5+'Performance Data Input'!L5+'Performance Data Input'!M5)/'Performance Data Input'!O5," ")</f>
        <v xml:space="preserve"> </v>
      </c>
      <c r="S4" s="1" t="str">
        <f>IFERROR('Performance Data Input'!O5/'Performance Data Input'!B5," ")</f>
        <v xml:space="preserve"> </v>
      </c>
    </row>
    <row r="5" spans="1:19" x14ac:dyDescent="0.3">
      <c r="A5" s="1" t="s">
        <v>97</v>
      </c>
      <c r="B5" s="42">
        <f>('Performance Data Input'!B6*(31*8.34))/2000</f>
        <v>0</v>
      </c>
      <c r="C5" s="42">
        <f>('Performance Data Input'!C6+'Performance Data Input'!D6+'Performance Data Input'!E6)/2000</f>
        <v>0</v>
      </c>
      <c r="D5" s="44">
        <f>'Financial Data Input'!B6+'Financial Data Input'!C6+'Financial Data Input'!D6</f>
        <v>0</v>
      </c>
      <c r="E5" s="44" t="str">
        <f>IFERROR(Summary[[#This Row],[Disposal costs ($)]]/Summary[[#This Row],[Production (tons product)]], " ")</f>
        <v xml:space="preserve"> </v>
      </c>
      <c r="F5" s="42">
        <f>('Performance Data Input'!G6+'Performance Data Input'!H6)/2000</f>
        <v>0</v>
      </c>
      <c r="G5" s="45">
        <f>('Performance Data Input'!F6+'Performance Data Input'!I6+('Performance Data Input'!J6)*8.35)/2000</f>
        <v>0</v>
      </c>
      <c r="H5" s="42">
        <f>Summary[[#This Row],[All recycling &amp; reuse  (tons)]]+Summary[[#This Row],[Food waste diverted  (tons)]]</f>
        <v>0</v>
      </c>
      <c r="I5" s="44">
        <f>'Financial Data Input'!E6+'Financial Data Input'!F6+'Financial Data Input'!G6+'Financial Data Input'!H6+'Financial Data Input'!I6</f>
        <v>0</v>
      </c>
      <c r="J5" s="46" t="str">
        <f>IFERROR((Summary[[#This Row],[All diverted wastes (tons)]]/(Summary[[#This Row],[All diverted wastes (tons)]]+Summary[[#This Row],[All wastes disposed (tons)]]))," ")</f>
        <v xml:space="preserve"> </v>
      </c>
      <c r="K5" s="1">
        <f>('Performance Data Input'!P6+'Performance Data Input'!Q6)*0.001</f>
        <v>0</v>
      </c>
      <c r="L5" s="45">
        <f>(Summary[[#This Row],[Electricity consumed (MWh)]]*3412142+'Performance Data Input'!R6*0.1037+'Performance Data Input'!S6*91333+'Performance Data Input'!T6*138500+'Performance Data Input'!U6*16400000+'Performance Data Input'!V6*120429+'Performance Data Input'!W6*137381)/1000000</f>
        <v>0</v>
      </c>
      <c r="M5" s="44">
        <f>'Financial Data Input'!O6+'Financial Data Input'!P6+'Financial Data Input'!Q6+'Financial Data Input'!R6+'Financial Data Input'!S6+'Financial Data Input'!T6+'Financial Data Input'!U6</f>
        <v>0</v>
      </c>
      <c r="N5" s="44" t="str">
        <f>IFERROR(Summary[[#This Row],[Energy costs ($)]]/Summary[[#This Row],[Production (tons product)]], " ")</f>
        <v xml:space="preserve"> </v>
      </c>
      <c r="O5" s="42">
        <f>IFERROR('Performance Data Input'!K6+'Performance Data Input'!L6+'Performance Data Input'!M6, " ")</f>
        <v>0</v>
      </c>
      <c r="P5" s="44">
        <f>'Financial Data Input'!J6+'Financial Data Input'!K6+'Financial Data Input'!L6+'Financial Data Input'!M6</f>
        <v>0</v>
      </c>
      <c r="Q5" s="44" t="str">
        <f>IFERROR(Summary[[#This Row],[All wastewater costs ($)]]/'Performance Data Input'!B6, " ")</f>
        <v xml:space="preserve"> </v>
      </c>
      <c r="R5" s="46" t="str">
        <f>IFERROR(('Performance Data Input'!K6+'Performance Data Input'!L6+'Performance Data Input'!M6)/'Performance Data Input'!O6," ")</f>
        <v xml:space="preserve"> </v>
      </c>
      <c r="S5" s="1" t="str">
        <f>IFERROR('Performance Data Input'!O6/'Performance Data Input'!B6," ")</f>
        <v xml:space="preserve"> </v>
      </c>
    </row>
    <row r="6" spans="1:19" x14ac:dyDescent="0.3">
      <c r="A6" s="1" t="s">
        <v>98</v>
      </c>
      <c r="B6" s="42">
        <f>('Performance Data Input'!B7*(31*8.34))/2000</f>
        <v>0</v>
      </c>
      <c r="C6" s="42">
        <f>('Performance Data Input'!C7+'Performance Data Input'!D7+'Performance Data Input'!E7)/2000</f>
        <v>0</v>
      </c>
      <c r="D6" s="44">
        <f>'Financial Data Input'!B7+'Financial Data Input'!C7+'Financial Data Input'!D7</f>
        <v>0</v>
      </c>
      <c r="E6" s="44" t="str">
        <f>IFERROR(Summary[[#This Row],[Disposal costs ($)]]/Summary[[#This Row],[Production (tons product)]], " ")</f>
        <v xml:space="preserve"> </v>
      </c>
      <c r="F6" s="42">
        <f>('Performance Data Input'!G7+'Performance Data Input'!H7)/2000</f>
        <v>0</v>
      </c>
      <c r="G6" s="45">
        <f>('Performance Data Input'!F7+'Performance Data Input'!I7+('Performance Data Input'!J7)*8.35)/2000</f>
        <v>0</v>
      </c>
      <c r="H6" s="42">
        <f>Summary[[#This Row],[All recycling &amp; reuse  (tons)]]+Summary[[#This Row],[Food waste diverted  (tons)]]</f>
        <v>0</v>
      </c>
      <c r="I6" s="44">
        <f>'Financial Data Input'!E7+'Financial Data Input'!F7+'Financial Data Input'!G7+'Financial Data Input'!H7+'Financial Data Input'!I7</f>
        <v>0</v>
      </c>
      <c r="J6" s="46" t="str">
        <f>IFERROR((Summary[[#This Row],[All diverted wastes (tons)]]/(Summary[[#This Row],[All diverted wastes (tons)]]+Summary[[#This Row],[All wastes disposed (tons)]]))," ")</f>
        <v xml:space="preserve"> </v>
      </c>
      <c r="K6" s="1">
        <f>('Performance Data Input'!P7+'Performance Data Input'!Q7)*0.001</f>
        <v>0</v>
      </c>
      <c r="L6" s="45">
        <f>(Summary[[#This Row],[Electricity consumed (MWh)]]*3412142+'Performance Data Input'!R7*0.1037+'Performance Data Input'!S7*91333+'Performance Data Input'!T7*138500+'Performance Data Input'!U7*16400000+'Performance Data Input'!V7*120429+'Performance Data Input'!W7*137381)/1000000</f>
        <v>0</v>
      </c>
      <c r="M6" s="44">
        <f>'Financial Data Input'!O7+'Financial Data Input'!P7+'Financial Data Input'!Q7+'Financial Data Input'!R7+'Financial Data Input'!S7+'Financial Data Input'!T7+'Financial Data Input'!U7</f>
        <v>0</v>
      </c>
      <c r="N6" s="44" t="str">
        <f>IFERROR(Summary[[#This Row],[Energy costs ($)]]/Summary[[#This Row],[Production (tons product)]], " ")</f>
        <v xml:space="preserve"> </v>
      </c>
      <c r="O6" s="42">
        <f>IFERROR('Performance Data Input'!K7+'Performance Data Input'!L7+'Performance Data Input'!M7, " ")</f>
        <v>0</v>
      </c>
      <c r="P6" s="44">
        <f>'Financial Data Input'!J7+'Financial Data Input'!K7+'Financial Data Input'!L7+'Financial Data Input'!M7</f>
        <v>0</v>
      </c>
      <c r="Q6" s="44" t="str">
        <f>IFERROR(Summary[[#This Row],[All wastewater costs ($)]]/'Performance Data Input'!B7, " ")</f>
        <v xml:space="preserve"> </v>
      </c>
      <c r="R6" s="46" t="str">
        <f>IFERROR(('Performance Data Input'!K7+'Performance Data Input'!L7+'Performance Data Input'!M7)/'Performance Data Input'!O7," ")</f>
        <v xml:space="preserve"> </v>
      </c>
      <c r="S6" s="1" t="str">
        <f>IFERROR('Performance Data Input'!O7/'Performance Data Input'!B7," ")</f>
        <v xml:space="preserve"> </v>
      </c>
    </row>
    <row r="7" spans="1:19" x14ac:dyDescent="0.3">
      <c r="A7" s="1" t="s">
        <v>1</v>
      </c>
      <c r="B7" s="42">
        <f>('Performance Data Input'!B8*(31*8.34))/2000</f>
        <v>0</v>
      </c>
      <c r="C7" s="42">
        <f>('Performance Data Input'!C8+'Performance Data Input'!D8+'Performance Data Input'!E8)/2000</f>
        <v>0</v>
      </c>
      <c r="D7" s="44">
        <f>'Financial Data Input'!B8+'Financial Data Input'!C8+'Financial Data Input'!D8</f>
        <v>0</v>
      </c>
      <c r="E7" s="44" t="str">
        <f>IFERROR(Summary[[#This Row],[Disposal costs ($)]]/Summary[[#This Row],[Production (tons product)]], " ")</f>
        <v xml:space="preserve"> </v>
      </c>
      <c r="F7" s="42">
        <f>('Performance Data Input'!G8+'Performance Data Input'!H8)/2000</f>
        <v>0</v>
      </c>
      <c r="G7" s="45">
        <f>('Performance Data Input'!F8+'Performance Data Input'!I8+('Performance Data Input'!J8)*8.35)/2000</f>
        <v>0</v>
      </c>
      <c r="H7" s="42">
        <f>Summary[[#This Row],[All recycling &amp; reuse  (tons)]]+Summary[[#This Row],[Food waste diverted  (tons)]]</f>
        <v>0</v>
      </c>
      <c r="I7" s="44">
        <f>'Financial Data Input'!E8+'Financial Data Input'!F8+'Financial Data Input'!G8+'Financial Data Input'!H8+'Financial Data Input'!I8</f>
        <v>0</v>
      </c>
      <c r="J7" s="46" t="str">
        <f>IFERROR((Summary[[#This Row],[All diverted wastes (tons)]]/(Summary[[#This Row],[All diverted wastes (tons)]]+Summary[[#This Row],[All wastes disposed (tons)]]))," ")</f>
        <v xml:space="preserve"> </v>
      </c>
      <c r="K7" s="1">
        <f>('Performance Data Input'!P8+'Performance Data Input'!Q8)*0.001</f>
        <v>0</v>
      </c>
      <c r="L7" s="45">
        <f>(Summary[[#This Row],[Electricity consumed (MWh)]]*3412142+'Performance Data Input'!R8*0.1037+'Performance Data Input'!S8*91333+'Performance Data Input'!T8*138500+'Performance Data Input'!U8*16400000+'Performance Data Input'!V8*120429+'Performance Data Input'!W8*137381)/1000000</f>
        <v>0</v>
      </c>
      <c r="M7" s="44">
        <f>'Financial Data Input'!O8+'Financial Data Input'!P8+'Financial Data Input'!Q8+'Financial Data Input'!R8+'Financial Data Input'!S8+'Financial Data Input'!T8+'Financial Data Input'!U8</f>
        <v>0</v>
      </c>
      <c r="N7" s="44" t="str">
        <f>IFERROR(Summary[[#This Row],[Energy costs ($)]]/Summary[[#This Row],[Production (tons product)]], " ")</f>
        <v xml:space="preserve"> </v>
      </c>
      <c r="O7" s="42">
        <f>IFERROR('Performance Data Input'!K8+'Performance Data Input'!L8+'Performance Data Input'!M8, " ")</f>
        <v>0</v>
      </c>
      <c r="P7" s="44">
        <f>'Financial Data Input'!J8+'Financial Data Input'!K8+'Financial Data Input'!L8+'Financial Data Input'!M8</f>
        <v>0</v>
      </c>
      <c r="Q7" s="44" t="str">
        <f>IFERROR(Summary[[#This Row],[All wastewater costs ($)]]/'Performance Data Input'!B8, " ")</f>
        <v xml:space="preserve"> </v>
      </c>
      <c r="R7" s="46" t="str">
        <f>IFERROR(('Performance Data Input'!K8+'Performance Data Input'!L8+'Performance Data Input'!M8)/'Performance Data Input'!O8," ")</f>
        <v xml:space="preserve"> </v>
      </c>
      <c r="S7" s="1" t="str">
        <f>IFERROR('Performance Data Input'!O8/'Performance Data Input'!B8," ")</f>
        <v xml:space="preserve"> </v>
      </c>
    </row>
    <row r="8" spans="1:19" x14ac:dyDescent="0.3">
      <c r="A8" s="1" t="s">
        <v>2</v>
      </c>
      <c r="B8" s="42">
        <f>('Performance Data Input'!B9*(31*8.34))/2000</f>
        <v>0</v>
      </c>
      <c r="C8" s="42">
        <f>('Performance Data Input'!C9+'Performance Data Input'!D9+'Performance Data Input'!E9)/2000</f>
        <v>0</v>
      </c>
      <c r="D8" s="44">
        <f>'Financial Data Input'!B9+'Financial Data Input'!C9+'Financial Data Input'!D9</f>
        <v>0</v>
      </c>
      <c r="E8" s="44" t="str">
        <f>IFERROR(Summary[[#This Row],[Disposal costs ($)]]/Summary[[#This Row],[Production (tons product)]], " ")</f>
        <v xml:space="preserve"> </v>
      </c>
      <c r="F8" s="42">
        <f>('Performance Data Input'!G9+'Performance Data Input'!H9)/2000</f>
        <v>0</v>
      </c>
      <c r="G8" s="45">
        <f>('Performance Data Input'!F9+'Performance Data Input'!I9+('Performance Data Input'!J9)*8.35)/2000</f>
        <v>0</v>
      </c>
      <c r="H8" s="42">
        <f>Summary[[#This Row],[All recycling &amp; reuse  (tons)]]+Summary[[#This Row],[Food waste diverted  (tons)]]</f>
        <v>0</v>
      </c>
      <c r="I8" s="44">
        <f>'Financial Data Input'!E9+'Financial Data Input'!F9+'Financial Data Input'!G9+'Financial Data Input'!H9+'Financial Data Input'!I9</f>
        <v>0</v>
      </c>
      <c r="J8" s="46" t="str">
        <f>IFERROR((Summary[[#This Row],[All diverted wastes (tons)]]/(Summary[[#This Row],[All diverted wastes (tons)]]+Summary[[#This Row],[All wastes disposed (tons)]]))," ")</f>
        <v xml:space="preserve"> </v>
      </c>
      <c r="K8" s="1">
        <f>('Performance Data Input'!P9+'Performance Data Input'!Q9)*0.001</f>
        <v>0</v>
      </c>
      <c r="L8" s="45">
        <f>(Summary[[#This Row],[Electricity consumed (MWh)]]*3412142+'Performance Data Input'!R9*0.1037+'Performance Data Input'!S9*91333+'Performance Data Input'!T9*138500+'Performance Data Input'!U9*16400000+'Performance Data Input'!V9*120429+'Performance Data Input'!W9*137381)/1000000</f>
        <v>0</v>
      </c>
      <c r="M8" s="44">
        <f>'Financial Data Input'!O9+'Financial Data Input'!P9+'Financial Data Input'!Q9+'Financial Data Input'!R9+'Financial Data Input'!S9+'Financial Data Input'!T9+'Financial Data Input'!U9</f>
        <v>0</v>
      </c>
      <c r="N8" s="44" t="str">
        <f>IFERROR(Summary[[#This Row],[Energy costs ($)]]/Summary[[#This Row],[Production (tons product)]], " ")</f>
        <v xml:space="preserve"> </v>
      </c>
      <c r="O8" s="42">
        <f>IFERROR('Performance Data Input'!K9+'Performance Data Input'!L9+'Performance Data Input'!M9, " ")</f>
        <v>0</v>
      </c>
      <c r="P8" s="44">
        <f>'Financial Data Input'!J9+'Financial Data Input'!K9+'Financial Data Input'!L9+'Financial Data Input'!M9</f>
        <v>0</v>
      </c>
      <c r="Q8" s="44" t="str">
        <f>IFERROR(Summary[[#This Row],[All wastewater costs ($)]]/'Performance Data Input'!B9, " ")</f>
        <v xml:space="preserve"> </v>
      </c>
      <c r="R8" s="46" t="str">
        <f>IFERROR(('Performance Data Input'!K9+'Performance Data Input'!L9+'Performance Data Input'!M9)/'Performance Data Input'!O9," ")</f>
        <v xml:space="preserve"> </v>
      </c>
      <c r="S8" s="1" t="str">
        <f>IFERROR('Performance Data Input'!O9/'Performance Data Input'!B9," ")</f>
        <v xml:space="preserve"> </v>
      </c>
    </row>
    <row r="9" spans="1:19" x14ac:dyDescent="0.3">
      <c r="A9" s="1" t="s">
        <v>3</v>
      </c>
      <c r="B9" s="42">
        <f>('Performance Data Input'!B10*(31*8.34))/2000</f>
        <v>0</v>
      </c>
      <c r="C9" s="42">
        <f>('Performance Data Input'!C10+'Performance Data Input'!D10+'Performance Data Input'!E10)/2000</f>
        <v>0</v>
      </c>
      <c r="D9" s="44">
        <f>'Financial Data Input'!B10+'Financial Data Input'!C10+'Financial Data Input'!D10</f>
        <v>0</v>
      </c>
      <c r="E9" s="44" t="str">
        <f>IFERROR(Summary[[#This Row],[Disposal costs ($)]]/Summary[[#This Row],[Production (tons product)]], " ")</f>
        <v xml:space="preserve"> </v>
      </c>
      <c r="F9" s="42">
        <f>('Performance Data Input'!G10+'Performance Data Input'!H10)/2000</f>
        <v>0</v>
      </c>
      <c r="G9" s="45">
        <f>('Performance Data Input'!F10+'Performance Data Input'!I10+('Performance Data Input'!J10)*8.35)/2000</f>
        <v>0</v>
      </c>
      <c r="H9" s="42">
        <f>Summary[[#This Row],[All recycling &amp; reuse  (tons)]]+Summary[[#This Row],[Food waste diverted  (tons)]]</f>
        <v>0</v>
      </c>
      <c r="I9" s="44">
        <f>'Financial Data Input'!E10+'Financial Data Input'!F10+'Financial Data Input'!G10+'Financial Data Input'!H10+'Financial Data Input'!I10</f>
        <v>0</v>
      </c>
      <c r="J9" s="46" t="str">
        <f>IFERROR((Summary[[#This Row],[All diverted wastes (tons)]]/(Summary[[#This Row],[All diverted wastes (tons)]]+Summary[[#This Row],[All wastes disposed (tons)]]))," ")</f>
        <v xml:space="preserve"> </v>
      </c>
      <c r="K9" s="1">
        <f>('Performance Data Input'!P10+'Performance Data Input'!Q10)*0.001</f>
        <v>0</v>
      </c>
      <c r="L9" s="45">
        <f>(Summary[[#This Row],[Electricity consumed (MWh)]]*3412142+'Performance Data Input'!R10*0.1037+'Performance Data Input'!S10*91333+'Performance Data Input'!T10*138500+'Performance Data Input'!U10*16400000+'Performance Data Input'!V10*120429+'Performance Data Input'!W10*137381)/1000000</f>
        <v>0</v>
      </c>
      <c r="M9" s="44">
        <f>'Financial Data Input'!O10+'Financial Data Input'!P10+'Financial Data Input'!Q10+'Financial Data Input'!R10+'Financial Data Input'!S10+'Financial Data Input'!T10+'Financial Data Input'!U10</f>
        <v>0</v>
      </c>
      <c r="N9" s="44" t="str">
        <f>IFERROR(Summary[[#This Row],[Energy costs ($)]]/Summary[[#This Row],[Production (tons product)]], " ")</f>
        <v xml:space="preserve"> </v>
      </c>
      <c r="O9" s="42">
        <f>IFERROR('Performance Data Input'!K10+'Performance Data Input'!L10+'Performance Data Input'!M10, " ")</f>
        <v>0</v>
      </c>
      <c r="P9" s="44">
        <f>'Financial Data Input'!J10+'Financial Data Input'!K10+'Financial Data Input'!L10+'Financial Data Input'!M10</f>
        <v>0</v>
      </c>
      <c r="Q9" s="44" t="str">
        <f>IFERROR(Summary[[#This Row],[All wastewater costs ($)]]/'Performance Data Input'!B10, " ")</f>
        <v xml:space="preserve"> </v>
      </c>
      <c r="R9" s="46" t="str">
        <f>IFERROR(('Performance Data Input'!K10+'Performance Data Input'!L10+'Performance Data Input'!M10)/'Performance Data Input'!O10," ")</f>
        <v xml:space="preserve"> </v>
      </c>
      <c r="S9" s="1" t="str">
        <f>IFERROR('Performance Data Input'!O10/'Performance Data Input'!B10," ")</f>
        <v xml:space="preserve"> </v>
      </c>
    </row>
    <row r="10" spans="1:19" x14ac:dyDescent="0.3">
      <c r="A10" s="1" t="s">
        <v>4</v>
      </c>
      <c r="B10" s="42">
        <f>('Performance Data Input'!B11*(31*8.34))/2000</f>
        <v>0</v>
      </c>
      <c r="C10" s="42">
        <f>('Performance Data Input'!C11+'Performance Data Input'!D11+'Performance Data Input'!E11)/2000</f>
        <v>0</v>
      </c>
      <c r="D10" s="44">
        <f>'Financial Data Input'!B11+'Financial Data Input'!C11+'Financial Data Input'!D11</f>
        <v>0</v>
      </c>
      <c r="E10" s="44" t="str">
        <f>IFERROR(Summary[[#This Row],[Disposal costs ($)]]/Summary[[#This Row],[Production (tons product)]], " ")</f>
        <v xml:space="preserve"> </v>
      </c>
      <c r="F10" s="42">
        <f>('Performance Data Input'!G11+'Performance Data Input'!H11)/2000</f>
        <v>0</v>
      </c>
      <c r="G10" s="45">
        <f>('Performance Data Input'!F11+'Performance Data Input'!I11+('Performance Data Input'!J11)*8.35)/2000</f>
        <v>0</v>
      </c>
      <c r="H10" s="42">
        <f>Summary[[#This Row],[All recycling &amp; reuse  (tons)]]+Summary[[#This Row],[Food waste diverted  (tons)]]</f>
        <v>0</v>
      </c>
      <c r="I10" s="44">
        <f>'Financial Data Input'!E11+'Financial Data Input'!F11+'Financial Data Input'!G11+'Financial Data Input'!H11+'Financial Data Input'!I11</f>
        <v>0</v>
      </c>
      <c r="J10" s="46" t="str">
        <f>IFERROR((Summary[[#This Row],[All diverted wastes (tons)]]/(Summary[[#This Row],[All diverted wastes (tons)]]+Summary[[#This Row],[All wastes disposed (tons)]]))," ")</f>
        <v xml:space="preserve"> </v>
      </c>
      <c r="K10" s="1">
        <f>('Performance Data Input'!P11+'Performance Data Input'!Q11)*0.001</f>
        <v>0</v>
      </c>
      <c r="L10" s="45">
        <f>(Summary[[#This Row],[Electricity consumed (MWh)]]*3412142+'Performance Data Input'!R11*0.1037+'Performance Data Input'!S11*91333+'Performance Data Input'!T11*138500+'Performance Data Input'!U11*16400000+'Performance Data Input'!V11*120429+'Performance Data Input'!W11*137381)/1000000</f>
        <v>0</v>
      </c>
      <c r="M10" s="44">
        <f>'Financial Data Input'!O11+'Financial Data Input'!P11+'Financial Data Input'!Q11+'Financial Data Input'!R11+'Financial Data Input'!S11+'Financial Data Input'!T11+'Financial Data Input'!U11</f>
        <v>0</v>
      </c>
      <c r="N10" s="44" t="str">
        <f>IFERROR(Summary[[#This Row],[Energy costs ($)]]/Summary[[#This Row],[Production (tons product)]], " ")</f>
        <v xml:space="preserve"> </v>
      </c>
      <c r="O10" s="42">
        <f>IFERROR('Performance Data Input'!K11+'Performance Data Input'!L11+'Performance Data Input'!M11, " ")</f>
        <v>0</v>
      </c>
      <c r="P10" s="44">
        <f>'Financial Data Input'!J11+'Financial Data Input'!K11+'Financial Data Input'!L11+'Financial Data Input'!M11</f>
        <v>0</v>
      </c>
      <c r="Q10" s="44" t="str">
        <f>IFERROR(Summary[[#This Row],[All wastewater costs ($)]]/'Performance Data Input'!B11, " ")</f>
        <v xml:space="preserve"> </v>
      </c>
      <c r="R10" s="46" t="str">
        <f>IFERROR(('Performance Data Input'!K11+'Performance Data Input'!L11+'Performance Data Input'!M11)/'Performance Data Input'!O11," ")</f>
        <v xml:space="preserve"> </v>
      </c>
      <c r="S10" s="1" t="str">
        <f>IFERROR('Performance Data Input'!O11/'Performance Data Input'!B11," ")</f>
        <v xml:space="preserve"> </v>
      </c>
    </row>
    <row r="11" spans="1:19" x14ac:dyDescent="0.3">
      <c r="A11" s="1" t="s">
        <v>5</v>
      </c>
      <c r="B11" s="42">
        <f>('Performance Data Input'!B12*(31*8.34))/2000</f>
        <v>0</v>
      </c>
      <c r="C11" s="42">
        <f>('Performance Data Input'!C12+'Performance Data Input'!D12+'Performance Data Input'!E12)/2000</f>
        <v>0</v>
      </c>
      <c r="D11" s="44">
        <f>'Financial Data Input'!B12+'Financial Data Input'!C12+'Financial Data Input'!D12</f>
        <v>0</v>
      </c>
      <c r="E11" s="44" t="str">
        <f>IFERROR(Summary[[#This Row],[Disposal costs ($)]]/Summary[[#This Row],[Production (tons product)]], " ")</f>
        <v xml:space="preserve"> </v>
      </c>
      <c r="F11" s="42">
        <f>('Performance Data Input'!G12+'Performance Data Input'!H12)/2000</f>
        <v>0</v>
      </c>
      <c r="G11" s="45">
        <f>('Performance Data Input'!F12+'Performance Data Input'!I12+('Performance Data Input'!J12)*8.35)/2000</f>
        <v>0</v>
      </c>
      <c r="H11" s="42">
        <f>Summary[[#This Row],[All recycling &amp; reuse  (tons)]]+Summary[[#This Row],[Food waste diverted  (tons)]]</f>
        <v>0</v>
      </c>
      <c r="I11" s="44">
        <f>'Financial Data Input'!E12+'Financial Data Input'!F12+'Financial Data Input'!G12+'Financial Data Input'!H12+'Financial Data Input'!I12</f>
        <v>0</v>
      </c>
      <c r="J11" s="46" t="str">
        <f>IFERROR((Summary[[#This Row],[All diverted wastes (tons)]]/(Summary[[#This Row],[All diverted wastes (tons)]]+Summary[[#This Row],[All wastes disposed (tons)]]))," ")</f>
        <v xml:space="preserve"> </v>
      </c>
      <c r="K11" s="1">
        <f>('Performance Data Input'!P12+'Performance Data Input'!Q12)*0.001</f>
        <v>0</v>
      </c>
      <c r="L11" s="45">
        <f>(Summary[[#This Row],[Electricity consumed (MWh)]]*3412142+'Performance Data Input'!R12*0.1037+'Performance Data Input'!S12*91333+'Performance Data Input'!T12*138500+'Performance Data Input'!U12*16400000+'Performance Data Input'!V12*120429+'Performance Data Input'!W12*137381)/1000000</f>
        <v>0</v>
      </c>
      <c r="M11" s="44">
        <f>'Financial Data Input'!O12+'Financial Data Input'!P12+'Financial Data Input'!Q12+'Financial Data Input'!R12+'Financial Data Input'!S12+'Financial Data Input'!T12+'Financial Data Input'!U12</f>
        <v>0</v>
      </c>
      <c r="N11" s="44" t="str">
        <f>IFERROR(Summary[[#This Row],[Energy costs ($)]]/Summary[[#This Row],[Production (tons product)]], " ")</f>
        <v xml:space="preserve"> </v>
      </c>
      <c r="O11" s="42">
        <f>IFERROR('Performance Data Input'!K12+'Performance Data Input'!L12+'Performance Data Input'!M12, " ")</f>
        <v>0</v>
      </c>
      <c r="P11" s="44">
        <f>'Financial Data Input'!J12+'Financial Data Input'!K12+'Financial Data Input'!L12+'Financial Data Input'!M12</f>
        <v>0</v>
      </c>
      <c r="Q11" s="44" t="str">
        <f>IFERROR(Summary[[#This Row],[All wastewater costs ($)]]/'Performance Data Input'!B12, " ")</f>
        <v xml:space="preserve"> </v>
      </c>
      <c r="R11" s="46" t="str">
        <f>IFERROR(('Performance Data Input'!K12+'Performance Data Input'!L12+'Performance Data Input'!M12)/'Performance Data Input'!O12," ")</f>
        <v xml:space="preserve"> </v>
      </c>
      <c r="S11" s="1" t="str">
        <f>IFERROR('Performance Data Input'!O12/'Performance Data Input'!B12," ")</f>
        <v xml:space="preserve"> </v>
      </c>
    </row>
    <row r="12" spans="1:19" x14ac:dyDescent="0.3">
      <c r="A12" s="1" t="s">
        <v>6</v>
      </c>
      <c r="B12" s="42">
        <f>('Performance Data Input'!B13*(31*8.34))/2000</f>
        <v>0</v>
      </c>
      <c r="C12" s="42">
        <f>('Performance Data Input'!C13+'Performance Data Input'!D13+'Performance Data Input'!E13)/2000</f>
        <v>0</v>
      </c>
      <c r="D12" s="44">
        <f>'Financial Data Input'!B13+'Financial Data Input'!C13+'Financial Data Input'!D13</f>
        <v>0</v>
      </c>
      <c r="E12" s="44" t="str">
        <f>IFERROR(Summary[[#This Row],[Disposal costs ($)]]/Summary[[#This Row],[Production (tons product)]], " ")</f>
        <v xml:space="preserve"> </v>
      </c>
      <c r="F12" s="42">
        <f>('Performance Data Input'!G13+'Performance Data Input'!H13)/2000</f>
        <v>0</v>
      </c>
      <c r="G12" s="45">
        <f>('Performance Data Input'!F13+'Performance Data Input'!I13+('Performance Data Input'!J13)*8.35)/2000</f>
        <v>0</v>
      </c>
      <c r="H12" s="42">
        <f>Summary[[#This Row],[All recycling &amp; reuse  (tons)]]+Summary[[#This Row],[Food waste diverted  (tons)]]</f>
        <v>0</v>
      </c>
      <c r="I12" s="44">
        <f>'Financial Data Input'!E13+'Financial Data Input'!F13+'Financial Data Input'!G13+'Financial Data Input'!H13+'Financial Data Input'!I13</f>
        <v>0</v>
      </c>
      <c r="J12" s="46" t="str">
        <f>IFERROR((Summary[[#This Row],[All diverted wastes (tons)]]/(Summary[[#This Row],[All diverted wastes (tons)]]+Summary[[#This Row],[All wastes disposed (tons)]]))," ")</f>
        <v xml:space="preserve"> </v>
      </c>
      <c r="K12" s="1">
        <f>('Performance Data Input'!P13+'Performance Data Input'!Q13)*0.001</f>
        <v>0</v>
      </c>
      <c r="L12" s="45">
        <f>(Summary[[#This Row],[Electricity consumed (MWh)]]*3412142+'Performance Data Input'!R13*0.1037+'Performance Data Input'!S13*91333+'Performance Data Input'!T13*138500+'Performance Data Input'!U13*16400000+'Performance Data Input'!V13*120429+'Performance Data Input'!W13*137381)/1000000</f>
        <v>0</v>
      </c>
      <c r="M12" s="44">
        <f>'Financial Data Input'!O13+'Financial Data Input'!P13+'Financial Data Input'!Q13+'Financial Data Input'!R13+'Financial Data Input'!S13+'Financial Data Input'!T13+'Financial Data Input'!U13</f>
        <v>0</v>
      </c>
      <c r="N12" s="44" t="str">
        <f>IFERROR(Summary[[#This Row],[Energy costs ($)]]/Summary[[#This Row],[Production (tons product)]], " ")</f>
        <v xml:space="preserve"> </v>
      </c>
      <c r="O12" s="42">
        <f>IFERROR('Performance Data Input'!K13+'Performance Data Input'!L13+'Performance Data Input'!M13, " ")</f>
        <v>0</v>
      </c>
      <c r="P12" s="44">
        <f>'Financial Data Input'!J13+'Financial Data Input'!K13+'Financial Data Input'!L13+'Financial Data Input'!M13</f>
        <v>0</v>
      </c>
      <c r="Q12" s="44" t="str">
        <f>IFERROR(Summary[[#This Row],[All wastewater costs ($)]]/'Performance Data Input'!B13, " ")</f>
        <v xml:space="preserve"> </v>
      </c>
      <c r="R12" s="46" t="str">
        <f>IFERROR(('Performance Data Input'!K13+'Performance Data Input'!L13+'Performance Data Input'!M13)/'Performance Data Input'!O13," ")</f>
        <v xml:space="preserve"> </v>
      </c>
      <c r="S12" s="1" t="str">
        <f>IFERROR('Performance Data Input'!O13/'Performance Data Input'!B13," ")</f>
        <v xml:space="preserve"> </v>
      </c>
    </row>
    <row r="13" spans="1:19" x14ac:dyDescent="0.3">
      <c r="A13" s="1" t="s">
        <v>7</v>
      </c>
      <c r="B13" s="42">
        <f>('Performance Data Input'!B14*(31*8.34))/2000</f>
        <v>0</v>
      </c>
      <c r="C13" s="42">
        <f>('Performance Data Input'!C14+'Performance Data Input'!D14+'Performance Data Input'!E14)/2000</f>
        <v>0</v>
      </c>
      <c r="D13" s="44">
        <f>'Financial Data Input'!B14+'Financial Data Input'!C14+'Financial Data Input'!D14</f>
        <v>0</v>
      </c>
      <c r="E13" s="44" t="str">
        <f>IFERROR(Summary[[#This Row],[Disposal costs ($)]]/Summary[[#This Row],[Production (tons product)]], " ")</f>
        <v xml:space="preserve"> </v>
      </c>
      <c r="F13" s="42">
        <f>('Performance Data Input'!G14+'Performance Data Input'!H14)/2000</f>
        <v>0</v>
      </c>
      <c r="G13" s="45">
        <f>('Performance Data Input'!F14+'Performance Data Input'!I14+('Performance Data Input'!J14)*8.35)/2000</f>
        <v>0</v>
      </c>
      <c r="H13" s="42">
        <f>Summary[[#This Row],[All recycling &amp; reuse  (tons)]]+Summary[[#This Row],[Food waste diverted  (tons)]]</f>
        <v>0</v>
      </c>
      <c r="I13" s="44">
        <f>'Financial Data Input'!E14+'Financial Data Input'!F14+'Financial Data Input'!G14+'Financial Data Input'!H14+'Financial Data Input'!I14</f>
        <v>0</v>
      </c>
      <c r="J13" s="46" t="str">
        <f>IFERROR((Summary[[#This Row],[All diverted wastes (tons)]]/(Summary[[#This Row],[All diverted wastes (tons)]]+Summary[[#This Row],[All wastes disposed (tons)]]))," ")</f>
        <v xml:space="preserve"> </v>
      </c>
      <c r="K13" s="1">
        <f>('Performance Data Input'!P14+'Performance Data Input'!Q14)*0.001</f>
        <v>0</v>
      </c>
      <c r="L13" s="45">
        <f>(Summary[[#This Row],[Electricity consumed (MWh)]]*3412142+'Performance Data Input'!R14*0.1037+'Performance Data Input'!S14*91333+'Performance Data Input'!T14*138500+'Performance Data Input'!U14*16400000+'Performance Data Input'!V14*120429+'Performance Data Input'!W14*137381)/1000000</f>
        <v>0</v>
      </c>
      <c r="M13" s="44">
        <f>'Financial Data Input'!O14+'Financial Data Input'!P14+'Financial Data Input'!Q14+'Financial Data Input'!R14+'Financial Data Input'!S14+'Financial Data Input'!T14+'Financial Data Input'!U14</f>
        <v>0</v>
      </c>
      <c r="N13" s="44" t="str">
        <f>IFERROR(Summary[[#This Row],[Energy costs ($)]]/Summary[[#This Row],[Production (tons product)]], " ")</f>
        <v xml:space="preserve"> </v>
      </c>
      <c r="O13" s="42">
        <f>IFERROR('Performance Data Input'!K14+'Performance Data Input'!L14+'Performance Data Input'!M14, " ")</f>
        <v>0</v>
      </c>
      <c r="P13" s="44">
        <f>'Financial Data Input'!J14+'Financial Data Input'!K14+'Financial Data Input'!L14+'Financial Data Input'!M14</f>
        <v>0</v>
      </c>
      <c r="Q13" s="44" t="str">
        <f>IFERROR(Summary[[#This Row],[All wastewater costs ($)]]/'Performance Data Input'!B14, " ")</f>
        <v xml:space="preserve"> </v>
      </c>
      <c r="R13" s="46" t="str">
        <f>IFERROR(('Performance Data Input'!K14+'Performance Data Input'!L14+'Performance Data Input'!M14)/'Performance Data Input'!O14," ")</f>
        <v xml:space="preserve"> </v>
      </c>
      <c r="S13" s="1" t="str">
        <f>IFERROR('Performance Data Input'!O14/'Performance Data Input'!B14," ")</f>
        <v xml:space="preserve"> </v>
      </c>
    </row>
    <row r="14" spans="1:19" x14ac:dyDescent="0.3">
      <c r="A14" s="1" t="s">
        <v>8</v>
      </c>
      <c r="B14" s="42">
        <f>('Performance Data Input'!B15*(31*8.34))/2000</f>
        <v>0</v>
      </c>
      <c r="C14" s="42">
        <f>('Performance Data Input'!C15+'Performance Data Input'!D15+'Performance Data Input'!E15)/2000</f>
        <v>0</v>
      </c>
      <c r="D14" s="44">
        <f>'Financial Data Input'!B15+'Financial Data Input'!C15+'Financial Data Input'!D15</f>
        <v>0</v>
      </c>
      <c r="E14" s="44" t="str">
        <f>IFERROR(Summary[[#This Row],[Disposal costs ($)]]/Summary[[#This Row],[Production (tons product)]], " ")</f>
        <v xml:space="preserve"> </v>
      </c>
      <c r="F14" s="42">
        <f>('Performance Data Input'!G15+'Performance Data Input'!H15)/2000</f>
        <v>0</v>
      </c>
      <c r="G14" s="45">
        <f>('Performance Data Input'!F15+'Performance Data Input'!I15+('Performance Data Input'!J15)*8.35)/2000</f>
        <v>0</v>
      </c>
      <c r="H14" s="42">
        <f>Summary[[#This Row],[All recycling &amp; reuse  (tons)]]+Summary[[#This Row],[Food waste diverted  (tons)]]</f>
        <v>0</v>
      </c>
      <c r="I14" s="44">
        <f>'Financial Data Input'!E15+'Financial Data Input'!F15+'Financial Data Input'!G15+'Financial Data Input'!H15+'Financial Data Input'!I15</f>
        <v>0</v>
      </c>
      <c r="J14" s="46" t="str">
        <f>IFERROR((Summary[[#This Row],[All diverted wastes (tons)]]/(Summary[[#This Row],[All diverted wastes (tons)]]+Summary[[#This Row],[All wastes disposed (tons)]]))," ")</f>
        <v xml:space="preserve"> </v>
      </c>
      <c r="K14" s="1">
        <f>('Performance Data Input'!P15+'Performance Data Input'!Q15)*0.001</f>
        <v>0</v>
      </c>
      <c r="L14" s="45">
        <f>(Summary[[#This Row],[Electricity consumed (MWh)]]*3412142+'Performance Data Input'!R15*0.1037+'Performance Data Input'!S15*91333+'Performance Data Input'!T15*138500+'Performance Data Input'!U15*16400000+'Performance Data Input'!V15*120429+'Performance Data Input'!W15*137381)/1000000</f>
        <v>0</v>
      </c>
      <c r="M14" s="44">
        <f>'Financial Data Input'!O15+'Financial Data Input'!P15+'Financial Data Input'!Q15+'Financial Data Input'!R15+'Financial Data Input'!S15+'Financial Data Input'!T15+'Financial Data Input'!U15</f>
        <v>0</v>
      </c>
      <c r="N14" s="44" t="str">
        <f>IFERROR(Summary[[#This Row],[Energy costs ($)]]/Summary[[#This Row],[Production (tons product)]], " ")</f>
        <v xml:space="preserve"> </v>
      </c>
      <c r="O14" s="42">
        <f>IFERROR('Performance Data Input'!K15+'Performance Data Input'!L15+'Performance Data Input'!M15, " ")</f>
        <v>0</v>
      </c>
      <c r="P14" s="44">
        <f>'Financial Data Input'!J15+'Financial Data Input'!K15+'Financial Data Input'!L15+'Financial Data Input'!M15</f>
        <v>0</v>
      </c>
      <c r="Q14" s="44" t="str">
        <f>IFERROR(Summary[[#This Row],[All wastewater costs ($)]]/'Performance Data Input'!B15, " ")</f>
        <v xml:space="preserve"> </v>
      </c>
      <c r="R14" s="46" t="str">
        <f>IFERROR(('Performance Data Input'!K15+'Performance Data Input'!L15+'Performance Data Input'!M15)/'Performance Data Input'!O15," ")</f>
        <v xml:space="preserve"> </v>
      </c>
      <c r="S14" s="1" t="str">
        <f>IFERROR('Performance Data Input'!O15/'Performance Data Input'!B15," ")</f>
        <v xml:space="preserve"> </v>
      </c>
    </row>
    <row r="15" spans="1:19" x14ac:dyDescent="0.3">
      <c r="A15" s="1" t="s">
        <v>9</v>
      </c>
      <c r="B15" s="42">
        <f>('Performance Data Input'!B16*(31*8.34))/2000</f>
        <v>0</v>
      </c>
      <c r="C15" s="42">
        <f>('Performance Data Input'!C16+'Performance Data Input'!D16+'Performance Data Input'!E16)/2000</f>
        <v>0</v>
      </c>
      <c r="D15" s="44">
        <f>'Financial Data Input'!B16+'Financial Data Input'!C16+'Financial Data Input'!D16</f>
        <v>0</v>
      </c>
      <c r="E15" s="44" t="str">
        <f>IFERROR(Summary[[#This Row],[Disposal costs ($)]]/Summary[[#This Row],[Production (tons product)]], " ")</f>
        <v xml:space="preserve"> </v>
      </c>
      <c r="F15" s="42">
        <f>('Performance Data Input'!G16+'Performance Data Input'!H16)/2000</f>
        <v>0</v>
      </c>
      <c r="G15" s="45">
        <f>('Performance Data Input'!F16+'Performance Data Input'!I16+('Performance Data Input'!J16)*8.35)/2000</f>
        <v>0</v>
      </c>
      <c r="H15" s="42">
        <f>Summary[[#This Row],[All recycling &amp; reuse  (tons)]]+Summary[[#This Row],[Food waste diverted  (tons)]]</f>
        <v>0</v>
      </c>
      <c r="I15" s="44">
        <f>'Financial Data Input'!E16+'Financial Data Input'!F16+'Financial Data Input'!G16+'Financial Data Input'!H16+'Financial Data Input'!I16</f>
        <v>0</v>
      </c>
      <c r="J15" s="46" t="str">
        <f>IFERROR((Summary[[#This Row],[All diverted wastes (tons)]]/(Summary[[#This Row],[All diverted wastes (tons)]]+Summary[[#This Row],[All wastes disposed (tons)]]))," ")</f>
        <v xml:space="preserve"> </v>
      </c>
      <c r="K15" s="1">
        <f>('Performance Data Input'!P16+'Performance Data Input'!Q16)*0.001</f>
        <v>0</v>
      </c>
      <c r="L15" s="45">
        <f>(Summary[[#This Row],[Electricity consumed (MWh)]]*3412142+'Performance Data Input'!R16*0.1037+'Performance Data Input'!S16*91333+'Performance Data Input'!T16*138500+'Performance Data Input'!U16*16400000+'Performance Data Input'!V16*120429+'Performance Data Input'!W16*137381)/1000000</f>
        <v>0</v>
      </c>
      <c r="M15" s="44">
        <f>'Financial Data Input'!O16+'Financial Data Input'!P16+'Financial Data Input'!Q16+'Financial Data Input'!R16+'Financial Data Input'!S16+'Financial Data Input'!T16+'Financial Data Input'!U16</f>
        <v>0</v>
      </c>
      <c r="N15" s="44" t="str">
        <f>IFERROR(Summary[[#This Row],[Energy costs ($)]]/Summary[[#This Row],[Production (tons product)]], " ")</f>
        <v xml:space="preserve"> </v>
      </c>
      <c r="O15" s="42">
        <f>IFERROR('Performance Data Input'!K16+'Performance Data Input'!L16+'Performance Data Input'!M16, " ")</f>
        <v>0</v>
      </c>
      <c r="P15" s="44">
        <f>'Financial Data Input'!J16+'Financial Data Input'!K16+'Financial Data Input'!L16+'Financial Data Input'!M16</f>
        <v>0</v>
      </c>
      <c r="Q15" s="44" t="str">
        <f>IFERROR(Summary[[#This Row],[All wastewater costs ($)]]/'Performance Data Input'!B16, " ")</f>
        <v xml:space="preserve"> </v>
      </c>
      <c r="R15" s="46" t="str">
        <f>IFERROR(('Performance Data Input'!K16+'Performance Data Input'!L16+'Performance Data Input'!M16)/'Performance Data Input'!O16," ")</f>
        <v xml:space="preserve"> </v>
      </c>
      <c r="S15" s="1" t="str">
        <f>IFERROR('Performance Data Input'!O16/'Performance Data Input'!B16," ")</f>
        <v xml:space="preserve"> </v>
      </c>
    </row>
    <row r="16" spans="1:19" x14ac:dyDescent="0.3">
      <c r="A16" s="1" t="s">
        <v>10</v>
      </c>
      <c r="B16" s="42">
        <f>('Performance Data Input'!B17*(31*8.34))/2000</f>
        <v>0</v>
      </c>
      <c r="C16" s="42">
        <f>('Performance Data Input'!C17+'Performance Data Input'!D17+'Performance Data Input'!E17)/2000</f>
        <v>0</v>
      </c>
      <c r="D16" s="44">
        <f>'Financial Data Input'!B17+'Financial Data Input'!C17+'Financial Data Input'!D17</f>
        <v>0</v>
      </c>
      <c r="E16" s="44" t="str">
        <f>IFERROR(Summary[[#This Row],[Disposal costs ($)]]/Summary[[#This Row],[Production (tons product)]], " ")</f>
        <v xml:space="preserve"> </v>
      </c>
      <c r="F16" s="42">
        <f>('Performance Data Input'!G17+'Performance Data Input'!H17)/2000</f>
        <v>0</v>
      </c>
      <c r="G16" s="45">
        <f>('Performance Data Input'!F17+'Performance Data Input'!I17+('Performance Data Input'!J17)*8.35)/2000</f>
        <v>0</v>
      </c>
      <c r="H16" s="42">
        <f>Summary[[#This Row],[All recycling &amp; reuse  (tons)]]+Summary[[#This Row],[Food waste diverted  (tons)]]</f>
        <v>0</v>
      </c>
      <c r="I16" s="44">
        <f>'Financial Data Input'!E17+'Financial Data Input'!F17+'Financial Data Input'!G17+'Financial Data Input'!H17+'Financial Data Input'!I17</f>
        <v>0</v>
      </c>
      <c r="J16" s="46" t="str">
        <f>IFERROR((Summary[[#This Row],[All diverted wastes (tons)]]/(Summary[[#This Row],[All diverted wastes (tons)]]+Summary[[#This Row],[All wastes disposed (tons)]]))," ")</f>
        <v xml:space="preserve"> </v>
      </c>
      <c r="K16" s="1">
        <f>('Performance Data Input'!P17+'Performance Data Input'!Q17)*0.001</f>
        <v>0</v>
      </c>
      <c r="L16" s="45">
        <f>(Summary[[#This Row],[Electricity consumed (MWh)]]*3412142+'Performance Data Input'!R17*0.1037+'Performance Data Input'!S17*91333+'Performance Data Input'!T17*138500+'Performance Data Input'!U17*16400000+'Performance Data Input'!V17*120429+'Performance Data Input'!W17*137381)/1000000</f>
        <v>0</v>
      </c>
      <c r="M16" s="44">
        <f>'Financial Data Input'!O17+'Financial Data Input'!P17+'Financial Data Input'!Q17+'Financial Data Input'!R17+'Financial Data Input'!S17+'Financial Data Input'!T17+'Financial Data Input'!U17</f>
        <v>0</v>
      </c>
      <c r="N16" s="44" t="str">
        <f>IFERROR(Summary[[#This Row],[Energy costs ($)]]/Summary[[#This Row],[Production (tons product)]], " ")</f>
        <v xml:space="preserve"> </v>
      </c>
      <c r="O16" s="42">
        <f>IFERROR('Performance Data Input'!K17+'Performance Data Input'!L17+'Performance Data Input'!M17, " ")</f>
        <v>0</v>
      </c>
      <c r="P16" s="44">
        <f>'Financial Data Input'!J17+'Financial Data Input'!K17+'Financial Data Input'!L17+'Financial Data Input'!M17</f>
        <v>0</v>
      </c>
      <c r="Q16" s="44" t="str">
        <f>IFERROR(Summary[[#This Row],[All wastewater costs ($)]]/'Performance Data Input'!B17, " ")</f>
        <v xml:space="preserve"> </v>
      </c>
      <c r="R16" s="46" t="str">
        <f>IFERROR(('Performance Data Input'!K17+'Performance Data Input'!L17+'Performance Data Input'!M17)/'Performance Data Input'!O17," ")</f>
        <v xml:space="preserve"> </v>
      </c>
      <c r="S16" s="1" t="str">
        <f>IFERROR('Performance Data Input'!O17/'Performance Data Input'!B17," ")</f>
        <v xml:space="preserve"> </v>
      </c>
    </row>
    <row r="17" spans="1:19" x14ac:dyDescent="0.3">
      <c r="A17" s="1" t="s">
        <v>11</v>
      </c>
      <c r="B17" s="42">
        <f>('Performance Data Input'!B18*(31*8.34))/2000</f>
        <v>0</v>
      </c>
      <c r="C17" s="42">
        <f>('Performance Data Input'!C18+'Performance Data Input'!D18+'Performance Data Input'!E18)/2000</f>
        <v>0</v>
      </c>
      <c r="D17" s="44">
        <f>'Financial Data Input'!B18+'Financial Data Input'!C18+'Financial Data Input'!D18</f>
        <v>0</v>
      </c>
      <c r="E17" s="44" t="str">
        <f>IFERROR(Summary[[#This Row],[Disposal costs ($)]]/Summary[[#This Row],[Production (tons product)]], " ")</f>
        <v xml:space="preserve"> </v>
      </c>
      <c r="F17" s="42">
        <f>('Performance Data Input'!G18+'Performance Data Input'!H18)/2000</f>
        <v>0</v>
      </c>
      <c r="G17" s="45">
        <f>('Performance Data Input'!F18+'Performance Data Input'!I18+('Performance Data Input'!J18)*8.35)/2000</f>
        <v>0</v>
      </c>
      <c r="H17" s="42">
        <f>Summary[[#This Row],[All recycling &amp; reuse  (tons)]]+Summary[[#This Row],[Food waste diverted  (tons)]]</f>
        <v>0</v>
      </c>
      <c r="I17" s="44">
        <f>'Financial Data Input'!E18+'Financial Data Input'!F18+'Financial Data Input'!G18+'Financial Data Input'!H18+'Financial Data Input'!I18</f>
        <v>0</v>
      </c>
      <c r="J17" s="46" t="str">
        <f>IFERROR((Summary[[#This Row],[All diverted wastes (tons)]]/(Summary[[#This Row],[All diverted wastes (tons)]]+Summary[[#This Row],[All wastes disposed (tons)]]))," ")</f>
        <v xml:space="preserve"> </v>
      </c>
      <c r="K17" s="1">
        <f>('Performance Data Input'!P18+'Performance Data Input'!Q18)*0.001</f>
        <v>0</v>
      </c>
      <c r="L17" s="45">
        <f>(Summary[[#This Row],[Electricity consumed (MWh)]]*3412142+'Performance Data Input'!R18*0.1037+'Performance Data Input'!S18*91333+'Performance Data Input'!T18*138500+'Performance Data Input'!U18*16400000+'Performance Data Input'!V18*120429+'Performance Data Input'!W18*137381)/1000000</f>
        <v>0</v>
      </c>
      <c r="M17" s="44">
        <f>'Financial Data Input'!O18+'Financial Data Input'!P18+'Financial Data Input'!Q18+'Financial Data Input'!R18+'Financial Data Input'!S18+'Financial Data Input'!T18+'Financial Data Input'!U18</f>
        <v>0</v>
      </c>
      <c r="N17" s="44" t="str">
        <f>IFERROR(Summary[[#This Row],[Energy costs ($)]]/Summary[[#This Row],[Production (tons product)]], " ")</f>
        <v xml:space="preserve"> </v>
      </c>
      <c r="O17" s="42">
        <f>IFERROR('Performance Data Input'!K18+'Performance Data Input'!L18+'Performance Data Input'!M18, " ")</f>
        <v>0</v>
      </c>
      <c r="P17" s="44">
        <f>'Financial Data Input'!J18+'Financial Data Input'!K18+'Financial Data Input'!L18+'Financial Data Input'!M18</f>
        <v>0</v>
      </c>
      <c r="Q17" s="44" t="str">
        <f>IFERROR(Summary[[#This Row],[All wastewater costs ($)]]/'Performance Data Input'!B18, " ")</f>
        <v xml:space="preserve"> </v>
      </c>
      <c r="R17" s="46" t="str">
        <f>IFERROR(('Performance Data Input'!K18+'Performance Data Input'!L18+'Performance Data Input'!M18)/'Performance Data Input'!O18," ")</f>
        <v xml:space="preserve"> </v>
      </c>
      <c r="S17" s="1" t="str">
        <f>IFERROR('Performance Data Input'!O18/'Performance Data Input'!B18," ")</f>
        <v xml:space="preserve"> </v>
      </c>
    </row>
    <row r="18" spans="1:19" x14ac:dyDescent="0.3">
      <c r="A18" s="1" t="s">
        <v>12</v>
      </c>
      <c r="B18" s="42">
        <f>('Performance Data Input'!B19*(31*8.34))/2000</f>
        <v>0</v>
      </c>
      <c r="C18" s="42">
        <f>('Performance Data Input'!C19+'Performance Data Input'!D19+'Performance Data Input'!E19)/2000</f>
        <v>0</v>
      </c>
      <c r="D18" s="44">
        <f>'Financial Data Input'!B19+'Financial Data Input'!C19+'Financial Data Input'!D19</f>
        <v>0</v>
      </c>
      <c r="E18" s="44" t="str">
        <f>IFERROR(Summary[[#This Row],[Disposal costs ($)]]/Summary[[#This Row],[Production (tons product)]], " ")</f>
        <v xml:space="preserve"> </v>
      </c>
      <c r="F18" s="42">
        <f>('Performance Data Input'!G19+'Performance Data Input'!H19)/2000</f>
        <v>0</v>
      </c>
      <c r="G18" s="45">
        <f>('Performance Data Input'!F19+'Performance Data Input'!I19+('Performance Data Input'!J19)*8.35)/2000</f>
        <v>0</v>
      </c>
      <c r="H18" s="42">
        <f>Summary[[#This Row],[All recycling &amp; reuse  (tons)]]+Summary[[#This Row],[Food waste diverted  (tons)]]</f>
        <v>0</v>
      </c>
      <c r="I18" s="44">
        <f>'Financial Data Input'!E19+'Financial Data Input'!F19+'Financial Data Input'!G19+'Financial Data Input'!H19+'Financial Data Input'!I19</f>
        <v>0</v>
      </c>
      <c r="J18" s="46" t="str">
        <f>IFERROR((Summary[[#This Row],[All diverted wastes (tons)]]/(Summary[[#This Row],[All diverted wastes (tons)]]+Summary[[#This Row],[All wastes disposed (tons)]]))," ")</f>
        <v xml:space="preserve"> </v>
      </c>
      <c r="K18" s="1">
        <f>('Performance Data Input'!P19+'Performance Data Input'!Q19)*0.001</f>
        <v>0</v>
      </c>
      <c r="L18" s="45">
        <f>(Summary[[#This Row],[Electricity consumed (MWh)]]*3412142+'Performance Data Input'!R19*0.1037+'Performance Data Input'!S19*91333+'Performance Data Input'!T19*138500+'Performance Data Input'!U19*16400000+'Performance Data Input'!V19*120429+'Performance Data Input'!W19*137381)/1000000</f>
        <v>0</v>
      </c>
      <c r="M18" s="44">
        <f>'Financial Data Input'!O19+'Financial Data Input'!P19+'Financial Data Input'!Q19+'Financial Data Input'!R19+'Financial Data Input'!S19+'Financial Data Input'!T19+'Financial Data Input'!U19</f>
        <v>0</v>
      </c>
      <c r="N18" s="44" t="str">
        <f>IFERROR(Summary[[#This Row],[Energy costs ($)]]/Summary[[#This Row],[Production (tons product)]], " ")</f>
        <v xml:space="preserve"> </v>
      </c>
      <c r="O18" s="42">
        <f>IFERROR('Performance Data Input'!K19+'Performance Data Input'!L19+'Performance Data Input'!M19, " ")</f>
        <v>0</v>
      </c>
      <c r="P18" s="44">
        <f>'Financial Data Input'!J19+'Financial Data Input'!K19+'Financial Data Input'!L19+'Financial Data Input'!M19</f>
        <v>0</v>
      </c>
      <c r="Q18" s="44" t="str">
        <f>IFERROR(Summary[[#This Row],[All wastewater costs ($)]]/'Performance Data Input'!B19, " ")</f>
        <v xml:space="preserve"> </v>
      </c>
      <c r="R18" s="46" t="str">
        <f>IFERROR(('Performance Data Input'!K19+'Performance Data Input'!L19+'Performance Data Input'!M19)/'Performance Data Input'!O19," ")</f>
        <v xml:space="preserve"> </v>
      </c>
      <c r="S18" s="1" t="str">
        <f>IFERROR('Performance Data Input'!O19/'Performance Data Input'!B19," ")</f>
        <v xml:space="preserve"> </v>
      </c>
    </row>
    <row r="19" spans="1:19" x14ac:dyDescent="0.3">
      <c r="A19" s="1" t="s">
        <v>13</v>
      </c>
      <c r="B19" s="42">
        <f>('Performance Data Input'!B20*(31*8.34))/2000</f>
        <v>0</v>
      </c>
      <c r="C19" s="42">
        <f>('Performance Data Input'!C20+'Performance Data Input'!D20+'Performance Data Input'!E20)/2000</f>
        <v>0</v>
      </c>
      <c r="D19" s="44">
        <f>'Financial Data Input'!B20+'Financial Data Input'!C20+'Financial Data Input'!D20</f>
        <v>0</v>
      </c>
      <c r="E19" s="44" t="str">
        <f>IFERROR(Summary[[#This Row],[Disposal costs ($)]]/Summary[[#This Row],[Production (tons product)]], " ")</f>
        <v xml:space="preserve"> </v>
      </c>
      <c r="F19" s="42">
        <f>('Performance Data Input'!G20+'Performance Data Input'!H20)/2000</f>
        <v>0</v>
      </c>
      <c r="G19" s="45">
        <f>('Performance Data Input'!F20+'Performance Data Input'!I20+('Performance Data Input'!J20)*8.35)/2000</f>
        <v>0</v>
      </c>
      <c r="H19" s="42">
        <f>Summary[[#This Row],[All recycling &amp; reuse  (tons)]]+Summary[[#This Row],[Food waste diverted  (tons)]]</f>
        <v>0</v>
      </c>
      <c r="I19" s="44">
        <f>'Financial Data Input'!E20+'Financial Data Input'!F20+'Financial Data Input'!G20+'Financial Data Input'!H20+'Financial Data Input'!I20</f>
        <v>0</v>
      </c>
      <c r="J19" s="46" t="str">
        <f>IFERROR((Summary[[#This Row],[All diverted wastes (tons)]]/(Summary[[#This Row],[All diverted wastes (tons)]]+Summary[[#This Row],[All wastes disposed (tons)]]))," ")</f>
        <v xml:space="preserve"> </v>
      </c>
      <c r="K19" s="1">
        <f>('Performance Data Input'!P20+'Performance Data Input'!Q20)*0.001</f>
        <v>0</v>
      </c>
      <c r="L19" s="45">
        <f>(Summary[[#This Row],[Electricity consumed (MWh)]]*3412142+'Performance Data Input'!R20*0.1037+'Performance Data Input'!S20*91333+'Performance Data Input'!T20*138500+'Performance Data Input'!U20*16400000+'Performance Data Input'!V20*120429+'Performance Data Input'!W20*137381)/1000000</f>
        <v>0</v>
      </c>
      <c r="M19" s="44">
        <f>'Financial Data Input'!O20+'Financial Data Input'!P20+'Financial Data Input'!Q20+'Financial Data Input'!R20+'Financial Data Input'!S20+'Financial Data Input'!T20+'Financial Data Input'!U20</f>
        <v>0</v>
      </c>
      <c r="N19" s="44" t="str">
        <f>IFERROR(Summary[[#This Row],[Energy costs ($)]]/Summary[[#This Row],[Production (tons product)]], " ")</f>
        <v xml:space="preserve"> </v>
      </c>
      <c r="O19" s="42">
        <f>IFERROR('Performance Data Input'!K20+'Performance Data Input'!L20+'Performance Data Input'!M20, " ")</f>
        <v>0</v>
      </c>
      <c r="P19" s="44">
        <f>'Financial Data Input'!J20+'Financial Data Input'!K20+'Financial Data Input'!L20+'Financial Data Input'!M20</f>
        <v>0</v>
      </c>
      <c r="Q19" s="44" t="str">
        <f>IFERROR(Summary[[#This Row],[All wastewater costs ($)]]/'Performance Data Input'!B20, " ")</f>
        <v xml:space="preserve"> </v>
      </c>
      <c r="R19" s="46" t="str">
        <f>IFERROR(('Performance Data Input'!K20+'Performance Data Input'!L20+'Performance Data Input'!M20)/'Performance Data Input'!O20," ")</f>
        <v xml:space="preserve"> </v>
      </c>
      <c r="S19" s="1" t="str">
        <f>IFERROR('Performance Data Input'!O20/'Performance Data Input'!B20," ")</f>
        <v xml:space="preserve"> </v>
      </c>
    </row>
    <row r="20" spans="1:19" x14ac:dyDescent="0.3">
      <c r="A20" s="1" t="s">
        <v>99</v>
      </c>
      <c r="B20" s="42">
        <f>('Performance Data Input'!B21*(31*8.34))/2000</f>
        <v>0</v>
      </c>
      <c r="C20" s="42">
        <f>('Performance Data Input'!C21+'Performance Data Input'!D21+'Performance Data Input'!E21)/2000</f>
        <v>0</v>
      </c>
      <c r="D20" s="44">
        <f>'Financial Data Input'!B21+'Financial Data Input'!C21+'Financial Data Input'!D21</f>
        <v>0</v>
      </c>
      <c r="E20" s="44" t="str">
        <f>IFERROR(Summary[[#This Row],[Disposal costs ($)]]/Summary[[#This Row],[Production (tons product)]], " ")</f>
        <v xml:space="preserve"> </v>
      </c>
      <c r="F20" s="42">
        <f>('Performance Data Input'!G21+'Performance Data Input'!H21)/2000</f>
        <v>0</v>
      </c>
      <c r="G20" s="45">
        <f>('Performance Data Input'!F21+'Performance Data Input'!I21+('Performance Data Input'!J21)*8.35)/2000</f>
        <v>0</v>
      </c>
      <c r="H20" s="42">
        <f>Summary[[#This Row],[All recycling &amp; reuse  (tons)]]+Summary[[#This Row],[Food waste diverted  (tons)]]</f>
        <v>0</v>
      </c>
      <c r="I20" s="44">
        <f>'Financial Data Input'!E21+'Financial Data Input'!F21+'Financial Data Input'!G21+'Financial Data Input'!H21+'Financial Data Input'!I21</f>
        <v>0</v>
      </c>
      <c r="J20" s="46" t="str">
        <f>IFERROR((Summary[[#This Row],[All diverted wastes (tons)]]/(Summary[[#This Row],[All diverted wastes (tons)]]+Summary[[#This Row],[All wastes disposed (tons)]]))," ")</f>
        <v xml:space="preserve"> </v>
      </c>
      <c r="K20" s="1">
        <f>('Performance Data Input'!P21+'Performance Data Input'!Q21)*0.001</f>
        <v>0</v>
      </c>
      <c r="L20" s="45">
        <f>(Summary[[#This Row],[Electricity consumed (MWh)]]*3412142+'Performance Data Input'!R21*0.1037+'Performance Data Input'!S21*91333+'Performance Data Input'!T21*138500+'Performance Data Input'!U21*16400000+'Performance Data Input'!V21*120429+'Performance Data Input'!W21*137381)/1000000</f>
        <v>0</v>
      </c>
      <c r="M20" s="44">
        <f>'Financial Data Input'!O21+'Financial Data Input'!P21+'Financial Data Input'!Q21+'Financial Data Input'!R21+'Financial Data Input'!S21+'Financial Data Input'!T21+'Financial Data Input'!U21</f>
        <v>0</v>
      </c>
      <c r="N20" s="44" t="str">
        <f>IFERROR(Summary[[#This Row],[Energy costs ($)]]/Summary[[#This Row],[Production (tons product)]], " ")</f>
        <v xml:space="preserve"> </v>
      </c>
      <c r="O20" s="42">
        <f>IFERROR('Performance Data Input'!K21+'Performance Data Input'!L21+'Performance Data Input'!M21, " ")</f>
        <v>0</v>
      </c>
      <c r="P20" s="44">
        <f>'Financial Data Input'!J21+'Financial Data Input'!K21+'Financial Data Input'!L21+'Financial Data Input'!M21</f>
        <v>0</v>
      </c>
      <c r="Q20" s="44" t="str">
        <f>IFERROR(Summary[[#This Row],[All wastewater costs ($)]]/'Performance Data Input'!B21, " ")</f>
        <v xml:space="preserve"> </v>
      </c>
      <c r="R20" s="46" t="str">
        <f>IFERROR(('Performance Data Input'!K21+'Performance Data Input'!L21+'Performance Data Input'!M21)/'Performance Data Input'!O21," ")</f>
        <v xml:space="preserve"> </v>
      </c>
      <c r="S20" s="1" t="str">
        <f>IFERROR('Performance Data Input'!O21/'Performance Data Input'!B21," ")</f>
        <v xml:space="preserve"> </v>
      </c>
    </row>
    <row r="21" spans="1:19" x14ac:dyDescent="0.3">
      <c r="A21" s="1" t="s">
        <v>100</v>
      </c>
      <c r="B21" s="42">
        <f>('Performance Data Input'!B22*(31*8.34))/2000</f>
        <v>0</v>
      </c>
      <c r="C21" s="42">
        <f>('Performance Data Input'!C22+'Performance Data Input'!D22+'Performance Data Input'!E22)/2000</f>
        <v>0</v>
      </c>
      <c r="D21" s="44">
        <f>'Financial Data Input'!B22+'Financial Data Input'!C22+'Financial Data Input'!D22</f>
        <v>0</v>
      </c>
      <c r="E21" s="44" t="str">
        <f>IFERROR(Summary[[#This Row],[Disposal costs ($)]]/Summary[[#This Row],[Production (tons product)]], " ")</f>
        <v xml:space="preserve"> </v>
      </c>
      <c r="F21" s="42">
        <f>('Performance Data Input'!G22+'Performance Data Input'!H22)/2000</f>
        <v>0</v>
      </c>
      <c r="G21" s="45">
        <f>('Performance Data Input'!F22+'Performance Data Input'!I22+('Performance Data Input'!J22)*8.35)/2000</f>
        <v>0</v>
      </c>
      <c r="H21" s="42">
        <f>Summary[[#This Row],[All recycling &amp; reuse  (tons)]]+Summary[[#This Row],[Food waste diverted  (tons)]]</f>
        <v>0</v>
      </c>
      <c r="I21" s="44">
        <f>'Financial Data Input'!E22+'Financial Data Input'!F22+'Financial Data Input'!G22+'Financial Data Input'!H22+'Financial Data Input'!I22</f>
        <v>0</v>
      </c>
      <c r="J21" s="46" t="str">
        <f>IFERROR((Summary[[#This Row],[All diverted wastes (tons)]]/(Summary[[#This Row],[All diverted wastes (tons)]]+Summary[[#This Row],[All wastes disposed (tons)]]))," ")</f>
        <v xml:space="preserve"> </v>
      </c>
      <c r="K21" s="1">
        <f>('Performance Data Input'!P22+'Performance Data Input'!Q22)*0.001</f>
        <v>0</v>
      </c>
      <c r="L21" s="45">
        <f>(Summary[[#This Row],[Electricity consumed (MWh)]]*3412142+'Performance Data Input'!R22*0.1037+'Performance Data Input'!S22*91333+'Performance Data Input'!T22*138500+'Performance Data Input'!U22*16400000+'Performance Data Input'!V22*120429+'Performance Data Input'!W22*137381)/1000000</f>
        <v>0</v>
      </c>
      <c r="M21" s="44">
        <f>'Financial Data Input'!O22+'Financial Data Input'!P22+'Financial Data Input'!Q22+'Financial Data Input'!R22+'Financial Data Input'!S22+'Financial Data Input'!T22+'Financial Data Input'!U22</f>
        <v>0</v>
      </c>
      <c r="N21" s="44" t="str">
        <f>IFERROR(Summary[[#This Row],[Energy costs ($)]]/Summary[[#This Row],[Production (tons product)]], " ")</f>
        <v xml:space="preserve"> </v>
      </c>
      <c r="O21" s="42">
        <f>IFERROR('Performance Data Input'!K22+'Performance Data Input'!L22+'Performance Data Input'!M22, " ")</f>
        <v>0</v>
      </c>
      <c r="P21" s="44">
        <f>'Financial Data Input'!J22+'Financial Data Input'!K22+'Financial Data Input'!L22+'Financial Data Input'!M22</f>
        <v>0</v>
      </c>
      <c r="Q21" s="44" t="str">
        <f>IFERROR(Summary[[#This Row],[All wastewater costs ($)]]/'Performance Data Input'!B22, " ")</f>
        <v xml:space="preserve"> </v>
      </c>
      <c r="R21" s="46" t="str">
        <f>IFERROR(('Performance Data Input'!K22+'Performance Data Input'!L22+'Performance Data Input'!M22)/'Performance Data Input'!O22," ")</f>
        <v xml:space="preserve"> </v>
      </c>
      <c r="S21" s="1" t="str">
        <f>IFERROR('Performance Data Input'!O22/'Performance Data Input'!B22," ")</f>
        <v xml:space="preserve"> </v>
      </c>
    </row>
    <row r="22" spans="1:19" x14ac:dyDescent="0.3">
      <c r="A22" s="1" t="s">
        <v>101</v>
      </c>
      <c r="B22" s="42">
        <f>('Performance Data Input'!B23*(31*8.34))/2000</f>
        <v>0</v>
      </c>
      <c r="C22" s="42">
        <f>('Performance Data Input'!C23+'Performance Data Input'!D23+'Performance Data Input'!E23)/2000</f>
        <v>0</v>
      </c>
      <c r="D22" s="44">
        <f>'Financial Data Input'!B23+'Financial Data Input'!C23+'Financial Data Input'!D23</f>
        <v>0</v>
      </c>
      <c r="E22" s="44" t="str">
        <f>IFERROR(Summary[[#This Row],[Disposal costs ($)]]/Summary[[#This Row],[Production (tons product)]], " ")</f>
        <v xml:space="preserve"> </v>
      </c>
      <c r="F22" s="42">
        <f>('Performance Data Input'!G23+'Performance Data Input'!H23)/2000</f>
        <v>0</v>
      </c>
      <c r="G22" s="45">
        <f>('Performance Data Input'!F23+'Performance Data Input'!I23+('Performance Data Input'!J23)*8.35)/2000</f>
        <v>0</v>
      </c>
      <c r="H22" s="42">
        <f>Summary[[#This Row],[All recycling &amp; reuse  (tons)]]+Summary[[#This Row],[Food waste diverted  (tons)]]</f>
        <v>0</v>
      </c>
      <c r="I22" s="44">
        <f>'Financial Data Input'!E23+'Financial Data Input'!F23+'Financial Data Input'!G23+'Financial Data Input'!H23+'Financial Data Input'!I23</f>
        <v>0</v>
      </c>
      <c r="J22" s="46" t="str">
        <f>IFERROR((Summary[[#This Row],[All diverted wastes (tons)]]/(Summary[[#This Row],[All diverted wastes (tons)]]+Summary[[#This Row],[All wastes disposed (tons)]]))," ")</f>
        <v xml:space="preserve"> </v>
      </c>
      <c r="K22" s="1">
        <f>('Performance Data Input'!P23+'Performance Data Input'!Q23)*0.001</f>
        <v>0</v>
      </c>
      <c r="L22" s="45">
        <f>(Summary[[#This Row],[Electricity consumed (MWh)]]*3412142+'Performance Data Input'!R23*0.1037+'Performance Data Input'!S23*91333+'Performance Data Input'!T23*138500+'Performance Data Input'!U23*16400000+'Performance Data Input'!V23*120429+'Performance Data Input'!W23*137381)/1000000</f>
        <v>0</v>
      </c>
      <c r="M22" s="44">
        <f>'Financial Data Input'!O23+'Financial Data Input'!P23+'Financial Data Input'!Q23+'Financial Data Input'!R23+'Financial Data Input'!S23+'Financial Data Input'!T23+'Financial Data Input'!U23</f>
        <v>0</v>
      </c>
      <c r="N22" s="44" t="str">
        <f>IFERROR(Summary[[#This Row],[Energy costs ($)]]/Summary[[#This Row],[Production (tons product)]], " ")</f>
        <v xml:space="preserve"> </v>
      </c>
      <c r="O22" s="42">
        <f>IFERROR('Performance Data Input'!K23+'Performance Data Input'!L23+'Performance Data Input'!M23, " ")</f>
        <v>0</v>
      </c>
      <c r="P22" s="44">
        <f>'Financial Data Input'!J23+'Financial Data Input'!K23+'Financial Data Input'!L23+'Financial Data Input'!M23</f>
        <v>0</v>
      </c>
      <c r="Q22" s="44" t="str">
        <f>IFERROR(Summary[[#This Row],[All wastewater costs ($)]]/'Performance Data Input'!B23, " ")</f>
        <v xml:space="preserve"> </v>
      </c>
      <c r="R22" s="46" t="str">
        <f>IFERROR(('Performance Data Input'!K23+'Performance Data Input'!L23+'Performance Data Input'!M23)/'Performance Data Input'!O23," ")</f>
        <v xml:space="preserve"> </v>
      </c>
      <c r="S22" s="1" t="str">
        <f>IFERROR('Performance Data Input'!O23/'Performance Data Input'!B23," ")</f>
        <v xml:space="preserve"> </v>
      </c>
    </row>
    <row r="23" spans="1:19" x14ac:dyDescent="0.3">
      <c r="A23" s="1" t="s">
        <v>102</v>
      </c>
      <c r="B23" s="42">
        <f>('Performance Data Input'!B24*(31*8.34))/2000</f>
        <v>0</v>
      </c>
      <c r="C23" s="42">
        <f>('Performance Data Input'!C24+'Performance Data Input'!D24+'Performance Data Input'!E24)/2000</f>
        <v>0</v>
      </c>
      <c r="D23" s="44">
        <f>'Financial Data Input'!B24+'Financial Data Input'!C24+'Financial Data Input'!D24</f>
        <v>0</v>
      </c>
      <c r="E23" s="44" t="str">
        <f>IFERROR(Summary[[#This Row],[Disposal costs ($)]]/Summary[[#This Row],[Production (tons product)]], " ")</f>
        <v xml:space="preserve"> </v>
      </c>
      <c r="F23" s="42">
        <f>('Performance Data Input'!G24+'Performance Data Input'!H24)/2000</f>
        <v>0</v>
      </c>
      <c r="G23" s="45">
        <f>('Performance Data Input'!F24+'Performance Data Input'!I24+('Performance Data Input'!J24)*8.35)/2000</f>
        <v>0</v>
      </c>
      <c r="H23" s="42">
        <f>Summary[[#This Row],[All recycling &amp; reuse  (tons)]]+Summary[[#This Row],[Food waste diverted  (tons)]]</f>
        <v>0</v>
      </c>
      <c r="I23" s="44">
        <f>'Financial Data Input'!E24+'Financial Data Input'!F24+'Financial Data Input'!G24+'Financial Data Input'!H24+'Financial Data Input'!I24</f>
        <v>0</v>
      </c>
      <c r="J23" s="46" t="str">
        <f>IFERROR((Summary[[#This Row],[All diverted wastes (tons)]]/(Summary[[#This Row],[All diverted wastes (tons)]]+Summary[[#This Row],[All wastes disposed (tons)]]))," ")</f>
        <v xml:space="preserve"> </v>
      </c>
      <c r="K23" s="1">
        <f>('Performance Data Input'!P24+'Performance Data Input'!Q24)*0.001</f>
        <v>0</v>
      </c>
      <c r="L23" s="45">
        <f>(Summary[[#This Row],[Electricity consumed (MWh)]]*3412142+'Performance Data Input'!R24*0.1037+'Performance Data Input'!S24*91333+'Performance Data Input'!T24*138500+'Performance Data Input'!U24*16400000+'Performance Data Input'!V24*120429+'Performance Data Input'!W24*137381)/1000000</f>
        <v>0</v>
      </c>
      <c r="M23" s="44">
        <f>'Financial Data Input'!O24+'Financial Data Input'!P24+'Financial Data Input'!Q24+'Financial Data Input'!R24+'Financial Data Input'!S24+'Financial Data Input'!T24+'Financial Data Input'!U24</f>
        <v>0</v>
      </c>
      <c r="N23" s="44" t="str">
        <f>IFERROR(Summary[[#This Row],[Energy costs ($)]]/Summary[[#This Row],[Production (tons product)]], " ")</f>
        <v xml:space="preserve"> </v>
      </c>
      <c r="O23" s="42">
        <f>IFERROR('Performance Data Input'!K24+'Performance Data Input'!L24+'Performance Data Input'!M24, " ")</f>
        <v>0</v>
      </c>
      <c r="P23" s="44">
        <f>'Financial Data Input'!J24+'Financial Data Input'!K24+'Financial Data Input'!L24+'Financial Data Input'!M24</f>
        <v>0</v>
      </c>
      <c r="Q23" s="44" t="str">
        <f>IFERROR(Summary[[#This Row],[All wastewater costs ($)]]/'Performance Data Input'!B24, " ")</f>
        <v xml:space="preserve"> </v>
      </c>
      <c r="R23" s="46" t="str">
        <f>IFERROR(('Performance Data Input'!K24+'Performance Data Input'!L24+'Performance Data Input'!M24)/'Performance Data Input'!O24," ")</f>
        <v xml:space="preserve"> </v>
      </c>
      <c r="S23" s="1" t="str">
        <f>IFERROR('Performance Data Input'!O24/'Performance Data Input'!B24," ")</f>
        <v xml:space="preserve"> </v>
      </c>
    </row>
    <row r="24" spans="1:19" x14ac:dyDescent="0.3">
      <c r="A24" s="1" t="s">
        <v>103</v>
      </c>
      <c r="B24" s="42">
        <f>('Performance Data Input'!B25*(31*8.34))/2000</f>
        <v>0</v>
      </c>
      <c r="C24" s="42">
        <f>('Performance Data Input'!C25+'Performance Data Input'!D25+'Performance Data Input'!E25)/2000</f>
        <v>0</v>
      </c>
      <c r="D24" s="44">
        <f>'Financial Data Input'!B25+'Financial Data Input'!C25+'Financial Data Input'!D25</f>
        <v>0</v>
      </c>
      <c r="E24" s="44" t="str">
        <f>IFERROR(Summary[[#This Row],[Disposal costs ($)]]/Summary[[#This Row],[Production (tons product)]], " ")</f>
        <v xml:space="preserve"> </v>
      </c>
      <c r="F24" s="42">
        <f>('Performance Data Input'!G25+'Performance Data Input'!H25)/2000</f>
        <v>0</v>
      </c>
      <c r="G24" s="45">
        <f>('Performance Data Input'!F25+'Performance Data Input'!I25+('Performance Data Input'!J25)*8.35)/2000</f>
        <v>0</v>
      </c>
      <c r="H24" s="42">
        <f>Summary[[#This Row],[All recycling &amp; reuse  (tons)]]+Summary[[#This Row],[Food waste diverted  (tons)]]</f>
        <v>0</v>
      </c>
      <c r="I24" s="44">
        <f>'Financial Data Input'!E25+'Financial Data Input'!F25+'Financial Data Input'!G25+'Financial Data Input'!H25+'Financial Data Input'!I25</f>
        <v>0</v>
      </c>
      <c r="J24" s="46" t="str">
        <f>IFERROR((Summary[[#This Row],[All diverted wastes (tons)]]/(Summary[[#This Row],[All diverted wastes (tons)]]+Summary[[#This Row],[All wastes disposed (tons)]]))," ")</f>
        <v xml:space="preserve"> </v>
      </c>
      <c r="K24" s="1">
        <f>('Performance Data Input'!P25+'Performance Data Input'!Q25)*0.001</f>
        <v>0</v>
      </c>
      <c r="L24" s="45">
        <f>(Summary[[#This Row],[Electricity consumed (MWh)]]*3412142+'Performance Data Input'!R25*0.1037+'Performance Data Input'!S25*91333+'Performance Data Input'!T25*138500+'Performance Data Input'!U25*16400000+'Performance Data Input'!V25*120429+'Performance Data Input'!W25*137381)/1000000</f>
        <v>0</v>
      </c>
      <c r="M24" s="44">
        <f>'Financial Data Input'!O25+'Financial Data Input'!P25+'Financial Data Input'!Q25+'Financial Data Input'!R25+'Financial Data Input'!S25+'Financial Data Input'!T25+'Financial Data Input'!U25</f>
        <v>0</v>
      </c>
      <c r="N24" s="44" t="str">
        <f>IFERROR(Summary[[#This Row],[Energy costs ($)]]/Summary[[#This Row],[Production (tons product)]], " ")</f>
        <v xml:space="preserve"> </v>
      </c>
      <c r="O24" s="42">
        <f>IFERROR('Performance Data Input'!K25+'Performance Data Input'!L25+'Performance Data Input'!M25, " ")</f>
        <v>0</v>
      </c>
      <c r="P24" s="44">
        <f>'Financial Data Input'!J25+'Financial Data Input'!K25+'Financial Data Input'!L25+'Financial Data Input'!M25</f>
        <v>0</v>
      </c>
      <c r="Q24" s="44" t="str">
        <f>IFERROR(Summary[[#This Row],[All wastewater costs ($)]]/'Performance Data Input'!B25, " ")</f>
        <v xml:space="preserve"> </v>
      </c>
      <c r="R24" s="46" t="str">
        <f>IFERROR(('Performance Data Input'!K25+'Performance Data Input'!L25+'Performance Data Input'!M25)/'Performance Data Input'!O25," ")</f>
        <v xml:space="preserve"> </v>
      </c>
      <c r="S24" s="1" t="str">
        <f>IFERROR('Performance Data Input'!O25/'Performance Data Input'!B25," ")</f>
        <v xml:space="preserve"> </v>
      </c>
    </row>
    <row r="25" spans="1:19" x14ac:dyDescent="0.3">
      <c r="A25" s="1" t="s">
        <v>104</v>
      </c>
      <c r="B25" s="42">
        <f>('Performance Data Input'!B26*(31*8.34))/2000</f>
        <v>0</v>
      </c>
      <c r="C25" s="42">
        <f>('Performance Data Input'!C26+'Performance Data Input'!D26+'Performance Data Input'!E26)/2000</f>
        <v>0</v>
      </c>
      <c r="D25" s="44">
        <f>'Financial Data Input'!B26+'Financial Data Input'!C26+'Financial Data Input'!D26</f>
        <v>0</v>
      </c>
      <c r="E25" s="44" t="str">
        <f>IFERROR(Summary[[#This Row],[Disposal costs ($)]]/Summary[[#This Row],[Production (tons product)]], " ")</f>
        <v xml:space="preserve"> </v>
      </c>
      <c r="F25" s="42">
        <f>('Performance Data Input'!G26+'Performance Data Input'!H26)/2000</f>
        <v>0</v>
      </c>
      <c r="G25" s="45">
        <f>('Performance Data Input'!F26+'Performance Data Input'!I26+('Performance Data Input'!J26)*8.35)/2000</f>
        <v>0</v>
      </c>
      <c r="H25" s="42">
        <f>Summary[[#This Row],[All recycling &amp; reuse  (tons)]]+Summary[[#This Row],[Food waste diverted  (tons)]]</f>
        <v>0</v>
      </c>
      <c r="I25" s="44">
        <f>'Financial Data Input'!E26+'Financial Data Input'!F26+'Financial Data Input'!G26+'Financial Data Input'!H26+'Financial Data Input'!I26</f>
        <v>0</v>
      </c>
      <c r="J25" s="46" t="str">
        <f>IFERROR((Summary[[#This Row],[All diverted wastes (tons)]]/(Summary[[#This Row],[All diverted wastes (tons)]]+Summary[[#This Row],[All wastes disposed (tons)]]))," ")</f>
        <v xml:space="preserve"> </v>
      </c>
      <c r="K25" s="1">
        <f>('Performance Data Input'!P26+'Performance Data Input'!Q26)*0.001</f>
        <v>0</v>
      </c>
      <c r="L25" s="45">
        <f>(Summary[[#This Row],[Electricity consumed (MWh)]]*3412142+'Performance Data Input'!R26*0.1037+'Performance Data Input'!S26*91333+'Performance Data Input'!T26*138500+'Performance Data Input'!U26*16400000+'Performance Data Input'!V26*120429+'Performance Data Input'!W26*137381)/1000000</f>
        <v>0</v>
      </c>
      <c r="M25" s="44">
        <f>'Financial Data Input'!O26+'Financial Data Input'!P26+'Financial Data Input'!Q26+'Financial Data Input'!R26+'Financial Data Input'!S26+'Financial Data Input'!T26+'Financial Data Input'!U26</f>
        <v>0</v>
      </c>
      <c r="N25" s="44" t="str">
        <f>IFERROR(Summary[[#This Row],[Energy costs ($)]]/Summary[[#This Row],[Production (tons product)]], " ")</f>
        <v xml:space="preserve"> </v>
      </c>
      <c r="O25" s="42">
        <f>IFERROR('Performance Data Input'!K26+'Performance Data Input'!L26+'Performance Data Input'!M26, " ")</f>
        <v>0</v>
      </c>
      <c r="P25" s="44">
        <f>'Financial Data Input'!J26+'Financial Data Input'!K26+'Financial Data Input'!L26+'Financial Data Input'!M26</f>
        <v>0</v>
      </c>
      <c r="Q25" s="44" t="str">
        <f>IFERROR(Summary[[#This Row],[All wastewater costs ($)]]/'Performance Data Input'!B26, " ")</f>
        <v xml:space="preserve"> </v>
      </c>
      <c r="R25" s="46" t="str">
        <f>IFERROR(('Performance Data Input'!K26+'Performance Data Input'!L26+'Performance Data Input'!M26)/'Performance Data Input'!O26," ")</f>
        <v xml:space="preserve"> </v>
      </c>
      <c r="S25" s="1" t="str">
        <f>IFERROR('Performance Data Input'!O26/'Performance Data Input'!B26," ")</f>
        <v xml:space="preserve"> </v>
      </c>
    </row>
    <row r="26" spans="1:19" x14ac:dyDescent="0.3">
      <c r="A26" s="1" t="s">
        <v>105</v>
      </c>
      <c r="B26" s="42">
        <f>('Performance Data Input'!B27*(31*8.34))/2000</f>
        <v>0</v>
      </c>
      <c r="C26" s="42">
        <f>('Performance Data Input'!C27+'Performance Data Input'!D27+'Performance Data Input'!E27)/2000</f>
        <v>0</v>
      </c>
      <c r="D26" s="44">
        <f>'Financial Data Input'!B27+'Financial Data Input'!C27+'Financial Data Input'!D27</f>
        <v>0</v>
      </c>
      <c r="E26" s="44" t="str">
        <f>IFERROR(Summary[[#This Row],[Disposal costs ($)]]/Summary[[#This Row],[Production (tons product)]], " ")</f>
        <v xml:space="preserve"> </v>
      </c>
      <c r="F26" s="42">
        <f>('Performance Data Input'!G27+'Performance Data Input'!H27)/2000</f>
        <v>0</v>
      </c>
      <c r="G26" s="45">
        <f>('Performance Data Input'!F27+'Performance Data Input'!I27+('Performance Data Input'!J27)*8.35)/2000</f>
        <v>0</v>
      </c>
      <c r="H26" s="42">
        <f>Summary[[#This Row],[All recycling &amp; reuse  (tons)]]+Summary[[#This Row],[Food waste diverted  (tons)]]</f>
        <v>0</v>
      </c>
      <c r="I26" s="44">
        <f>'Financial Data Input'!E27+'Financial Data Input'!F27+'Financial Data Input'!G27+'Financial Data Input'!H27+'Financial Data Input'!I27</f>
        <v>0</v>
      </c>
      <c r="J26" s="46" t="str">
        <f>IFERROR((Summary[[#This Row],[All diverted wastes (tons)]]/(Summary[[#This Row],[All diverted wastes (tons)]]+Summary[[#This Row],[All wastes disposed (tons)]]))," ")</f>
        <v xml:space="preserve"> </v>
      </c>
      <c r="K26" s="1">
        <f>('Performance Data Input'!P27+'Performance Data Input'!Q27)*0.001</f>
        <v>0</v>
      </c>
      <c r="L26" s="45">
        <f>(Summary[[#This Row],[Electricity consumed (MWh)]]*3412142+'Performance Data Input'!R27*0.1037+'Performance Data Input'!S27*91333+'Performance Data Input'!T27*138500+'Performance Data Input'!U27*16400000+'Performance Data Input'!V27*120429+'Performance Data Input'!W27*137381)/1000000</f>
        <v>0</v>
      </c>
      <c r="M26" s="44">
        <f>'Financial Data Input'!O27+'Financial Data Input'!P27+'Financial Data Input'!Q27+'Financial Data Input'!R27+'Financial Data Input'!S27+'Financial Data Input'!T27+'Financial Data Input'!U27</f>
        <v>0</v>
      </c>
      <c r="N26" s="44" t="str">
        <f>IFERROR(Summary[[#This Row],[Energy costs ($)]]/Summary[[#This Row],[Production (tons product)]], " ")</f>
        <v xml:space="preserve"> </v>
      </c>
      <c r="O26" s="42">
        <f>IFERROR('Performance Data Input'!K27+'Performance Data Input'!L27+'Performance Data Input'!M27, " ")</f>
        <v>0</v>
      </c>
      <c r="P26" s="44">
        <f>'Financial Data Input'!J27+'Financial Data Input'!K27+'Financial Data Input'!L27+'Financial Data Input'!M27</f>
        <v>0</v>
      </c>
      <c r="Q26" s="44" t="str">
        <f>IFERROR(Summary[[#This Row],[All wastewater costs ($)]]/'Performance Data Input'!B27, " ")</f>
        <v xml:space="preserve"> </v>
      </c>
      <c r="R26" s="46" t="str">
        <f>IFERROR(('Performance Data Input'!K27+'Performance Data Input'!L27+'Performance Data Input'!M27)/'Performance Data Input'!O27," ")</f>
        <v xml:space="preserve"> </v>
      </c>
      <c r="S26" s="1" t="str">
        <f>IFERROR('Performance Data Input'!O27/'Performance Data Input'!B27," ")</f>
        <v xml:space="preserve"> </v>
      </c>
    </row>
    <row r="27" spans="1:19" x14ac:dyDescent="0.3">
      <c r="A27" s="1" t="s">
        <v>106</v>
      </c>
      <c r="B27" s="42">
        <f>('Performance Data Input'!B28*(31*8.34))/2000</f>
        <v>0</v>
      </c>
      <c r="C27" s="42">
        <f>('Performance Data Input'!C28+'Performance Data Input'!D28+'Performance Data Input'!E28)/2000</f>
        <v>0</v>
      </c>
      <c r="D27" s="44">
        <f>'Financial Data Input'!B28+'Financial Data Input'!C28+'Financial Data Input'!D28</f>
        <v>0</v>
      </c>
      <c r="E27" s="44" t="str">
        <f>IFERROR(Summary[[#This Row],[Disposal costs ($)]]/Summary[[#This Row],[Production (tons product)]], " ")</f>
        <v xml:space="preserve"> </v>
      </c>
      <c r="F27" s="42">
        <f>('Performance Data Input'!G28+'Performance Data Input'!H28)/2000</f>
        <v>0</v>
      </c>
      <c r="G27" s="45">
        <f>('Performance Data Input'!F28+'Performance Data Input'!I28+('Performance Data Input'!J28)*8.35)/2000</f>
        <v>0</v>
      </c>
      <c r="H27" s="42">
        <f>Summary[[#This Row],[All recycling &amp; reuse  (tons)]]+Summary[[#This Row],[Food waste diverted  (tons)]]</f>
        <v>0</v>
      </c>
      <c r="I27" s="44">
        <f>'Financial Data Input'!E28+'Financial Data Input'!F28+'Financial Data Input'!G28+'Financial Data Input'!H28+'Financial Data Input'!I28</f>
        <v>0</v>
      </c>
      <c r="J27" s="46" t="str">
        <f>IFERROR((Summary[[#This Row],[All diverted wastes (tons)]]/(Summary[[#This Row],[All diverted wastes (tons)]]+Summary[[#This Row],[All wastes disposed (tons)]]))," ")</f>
        <v xml:space="preserve"> </v>
      </c>
      <c r="K27" s="1">
        <f>('Performance Data Input'!P28+'Performance Data Input'!Q28)*0.001</f>
        <v>0</v>
      </c>
      <c r="L27" s="45">
        <f>(Summary[[#This Row],[Electricity consumed (MWh)]]*3412142+'Performance Data Input'!R28*0.1037+'Performance Data Input'!S28*91333+'Performance Data Input'!T28*138500+'Performance Data Input'!U28*16400000+'Performance Data Input'!V28*120429+'Performance Data Input'!W28*137381)/1000000</f>
        <v>0</v>
      </c>
      <c r="M27" s="44">
        <f>'Financial Data Input'!O28+'Financial Data Input'!P28+'Financial Data Input'!Q28+'Financial Data Input'!R28+'Financial Data Input'!S28+'Financial Data Input'!T28+'Financial Data Input'!U28</f>
        <v>0</v>
      </c>
      <c r="N27" s="44" t="str">
        <f>IFERROR(Summary[[#This Row],[Energy costs ($)]]/Summary[[#This Row],[Production (tons product)]], " ")</f>
        <v xml:space="preserve"> </v>
      </c>
      <c r="O27" s="42">
        <f>IFERROR('Performance Data Input'!K28+'Performance Data Input'!L28+'Performance Data Input'!M28, " ")</f>
        <v>0</v>
      </c>
      <c r="P27" s="44">
        <f>'Financial Data Input'!J28+'Financial Data Input'!K28+'Financial Data Input'!L28+'Financial Data Input'!M28</f>
        <v>0</v>
      </c>
      <c r="Q27" s="44" t="str">
        <f>IFERROR(Summary[[#This Row],[All wastewater costs ($)]]/'Performance Data Input'!B28, " ")</f>
        <v xml:space="preserve"> </v>
      </c>
      <c r="R27" s="46" t="str">
        <f>IFERROR(('Performance Data Input'!K28+'Performance Data Input'!L28+'Performance Data Input'!M28)/'Performance Data Input'!O28," ")</f>
        <v xml:space="preserve"> </v>
      </c>
      <c r="S27" s="1" t="str">
        <f>IFERROR('Performance Data Input'!O28/'Performance Data Input'!B28," ")</f>
        <v xml:space="preserve"> </v>
      </c>
    </row>
    <row r="28" spans="1:19" x14ac:dyDescent="0.3">
      <c r="A28" s="1" t="s">
        <v>107</v>
      </c>
      <c r="B28" s="42">
        <f>('Performance Data Input'!B29*(31*8.34))/2000</f>
        <v>0</v>
      </c>
      <c r="C28" s="42">
        <f>('Performance Data Input'!C29+'Performance Data Input'!D29+'Performance Data Input'!E29)/2000</f>
        <v>0</v>
      </c>
      <c r="D28" s="44">
        <f>'Financial Data Input'!B29+'Financial Data Input'!C29+'Financial Data Input'!D29</f>
        <v>0</v>
      </c>
      <c r="E28" s="44" t="str">
        <f>IFERROR(Summary[[#This Row],[Disposal costs ($)]]/Summary[[#This Row],[Production (tons product)]], " ")</f>
        <v xml:space="preserve"> </v>
      </c>
      <c r="F28" s="42">
        <f>('Performance Data Input'!G29+'Performance Data Input'!H29)/2000</f>
        <v>0</v>
      </c>
      <c r="G28" s="45">
        <f>('Performance Data Input'!F29+'Performance Data Input'!I29+('Performance Data Input'!J29)*8.35)/2000</f>
        <v>0</v>
      </c>
      <c r="H28" s="42">
        <f>Summary[[#This Row],[All recycling &amp; reuse  (tons)]]+Summary[[#This Row],[Food waste diverted  (tons)]]</f>
        <v>0</v>
      </c>
      <c r="I28" s="44">
        <f>'Financial Data Input'!E29+'Financial Data Input'!F29+'Financial Data Input'!G29+'Financial Data Input'!H29+'Financial Data Input'!I29</f>
        <v>0</v>
      </c>
      <c r="J28" s="46" t="str">
        <f>IFERROR((Summary[[#This Row],[All diverted wastes (tons)]]/(Summary[[#This Row],[All diverted wastes (tons)]]+Summary[[#This Row],[All wastes disposed (tons)]]))," ")</f>
        <v xml:space="preserve"> </v>
      </c>
      <c r="K28" s="1">
        <f>('Performance Data Input'!P29+'Performance Data Input'!Q29)*0.001</f>
        <v>0</v>
      </c>
      <c r="L28" s="45">
        <f>(Summary[[#This Row],[Electricity consumed (MWh)]]*3412142+'Performance Data Input'!R29*0.1037+'Performance Data Input'!S29*91333+'Performance Data Input'!T29*138500+'Performance Data Input'!U29*16400000+'Performance Data Input'!V29*120429+'Performance Data Input'!W29*137381)/1000000</f>
        <v>0</v>
      </c>
      <c r="M28" s="44">
        <f>'Financial Data Input'!O29+'Financial Data Input'!P29+'Financial Data Input'!Q29+'Financial Data Input'!R29+'Financial Data Input'!S29+'Financial Data Input'!T29+'Financial Data Input'!U29</f>
        <v>0</v>
      </c>
      <c r="N28" s="44" t="str">
        <f>IFERROR(Summary[[#This Row],[Energy costs ($)]]/Summary[[#This Row],[Production (tons product)]], " ")</f>
        <v xml:space="preserve"> </v>
      </c>
      <c r="O28" s="42">
        <f>IFERROR('Performance Data Input'!K29+'Performance Data Input'!L29+'Performance Data Input'!M29, " ")</f>
        <v>0</v>
      </c>
      <c r="P28" s="44">
        <f>'Financial Data Input'!J29+'Financial Data Input'!K29+'Financial Data Input'!L29+'Financial Data Input'!M29</f>
        <v>0</v>
      </c>
      <c r="Q28" s="44" t="str">
        <f>IFERROR(Summary[[#This Row],[All wastewater costs ($)]]/'Performance Data Input'!B29, " ")</f>
        <v xml:space="preserve"> </v>
      </c>
      <c r="R28" s="46" t="str">
        <f>IFERROR(('Performance Data Input'!K29+'Performance Data Input'!L29+'Performance Data Input'!M29)/'Performance Data Input'!O29," ")</f>
        <v xml:space="preserve"> </v>
      </c>
      <c r="S28" s="1" t="str">
        <f>IFERROR('Performance Data Input'!O29/'Performance Data Input'!B29," ")</f>
        <v xml:space="preserve"> </v>
      </c>
    </row>
    <row r="29" spans="1:19" x14ac:dyDescent="0.3">
      <c r="A29" s="1" t="s">
        <v>108</v>
      </c>
      <c r="B29" s="42">
        <f>('Performance Data Input'!B30*(31*8.34))/2000</f>
        <v>0</v>
      </c>
      <c r="C29" s="42">
        <f>('Performance Data Input'!C30+'Performance Data Input'!D30+'Performance Data Input'!E30)/2000</f>
        <v>0</v>
      </c>
      <c r="D29" s="44">
        <f>'Financial Data Input'!B30+'Financial Data Input'!C30+'Financial Data Input'!D30</f>
        <v>0</v>
      </c>
      <c r="E29" s="44" t="str">
        <f>IFERROR(Summary[[#This Row],[Disposal costs ($)]]/Summary[[#This Row],[Production (tons product)]], " ")</f>
        <v xml:space="preserve"> </v>
      </c>
      <c r="F29" s="42">
        <f>('Performance Data Input'!G30+'Performance Data Input'!H30)/2000</f>
        <v>0</v>
      </c>
      <c r="G29" s="45">
        <f>('Performance Data Input'!F30+'Performance Data Input'!I30+('Performance Data Input'!J30)*8.35)/2000</f>
        <v>0</v>
      </c>
      <c r="H29" s="42">
        <f>Summary[[#This Row],[All recycling &amp; reuse  (tons)]]+Summary[[#This Row],[Food waste diverted  (tons)]]</f>
        <v>0</v>
      </c>
      <c r="I29" s="44">
        <f>'Financial Data Input'!E30+'Financial Data Input'!F30+'Financial Data Input'!G30+'Financial Data Input'!H30+'Financial Data Input'!I30</f>
        <v>0</v>
      </c>
      <c r="J29" s="46" t="str">
        <f>IFERROR((Summary[[#This Row],[All diverted wastes (tons)]]/(Summary[[#This Row],[All diverted wastes (tons)]]+Summary[[#This Row],[All wastes disposed (tons)]]))," ")</f>
        <v xml:space="preserve"> </v>
      </c>
      <c r="K29" s="1">
        <f>('Performance Data Input'!P30+'Performance Data Input'!Q30)*0.001</f>
        <v>0</v>
      </c>
      <c r="L29" s="45">
        <f>(Summary[[#This Row],[Electricity consumed (MWh)]]*3412142+'Performance Data Input'!R30*0.1037+'Performance Data Input'!S30*91333+'Performance Data Input'!T30*138500+'Performance Data Input'!U30*16400000+'Performance Data Input'!V30*120429+'Performance Data Input'!W30*137381)/1000000</f>
        <v>0</v>
      </c>
      <c r="M29" s="44">
        <f>'Financial Data Input'!O30+'Financial Data Input'!P30+'Financial Data Input'!Q30+'Financial Data Input'!R30+'Financial Data Input'!S30+'Financial Data Input'!T30+'Financial Data Input'!U30</f>
        <v>0</v>
      </c>
      <c r="N29" s="44" t="str">
        <f>IFERROR(Summary[[#This Row],[Energy costs ($)]]/Summary[[#This Row],[Production (tons product)]], " ")</f>
        <v xml:space="preserve"> </v>
      </c>
      <c r="O29" s="42">
        <f>IFERROR('Performance Data Input'!K30+'Performance Data Input'!L30+'Performance Data Input'!M30, " ")</f>
        <v>0</v>
      </c>
      <c r="P29" s="44">
        <f>'Financial Data Input'!J30+'Financial Data Input'!K30+'Financial Data Input'!L30+'Financial Data Input'!M30</f>
        <v>0</v>
      </c>
      <c r="Q29" s="44" t="str">
        <f>IFERROR(Summary[[#This Row],[All wastewater costs ($)]]/'Performance Data Input'!B30, " ")</f>
        <v xml:space="preserve"> </v>
      </c>
      <c r="R29" s="46" t="str">
        <f>IFERROR(('Performance Data Input'!K30+'Performance Data Input'!L30+'Performance Data Input'!M30)/'Performance Data Input'!O30," ")</f>
        <v xml:space="preserve"> </v>
      </c>
      <c r="S29" s="1" t="str">
        <f>IFERROR('Performance Data Input'!O30/'Performance Data Input'!B30," ")</f>
        <v xml:space="preserve"> </v>
      </c>
    </row>
    <row r="30" spans="1:19" x14ac:dyDescent="0.3">
      <c r="A30" s="1" t="s">
        <v>109</v>
      </c>
      <c r="B30" s="42">
        <f>('Performance Data Input'!B31*(31*8.34))/2000</f>
        <v>0</v>
      </c>
      <c r="C30" s="42">
        <f>('Performance Data Input'!C31+'Performance Data Input'!D31+'Performance Data Input'!E31)/2000</f>
        <v>0</v>
      </c>
      <c r="D30" s="44">
        <f>'Financial Data Input'!B31+'Financial Data Input'!C31+'Financial Data Input'!D31</f>
        <v>0</v>
      </c>
      <c r="E30" s="44" t="str">
        <f>IFERROR(Summary[[#This Row],[Disposal costs ($)]]/Summary[[#This Row],[Production (tons product)]], " ")</f>
        <v xml:space="preserve"> </v>
      </c>
      <c r="F30" s="42">
        <f>('Performance Data Input'!G31+'Performance Data Input'!H31)/2000</f>
        <v>0</v>
      </c>
      <c r="G30" s="45">
        <f>('Performance Data Input'!F31+'Performance Data Input'!I31+('Performance Data Input'!J31)*8.35)/2000</f>
        <v>0</v>
      </c>
      <c r="H30" s="42">
        <f>Summary[[#This Row],[All recycling &amp; reuse  (tons)]]+Summary[[#This Row],[Food waste diverted  (tons)]]</f>
        <v>0</v>
      </c>
      <c r="I30" s="44">
        <f>'Financial Data Input'!E31+'Financial Data Input'!F31+'Financial Data Input'!G31+'Financial Data Input'!H31+'Financial Data Input'!I31</f>
        <v>0</v>
      </c>
      <c r="J30" s="46" t="str">
        <f>IFERROR((Summary[[#This Row],[All diverted wastes (tons)]]/(Summary[[#This Row],[All diverted wastes (tons)]]+Summary[[#This Row],[All wastes disposed (tons)]]))," ")</f>
        <v xml:space="preserve"> </v>
      </c>
      <c r="K30" s="1">
        <f>('Performance Data Input'!P31+'Performance Data Input'!Q31)*0.001</f>
        <v>0</v>
      </c>
      <c r="L30" s="45">
        <f>(Summary[[#This Row],[Electricity consumed (MWh)]]*3412142+'Performance Data Input'!R31*0.1037+'Performance Data Input'!S31*91333+'Performance Data Input'!T31*138500+'Performance Data Input'!U31*16400000+'Performance Data Input'!V31*120429+'Performance Data Input'!W31*137381)/1000000</f>
        <v>0</v>
      </c>
      <c r="M30" s="44">
        <f>'Financial Data Input'!O31+'Financial Data Input'!P31+'Financial Data Input'!Q31+'Financial Data Input'!R31+'Financial Data Input'!S31+'Financial Data Input'!T31+'Financial Data Input'!U31</f>
        <v>0</v>
      </c>
      <c r="N30" s="44" t="str">
        <f>IFERROR(Summary[[#This Row],[Energy costs ($)]]/Summary[[#This Row],[Production (tons product)]], " ")</f>
        <v xml:space="preserve"> </v>
      </c>
      <c r="O30" s="42">
        <f>IFERROR('Performance Data Input'!K31+'Performance Data Input'!L31+'Performance Data Input'!M31, " ")</f>
        <v>0</v>
      </c>
      <c r="P30" s="44">
        <f>'Financial Data Input'!J31+'Financial Data Input'!K31+'Financial Data Input'!L31+'Financial Data Input'!M31</f>
        <v>0</v>
      </c>
      <c r="Q30" s="44" t="str">
        <f>IFERROR(Summary[[#This Row],[All wastewater costs ($)]]/'Performance Data Input'!B31, " ")</f>
        <v xml:space="preserve"> </v>
      </c>
      <c r="R30" s="46" t="str">
        <f>IFERROR(('Performance Data Input'!K31+'Performance Data Input'!L31+'Performance Data Input'!M31)/'Performance Data Input'!O31," ")</f>
        <v xml:space="preserve"> </v>
      </c>
      <c r="S30" s="1" t="str">
        <f>IFERROR('Performance Data Input'!O31/'Performance Data Input'!B31," ")</f>
        <v xml:space="preserve"> </v>
      </c>
    </row>
    <row r="31" spans="1:19" x14ac:dyDescent="0.3">
      <c r="A31" s="1" t="s">
        <v>110</v>
      </c>
      <c r="B31" s="42">
        <f>('Performance Data Input'!B32*(31*8.34))/2000</f>
        <v>0</v>
      </c>
      <c r="C31" s="42">
        <f>('Performance Data Input'!C32+'Performance Data Input'!D32+'Performance Data Input'!E32)/2000</f>
        <v>0</v>
      </c>
      <c r="D31" s="44">
        <f>'Financial Data Input'!B32+'Financial Data Input'!C32+'Financial Data Input'!D32</f>
        <v>0</v>
      </c>
      <c r="E31" s="44" t="str">
        <f>IFERROR(Summary[[#This Row],[Disposal costs ($)]]/Summary[[#This Row],[Production (tons product)]], " ")</f>
        <v xml:space="preserve"> </v>
      </c>
      <c r="F31" s="42">
        <f>('Performance Data Input'!G32+'Performance Data Input'!H32)/2000</f>
        <v>0</v>
      </c>
      <c r="G31" s="45">
        <f>('Performance Data Input'!F32+'Performance Data Input'!I32+('Performance Data Input'!J32)*8.35)/2000</f>
        <v>0</v>
      </c>
      <c r="H31" s="42">
        <f>Summary[[#This Row],[All recycling &amp; reuse  (tons)]]+Summary[[#This Row],[Food waste diverted  (tons)]]</f>
        <v>0</v>
      </c>
      <c r="I31" s="44">
        <f>'Financial Data Input'!E32+'Financial Data Input'!F32+'Financial Data Input'!G32+'Financial Data Input'!H32+'Financial Data Input'!I32</f>
        <v>0</v>
      </c>
      <c r="J31" s="46" t="str">
        <f>IFERROR((Summary[[#This Row],[All diverted wastes (tons)]]/(Summary[[#This Row],[All diverted wastes (tons)]]+Summary[[#This Row],[All wastes disposed (tons)]]))," ")</f>
        <v xml:space="preserve"> </v>
      </c>
      <c r="K31" s="1">
        <f>('Performance Data Input'!P32+'Performance Data Input'!Q32)*0.001</f>
        <v>0</v>
      </c>
      <c r="L31" s="45">
        <f>(Summary[[#This Row],[Electricity consumed (MWh)]]*3412142+'Performance Data Input'!R32*0.1037+'Performance Data Input'!S32*91333+'Performance Data Input'!T32*138500+'Performance Data Input'!U32*16400000+'Performance Data Input'!V32*120429+'Performance Data Input'!W32*137381)/1000000</f>
        <v>0</v>
      </c>
      <c r="M31" s="44">
        <f>'Financial Data Input'!O32+'Financial Data Input'!P32+'Financial Data Input'!Q32+'Financial Data Input'!R32+'Financial Data Input'!S32+'Financial Data Input'!T32+'Financial Data Input'!U32</f>
        <v>0</v>
      </c>
      <c r="N31" s="44" t="str">
        <f>IFERROR(Summary[[#This Row],[Energy costs ($)]]/Summary[[#This Row],[Production (tons product)]], " ")</f>
        <v xml:space="preserve"> </v>
      </c>
      <c r="O31" s="42">
        <f>IFERROR('Performance Data Input'!K32+'Performance Data Input'!L32+'Performance Data Input'!M32, " ")</f>
        <v>0</v>
      </c>
      <c r="P31" s="44">
        <f>'Financial Data Input'!J32+'Financial Data Input'!K32+'Financial Data Input'!L32+'Financial Data Input'!M32</f>
        <v>0</v>
      </c>
      <c r="Q31" s="44" t="str">
        <f>IFERROR(Summary[[#This Row],[All wastewater costs ($)]]/'Performance Data Input'!B32, " ")</f>
        <v xml:space="preserve"> </v>
      </c>
      <c r="R31" s="46" t="str">
        <f>IFERROR(('Performance Data Input'!K32+'Performance Data Input'!L32+'Performance Data Input'!M32)/'Performance Data Input'!O32," ")</f>
        <v xml:space="preserve"> </v>
      </c>
      <c r="S31" s="1" t="str">
        <f>IFERROR('Performance Data Input'!O32/'Performance Data Input'!B32," ")</f>
        <v xml:space="preserve"> </v>
      </c>
    </row>
    <row r="32" spans="1:19" x14ac:dyDescent="0.3">
      <c r="A32" s="1" t="s">
        <v>111</v>
      </c>
      <c r="B32" s="42">
        <f>('Performance Data Input'!B33*(31*8.34))/2000</f>
        <v>0</v>
      </c>
      <c r="C32" s="42">
        <f>('Performance Data Input'!C33+'Performance Data Input'!D33+'Performance Data Input'!E33)/2000</f>
        <v>0</v>
      </c>
      <c r="D32" s="44">
        <f>'Financial Data Input'!B33+'Financial Data Input'!C33+'Financial Data Input'!D33</f>
        <v>0</v>
      </c>
      <c r="E32" s="44" t="str">
        <f>IFERROR(Summary[[#This Row],[Disposal costs ($)]]/Summary[[#This Row],[Production (tons product)]], " ")</f>
        <v xml:space="preserve"> </v>
      </c>
      <c r="F32" s="42">
        <f>('Performance Data Input'!G33+'Performance Data Input'!H33)/2000</f>
        <v>0</v>
      </c>
      <c r="G32" s="45">
        <f>('Performance Data Input'!F33+'Performance Data Input'!I33+('Performance Data Input'!J33)*8.35)/2000</f>
        <v>0</v>
      </c>
      <c r="H32" s="42">
        <f>Summary[[#This Row],[All recycling &amp; reuse  (tons)]]+Summary[[#This Row],[Food waste diverted  (tons)]]</f>
        <v>0</v>
      </c>
      <c r="I32" s="44">
        <f>'Financial Data Input'!E33+'Financial Data Input'!F33+'Financial Data Input'!G33+'Financial Data Input'!H33+'Financial Data Input'!I33</f>
        <v>0</v>
      </c>
      <c r="J32" s="46" t="str">
        <f>IFERROR((Summary[[#This Row],[All diverted wastes (tons)]]/(Summary[[#This Row],[All diverted wastes (tons)]]+Summary[[#This Row],[All wastes disposed (tons)]]))," ")</f>
        <v xml:space="preserve"> </v>
      </c>
      <c r="K32" s="1">
        <f>('Performance Data Input'!P33+'Performance Data Input'!Q33)*0.001</f>
        <v>0</v>
      </c>
      <c r="L32" s="45">
        <f>(Summary[[#This Row],[Electricity consumed (MWh)]]*3412142+'Performance Data Input'!R33*0.1037+'Performance Data Input'!S33*91333+'Performance Data Input'!T33*138500+'Performance Data Input'!U33*16400000+'Performance Data Input'!V33*120429+'Performance Data Input'!W33*137381)/1000000</f>
        <v>0</v>
      </c>
      <c r="M32" s="44">
        <f>'Financial Data Input'!O33+'Financial Data Input'!P33+'Financial Data Input'!Q33+'Financial Data Input'!R33+'Financial Data Input'!S33+'Financial Data Input'!T33+'Financial Data Input'!U33</f>
        <v>0</v>
      </c>
      <c r="N32" s="44" t="str">
        <f>IFERROR(Summary[[#This Row],[Energy costs ($)]]/Summary[[#This Row],[Production (tons product)]], " ")</f>
        <v xml:space="preserve"> </v>
      </c>
      <c r="O32" s="42">
        <f>IFERROR('Performance Data Input'!K33+'Performance Data Input'!L33+'Performance Data Input'!M33, " ")</f>
        <v>0</v>
      </c>
      <c r="P32" s="44">
        <f>'Financial Data Input'!J33+'Financial Data Input'!K33+'Financial Data Input'!L33+'Financial Data Input'!M33</f>
        <v>0</v>
      </c>
      <c r="Q32" s="44" t="str">
        <f>IFERROR(Summary[[#This Row],[All wastewater costs ($)]]/'Performance Data Input'!B33, " ")</f>
        <v xml:space="preserve"> </v>
      </c>
      <c r="R32" s="46" t="str">
        <f>IFERROR(('Performance Data Input'!K33+'Performance Data Input'!L33+'Performance Data Input'!M33)/'Performance Data Input'!O33," ")</f>
        <v xml:space="preserve"> </v>
      </c>
      <c r="S32" s="1" t="str">
        <f>IFERROR('Performance Data Input'!O33/'Performance Data Input'!B33," ")</f>
        <v xml:space="preserve"> </v>
      </c>
    </row>
    <row r="33" spans="1:19" x14ac:dyDescent="0.3">
      <c r="A33" s="1" t="s">
        <v>112</v>
      </c>
      <c r="B33" s="42">
        <f>('Performance Data Input'!B34*(31*8.34))/2000</f>
        <v>0</v>
      </c>
      <c r="C33" s="42">
        <f>('Performance Data Input'!C34+'Performance Data Input'!D34+'Performance Data Input'!E34)/2000</f>
        <v>0</v>
      </c>
      <c r="D33" s="44">
        <f>'Financial Data Input'!B34+'Financial Data Input'!C34+'Financial Data Input'!D34</f>
        <v>0</v>
      </c>
      <c r="E33" s="44" t="str">
        <f>IFERROR(Summary[[#This Row],[Disposal costs ($)]]/Summary[[#This Row],[Production (tons product)]], " ")</f>
        <v xml:space="preserve"> </v>
      </c>
      <c r="F33" s="42">
        <f>('Performance Data Input'!G34+'Performance Data Input'!H34)/2000</f>
        <v>0</v>
      </c>
      <c r="G33" s="45">
        <f>('Performance Data Input'!F34+'Performance Data Input'!I34+('Performance Data Input'!J34)*8.35)/2000</f>
        <v>0</v>
      </c>
      <c r="H33" s="42">
        <f>Summary[[#This Row],[All recycling &amp; reuse  (tons)]]+Summary[[#This Row],[Food waste diverted  (tons)]]</f>
        <v>0</v>
      </c>
      <c r="I33" s="44">
        <f>'Financial Data Input'!E34+'Financial Data Input'!F34+'Financial Data Input'!G34+'Financial Data Input'!H34+'Financial Data Input'!I34</f>
        <v>0</v>
      </c>
      <c r="J33" s="46" t="str">
        <f>IFERROR((Summary[[#This Row],[All diverted wastes (tons)]]/(Summary[[#This Row],[All diverted wastes (tons)]]+Summary[[#This Row],[All wastes disposed (tons)]]))," ")</f>
        <v xml:space="preserve"> </v>
      </c>
      <c r="K33" s="1">
        <f>('Performance Data Input'!P34+'Performance Data Input'!Q34)*0.001</f>
        <v>0</v>
      </c>
      <c r="L33" s="45">
        <f>(Summary[[#This Row],[Electricity consumed (MWh)]]*3412142+'Performance Data Input'!R34*0.1037+'Performance Data Input'!S34*91333+'Performance Data Input'!T34*138500+'Performance Data Input'!U34*16400000+'Performance Data Input'!V34*120429+'Performance Data Input'!W34*137381)/1000000</f>
        <v>0</v>
      </c>
      <c r="M33" s="44">
        <f>'Financial Data Input'!O34+'Financial Data Input'!P34+'Financial Data Input'!Q34+'Financial Data Input'!R34+'Financial Data Input'!S34+'Financial Data Input'!T34+'Financial Data Input'!U34</f>
        <v>0</v>
      </c>
      <c r="N33" s="44" t="str">
        <f>IFERROR(Summary[[#This Row],[Energy costs ($)]]/Summary[[#This Row],[Production (tons product)]], " ")</f>
        <v xml:space="preserve"> </v>
      </c>
      <c r="O33" s="42">
        <f>IFERROR('Performance Data Input'!K34+'Performance Data Input'!L34+'Performance Data Input'!M34, " ")</f>
        <v>0</v>
      </c>
      <c r="P33" s="44">
        <f>'Financial Data Input'!J34+'Financial Data Input'!K34+'Financial Data Input'!L34+'Financial Data Input'!M34</f>
        <v>0</v>
      </c>
      <c r="Q33" s="44" t="str">
        <f>IFERROR(Summary[[#This Row],[All wastewater costs ($)]]/'Performance Data Input'!B34, " ")</f>
        <v xml:space="preserve"> </v>
      </c>
      <c r="R33" s="46" t="str">
        <f>IFERROR(('Performance Data Input'!K34+'Performance Data Input'!L34+'Performance Data Input'!M34)/'Performance Data Input'!O34," ")</f>
        <v xml:space="preserve"> </v>
      </c>
      <c r="S33" s="1" t="str">
        <f>IFERROR('Performance Data Input'!O34/'Performance Data Input'!B34," ")</f>
        <v xml:space="preserve"> </v>
      </c>
    </row>
    <row r="34" spans="1:19" x14ac:dyDescent="0.3">
      <c r="A34" s="1" t="s">
        <v>113</v>
      </c>
      <c r="B34" s="42">
        <f>('Performance Data Input'!B35*(31*8.34))/2000</f>
        <v>0</v>
      </c>
      <c r="C34" s="42">
        <f>('Performance Data Input'!C35+'Performance Data Input'!D35+'Performance Data Input'!E35)/2000</f>
        <v>0</v>
      </c>
      <c r="D34" s="44">
        <f>'Financial Data Input'!B35+'Financial Data Input'!C35+'Financial Data Input'!D35</f>
        <v>0</v>
      </c>
      <c r="E34" s="44" t="str">
        <f>IFERROR(Summary[[#This Row],[Disposal costs ($)]]/Summary[[#This Row],[Production (tons product)]], " ")</f>
        <v xml:space="preserve"> </v>
      </c>
      <c r="F34" s="42">
        <f>('Performance Data Input'!G35+'Performance Data Input'!H35)/2000</f>
        <v>0</v>
      </c>
      <c r="G34" s="45">
        <f>('Performance Data Input'!F35+'Performance Data Input'!I35+('Performance Data Input'!J35)*8.35)/2000</f>
        <v>0</v>
      </c>
      <c r="H34" s="42">
        <f>Summary[[#This Row],[All recycling &amp; reuse  (tons)]]+Summary[[#This Row],[Food waste diverted  (tons)]]</f>
        <v>0</v>
      </c>
      <c r="I34" s="44">
        <f>'Financial Data Input'!E35+'Financial Data Input'!F35+'Financial Data Input'!G35+'Financial Data Input'!H35+'Financial Data Input'!I35</f>
        <v>0</v>
      </c>
      <c r="J34" s="46" t="str">
        <f>IFERROR((Summary[[#This Row],[All diverted wastes (tons)]]/(Summary[[#This Row],[All diverted wastes (tons)]]+Summary[[#This Row],[All wastes disposed (tons)]]))," ")</f>
        <v xml:space="preserve"> </v>
      </c>
      <c r="K34" s="1">
        <f>('Performance Data Input'!P35+'Performance Data Input'!Q35)*0.001</f>
        <v>0</v>
      </c>
      <c r="L34" s="45">
        <f>(Summary[[#This Row],[Electricity consumed (MWh)]]*3412142+'Performance Data Input'!R35*0.1037+'Performance Data Input'!S35*91333+'Performance Data Input'!T35*138500+'Performance Data Input'!U35*16400000+'Performance Data Input'!V35*120429+'Performance Data Input'!W35*137381)/1000000</f>
        <v>0</v>
      </c>
      <c r="M34" s="44">
        <f>'Financial Data Input'!O35+'Financial Data Input'!P35+'Financial Data Input'!Q35+'Financial Data Input'!R35+'Financial Data Input'!S35+'Financial Data Input'!T35+'Financial Data Input'!U35</f>
        <v>0</v>
      </c>
      <c r="N34" s="44" t="str">
        <f>IFERROR(Summary[[#This Row],[Energy costs ($)]]/Summary[[#This Row],[Production (tons product)]], " ")</f>
        <v xml:space="preserve"> </v>
      </c>
      <c r="O34" s="42">
        <f>IFERROR('Performance Data Input'!K35+'Performance Data Input'!L35+'Performance Data Input'!M35, " ")</f>
        <v>0</v>
      </c>
      <c r="P34" s="44">
        <f>'Financial Data Input'!J35+'Financial Data Input'!K35+'Financial Data Input'!L35+'Financial Data Input'!M35</f>
        <v>0</v>
      </c>
      <c r="Q34" s="44" t="str">
        <f>IFERROR(Summary[[#This Row],[All wastewater costs ($)]]/'Performance Data Input'!B35, " ")</f>
        <v xml:space="preserve"> </v>
      </c>
      <c r="R34" s="46" t="str">
        <f>IFERROR(('Performance Data Input'!K35+'Performance Data Input'!L35+'Performance Data Input'!M35)/'Performance Data Input'!O35," ")</f>
        <v xml:space="preserve"> </v>
      </c>
      <c r="S34" s="1" t="str">
        <f>IFERROR('Performance Data Input'!O35/'Performance Data Input'!B35," ")</f>
        <v xml:space="preserve"> </v>
      </c>
    </row>
    <row r="35" spans="1:19" x14ac:dyDescent="0.3">
      <c r="A35" s="1" t="s">
        <v>114</v>
      </c>
      <c r="B35" s="42">
        <f>('Performance Data Input'!B36*(31*8.34))/2000</f>
        <v>0</v>
      </c>
      <c r="C35" s="42">
        <f>('Performance Data Input'!C36+'Performance Data Input'!D36+'Performance Data Input'!E36)/2000</f>
        <v>0</v>
      </c>
      <c r="D35" s="44">
        <f>'Financial Data Input'!B36+'Financial Data Input'!C36+'Financial Data Input'!D36</f>
        <v>0</v>
      </c>
      <c r="E35" s="44" t="str">
        <f>IFERROR(Summary[[#This Row],[Disposal costs ($)]]/Summary[[#This Row],[Production (tons product)]], " ")</f>
        <v xml:space="preserve"> </v>
      </c>
      <c r="F35" s="42">
        <f>('Performance Data Input'!G36+'Performance Data Input'!H36)/2000</f>
        <v>0</v>
      </c>
      <c r="G35" s="45">
        <f>('Performance Data Input'!F36+'Performance Data Input'!I36+('Performance Data Input'!J36)*8.35)/2000</f>
        <v>0</v>
      </c>
      <c r="H35" s="42">
        <f>Summary[[#This Row],[All recycling &amp; reuse  (tons)]]+Summary[[#This Row],[Food waste diverted  (tons)]]</f>
        <v>0</v>
      </c>
      <c r="I35" s="44">
        <f>'Financial Data Input'!E36+'Financial Data Input'!F36+'Financial Data Input'!G36+'Financial Data Input'!H36+'Financial Data Input'!I36</f>
        <v>0</v>
      </c>
      <c r="J35" s="46" t="str">
        <f>IFERROR((Summary[[#This Row],[All diverted wastes (tons)]]/(Summary[[#This Row],[All diverted wastes (tons)]]+Summary[[#This Row],[All wastes disposed (tons)]]))," ")</f>
        <v xml:space="preserve"> </v>
      </c>
      <c r="K35" s="1">
        <f>('Performance Data Input'!P36+'Performance Data Input'!Q36)*0.001</f>
        <v>0</v>
      </c>
      <c r="L35" s="45">
        <f>(Summary[[#This Row],[Electricity consumed (MWh)]]*3412142+'Performance Data Input'!R36*0.1037+'Performance Data Input'!S36*91333+'Performance Data Input'!T36*138500+'Performance Data Input'!U36*16400000+'Performance Data Input'!V36*120429+'Performance Data Input'!W36*137381)/1000000</f>
        <v>0</v>
      </c>
      <c r="M35" s="44">
        <f>'Financial Data Input'!O36+'Financial Data Input'!P36+'Financial Data Input'!Q36+'Financial Data Input'!R36+'Financial Data Input'!S36+'Financial Data Input'!T36+'Financial Data Input'!U36</f>
        <v>0</v>
      </c>
      <c r="N35" s="44" t="str">
        <f>IFERROR(Summary[[#This Row],[Energy costs ($)]]/Summary[[#This Row],[Production (tons product)]], " ")</f>
        <v xml:space="preserve"> </v>
      </c>
      <c r="O35" s="42">
        <f>IFERROR('Performance Data Input'!K36+'Performance Data Input'!L36+'Performance Data Input'!M36, " ")</f>
        <v>0</v>
      </c>
      <c r="P35" s="44">
        <f>'Financial Data Input'!J36+'Financial Data Input'!K36+'Financial Data Input'!L36+'Financial Data Input'!M36</f>
        <v>0</v>
      </c>
      <c r="Q35" s="44" t="str">
        <f>IFERROR(Summary[[#This Row],[All wastewater costs ($)]]/'Performance Data Input'!B36, " ")</f>
        <v xml:space="preserve"> </v>
      </c>
      <c r="R35" s="46" t="str">
        <f>IFERROR(('Performance Data Input'!K36+'Performance Data Input'!L36+'Performance Data Input'!M36)/'Performance Data Input'!O36," ")</f>
        <v xml:space="preserve"> </v>
      </c>
      <c r="S35" s="1" t="str">
        <f>IFERROR('Performance Data Input'!O36/'Performance Data Input'!B36," ")</f>
        <v xml:space="preserve"> </v>
      </c>
    </row>
    <row r="36" spans="1:19" x14ac:dyDescent="0.3">
      <c r="A36" s="1" t="s">
        <v>115</v>
      </c>
      <c r="B36" s="42">
        <f>('Performance Data Input'!B37*(31*8.34))/2000</f>
        <v>0</v>
      </c>
      <c r="C36" s="42">
        <f>('Performance Data Input'!C37+'Performance Data Input'!D37+'Performance Data Input'!E37)/2000</f>
        <v>0</v>
      </c>
      <c r="D36" s="44">
        <f>'Financial Data Input'!B37+'Financial Data Input'!C37+'Financial Data Input'!D37</f>
        <v>0</v>
      </c>
      <c r="E36" s="44" t="str">
        <f>IFERROR(Summary[[#This Row],[Disposal costs ($)]]/Summary[[#This Row],[Production (tons product)]], " ")</f>
        <v xml:space="preserve"> </v>
      </c>
      <c r="F36" s="42">
        <f>('Performance Data Input'!G37+'Performance Data Input'!H37)/2000</f>
        <v>0</v>
      </c>
      <c r="G36" s="45">
        <f>('Performance Data Input'!F37+'Performance Data Input'!I37+('Performance Data Input'!J37)*8.35)/2000</f>
        <v>0</v>
      </c>
      <c r="H36" s="42">
        <f>Summary[[#This Row],[All recycling &amp; reuse  (tons)]]+Summary[[#This Row],[Food waste diverted  (tons)]]</f>
        <v>0</v>
      </c>
      <c r="I36" s="44">
        <f>'Financial Data Input'!E37+'Financial Data Input'!F37+'Financial Data Input'!G37+'Financial Data Input'!H37+'Financial Data Input'!I37</f>
        <v>0</v>
      </c>
      <c r="J36" s="46" t="str">
        <f>IFERROR((Summary[[#This Row],[All diverted wastes (tons)]]/(Summary[[#This Row],[All diverted wastes (tons)]]+Summary[[#This Row],[All wastes disposed (tons)]]))," ")</f>
        <v xml:space="preserve"> </v>
      </c>
      <c r="K36" s="1">
        <f>('Performance Data Input'!P37+'Performance Data Input'!Q37)*0.001</f>
        <v>0</v>
      </c>
      <c r="L36" s="45">
        <f>(Summary[[#This Row],[Electricity consumed (MWh)]]*3412142+'Performance Data Input'!R37*0.1037+'Performance Data Input'!S37*91333+'Performance Data Input'!T37*138500+'Performance Data Input'!U37*16400000+'Performance Data Input'!V37*120429+'Performance Data Input'!W37*137381)/1000000</f>
        <v>0</v>
      </c>
      <c r="M36" s="44">
        <f>'Financial Data Input'!O37+'Financial Data Input'!P37+'Financial Data Input'!Q37+'Financial Data Input'!R37+'Financial Data Input'!S37+'Financial Data Input'!T37+'Financial Data Input'!U37</f>
        <v>0</v>
      </c>
      <c r="N36" s="44" t="str">
        <f>IFERROR(Summary[[#This Row],[Energy costs ($)]]/Summary[[#This Row],[Production (tons product)]], " ")</f>
        <v xml:space="preserve"> </v>
      </c>
      <c r="O36" s="42">
        <f>IFERROR('Performance Data Input'!K37+'Performance Data Input'!L37+'Performance Data Input'!M37, " ")</f>
        <v>0</v>
      </c>
      <c r="P36" s="44">
        <f>'Financial Data Input'!J37+'Financial Data Input'!K37+'Financial Data Input'!L37+'Financial Data Input'!M37</f>
        <v>0</v>
      </c>
      <c r="Q36" s="44" t="str">
        <f>IFERROR(Summary[[#This Row],[All wastewater costs ($)]]/'Performance Data Input'!B37, " ")</f>
        <v xml:space="preserve"> </v>
      </c>
      <c r="R36" s="46" t="str">
        <f>IFERROR(('Performance Data Input'!K37+'Performance Data Input'!L37+'Performance Data Input'!M37)/'Performance Data Input'!O37," ")</f>
        <v xml:space="preserve"> </v>
      </c>
      <c r="S36" s="1" t="str">
        <f>IFERROR('Performance Data Input'!O37/'Performance Data Input'!B37," ")</f>
        <v xml:space="preserve"> </v>
      </c>
    </row>
    <row r="37" spans="1:19" x14ac:dyDescent="0.3">
      <c r="A37" s="1" t="s">
        <v>116</v>
      </c>
      <c r="B37" s="42">
        <f>('Performance Data Input'!B38*(31*8.34))/2000</f>
        <v>0</v>
      </c>
      <c r="C37" s="42">
        <f>('Performance Data Input'!C38+'Performance Data Input'!D38+'Performance Data Input'!E38)/2000</f>
        <v>0</v>
      </c>
      <c r="D37" s="44">
        <f>'Financial Data Input'!B38+'Financial Data Input'!C38+'Financial Data Input'!D38</f>
        <v>0</v>
      </c>
      <c r="E37" s="44" t="str">
        <f>IFERROR(Summary[[#This Row],[Disposal costs ($)]]/Summary[[#This Row],[Production (tons product)]], " ")</f>
        <v xml:space="preserve"> </v>
      </c>
      <c r="F37" s="42">
        <f>('Performance Data Input'!G38+'Performance Data Input'!H38)/2000</f>
        <v>0</v>
      </c>
      <c r="G37" s="45">
        <f>('Performance Data Input'!F38+'Performance Data Input'!I38+('Performance Data Input'!J38)*8.35)/2000</f>
        <v>0</v>
      </c>
      <c r="H37" s="42">
        <f>Summary[[#This Row],[All recycling &amp; reuse  (tons)]]+Summary[[#This Row],[Food waste diverted  (tons)]]</f>
        <v>0</v>
      </c>
      <c r="I37" s="44">
        <f>'Financial Data Input'!E38+'Financial Data Input'!F38+'Financial Data Input'!G38+'Financial Data Input'!H38+'Financial Data Input'!I38</f>
        <v>0</v>
      </c>
      <c r="J37" s="46" t="str">
        <f>IFERROR((Summary[[#This Row],[All diverted wastes (tons)]]/(Summary[[#This Row],[All diverted wastes (tons)]]+Summary[[#This Row],[All wastes disposed (tons)]]))," ")</f>
        <v xml:space="preserve"> </v>
      </c>
      <c r="K37" s="1">
        <f>('Performance Data Input'!P38+'Performance Data Input'!Q38)*0.001</f>
        <v>0</v>
      </c>
      <c r="L37" s="45">
        <f>(Summary[[#This Row],[Electricity consumed (MWh)]]*3412142+'Performance Data Input'!R38*0.1037+'Performance Data Input'!S38*91333+'Performance Data Input'!T38*138500+'Performance Data Input'!U38*16400000+'Performance Data Input'!V38*120429+'Performance Data Input'!W38*137381)/1000000</f>
        <v>0</v>
      </c>
      <c r="M37" s="44">
        <f>'Financial Data Input'!O38+'Financial Data Input'!P38+'Financial Data Input'!Q38+'Financial Data Input'!R38+'Financial Data Input'!S38+'Financial Data Input'!T38+'Financial Data Input'!U38</f>
        <v>0</v>
      </c>
      <c r="N37" s="44" t="str">
        <f>IFERROR(Summary[[#This Row],[Energy costs ($)]]/Summary[[#This Row],[Production (tons product)]], " ")</f>
        <v xml:space="preserve"> </v>
      </c>
      <c r="O37" s="42">
        <f>IFERROR('Performance Data Input'!K38+'Performance Data Input'!L38+'Performance Data Input'!M38, " ")</f>
        <v>0</v>
      </c>
      <c r="P37" s="44">
        <f>'Financial Data Input'!J38+'Financial Data Input'!K38+'Financial Data Input'!L38+'Financial Data Input'!M38</f>
        <v>0</v>
      </c>
      <c r="Q37" s="44" t="str">
        <f>IFERROR(Summary[[#This Row],[All wastewater costs ($)]]/'Performance Data Input'!B38, " ")</f>
        <v xml:space="preserve"> </v>
      </c>
      <c r="R37" s="46" t="str">
        <f>IFERROR(('Performance Data Input'!K38+'Performance Data Input'!L38+'Performance Data Input'!M38)/'Performance Data Input'!O38," ")</f>
        <v xml:space="preserve"> </v>
      </c>
      <c r="S37" s="1" t="str">
        <f>IFERROR('Performance Data Input'!O38/'Performance Data Input'!B38," ")</f>
        <v xml:space="preserve"> </v>
      </c>
    </row>
    <row r="38" spans="1:19" x14ac:dyDescent="0.3">
      <c r="A38" s="1" t="s">
        <v>117</v>
      </c>
      <c r="B38" s="42">
        <f>('Performance Data Input'!B39*(31*8.34))/2000</f>
        <v>0</v>
      </c>
      <c r="C38" s="42">
        <f>('Performance Data Input'!C39+'Performance Data Input'!D39+'Performance Data Input'!E39)/2000</f>
        <v>0</v>
      </c>
      <c r="D38" s="44">
        <f>'Financial Data Input'!B39+'Financial Data Input'!C39+'Financial Data Input'!D39</f>
        <v>0</v>
      </c>
      <c r="E38" s="44" t="str">
        <f>IFERROR(Summary[[#This Row],[Disposal costs ($)]]/Summary[[#This Row],[Production (tons product)]], " ")</f>
        <v xml:space="preserve"> </v>
      </c>
      <c r="F38" s="42">
        <f>('Performance Data Input'!G39+'Performance Data Input'!H39)/2000</f>
        <v>0</v>
      </c>
      <c r="G38" s="45">
        <f>('Performance Data Input'!F39+'Performance Data Input'!I39+('Performance Data Input'!J39)*8.35)/2000</f>
        <v>0</v>
      </c>
      <c r="H38" s="42">
        <f>Summary[[#This Row],[All recycling &amp; reuse  (tons)]]+Summary[[#This Row],[Food waste diverted  (tons)]]</f>
        <v>0</v>
      </c>
      <c r="I38" s="44">
        <f>'Financial Data Input'!E39+'Financial Data Input'!F39+'Financial Data Input'!G39+'Financial Data Input'!H39+'Financial Data Input'!I39</f>
        <v>0</v>
      </c>
      <c r="J38" s="46" t="str">
        <f>IFERROR((Summary[[#This Row],[All diverted wastes (tons)]]/(Summary[[#This Row],[All diverted wastes (tons)]]+Summary[[#This Row],[All wastes disposed (tons)]]))," ")</f>
        <v xml:space="preserve"> </v>
      </c>
      <c r="K38" s="1">
        <f>('Performance Data Input'!P39+'Performance Data Input'!Q39)*0.001</f>
        <v>0</v>
      </c>
      <c r="L38" s="45">
        <f>(Summary[[#This Row],[Electricity consumed (MWh)]]*3412142+'Performance Data Input'!R39*0.1037+'Performance Data Input'!S39*91333+'Performance Data Input'!T39*138500+'Performance Data Input'!U39*16400000+'Performance Data Input'!V39*120429+'Performance Data Input'!W39*137381)/1000000</f>
        <v>0</v>
      </c>
      <c r="M38" s="44">
        <f>'Financial Data Input'!O39+'Financial Data Input'!P39+'Financial Data Input'!Q39+'Financial Data Input'!R39+'Financial Data Input'!S39+'Financial Data Input'!T39+'Financial Data Input'!U39</f>
        <v>0</v>
      </c>
      <c r="N38" s="44" t="str">
        <f>IFERROR(Summary[[#This Row],[Energy costs ($)]]/Summary[[#This Row],[Production (tons product)]], " ")</f>
        <v xml:space="preserve"> </v>
      </c>
      <c r="O38" s="42">
        <f>IFERROR('Performance Data Input'!K39+'Performance Data Input'!L39+'Performance Data Input'!M39, " ")</f>
        <v>0</v>
      </c>
      <c r="P38" s="44">
        <f>'Financial Data Input'!J39+'Financial Data Input'!K39+'Financial Data Input'!L39+'Financial Data Input'!M39</f>
        <v>0</v>
      </c>
      <c r="Q38" s="44" t="str">
        <f>IFERROR(Summary[[#This Row],[All wastewater costs ($)]]/'Performance Data Input'!B39, " ")</f>
        <v xml:space="preserve"> </v>
      </c>
      <c r="R38" s="46" t="str">
        <f>IFERROR(('Performance Data Input'!K39+'Performance Data Input'!L39+'Performance Data Input'!M39)/'Performance Data Input'!O39," ")</f>
        <v xml:space="preserve"> </v>
      </c>
      <c r="S38" s="1" t="str">
        <f>IFERROR('Performance Data Input'!O39/'Performance Data Input'!B39," ")</f>
        <v xml:space="preserve"> </v>
      </c>
    </row>
    <row r="39" spans="1:19" x14ac:dyDescent="0.3">
      <c r="A39" s="1" t="s">
        <v>118</v>
      </c>
      <c r="B39" s="42">
        <f>('Performance Data Input'!B40*(31*8.34))/2000</f>
        <v>0</v>
      </c>
      <c r="C39" s="42">
        <f>('Performance Data Input'!C40+'Performance Data Input'!D40+'Performance Data Input'!E40)/2000</f>
        <v>0</v>
      </c>
      <c r="D39" s="44">
        <f>'Financial Data Input'!B40+'Financial Data Input'!C40+'Financial Data Input'!D40</f>
        <v>0</v>
      </c>
      <c r="E39" s="44" t="str">
        <f>IFERROR(Summary[[#This Row],[Disposal costs ($)]]/Summary[[#This Row],[Production (tons product)]], " ")</f>
        <v xml:space="preserve"> </v>
      </c>
      <c r="F39" s="42">
        <f>('Performance Data Input'!G40+'Performance Data Input'!H40)/2000</f>
        <v>0</v>
      </c>
      <c r="G39" s="45">
        <f>('Performance Data Input'!F40+'Performance Data Input'!I40+('Performance Data Input'!J40)*8.35)/2000</f>
        <v>0</v>
      </c>
      <c r="H39" s="42">
        <f>Summary[[#This Row],[All recycling &amp; reuse  (tons)]]+Summary[[#This Row],[Food waste diverted  (tons)]]</f>
        <v>0</v>
      </c>
      <c r="I39" s="44">
        <f>'Financial Data Input'!E40+'Financial Data Input'!F40+'Financial Data Input'!G40+'Financial Data Input'!H40+'Financial Data Input'!I40</f>
        <v>0</v>
      </c>
      <c r="J39" s="46" t="str">
        <f>IFERROR((Summary[[#This Row],[All diverted wastes (tons)]]/(Summary[[#This Row],[All diverted wastes (tons)]]+Summary[[#This Row],[All wastes disposed (tons)]]))," ")</f>
        <v xml:space="preserve"> </v>
      </c>
      <c r="K39" s="1">
        <f>('Performance Data Input'!P40+'Performance Data Input'!Q40)*0.001</f>
        <v>0</v>
      </c>
      <c r="L39" s="45">
        <f>(Summary[[#This Row],[Electricity consumed (MWh)]]*3412142+'Performance Data Input'!R40*0.1037+'Performance Data Input'!S40*91333+'Performance Data Input'!T40*138500+'Performance Data Input'!U40*16400000+'Performance Data Input'!V40*120429+'Performance Data Input'!W40*137381)/1000000</f>
        <v>0</v>
      </c>
      <c r="M39" s="44">
        <f>'Financial Data Input'!O40+'Financial Data Input'!P40+'Financial Data Input'!Q40+'Financial Data Input'!R40+'Financial Data Input'!S40+'Financial Data Input'!T40+'Financial Data Input'!U40</f>
        <v>0</v>
      </c>
      <c r="N39" s="44" t="str">
        <f>IFERROR(Summary[[#This Row],[Energy costs ($)]]/Summary[[#This Row],[Production (tons product)]], " ")</f>
        <v xml:space="preserve"> </v>
      </c>
      <c r="O39" s="42">
        <f>IFERROR('Performance Data Input'!K40+'Performance Data Input'!L40+'Performance Data Input'!M40, " ")</f>
        <v>0</v>
      </c>
      <c r="P39" s="44">
        <f>'Financial Data Input'!J40+'Financial Data Input'!K40+'Financial Data Input'!L40+'Financial Data Input'!M40</f>
        <v>0</v>
      </c>
      <c r="Q39" s="44" t="str">
        <f>IFERROR(Summary[[#This Row],[All wastewater costs ($)]]/'Performance Data Input'!B40, " ")</f>
        <v xml:space="preserve"> </v>
      </c>
      <c r="R39" s="46" t="str">
        <f>IFERROR(('Performance Data Input'!K40+'Performance Data Input'!L40+'Performance Data Input'!M40)/'Performance Data Input'!O40," ")</f>
        <v xml:space="preserve"> </v>
      </c>
      <c r="S39" s="1" t="str">
        <f>IFERROR('Performance Data Input'!O40/'Performance Data Input'!B40," ")</f>
        <v xml:space="preserve"> </v>
      </c>
    </row>
    <row r="40" spans="1:19" x14ac:dyDescent="0.3">
      <c r="A40" s="1" t="s">
        <v>14</v>
      </c>
      <c r="B40" s="42">
        <f>SUBTOTAL(109,Summary[Production (tons product)])</f>
        <v>0</v>
      </c>
      <c r="C40" s="42">
        <f>SUBTOTAL(109,Summary[All wastes disposed (tons)])</f>
        <v>0</v>
      </c>
      <c r="D40" s="44"/>
      <c r="E40" s="44"/>
      <c r="F40" s="42">
        <f>SUBTOTAL(109,Summary[All recycling &amp; reuse  (tons)])</f>
        <v>0</v>
      </c>
      <c r="G40" s="45">
        <f>SUBTOTAL(109,Summary[Food waste diverted  (tons)])</f>
        <v>0</v>
      </c>
      <c r="H40" s="42">
        <f>SUBTOTAL(109,Summary[All diverted wastes (tons)])</f>
        <v>0</v>
      </c>
      <c r="I40" s="44"/>
      <c r="J40" s="46" t="str">
        <f>IFERROR((Summary[[#This Row],[All diverted wastes (tons)]]/(Summary[[#This Row],[All diverted wastes (tons)]]+Summary[[#This Row],[All wastes disposed (tons)]]))," ")</f>
        <v xml:space="preserve"> </v>
      </c>
      <c r="K40" s="1">
        <f>SUBTOTAL(109,Summary[Electricity consumed (MWh)])</f>
        <v>0</v>
      </c>
      <c r="L40" s="45">
        <f>SUBTOTAL(109,Summary[All energy use (MMBTU)])</f>
        <v>0</v>
      </c>
      <c r="M40" s="44"/>
      <c r="N40" s="44"/>
      <c r="O40" s="42">
        <f>SUBTOTAL(109,Summary[All wastewater (gal)])</f>
        <v>0</v>
      </c>
      <c r="P40" s="44"/>
      <c r="Q40" s="44"/>
      <c r="R40" s="1"/>
      <c r="S40" s="1"/>
    </row>
  </sheetData>
  <sheetProtection algorithmName="SHA-512" hashValue="DklL6KqKYuOcvO/H9P+6t2wzmBHP+ogQPKWeoxtjs6v10lTbfwy+2pXOeQo9M5msPnU2wwpA3fCEMxApBtGfDQ==" saltValue="JvXFtQp1Ao3XM2F5l8eAEA==" spinCount="100000" sheet="1" objects="1" scenarios="1"/>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40C1-53C9-45FD-A0F7-FD633FBE0433}">
  <sheetPr>
    <tabColor theme="9"/>
  </sheetPr>
  <dimension ref="A1"/>
  <sheetViews>
    <sheetView showRowColHeaders="0" workbookViewId="0">
      <selection activeCell="J89" sqref="J89"/>
    </sheetView>
  </sheetViews>
  <sheetFormatPr defaultColWidth="9.140625" defaultRowHeight="15" x14ac:dyDescent="0.25"/>
  <cols>
    <col min="1" max="16384" width="9.140625" style="15"/>
  </cols>
  <sheetData/>
  <sheetProtection algorithmName="SHA-512" hashValue="wNI9O4OjxBF5LgcGUL6SN37MQz4puirieHU8FUiQPx3+t8O4WDjBCVltYGRcpnsPQF9optcFoOJq3UoXmjOZwQ==" saltValue="Z/XJ9Ek7Aq8QyqdC/t9LDg==" spinCount="100000"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AA15-5D5D-44C6-BD8A-3333ABD51FC5}">
  <sheetPr>
    <tabColor theme="9"/>
  </sheetPr>
  <dimension ref="A1:Q45"/>
  <sheetViews>
    <sheetView workbookViewId="0">
      <selection activeCell="B6" sqref="B6"/>
    </sheetView>
  </sheetViews>
  <sheetFormatPr defaultColWidth="9.140625" defaultRowHeight="15" x14ac:dyDescent="0.25"/>
  <cols>
    <col min="1" max="1" width="11" style="43" customWidth="1"/>
    <col min="2" max="9" width="11.5703125" style="43" customWidth="1"/>
    <col min="10" max="15" width="10.7109375" style="43" customWidth="1"/>
    <col min="16" max="17" width="11.5703125" style="43" customWidth="1"/>
    <col min="18" max="16384" width="9.140625" style="43"/>
  </cols>
  <sheetData>
    <row r="1" spans="1:17" ht="24" x14ac:dyDescent="0.45">
      <c r="A1" s="47" t="s">
        <v>49</v>
      </c>
    </row>
    <row r="2" spans="1:17" ht="16.5" x14ac:dyDescent="0.3">
      <c r="A2" s="16" t="s">
        <v>22</v>
      </c>
    </row>
    <row r="3" spans="1:17" x14ac:dyDescent="0.25">
      <c r="A3" s="48" t="s">
        <v>52</v>
      </c>
    </row>
    <row r="4" spans="1:17" s="49" customFormat="1" ht="61.5" customHeight="1" x14ac:dyDescent="0.25">
      <c r="A4" s="27" t="s">
        <v>0</v>
      </c>
      <c r="B4" s="27" t="s">
        <v>34</v>
      </c>
      <c r="C4" s="27" t="s">
        <v>75</v>
      </c>
      <c r="D4" s="27" t="s">
        <v>35</v>
      </c>
      <c r="E4" s="27" t="s">
        <v>76</v>
      </c>
      <c r="F4" s="27" t="s">
        <v>36</v>
      </c>
      <c r="G4" s="27" t="s">
        <v>37</v>
      </c>
      <c r="H4" s="27" t="s">
        <v>38</v>
      </c>
      <c r="I4" s="27" t="s">
        <v>39</v>
      </c>
      <c r="J4" s="27" t="s">
        <v>40</v>
      </c>
      <c r="K4" s="27" t="s">
        <v>41</v>
      </c>
      <c r="L4" s="27" t="s">
        <v>42</v>
      </c>
      <c r="M4" s="27" t="s">
        <v>43</v>
      </c>
      <c r="N4" s="27" t="s">
        <v>44</v>
      </c>
      <c r="O4" s="27" t="s">
        <v>45</v>
      </c>
      <c r="P4" s="27" t="s">
        <v>46</v>
      </c>
      <c r="Q4" s="27" t="s">
        <v>140</v>
      </c>
    </row>
    <row r="5" spans="1:17" ht="16.5" x14ac:dyDescent="0.3">
      <c r="A5" s="26" t="s">
        <v>96</v>
      </c>
      <c r="B5" s="1">
        <f>IFERROR(PerfmDataInput[[#This Row],[Trash sent to landfill (lbs)]]*(0.18/2000), " ")</f>
        <v>0</v>
      </c>
      <c r="C5" s="1">
        <f>PerfmDataInput[[#This Row],[Process waste sent to landfill - solid  (lbs)]]*(0.43/2000)</f>
        <v>0</v>
      </c>
      <c r="D5" s="1" t="s">
        <v>77</v>
      </c>
      <c r="E5" s="1">
        <f>'Summary Table'!G4*-((0.18+0.03)/2)</f>
        <v>0</v>
      </c>
      <c r="F5" s="1">
        <f>PerfmDataInput[[#This Row],[Recycled material  (lbs)]]*(-2.63/2000)</f>
        <v>0</v>
      </c>
      <c r="G5" s="1" t="s">
        <v>77</v>
      </c>
      <c r="H5" s="1">
        <f>('Performance Data Input'!P5/1000)*(435.837/2204.62)</f>
        <v>0</v>
      </c>
      <c r="I5" s="31" t="s">
        <v>48</v>
      </c>
      <c r="J5" s="1">
        <f>PerfmDataInput[[#This Row],[Natural gas (Ccf)]]*5</f>
        <v>0</v>
      </c>
      <c r="K5" s="1">
        <f>PerfmDataInput[[#This Row],[Propane (gal)]]*0.00572</f>
        <v>0</v>
      </c>
      <c r="L5" s="1">
        <f>PerfmDataInput[[#This Row],[Heating oil (gal)]]*0.01024</f>
        <v>0</v>
      </c>
      <c r="M5" s="1">
        <f>(PerfmDataInput[[#This Row],[Wood (tons)]]*(16400000/1000000))*(29.8/2204.62)</f>
        <v>0</v>
      </c>
      <c r="N5" s="1">
        <f>PerfmDataInput[[#This Row],[Gasoline (gal)]]*0.00884</f>
        <v>0</v>
      </c>
      <c r="O5" s="1">
        <f>PerfmDataInput[[#This Row],[Diesel (gal)]]*0.01024</f>
        <v>0</v>
      </c>
      <c r="P5" s="1">
        <f>(PerfmDataInput[[#This Row],[Water used (gal)]]*(6139/1000000))*((435.837/2204.62)/1000)</f>
        <v>0</v>
      </c>
      <c r="Q5" s="28" t="s">
        <v>77</v>
      </c>
    </row>
    <row r="6" spans="1:17" ht="16.5" x14ac:dyDescent="0.3">
      <c r="A6" s="26" t="s">
        <v>97</v>
      </c>
      <c r="B6" s="1">
        <f>IFERROR(PerfmDataInput[[#This Row],[Trash sent to landfill (lbs)]]*(0.18/2000), " ")</f>
        <v>0</v>
      </c>
      <c r="C6" s="1">
        <f>PerfmDataInput[[#This Row],[Process waste sent to landfill - solid  (lbs)]]*(0.43/2000)</f>
        <v>0</v>
      </c>
      <c r="D6" s="1"/>
      <c r="E6" s="1">
        <f>'Summary Table'!G5*-((0.18+0.03)/2)</f>
        <v>0</v>
      </c>
      <c r="F6" s="1">
        <f>PerfmDataInput[[#This Row],[Recycled material  (lbs)]]*(-2.63/2000)</f>
        <v>0</v>
      </c>
      <c r="G6" s="1"/>
      <c r="H6" s="1">
        <f>('Performance Data Input'!P6/1000)*(435.837/2204.62)</f>
        <v>0</v>
      </c>
      <c r="I6" s="31" t="s">
        <v>48</v>
      </c>
      <c r="J6" s="1">
        <f>PerfmDataInput[[#This Row],[Natural gas (Ccf)]]*5</f>
        <v>0</v>
      </c>
      <c r="K6" s="1">
        <f>PerfmDataInput[[#This Row],[Propane (gal)]]*0.00572</f>
        <v>0</v>
      </c>
      <c r="L6" s="1">
        <f>PerfmDataInput[[#This Row],[Heating oil (gal)]]*0.01024</f>
        <v>0</v>
      </c>
      <c r="M6" s="1">
        <f>(PerfmDataInput[[#This Row],[Wood (tons)]]*(16400000/1000000))*(29.8/2204.62)</f>
        <v>0</v>
      </c>
      <c r="N6" s="1">
        <f>PerfmDataInput[[#This Row],[Gasoline (gal)]]*0.00884</f>
        <v>0</v>
      </c>
      <c r="O6" s="1">
        <f>PerfmDataInput[[#This Row],[Diesel (gal)]]*0.01024</f>
        <v>0</v>
      </c>
      <c r="P6" s="1">
        <f>(PerfmDataInput[[#This Row],[Water used (gal)]]*(6139/1000000))*((435.837/2204.62)/1000)</f>
        <v>0</v>
      </c>
      <c r="Q6" s="28"/>
    </row>
    <row r="7" spans="1:17" ht="16.5" x14ac:dyDescent="0.3">
      <c r="A7" s="26" t="s">
        <v>98</v>
      </c>
      <c r="B7" s="1">
        <f>IFERROR(PerfmDataInput[[#This Row],[Trash sent to landfill (lbs)]]*(0.18/2000), " ")</f>
        <v>0</v>
      </c>
      <c r="C7" s="1">
        <f>PerfmDataInput[[#This Row],[Process waste sent to landfill - solid  (lbs)]]*(0.43/2000)</f>
        <v>0</v>
      </c>
      <c r="D7" s="1"/>
      <c r="E7" s="1">
        <f>'Summary Table'!G6*-((0.18+0.03)/2)</f>
        <v>0</v>
      </c>
      <c r="F7" s="1">
        <f>PerfmDataInput[[#This Row],[Recycled material  (lbs)]]*(-2.63/2000)</f>
        <v>0</v>
      </c>
      <c r="G7" s="1"/>
      <c r="H7" s="1">
        <f>('Performance Data Input'!P7/1000)*(435.837/2204.62)</f>
        <v>0</v>
      </c>
      <c r="I7" s="31" t="s">
        <v>48</v>
      </c>
      <c r="J7" s="1">
        <f>PerfmDataInput[[#This Row],[Natural gas (Ccf)]]*5</f>
        <v>0</v>
      </c>
      <c r="K7" s="1">
        <f>PerfmDataInput[[#This Row],[Propane (gal)]]*0.00572</f>
        <v>0</v>
      </c>
      <c r="L7" s="1">
        <f>PerfmDataInput[[#This Row],[Heating oil (gal)]]*0.01024</f>
        <v>0</v>
      </c>
      <c r="M7" s="1">
        <f>(PerfmDataInput[[#This Row],[Wood (tons)]]*(16400000/1000000))*(29.8/2204.62)</f>
        <v>0</v>
      </c>
      <c r="N7" s="1">
        <f>PerfmDataInput[[#This Row],[Gasoline (gal)]]*0.00884</f>
        <v>0</v>
      </c>
      <c r="O7" s="1">
        <f>PerfmDataInput[[#This Row],[Diesel (gal)]]*0.01024</f>
        <v>0</v>
      </c>
      <c r="P7" s="1">
        <f>(PerfmDataInput[[#This Row],[Water used (gal)]]*(6139/1000000))*((435.837/2204.62)/1000)</f>
        <v>0</v>
      </c>
      <c r="Q7" s="28"/>
    </row>
    <row r="8" spans="1:17" ht="16.5" x14ac:dyDescent="0.3">
      <c r="A8" s="26" t="s">
        <v>1</v>
      </c>
      <c r="B8" s="1">
        <f>IFERROR(PerfmDataInput[[#This Row],[Trash sent to landfill (lbs)]]*(0.18/2000), " ")</f>
        <v>0</v>
      </c>
      <c r="C8" s="1">
        <f>PerfmDataInput[[#This Row],[Process waste sent to landfill - solid  (lbs)]]*(0.43/2000)</f>
        <v>0</v>
      </c>
      <c r="D8" s="1"/>
      <c r="E8" s="1">
        <f>'Summary Table'!G7*-((0.18+0.03)/2)</f>
        <v>0</v>
      </c>
      <c r="F8" s="1">
        <f>PerfmDataInput[[#This Row],[Recycled material  (lbs)]]*(-2.63/2000)</f>
        <v>0</v>
      </c>
      <c r="G8" s="1"/>
      <c r="H8" s="1">
        <f>('Performance Data Input'!P8/1000)*(435.837/2204.62)</f>
        <v>0</v>
      </c>
      <c r="I8" s="31" t="s">
        <v>48</v>
      </c>
      <c r="J8" s="1">
        <f>PerfmDataInput[[#This Row],[Natural gas (Ccf)]]*5</f>
        <v>0</v>
      </c>
      <c r="K8" s="1">
        <f>PerfmDataInput[[#This Row],[Propane (gal)]]*0.00572</f>
        <v>0</v>
      </c>
      <c r="L8" s="1">
        <f>PerfmDataInput[[#This Row],[Heating oil (gal)]]*0.01024</f>
        <v>0</v>
      </c>
      <c r="M8" s="1">
        <f>(PerfmDataInput[[#This Row],[Wood (tons)]]*(16400000/1000000))*(29.8/2204.62)</f>
        <v>0</v>
      </c>
      <c r="N8" s="1">
        <f>PerfmDataInput[[#This Row],[Gasoline (gal)]]*0.00884</f>
        <v>0</v>
      </c>
      <c r="O8" s="1">
        <f>PerfmDataInput[[#This Row],[Diesel (gal)]]*0.01024</f>
        <v>0</v>
      </c>
      <c r="P8" s="1">
        <f>(PerfmDataInput[[#This Row],[Water used (gal)]]*(6139/1000000))*((435.837/2204.62)/1000)</f>
        <v>0</v>
      </c>
      <c r="Q8" s="28"/>
    </row>
    <row r="9" spans="1:17" ht="16.5" x14ac:dyDescent="0.3">
      <c r="A9" s="26" t="s">
        <v>2</v>
      </c>
      <c r="B9" s="1">
        <f>IFERROR(PerfmDataInput[[#This Row],[Trash sent to landfill (lbs)]]*(0.18/2000), " ")</f>
        <v>0</v>
      </c>
      <c r="C9" s="1">
        <f>PerfmDataInput[[#This Row],[Process waste sent to landfill - solid  (lbs)]]*(0.43/2000)</f>
        <v>0</v>
      </c>
      <c r="D9" s="1"/>
      <c r="E9" s="1">
        <f>'Summary Table'!G8*-((0.18+0.03)/2)</f>
        <v>0</v>
      </c>
      <c r="F9" s="1">
        <f>PerfmDataInput[[#This Row],[Recycled material  (lbs)]]*(-2.63/2000)</f>
        <v>0</v>
      </c>
      <c r="G9" s="1"/>
      <c r="H9" s="1">
        <f>('Performance Data Input'!P9/1000)*(435.837/2204.62)</f>
        <v>0</v>
      </c>
      <c r="I9" s="31" t="s">
        <v>48</v>
      </c>
      <c r="J9" s="1">
        <f>PerfmDataInput[[#This Row],[Natural gas (Ccf)]]*5</f>
        <v>0</v>
      </c>
      <c r="K9" s="1">
        <f>PerfmDataInput[[#This Row],[Propane (gal)]]*0.00572</f>
        <v>0</v>
      </c>
      <c r="L9" s="1">
        <f>PerfmDataInput[[#This Row],[Heating oil (gal)]]*0.01024</f>
        <v>0</v>
      </c>
      <c r="M9" s="1">
        <f>(PerfmDataInput[[#This Row],[Wood (tons)]]*(16400000/1000000))*(29.8/2204.62)</f>
        <v>0</v>
      </c>
      <c r="N9" s="1">
        <f>PerfmDataInput[[#This Row],[Gasoline (gal)]]*0.00884</f>
        <v>0</v>
      </c>
      <c r="O9" s="1">
        <f>PerfmDataInput[[#This Row],[Diesel (gal)]]*0.01024</f>
        <v>0</v>
      </c>
      <c r="P9" s="1">
        <f>(PerfmDataInput[[#This Row],[Water used (gal)]]*(6139/1000000))*((435.837/2204.62)/1000)</f>
        <v>0</v>
      </c>
      <c r="Q9" s="28"/>
    </row>
    <row r="10" spans="1:17" ht="16.5" x14ac:dyDescent="0.3">
      <c r="A10" s="26" t="s">
        <v>3</v>
      </c>
      <c r="B10" s="1">
        <f>IFERROR(PerfmDataInput[[#This Row],[Trash sent to landfill (lbs)]]*(0.18/2000), " ")</f>
        <v>0</v>
      </c>
      <c r="C10" s="1">
        <f>PerfmDataInput[[#This Row],[Process waste sent to landfill - solid  (lbs)]]*(0.43/2000)</f>
        <v>0</v>
      </c>
      <c r="D10" s="1"/>
      <c r="E10" s="1">
        <f>'Summary Table'!G9*-((0.18+0.03)/2)</f>
        <v>0</v>
      </c>
      <c r="F10" s="1">
        <f>PerfmDataInput[[#This Row],[Recycled material  (lbs)]]*(-2.63/2000)</f>
        <v>0</v>
      </c>
      <c r="G10" s="1"/>
      <c r="H10" s="1">
        <f>('Performance Data Input'!P10/1000)*(435.837/2204.62)</f>
        <v>0</v>
      </c>
      <c r="I10" s="31" t="s">
        <v>48</v>
      </c>
      <c r="J10" s="1">
        <f>PerfmDataInput[[#This Row],[Natural gas (Ccf)]]*5</f>
        <v>0</v>
      </c>
      <c r="K10" s="1">
        <f>PerfmDataInput[[#This Row],[Propane (gal)]]*0.00572</f>
        <v>0</v>
      </c>
      <c r="L10" s="1">
        <f>PerfmDataInput[[#This Row],[Heating oil (gal)]]*0.01024</f>
        <v>0</v>
      </c>
      <c r="M10" s="1">
        <f>(PerfmDataInput[[#This Row],[Wood (tons)]]*(16400000/1000000))*(29.8/2204.62)</f>
        <v>0</v>
      </c>
      <c r="N10" s="1">
        <f>PerfmDataInput[[#This Row],[Gasoline (gal)]]*0.00884</f>
        <v>0</v>
      </c>
      <c r="O10" s="1">
        <f>PerfmDataInput[[#This Row],[Diesel (gal)]]*0.01024</f>
        <v>0</v>
      </c>
      <c r="P10" s="1">
        <f>(PerfmDataInput[[#This Row],[Water used (gal)]]*(6139/1000000))*((435.837/2204.62)/1000)</f>
        <v>0</v>
      </c>
      <c r="Q10" s="28"/>
    </row>
    <row r="11" spans="1:17" ht="16.5" x14ac:dyDescent="0.3">
      <c r="A11" s="26" t="s">
        <v>4</v>
      </c>
      <c r="B11" s="1">
        <f>IFERROR(PerfmDataInput[[#This Row],[Trash sent to landfill (lbs)]]*(0.18/2000), " ")</f>
        <v>0</v>
      </c>
      <c r="C11" s="1">
        <f>PerfmDataInput[[#This Row],[Process waste sent to landfill - solid  (lbs)]]*(0.43/2000)</f>
        <v>0</v>
      </c>
      <c r="D11" s="1"/>
      <c r="E11" s="1">
        <f>'Summary Table'!G10*-((0.18+0.03)/2)</f>
        <v>0</v>
      </c>
      <c r="F11" s="1">
        <f>PerfmDataInput[[#This Row],[Recycled material  (lbs)]]*(-2.63/2000)</f>
        <v>0</v>
      </c>
      <c r="G11" s="1"/>
      <c r="H11" s="1">
        <f>('Performance Data Input'!P11/1000)*(435.837/2204.62)</f>
        <v>0</v>
      </c>
      <c r="I11" s="31" t="s">
        <v>48</v>
      </c>
      <c r="J11" s="1">
        <f>PerfmDataInput[[#This Row],[Natural gas (Ccf)]]*5</f>
        <v>0</v>
      </c>
      <c r="K11" s="1">
        <f>PerfmDataInput[[#This Row],[Propane (gal)]]*0.00572</f>
        <v>0</v>
      </c>
      <c r="L11" s="1">
        <f>PerfmDataInput[[#This Row],[Heating oil (gal)]]*0.01024</f>
        <v>0</v>
      </c>
      <c r="M11" s="1">
        <f>(PerfmDataInput[[#This Row],[Wood (tons)]]*(16400000/1000000))*(29.8/2204.62)</f>
        <v>0</v>
      </c>
      <c r="N11" s="1">
        <f>PerfmDataInput[[#This Row],[Gasoline (gal)]]*0.00884</f>
        <v>0</v>
      </c>
      <c r="O11" s="1">
        <f>PerfmDataInput[[#This Row],[Diesel (gal)]]*0.01024</f>
        <v>0</v>
      </c>
      <c r="P11" s="1">
        <f>(PerfmDataInput[[#This Row],[Water used (gal)]]*(6139/1000000))*((435.837/2204.62)/1000)</f>
        <v>0</v>
      </c>
      <c r="Q11" s="28"/>
    </row>
    <row r="12" spans="1:17" ht="16.5" x14ac:dyDescent="0.3">
      <c r="A12" s="26" t="s">
        <v>5</v>
      </c>
      <c r="B12" s="1">
        <f>IFERROR(PerfmDataInput[[#This Row],[Trash sent to landfill (lbs)]]*(0.18/2000), " ")</f>
        <v>0</v>
      </c>
      <c r="C12" s="1">
        <f>PerfmDataInput[[#This Row],[Process waste sent to landfill - solid  (lbs)]]*(0.43/2000)</f>
        <v>0</v>
      </c>
      <c r="D12" s="1"/>
      <c r="E12" s="1">
        <f>'Summary Table'!G11*-((0.18+0.03)/2)</f>
        <v>0</v>
      </c>
      <c r="F12" s="1">
        <f>PerfmDataInput[[#This Row],[Recycled material  (lbs)]]*(-2.63/2000)</f>
        <v>0</v>
      </c>
      <c r="G12" s="1"/>
      <c r="H12" s="1">
        <f>('Performance Data Input'!P12/1000)*(435.837/2204.62)</f>
        <v>0</v>
      </c>
      <c r="I12" s="31" t="s">
        <v>48</v>
      </c>
      <c r="J12" s="1">
        <f>PerfmDataInput[[#This Row],[Natural gas (Ccf)]]*5</f>
        <v>0</v>
      </c>
      <c r="K12" s="1">
        <f>PerfmDataInput[[#This Row],[Propane (gal)]]*0.00572</f>
        <v>0</v>
      </c>
      <c r="L12" s="1">
        <f>PerfmDataInput[[#This Row],[Heating oil (gal)]]*0.01024</f>
        <v>0</v>
      </c>
      <c r="M12" s="1">
        <f>(PerfmDataInput[[#This Row],[Wood (tons)]]*(16400000/1000000))*(29.8/2204.62)</f>
        <v>0</v>
      </c>
      <c r="N12" s="1">
        <f>PerfmDataInput[[#This Row],[Gasoline (gal)]]*0.00884</f>
        <v>0</v>
      </c>
      <c r="O12" s="1">
        <f>PerfmDataInput[[#This Row],[Diesel (gal)]]*0.01024</f>
        <v>0</v>
      </c>
      <c r="P12" s="1">
        <f>(PerfmDataInput[[#This Row],[Water used (gal)]]*(6139/1000000))*((435.837/2204.62)/1000)</f>
        <v>0</v>
      </c>
      <c r="Q12" s="28"/>
    </row>
    <row r="13" spans="1:17" ht="16.5" x14ac:dyDescent="0.3">
      <c r="A13" s="26" t="s">
        <v>6</v>
      </c>
      <c r="B13" s="1">
        <f>IFERROR(PerfmDataInput[[#This Row],[Trash sent to landfill (lbs)]]*(0.18/2000), " ")</f>
        <v>0</v>
      </c>
      <c r="C13" s="1">
        <f>PerfmDataInput[[#This Row],[Process waste sent to landfill - solid  (lbs)]]*(0.43/2000)</f>
        <v>0</v>
      </c>
      <c r="D13" s="1"/>
      <c r="E13" s="1">
        <f>'Summary Table'!G12*-((0.18+0.03)/2)</f>
        <v>0</v>
      </c>
      <c r="F13" s="1">
        <f>PerfmDataInput[[#This Row],[Recycled material  (lbs)]]*(-2.63/2000)</f>
        <v>0</v>
      </c>
      <c r="G13" s="1"/>
      <c r="H13" s="1">
        <f>('Performance Data Input'!P13/1000)*(435.837/2204.62)</f>
        <v>0</v>
      </c>
      <c r="I13" s="31" t="s">
        <v>48</v>
      </c>
      <c r="J13" s="1">
        <f>PerfmDataInput[[#This Row],[Natural gas (Ccf)]]*5</f>
        <v>0</v>
      </c>
      <c r="K13" s="1">
        <f>PerfmDataInput[[#This Row],[Propane (gal)]]*0.00572</f>
        <v>0</v>
      </c>
      <c r="L13" s="1">
        <f>PerfmDataInput[[#This Row],[Heating oil (gal)]]*0.01024</f>
        <v>0</v>
      </c>
      <c r="M13" s="1">
        <f>(PerfmDataInput[[#This Row],[Wood (tons)]]*(16400000/1000000))*(29.8/2204.62)</f>
        <v>0</v>
      </c>
      <c r="N13" s="1">
        <f>PerfmDataInput[[#This Row],[Gasoline (gal)]]*0.00884</f>
        <v>0</v>
      </c>
      <c r="O13" s="1">
        <f>PerfmDataInput[[#This Row],[Diesel (gal)]]*0.01024</f>
        <v>0</v>
      </c>
      <c r="P13" s="1">
        <f>(PerfmDataInput[[#This Row],[Water used (gal)]]*(6139/1000000))*((435.837/2204.62)/1000)</f>
        <v>0</v>
      </c>
      <c r="Q13" s="28"/>
    </row>
    <row r="14" spans="1:17" ht="16.5" x14ac:dyDescent="0.3">
      <c r="A14" s="26" t="s">
        <v>7</v>
      </c>
      <c r="B14" s="1">
        <f>IFERROR(PerfmDataInput[[#This Row],[Trash sent to landfill (lbs)]]*(0.18/2000), " ")</f>
        <v>0</v>
      </c>
      <c r="C14" s="1">
        <f>PerfmDataInput[[#This Row],[Process waste sent to landfill - solid  (lbs)]]*(0.43/2000)</f>
        <v>0</v>
      </c>
      <c r="D14" s="1"/>
      <c r="E14" s="1">
        <f>'Summary Table'!G13*-((0.18+0.03)/2)</f>
        <v>0</v>
      </c>
      <c r="F14" s="1">
        <f>PerfmDataInput[[#This Row],[Recycled material  (lbs)]]*(-2.63/2000)</f>
        <v>0</v>
      </c>
      <c r="G14" s="1"/>
      <c r="H14" s="1">
        <f>('Performance Data Input'!P14/1000)*(435.837/2204.62)</f>
        <v>0</v>
      </c>
      <c r="I14" s="31" t="s">
        <v>48</v>
      </c>
      <c r="J14" s="1">
        <f>PerfmDataInput[[#This Row],[Natural gas (Ccf)]]*5</f>
        <v>0</v>
      </c>
      <c r="K14" s="1">
        <f>PerfmDataInput[[#This Row],[Propane (gal)]]*0.00572</f>
        <v>0</v>
      </c>
      <c r="L14" s="1">
        <f>PerfmDataInput[[#This Row],[Heating oil (gal)]]*0.01024</f>
        <v>0</v>
      </c>
      <c r="M14" s="1">
        <f>(PerfmDataInput[[#This Row],[Wood (tons)]]*(16400000/1000000))*(29.8/2204.62)</f>
        <v>0</v>
      </c>
      <c r="N14" s="1">
        <f>PerfmDataInput[[#This Row],[Gasoline (gal)]]*0.00884</f>
        <v>0</v>
      </c>
      <c r="O14" s="1">
        <f>PerfmDataInput[[#This Row],[Diesel (gal)]]*0.01024</f>
        <v>0</v>
      </c>
      <c r="P14" s="1">
        <f>(PerfmDataInput[[#This Row],[Water used (gal)]]*(6139/1000000))*((435.837/2204.62)/1000)</f>
        <v>0</v>
      </c>
      <c r="Q14" s="28"/>
    </row>
    <row r="15" spans="1:17" ht="16.5" x14ac:dyDescent="0.3">
      <c r="A15" s="26" t="s">
        <v>8</v>
      </c>
      <c r="B15" s="1">
        <f>IFERROR(PerfmDataInput[[#This Row],[Trash sent to landfill (lbs)]]*(0.18/2000), " ")</f>
        <v>0</v>
      </c>
      <c r="C15" s="1">
        <f>PerfmDataInput[[#This Row],[Process waste sent to landfill - solid  (lbs)]]*(0.43/2000)</f>
        <v>0</v>
      </c>
      <c r="D15" s="1"/>
      <c r="E15" s="1">
        <f>'Summary Table'!G14*-((0.18+0.03)/2)</f>
        <v>0</v>
      </c>
      <c r="F15" s="1">
        <f>PerfmDataInput[[#This Row],[Recycled material  (lbs)]]*(-2.63/2000)</f>
        <v>0</v>
      </c>
      <c r="G15" s="1"/>
      <c r="H15" s="1">
        <f>('Performance Data Input'!P15/1000)*(435.837/2204.62)</f>
        <v>0</v>
      </c>
      <c r="I15" s="31" t="s">
        <v>48</v>
      </c>
      <c r="J15" s="1">
        <f>PerfmDataInput[[#This Row],[Natural gas (Ccf)]]*5</f>
        <v>0</v>
      </c>
      <c r="K15" s="1">
        <f>PerfmDataInput[[#This Row],[Propane (gal)]]*0.00572</f>
        <v>0</v>
      </c>
      <c r="L15" s="1">
        <f>PerfmDataInput[[#This Row],[Heating oil (gal)]]*0.01024</f>
        <v>0</v>
      </c>
      <c r="M15" s="1">
        <f>(PerfmDataInput[[#This Row],[Wood (tons)]]*(16400000/1000000))*(29.8/2204.62)</f>
        <v>0</v>
      </c>
      <c r="N15" s="1">
        <f>PerfmDataInput[[#This Row],[Gasoline (gal)]]*0.00884</f>
        <v>0</v>
      </c>
      <c r="O15" s="1">
        <f>PerfmDataInput[[#This Row],[Diesel (gal)]]*0.01024</f>
        <v>0</v>
      </c>
      <c r="P15" s="1">
        <f>(PerfmDataInput[[#This Row],[Water used (gal)]]*(6139/1000000))*((435.837/2204.62)/1000)</f>
        <v>0</v>
      </c>
      <c r="Q15" s="28"/>
    </row>
    <row r="16" spans="1:17" ht="16.5" x14ac:dyDescent="0.3">
      <c r="A16" s="26" t="s">
        <v>9</v>
      </c>
      <c r="B16" s="1">
        <f>IFERROR(PerfmDataInput[[#This Row],[Trash sent to landfill (lbs)]]*(0.18/2000), " ")</f>
        <v>0</v>
      </c>
      <c r="C16" s="1">
        <f>PerfmDataInput[[#This Row],[Process waste sent to landfill - solid  (lbs)]]*(0.43/2000)</f>
        <v>0</v>
      </c>
      <c r="D16" s="1"/>
      <c r="E16" s="1">
        <f>'Summary Table'!G15*-((0.18+0.03)/2)</f>
        <v>0</v>
      </c>
      <c r="F16" s="1">
        <f>PerfmDataInput[[#This Row],[Recycled material  (lbs)]]*(-2.63/2000)</f>
        <v>0</v>
      </c>
      <c r="G16" s="1"/>
      <c r="H16" s="1">
        <f>('Performance Data Input'!P16/1000)*(435.837/2204.62)</f>
        <v>0</v>
      </c>
      <c r="I16" s="31" t="s">
        <v>48</v>
      </c>
      <c r="J16" s="1">
        <f>PerfmDataInput[[#This Row],[Natural gas (Ccf)]]*5</f>
        <v>0</v>
      </c>
      <c r="K16" s="1">
        <f>PerfmDataInput[[#This Row],[Propane (gal)]]*0.00572</f>
        <v>0</v>
      </c>
      <c r="L16" s="1">
        <f>PerfmDataInput[[#This Row],[Heating oil (gal)]]*0.01024</f>
        <v>0</v>
      </c>
      <c r="M16" s="1">
        <f>(PerfmDataInput[[#This Row],[Wood (tons)]]*(16400000/1000000))*(29.8/2204.62)</f>
        <v>0</v>
      </c>
      <c r="N16" s="1">
        <f>PerfmDataInput[[#This Row],[Gasoline (gal)]]*0.00884</f>
        <v>0</v>
      </c>
      <c r="O16" s="1">
        <f>PerfmDataInput[[#This Row],[Diesel (gal)]]*0.01024</f>
        <v>0</v>
      </c>
      <c r="P16" s="1">
        <f>(PerfmDataInput[[#This Row],[Water used (gal)]]*(6139/1000000))*((435.837/2204.62)/1000)</f>
        <v>0</v>
      </c>
      <c r="Q16" s="28"/>
    </row>
    <row r="17" spans="1:17" ht="16.5" x14ac:dyDescent="0.3">
      <c r="A17" s="26" t="s">
        <v>10</v>
      </c>
      <c r="B17" s="1">
        <f>IFERROR(PerfmDataInput[[#This Row],[Trash sent to landfill (lbs)]]*(0.18/2000), " ")</f>
        <v>0</v>
      </c>
      <c r="C17" s="1">
        <f>PerfmDataInput[[#This Row],[Process waste sent to landfill - solid  (lbs)]]*(0.43/2000)</f>
        <v>0</v>
      </c>
      <c r="D17" s="1"/>
      <c r="E17" s="1">
        <f>'Summary Table'!G16*-((0.18+0.03)/2)</f>
        <v>0</v>
      </c>
      <c r="F17" s="1">
        <f>PerfmDataInput[[#This Row],[Recycled material  (lbs)]]*(-2.63/2000)</f>
        <v>0</v>
      </c>
      <c r="G17" s="1"/>
      <c r="H17" s="1">
        <f>('Performance Data Input'!P17/1000)*(435.837/2204.62)</f>
        <v>0</v>
      </c>
      <c r="I17" s="31" t="s">
        <v>48</v>
      </c>
      <c r="J17" s="1">
        <f>PerfmDataInput[[#This Row],[Natural gas (Ccf)]]*5</f>
        <v>0</v>
      </c>
      <c r="K17" s="1">
        <f>PerfmDataInput[[#This Row],[Propane (gal)]]*0.00572</f>
        <v>0</v>
      </c>
      <c r="L17" s="1">
        <f>PerfmDataInput[[#This Row],[Heating oil (gal)]]*0.01024</f>
        <v>0</v>
      </c>
      <c r="M17" s="1">
        <f>(PerfmDataInput[[#This Row],[Wood (tons)]]*(16400000/1000000))*(29.8/2204.62)</f>
        <v>0</v>
      </c>
      <c r="N17" s="1">
        <f>PerfmDataInput[[#This Row],[Gasoline (gal)]]*0.00884</f>
        <v>0</v>
      </c>
      <c r="O17" s="1">
        <f>PerfmDataInput[[#This Row],[Diesel (gal)]]*0.01024</f>
        <v>0</v>
      </c>
      <c r="P17" s="1">
        <f>(PerfmDataInput[[#This Row],[Water used (gal)]]*(6139/1000000))*((435.837/2204.62)/1000)</f>
        <v>0</v>
      </c>
      <c r="Q17" s="28"/>
    </row>
    <row r="18" spans="1:17" ht="16.5" x14ac:dyDescent="0.3">
      <c r="A18" s="26" t="s">
        <v>11</v>
      </c>
      <c r="B18" s="1">
        <f>IFERROR(PerfmDataInput[[#This Row],[Trash sent to landfill (lbs)]]*(0.18/2000), " ")</f>
        <v>0</v>
      </c>
      <c r="C18" s="1">
        <f>PerfmDataInput[[#This Row],[Process waste sent to landfill - solid  (lbs)]]*(0.43/2000)</f>
        <v>0</v>
      </c>
      <c r="D18" s="1"/>
      <c r="E18" s="1">
        <f>'Summary Table'!G17*-((0.18+0.03)/2)</f>
        <v>0</v>
      </c>
      <c r="F18" s="1">
        <f>PerfmDataInput[[#This Row],[Recycled material  (lbs)]]*(-2.63/2000)</f>
        <v>0</v>
      </c>
      <c r="G18" s="1"/>
      <c r="H18" s="1">
        <f>('Performance Data Input'!P18/1000)*(435.837/2204.62)</f>
        <v>0</v>
      </c>
      <c r="I18" s="31" t="s">
        <v>48</v>
      </c>
      <c r="J18" s="1">
        <f>PerfmDataInput[[#This Row],[Natural gas (Ccf)]]*5</f>
        <v>0</v>
      </c>
      <c r="K18" s="1">
        <f>PerfmDataInput[[#This Row],[Propane (gal)]]*0.00572</f>
        <v>0</v>
      </c>
      <c r="L18" s="1">
        <f>PerfmDataInput[[#This Row],[Heating oil (gal)]]*0.01024</f>
        <v>0</v>
      </c>
      <c r="M18" s="1">
        <f>(PerfmDataInput[[#This Row],[Wood (tons)]]*(16400000/1000000))*(29.8/2204.62)</f>
        <v>0</v>
      </c>
      <c r="N18" s="1">
        <f>PerfmDataInput[[#This Row],[Gasoline (gal)]]*0.00884</f>
        <v>0</v>
      </c>
      <c r="O18" s="1">
        <f>PerfmDataInput[[#This Row],[Diesel (gal)]]*0.01024</f>
        <v>0</v>
      </c>
      <c r="P18" s="1">
        <f>(PerfmDataInput[[#This Row],[Water used (gal)]]*(6139/1000000))*((435.837/2204.62)/1000)</f>
        <v>0</v>
      </c>
      <c r="Q18" s="28"/>
    </row>
    <row r="19" spans="1:17" ht="16.5" x14ac:dyDescent="0.3">
      <c r="A19" s="26" t="s">
        <v>12</v>
      </c>
      <c r="B19" s="1">
        <f>IFERROR(PerfmDataInput[[#This Row],[Trash sent to landfill (lbs)]]*(0.18/2000), " ")</f>
        <v>0</v>
      </c>
      <c r="C19" s="1">
        <f>PerfmDataInput[[#This Row],[Process waste sent to landfill - solid  (lbs)]]*(0.43/2000)</f>
        <v>0</v>
      </c>
      <c r="D19" s="1"/>
      <c r="E19" s="1">
        <f>'Summary Table'!G18*-((0.18+0.03)/2)</f>
        <v>0</v>
      </c>
      <c r="F19" s="1">
        <f>PerfmDataInput[[#This Row],[Recycled material  (lbs)]]*(-2.63/2000)</f>
        <v>0</v>
      </c>
      <c r="G19" s="1"/>
      <c r="H19" s="1">
        <f>('Performance Data Input'!P19/1000)*(435.837/2204.62)</f>
        <v>0</v>
      </c>
      <c r="I19" s="31" t="s">
        <v>48</v>
      </c>
      <c r="J19" s="1">
        <f>PerfmDataInput[[#This Row],[Natural gas (Ccf)]]*5</f>
        <v>0</v>
      </c>
      <c r="K19" s="1">
        <f>PerfmDataInput[[#This Row],[Propane (gal)]]*0.00572</f>
        <v>0</v>
      </c>
      <c r="L19" s="1">
        <f>PerfmDataInput[[#This Row],[Heating oil (gal)]]*0.01024</f>
        <v>0</v>
      </c>
      <c r="M19" s="1">
        <f>(PerfmDataInput[[#This Row],[Wood (tons)]]*(16400000/1000000))*(29.8/2204.62)</f>
        <v>0</v>
      </c>
      <c r="N19" s="1">
        <f>PerfmDataInput[[#This Row],[Gasoline (gal)]]*0.00884</f>
        <v>0</v>
      </c>
      <c r="O19" s="1">
        <f>PerfmDataInput[[#This Row],[Diesel (gal)]]*0.01024</f>
        <v>0</v>
      </c>
      <c r="P19" s="1">
        <f>(PerfmDataInput[[#This Row],[Water used (gal)]]*(6139/1000000))*((435.837/2204.62)/1000)</f>
        <v>0</v>
      </c>
      <c r="Q19" s="28"/>
    </row>
    <row r="20" spans="1:17" ht="16.5" x14ac:dyDescent="0.3">
      <c r="A20" s="26" t="s">
        <v>13</v>
      </c>
      <c r="B20" s="1">
        <f>IFERROR(PerfmDataInput[[#This Row],[Trash sent to landfill (lbs)]]*(0.18/2000), " ")</f>
        <v>0</v>
      </c>
      <c r="C20" s="1">
        <f>PerfmDataInput[[#This Row],[Process waste sent to landfill - solid  (lbs)]]*(0.43/2000)</f>
        <v>0</v>
      </c>
      <c r="D20" s="1"/>
      <c r="E20" s="1">
        <f>'Summary Table'!G19*-((0.18+0.03)/2)</f>
        <v>0</v>
      </c>
      <c r="F20" s="1">
        <f>PerfmDataInput[[#This Row],[Recycled material  (lbs)]]*(-2.63/2000)</f>
        <v>0</v>
      </c>
      <c r="G20" s="1"/>
      <c r="H20" s="1">
        <f>('Performance Data Input'!P20/1000)*(435.837/2204.62)</f>
        <v>0</v>
      </c>
      <c r="I20" s="31" t="s">
        <v>48</v>
      </c>
      <c r="J20" s="1">
        <f>PerfmDataInput[[#This Row],[Natural gas (Ccf)]]*5</f>
        <v>0</v>
      </c>
      <c r="K20" s="1">
        <f>PerfmDataInput[[#This Row],[Propane (gal)]]*0.00572</f>
        <v>0</v>
      </c>
      <c r="L20" s="1">
        <f>PerfmDataInput[[#This Row],[Heating oil (gal)]]*0.01024</f>
        <v>0</v>
      </c>
      <c r="M20" s="1">
        <f>(PerfmDataInput[[#This Row],[Wood (tons)]]*(16400000/1000000))*(29.8/2204.62)</f>
        <v>0</v>
      </c>
      <c r="N20" s="1">
        <f>PerfmDataInput[[#This Row],[Gasoline (gal)]]*0.00884</f>
        <v>0</v>
      </c>
      <c r="O20" s="1">
        <f>PerfmDataInput[[#This Row],[Diesel (gal)]]*0.01024</f>
        <v>0</v>
      </c>
      <c r="P20" s="1">
        <f>(PerfmDataInput[[#This Row],[Water used (gal)]]*(6139/1000000))*((435.837/2204.62)/1000)</f>
        <v>0</v>
      </c>
      <c r="Q20" s="28"/>
    </row>
    <row r="21" spans="1:17" ht="16.5" x14ac:dyDescent="0.3">
      <c r="A21" s="26" t="s">
        <v>99</v>
      </c>
      <c r="B21" s="1">
        <f>IFERROR(PerfmDataInput[[#This Row],[Trash sent to landfill (lbs)]]*(0.18/2000), " ")</f>
        <v>0</v>
      </c>
      <c r="C21" s="1">
        <f>PerfmDataInput[[#This Row],[Process waste sent to landfill - solid  (lbs)]]*(0.43/2000)</f>
        <v>0</v>
      </c>
      <c r="D21" s="1"/>
      <c r="E21" s="1">
        <f>'Summary Table'!G20*-((0.18+0.03)/2)</f>
        <v>0</v>
      </c>
      <c r="F21" s="1">
        <f>PerfmDataInput[[#This Row],[Recycled material  (lbs)]]*(-2.63/2000)</f>
        <v>0</v>
      </c>
      <c r="G21" s="1"/>
      <c r="H21" s="1">
        <f>('Performance Data Input'!P21/1000)*(435.837/2204.62)</f>
        <v>0</v>
      </c>
      <c r="I21" s="31" t="s">
        <v>48</v>
      </c>
      <c r="J21" s="1">
        <f>PerfmDataInput[[#This Row],[Natural gas (Ccf)]]*5</f>
        <v>0</v>
      </c>
      <c r="K21" s="1">
        <f>PerfmDataInput[[#This Row],[Propane (gal)]]*0.00572</f>
        <v>0</v>
      </c>
      <c r="L21" s="1">
        <f>PerfmDataInput[[#This Row],[Heating oil (gal)]]*0.01024</f>
        <v>0</v>
      </c>
      <c r="M21" s="1">
        <f>(PerfmDataInput[[#This Row],[Wood (tons)]]*(16400000/1000000))*(29.8/2204.62)</f>
        <v>0</v>
      </c>
      <c r="N21" s="1">
        <f>PerfmDataInput[[#This Row],[Gasoline (gal)]]*0.00884</f>
        <v>0</v>
      </c>
      <c r="O21" s="1">
        <f>PerfmDataInput[[#This Row],[Diesel (gal)]]*0.01024</f>
        <v>0</v>
      </c>
      <c r="P21" s="1">
        <f>(PerfmDataInput[[#This Row],[Water used (gal)]]*(6139/1000000))*((435.837/2204.62)/1000)</f>
        <v>0</v>
      </c>
      <c r="Q21" s="28"/>
    </row>
    <row r="22" spans="1:17" ht="16.5" x14ac:dyDescent="0.3">
      <c r="A22" s="26" t="s">
        <v>100</v>
      </c>
      <c r="B22" s="1">
        <f>IFERROR(PerfmDataInput[[#This Row],[Trash sent to landfill (lbs)]]*(0.18/2000), " ")</f>
        <v>0</v>
      </c>
      <c r="C22" s="1">
        <f>PerfmDataInput[[#This Row],[Process waste sent to landfill - solid  (lbs)]]*(0.43/2000)</f>
        <v>0</v>
      </c>
      <c r="D22" s="1"/>
      <c r="E22" s="1">
        <f>'Summary Table'!G21*-((0.18+0.03)/2)</f>
        <v>0</v>
      </c>
      <c r="F22" s="1">
        <f>PerfmDataInput[[#This Row],[Recycled material  (lbs)]]*(-2.63/2000)</f>
        <v>0</v>
      </c>
      <c r="G22" s="1"/>
      <c r="H22" s="1">
        <f>('Performance Data Input'!P22/1000)*(435.837/2204.62)</f>
        <v>0</v>
      </c>
      <c r="I22" s="31" t="s">
        <v>48</v>
      </c>
      <c r="J22" s="1">
        <f>PerfmDataInput[[#This Row],[Natural gas (Ccf)]]*5</f>
        <v>0</v>
      </c>
      <c r="K22" s="1">
        <f>PerfmDataInput[[#This Row],[Propane (gal)]]*0.00572</f>
        <v>0</v>
      </c>
      <c r="L22" s="1">
        <f>PerfmDataInput[[#This Row],[Heating oil (gal)]]*0.01024</f>
        <v>0</v>
      </c>
      <c r="M22" s="1">
        <f>(PerfmDataInput[[#This Row],[Wood (tons)]]*(16400000/1000000))*(29.8/2204.62)</f>
        <v>0</v>
      </c>
      <c r="N22" s="1">
        <f>PerfmDataInput[[#This Row],[Gasoline (gal)]]*0.00884</f>
        <v>0</v>
      </c>
      <c r="O22" s="1">
        <f>PerfmDataInput[[#This Row],[Diesel (gal)]]*0.01024</f>
        <v>0</v>
      </c>
      <c r="P22" s="1">
        <f>(PerfmDataInput[[#This Row],[Water used (gal)]]*(6139/1000000))*((435.837/2204.62)/1000)</f>
        <v>0</v>
      </c>
      <c r="Q22" s="28"/>
    </row>
    <row r="23" spans="1:17" ht="16.5" x14ac:dyDescent="0.3">
      <c r="A23" s="26" t="s">
        <v>101</v>
      </c>
      <c r="B23" s="1">
        <f>IFERROR(PerfmDataInput[[#This Row],[Trash sent to landfill (lbs)]]*(0.18/2000), " ")</f>
        <v>0</v>
      </c>
      <c r="C23" s="1">
        <f>PerfmDataInput[[#This Row],[Process waste sent to landfill - solid  (lbs)]]*(0.43/2000)</f>
        <v>0</v>
      </c>
      <c r="D23" s="1"/>
      <c r="E23" s="1">
        <f>'Summary Table'!G22*-((0.18+0.03)/2)</f>
        <v>0</v>
      </c>
      <c r="F23" s="1">
        <f>PerfmDataInput[[#This Row],[Recycled material  (lbs)]]*(-2.63/2000)</f>
        <v>0</v>
      </c>
      <c r="G23" s="1"/>
      <c r="H23" s="1">
        <f>('Performance Data Input'!P23/1000)*(435.837/2204.62)</f>
        <v>0</v>
      </c>
      <c r="I23" s="31" t="s">
        <v>48</v>
      </c>
      <c r="J23" s="1">
        <f>PerfmDataInput[[#This Row],[Natural gas (Ccf)]]*5</f>
        <v>0</v>
      </c>
      <c r="K23" s="1">
        <f>PerfmDataInput[[#This Row],[Propane (gal)]]*0.00572</f>
        <v>0</v>
      </c>
      <c r="L23" s="1">
        <f>PerfmDataInput[[#This Row],[Heating oil (gal)]]*0.01024</f>
        <v>0</v>
      </c>
      <c r="M23" s="1">
        <f>(PerfmDataInput[[#This Row],[Wood (tons)]]*(16400000/1000000))*(29.8/2204.62)</f>
        <v>0</v>
      </c>
      <c r="N23" s="1">
        <f>PerfmDataInput[[#This Row],[Gasoline (gal)]]*0.00884</f>
        <v>0</v>
      </c>
      <c r="O23" s="1">
        <f>PerfmDataInput[[#This Row],[Diesel (gal)]]*0.01024</f>
        <v>0</v>
      </c>
      <c r="P23" s="1">
        <f>(PerfmDataInput[[#This Row],[Water used (gal)]]*(6139/1000000))*((435.837/2204.62)/1000)</f>
        <v>0</v>
      </c>
      <c r="Q23" s="28"/>
    </row>
    <row r="24" spans="1:17" ht="16.5" x14ac:dyDescent="0.3">
      <c r="A24" s="26" t="s">
        <v>102</v>
      </c>
      <c r="B24" s="1">
        <f>IFERROR(PerfmDataInput[[#This Row],[Trash sent to landfill (lbs)]]*(0.18/2000), " ")</f>
        <v>0</v>
      </c>
      <c r="C24" s="1">
        <f>PerfmDataInput[[#This Row],[Process waste sent to landfill - solid  (lbs)]]*(0.43/2000)</f>
        <v>0</v>
      </c>
      <c r="D24" s="1"/>
      <c r="E24" s="1">
        <f>'Summary Table'!G23*-((0.18+0.03)/2)</f>
        <v>0</v>
      </c>
      <c r="F24" s="1">
        <f>PerfmDataInput[[#This Row],[Recycled material  (lbs)]]*(-2.63/2000)</f>
        <v>0</v>
      </c>
      <c r="G24" s="1"/>
      <c r="H24" s="1">
        <f>('Performance Data Input'!P24/1000)*(435.837/2204.62)</f>
        <v>0</v>
      </c>
      <c r="I24" s="31" t="s">
        <v>48</v>
      </c>
      <c r="J24" s="1">
        <f>PerfmDataInput[[#This Row],[Natural gas (Ccf)]]*5</f>
        <v>0</v>
      </c>
      <c r="K24" s="1">
        <f>PerfmDataInput[[#This Row],[Propane (gal)]]*0.00572</f>
        <v>0</v>
      </c>
      <c r="L24" s="1">
        <f>PerfmDataInput[[#This Row],[Heating oil (gal)]]*0.01024</f>
        <v>0</v>
      </c>
      <c r="M24" s="1">
        <f>(PerfmDataInput[[#This Row],[Wood (tons)]]*(16400000/1000000))*(29.8/2204.62)</f>
        <v>0</v>
      </c>
      <c r="N24" s="1">
        <f>PerfmDataInput[[#This Row],[Gasoline (gal)]]*0.00884</f>
        <v>0</v>
      </c>
      <c r="O24" s="1">
        <f>PerfmDataInput[[#This Row],[Diesel (gal)]]*0.01024</f>
        <v>0</v>
      </c>
      <c r="P24" s="1">
        <f>(PerfmDataInput[[#This Row],[Water used (gal)]]*(6139/1000000))*((435.837/2204.62)/1000)</f>
        <v>0</v>
      </c>
      <c r="Q24" s="28"/>
    </row>
    <row r="25" spans="1:17" ht="16.5" x14ac:dyDescent="0.3">
      <c r="A25" s="26" t="s">
        <v>103</v>
      </c>
      <c r="B25" s="1">
        <f>IFERROR(PerfmDataInput[[#This Row],[Trash sent to landfill (lbs)]]*(0.18/2000), " ")</f>
        <v>0</v>
      </c>
      <c r="C25" s="1">
        <f>PerfmDataInput[[#This Row],[Process waste sent to landfill - solid  (lbs)]]*(0.43/2000)</f>
        <v>0</v>
      </c>
      <c r="D25" s="1"/>
      <c r="E25" s="1">
        <f>'Summary Table'!G24*-((0.18+0.03)/2)</f>
        <v>0</v>
      </c>
      <c r="F25" s="1">
        <f>PerfmDataInput[[#This Row],[Recycled material  (lbs)]]*(-2.63/2000)</f>
        <v>0</v>
      </c>
      <c r="G25" s="1"/>
      <c r="H25" s="1">
        <f>('Performance Data Input'!P25/1000)*(435.837/2204.62)</f>
        <v>0</v>
      </c>
      <c r="I25" s="31" t="s">
        <v>48</v>
      </c>
      <c r="J25" s="1">
        <f>PerfmDataInput[[#This Row],[Natural gas (Ccf)]]*5</f>
        <v>0</v>
      </c>
      <c r="K25" s="1">
        <f>PerfmDataInput[[#This Row],[Propane (gal)]]*0.00572</f>
        <v>0</v>
      </c>
      <c r="L25" s="1">
        <f>PerfmDataInput[[#This Row],[Heating oil (gal)]]*0.01024</f>
        <v>0</v>
      </c>
      <c r="M25" s="1">
        <f>(PerfmDataInput[[#This Row],[Wood (tons)]]*(16400000/1000000))*(29.8/2204.62)</f>
        <v>0</v>
      </c>
      <c r="N25" s="1">
        <f>PerfmDataInput[[#This Row],[Gasoline (gal)]]*0.00884</f>
        <v>0</v>
      </c>
      <c r="O25" s="1">
        <f>PerfmDataInput[[#This Row],[Diesel (gal)]]*0.01024</f>
        <v>0</v>
      </c>
      <c r="P25" s="1">
        <f>(PerfmDataInput[[#This Row],[Water used (gal)]]*(6139/1000000))*((435.837/2204.62)/1000)</f>
        <v>0</v>
      </c>
      <c r="Q25" s="28"/>
    </row>
    <row r="26" spans="1:17" ht="16.5" x14ac:dyDescent="0.3">
      <c r="A26" s="26" t="s">
        <v>104</v>
      </c>
      <c r="B26" s="1">
        <f>IFERROR(PerfmDataInput[[#This Row],[Trash sent to landfill (lbs)]]*(0.18/2000), " ")</f>
        <v>0</v>
      </c>
      <c r="C26" s="1">
        <f>PerfmDataInput[[#This Row],[Process waste sent to landfill - solid  (lbs)]]*(0.43/2000)</f>
        <v>0</v>
      </c>
      <c r="D26" s="1"/>
      <c r="E26" s="1">
        <f>'Summary Table'!G25*-((0.18+0.03)/2)</f>
        <v>0</v>
      </c>
      <c r="F26" s="1">
        <f>PerfmDataInput[[#This Row],[Recycled material  (lbs)]]*(-2.63/2000)</f>
        <v>0</v>
      </c>
      <c r="G26" s="1"/>
      <c r="H26" s="1">
        <f>('Performance Data Input'!P26/1000)*(435.837/2204.62)</f>
        <v>0</v>
      </c>
      <c r="I26" s="31" t="s">
        <v>48</v>
      </c>
      <c r="J26" s="1">
        <f>PerfmDataInput[[#This Row],[Natural gas (Ccf)]]*5</f>
        <v>0</v>
      </c>
      <c r="K26" s="1">
        <f>PerfmDataInput[[#This Row],[Propane (gal)]]*0.00572</f>
        <v>0</v>
      </c>
      <c r="L26" s="1">
        <f>PerfmDataInput[[#This Row],[Heating oil (gal)]]*0.01024</f>
        <v>0</v>
      </c>
      <c r="M26" s="1">
        <f>(PerfmDataInput[[#This Row],[Wood (tons)]]*(16400000/1000000))*(29.8/2204.62)</f>
        <v>0</v>
      </c>
      <c r="N26" s="1">
        <f>PerfmDataInput[[#This Row],[Gasoline (gal)]]*0.00884</f>
        <v>0</v>
      </c>
      <c r="O26" s="1">
        <f>PerfmDataInput[[#This Row],[Diesel (gal)]]*0.01024</f>
        <v>0</v>
      </c>
      <c r="P26" s="1">
        <f>(PerfmDataInput[[#This Row],[Water used (gal)]]*(6139/1000000))*((435.837/2204.62)/1000)</f>
        <v>0</v>
      </c>
      <c r="Q26" s="28"/>
    </row>
    <row r="27" spans="1:17" ht="16.5" x14ac:dyDescent="0.3">
      <c r="A27" s="26" t="s">
        <v>105</v>
      </c>
      <c r="B27" s="1">
        <f>IFERROR(PerfmDataInput[[#This Row],[Trash sent to landfill (lbs)]]*(0.18/2000), " ")</f>
        <v>0</v>
      </c>
      <c r="C27" s="1">
        <f>PerfmDataInput[[#This Row],[Process waste sent to landfill - solid  (lbs)]]*(0.43/2000)</f>
        <v>0</v>
      </c>
      <c r="D27" s="1"/>
      <c r="E27" s="1">
        <f>'Summary Table'!G26*-((0.18+0.03)/2)</f>
        <v>0</v>
      </c>
      <c r="F27" s="1">
        <f>PerfmDataInput[[#This Row],[Recycled material  (lbs)]]*(-2.63/2000)</f>
        <v>0</v>
      </c>
      <c r="G27" s="1"/>
      <c r="H27" s="1">
        <f>('Performance Data Input'!P27/1000)*(435.837/2204.62)</f>
        <v>0</v>
      </c>
      <c r="I27" s="31" t="s">
        <v>48</v>
      </c>
      <c r="J27" s="1">
        <f>PerfmDataInput[[#This Row],[Natural gas (Ccf)]]*5</f>
        <v>0</v>
      </c>
      <c r="K27" s="1">
        <f>PerfmDataInput[[#This Row],[Propane (gal)]]*0.00572</f>
        <v>0</v>
      </c>
      <c r="L27" s="1">
        <f>PerfmDataInput[[#This Row],[Heating oil (gal)]]*0.01024</f>
        <v>0</v>
      </c>
      <c r="M27" s="1">
        <f>(PerfmDataInput[[#This Row],[Wood (tons)]]*(16400000/1000000))*(29.8/2204.62)</f>
        <v>0</v>
      </c>
      <c r="N27" s="1">
        <f>PerfmDataInput[[#This Row],[Gasoline (gal)]]*0.00884</f>
        <v>0</v>
      </c>
      <c r="O27" s="1">
        <f>PerfmDataInput[[#This Row],[Diesel (gal)]]*0.01024</f>
        <v>0</v>
      </c>
      <c r="P27" s="1">
        <f>(PerfmDataInput[[#This Row],[Water used (gal)]]*(6139/1000000))*((435.837/2204.62)/1000)</f>
        <v>0</v>
      </c>
      <c r="Q27" s="28"/>
    </row>
    <row r="28" spans="1:17" ht="16.5" x14ac:dyDescent="0.3">
      <c r="A28" s="26" t="s">
        <v>106</v>
      </c>
      <c r="B28" s="1">
        <f>IFERROR(PerfmDataInput[[#This Row],[Trash sent to landfill (lbs)]]*(0.18/2000), " ")</f>
        <v>0</v>
      </c>
      <c r="C28" s="1">
        <f>PerfmDataInput[[#This Row],[Process waste sent to landfill - solid  (lbs)]]*(0.43/2000)</f>
        <v>0</v>
      </c>
      <c r="D28" s="1"/>
      <c r="E28" s="1">
        <f>'Summary Table'!G27*-((0.18+0.03)/2)</f>
        <v>0</v>
      </c>
      <c r="F28" s="1">
        <f>PerfmDataInput[[#This Row],[Recycled material  (lbs)]]*(-2.63/2000)</f>
        <v>0</v>
      </c>
      <c r="G28" s="1"/>
      <c r="H28" s="1">
        <f>('Performance Data Input'!P28/1000)*(435.837/2204.62)</f>
        <v>0</v>
      </c>
      <c r="I28" s="31" t="s">
        <v>48</v>
      </c>
      <c r="J28" s="1">
        <f>PerfmDataInput[[#This Row],[Natural gas (Ccf)]]*5</f>
        <v>0</v>
      </c>
      <c r="K28" s="1">
        <f>PerfmDataInput[[#This Row],[Propane (gal)]]*0.00572</f>
        <v>0</v>
      </c>
      <c r="L28" s="1">
        <f>PerfmDataInput[[#This Row],[Heating oil (gal)]]*0.01024</f>
        <v>0</v>
      </c>
      <c r="M28" s="1">
        <f>(PerfmDataInput[[#This Row],[Wood (tons)]]*(16400000/1000000))*(29.8/2204.62)</f>
        <v>0</v>
      </c>
      <c r="N28" s="1">
        <f>PerfmDataInput[[#This Row],[Gasoline (gal)]]*0.00884</f>
        <v>0</v>
      </c>
      <c r="O28" s="1">
        <f>PerfmDataInput[[#This Row],[Diesel (gal)]]*0.01024</f>
        <v>0</v>
      </c>
      <c r="P28" s="1">
        <f>(PerfmDataInput[[#This Row],[Water used (gal)]]*(6139/1000000))*((435.837/2204.62)/1000)</f>
        <v>0</v>
      </c>
      <c r="Q28" s="28"/>
    </row>
    <row r="29" spans="1:17" ht="16.5" x14ac:dyDescent="0.3">
      <c r="A29" s="26" t="s">
        <v>107</v>
      </c>
      <c r="B29" s="1">
        <f>IFERROR(PerfmDataInput[[#This Row],[Trash sent to landfill (lbs)]]*(0.18/2000), " ")</f>
        <v>0</v>
      </c>
      <c r="C29" s="1">
        <f>PerfmDataInput[[#This Row],[Process waste sent to landfill - solid  (lbs)]]*(0.43/2000)</f>
        <v>0</v>
      </c>
      <c r="D29" s="1"/>
      <c r="E29" s="1">
        <f>'Summary Table'!G28*-((0.18+0.03)/2)</f>
        <v>0</v>
      </c>
      <c r="F29" s="1">
        <f>PerfmDataInput[[#This Row],[Recycled material  (lbs)]]*(-2.63/2000)</f>
        <v>0</v>
      </c>
      <c r="G29" s="1"/>
      <c r="H29" s="1">
        <f>('Performance Data Input'!P29/1000)*(435.837/2204.62)</f>
        <v>0</v>
      </c>
      <c r="I29" s="31" t="s">
        <v>48</v>
      </c>
      <c r="J29" s="1">
        <f>PerfmDataInput[[#This Row],[Natural gas (Ccf)]]*5</f>
        <v>0</v>
      </c>
      <c r="K29" s="1">
        <f>PerfmDataInput[[#This Row],[Propane (gal)]]*0.00572</f>
        <v>0</v>
      </c>
      <c r="L29" s="1">
        <f>PerfmDataInput[[#This Row],[Heating oil (gal)]]*0.01024</f>
        <v>0</v>
      </c>
      <c r="M29" s="1">
        <f>(PerfmDataInput[[#This Row],[Wood (tons)]]*(16400000/1000000))*(29.8/2204.62)</f>
        <v>0</v>
      </c>
      <c r="N29" s="1">
        <f>PerfmDataInput[[#This Row],[Gasoline (gal)]]*0.00884</f>
        <v>0</v>
      </c>
      <c r="O29" s="1">
        <f>PerfmDataInput[[#This Row],[Diesel (gal)]]*0.01024</f>
        <v>0</v>
      </c>
      <c r="P29" s="1">
        <f>(PerfmDataInput[[#This Row],[Water used (gal)]]*(6139/1000000))*((435.837/2204.62)/1000)</f>
        <v>0</v>
      </c>
      <c r="Q29" s="28"/>
    </row>
    <row r="30" spans="1:17" ht="16.5" x14ac:dyDescent="0.3">
      <c r="A30" s="26" t="s">
        <v>108</v>
      </c>
      <c r="B30" s="1">
        <f>IFERROR(PerfmDataInput[[#This Row],[Trash sent to landfill (lbs)]]*(0.18/2000), " ")</f>
        <v>0</v>
      </c>
      <c r="C30" s="1">
        <f>PerfmDataInput[[#This Row],[Process waste sent to landfill - solid  (lbs)]]*(0.43/2000)</f>
        <v>0</v>
      </c>
      <c r="D30" s="1"/>
      <c r="E30" s="1">
        <f>'Summary Table'!G29*-((0.18+0.03)/2)</f>
        <v>0</v>
      </c>
      <c r="F30" s="1">
        <f>PerfmDataInput[[#This Row],[Recycled material  (lbs)]]*(-2.63/2000)</f>
        <v>0</v>
      </c>
      <c r="G30" s="1"/>
      <c r="H30" s="1">
        <f>('Performance Data Input'!P30/1000)*(435.837/2204.62)</f>
        <v>0</v>
      </c>
      <c r="I30" s="31" t="s">
        <v>48</v>
      </c>
      <c r="J30" s="1">
        <f>PerfmDataInput[[#This Row],[Natural gas (Ccf)]]*5</f>
        <v>0</v>
      </c>
      <c r="K30" s="1">
        <f>PerfmDataInput[[#This Row],[Propane (gal)]]*0.00572</f>
        <v>0</v>
      </c>
      <c r="L30" s="1">
        <f>PerfmDataInput[[#This Row],[Heating oil (gal)]]*0.01024</f>
        <v>0</v>
      </c>
      <c r="M30" s="1">
        <f>(PerfmDataInput[[#This Row],[Wood (tons)]]*(16400000/1000000))*(29.8/2204.62)</f>
        <v>0</v>
      </c>
      <c r="N30" s="1">
        <f>PerfmDataInput[[#This Row],[Gasoline (gal)]]*0.00884</f>
        <v>0</v>
      </c>
      <c r="O30" s="1">
        <f>PerfmDataInput[[#This Row],[Diesel (gal)]]*0.01024</f>
        <v>0</v>
      </c>
      <c r="P30" s="1">
        <f>(PerfmDataInput[[#This Row],[Water used (gal)]]*(6139/1000000))*((435.837/2204.62)/1000)</f>
        <v>0</v>
      </c>
      <c r="Q30" s="28"/>
    </row>
    <row r="31" spans="1:17" ht="16.5" x14ac:dyDescent="0.3">
      <c r="A31" s="26" t="s">
        <v>109</v>
      </c>
      <c r="B31" s="1">
        <f>IFERROR(PerfmDataInput[[#This Row],[Trash sent to landfill (lbs)]]*(0.18/2000), " ")</f>
        <v>0</v>
      </c>
      <c r="C31" s="1">
        <f>PerfmDataInput[[#This Row],[Process waste sent to landfill - solid  (lbs)]]*(0.43/2000)</f>
        <v>0</v>
      </c>
      <c r="D31" s="1"/>
      <c r="E31" s="1">
        <f>'Summary Table'!G30*-((0.18+0.03)/2)</f>
        <v>0</v>
      </c>
      <c r="F31" s="1">
        <f>PerfmDataInput[[#This Row],[Recycled material  (lbs)]]*(-2.63/2000)</f>
        <v>0</v>
      </c>
      <c r="G31" s="1"/>
      <c r="H31" s="1">
        <f>('Performance Data Input'!P31/1000)*(435.837/2204.62)</f>
        <v>0</v>
      </c>
      <c r="I31" s="31" t="s">
        <v>48</v>
      </c>
      <c r="J31" s="1">
        <f>PerfmDataInput[[#This Row],[Natural gas (Ccf)]]*5</f>
        <v>0</v>
      </c>
      <c r="K31" s="1">
        <f>PerfmDataInput[[#This Row],[Propane (gal)]]*0.00572</f>
        <v>0</v>
      </c>
      <c r="L31" s="1">
        <f>PerfmDataInput[[#This Row],[Heating oil (gal)]]*0.01024</f>
        <v>0</v>
      </c>
      <c r="M31" s="1">
        <f>(PerfmDataInput[[#This Row],[Wood (tons)]]*(16400000/1000000))*(29.8/2204.62)</f>
        <v>0</v>
      </c>
      <c r="N31" s="1">
        <f>PerfmDataInput[[#This Row],[Gasoline (gal)]]*0.00884</f>
        <v>0</v>
      </c>
      <c r="O31" s="1">
        <f>PerfmDataInput[[#This Row],[Diesel (gal)]]*0.01024</f>
        <v>0</v>
      </c>
      <c r="P31" s="1">
        <f>(PerfmDataInput[[#This Row],[Water used (gal)]]*(6139/1000000))*((435.837/2204.62)/1000)</f>
        <v>0</v>
      </c>
      <c r="Q31" s="28"/>
    </row>
    <row r="32" spans="1:17" ht="16.5" x14ac:dyDescent="0.3">
      <c r="A32" s="26" t="s">
        <v>110</v>
      </c>
      <c r="B32" s="1">
        <f>IFERROR(PerfmDataInput[[#This Row],[Trash sent to landfill (lbs)]]*(0.18/2000), " ")</f>
        <v>0</v>
      </c>
      <c r="C32" s="1">
        <f>PerfmDataInput[[#This Row],[Process waste sent to landfill - solid  (lbs)]]*(0.43/2000)</f>
        <v>0</v>
      </c>
      <c r="D32" s="1"/>
      <c r="E32" s="1">
        <f>'Summary Table'!G31*-((0.18+0.03)/2)</f>
        <v>0</v>
      </c>
      <c r="F32" s="1">
        <f>PerfmDataInput[[#This Row],[Recycled material  (lbs)]]*(-2.63/2000)</f>
        <v>0</v>
      </c>
      <c r="G32" s="1"/>
      <c r="H32" s="1">
        <f>('Performance Data Input'!P32/1000)*(435.837/2204.62)</f>
        <v>0</v>
      </c>
      <c r="I32" s="31" t="s">
        <v>48</v>
      </c>
      <c r="J32" s="1">
        <f>PerfmDataInput[[#This Row],[Natural gas (Ccf)]]*5</f>
        <v>0</v>
      </c>
      <c r="K32" s="1">
        <f>PerfmDataInput[[#This Row],[Propane (gal)]]*0.00572</f>
        <v>0</v>
      </c>
      <c r="L32" s="1">
        <f>PerfmDataInput[[#This Row],[Heating oil (gal)]]*0.01024</f>
        <v>0</v>
      </c>
      <c r="M32" s="1">
        <f>(PerfmDataInput[[#This Row],[Wood (tons)]]*(16400000/1000000))*(29.8/2204.62)</f>
        <v>0</v>
      </c>
      <c r="N32" s="1">
        <f>PerfmDataInput[[#This Row],[Gasoline (gal)]]*0.00884</f>
        <v>0</v>
      </c>
      <c r="O32" s="1">
        <f>PerfmDataInput[[#This Row],[Diesel (gal)]]*0.01024</f>
        <v>0</v>
      </c>
      <c r="P32" s="1">
        <f>(PerfmDataInput[[#This Row],[Water used (gal)]]*(6139/1000000))*((435.837/2204.62)/1000)</f>
        <v>0</v>
      </c>
      <c r="Q32" s="28"/>
    </row>
    <row r="33" spans="1:17" ht="16.5" x14ac:dyDescent="0.3">
      <c r="A33" s="26" t="s">
        <v>111</v>
      </c>
      <c r="B33" s="1">
        <f>IFERROR(PerfmDataInput[[#This Row],[Trash sent to landfill (lbs)]]*(0.18/2000), " ")</f>
        <v>0</v>
      </c>
      <c r="C33" s="1">
        <f>PerfmDataInput[[#This Row],[Process waste sent to landfill - solid  (lbs)]]*(0.43/2000)</f>
        <v>0</v>
      </c>
      <c r="D33" s="1"/>
      <c r="E33" s="1">
        <f>'Summary Table'!G32*-((0.18+0.03)/2)</f>
        <v>0</v>
      </c>
      <c r="F33" s="1">
        <f>PerfmDataInput[[#This Row],[Recycled material  (lbs)]]*(-2.63/2000)</f>
        <v>0</v>
      </c>
      <c r="G33" s="1"/>
      <c r="H33" s="1">
        <f>('Performance Data Input'!P33/1000)*(435.837/2204.62)</f>
        <v>0</v>
      </c>
      <c r="I33" s="31" t="s">
        <v>48</v>
      </c>
      <c r="J33" s="1">
        <f>PerfmDataInput[[#This Row],[Natural gas (Ccf)]]*5</f>
        <v>0</v>
      </c>
      <c r="K33" s="1">
        <f>PerfmDataInput[[#This Row],[Propane (gal)]]*0.00572</f>
        <v>0</v>
      </c>
      <c r="L33" s="1">
        <f>PerfmDataInput[[#This Row],[Heating oil (gal)]]*0.01024</f>
        <v>0</v>
      </c>
      <c r="M33" s="1">
        <f>(PerfmDataInput[[#This Row],[Wood (tons)]]*(16400000/1000000))*(29.8/2204.62)</f>
        <v>0</v>
      </c>
      <c r="N33" s="1">
        <f>PerfmDataInput[[#This Row],[Gasoline (gal)]]*0.00884</f>
        <v>0</v>
      </c>
      <c r="O33" s="1">
        <f>PerfmDataInput[[#This Row],[Diesel (gal)]]*0.01024</f>
        <v>0</v>
      </c>
      <c r="P33" s="1">
        <f>(PerfmDataInput[[#This Row],[Water used (gal)]]*(6139/1000000))*((435.837/2204.62)/1000)</f>
        <v>0</v>
      </c>
      <c r="Q33" s="28"/>
    </row>
    <row r="34" spans="1:17" ht="16.5" x14ac:dyDescent="0.3">
      <c r="A34" s="26" t="s">
        <v>112</v>
      </c>
      <c r="B34" s="1">
        <f>IFERROR(PerfmDataInput[[#This Row],[Trash sent to landfill (lbs)]]*(0.18/2000), " ")</f>
        <v>0</v>
      </c>
      <c r="C34" s="1">
        <f>PerfmDataInput[[#This Row],[Process waste sent to landfill - solid  (lbs)]]*(0.43/2000)</f>
        <v>0</v>
      </c>
      <c r="D34" s="1"/>
      <c r="E34" s="1">
        <f>'Summary Table'!G33*-((0.18+0.03)/2)</f>
        <v>0</v>
      </c>
      <c r="F34" s="1">
        <f>PerfmDataInput[[#This Row],[Recycled material  (lbs)]]*(-2.63/2000)</f>
        <v>0</v>
      </c>
      <c r="G34" s="1"/>
      <c r="H34" s="1">
        <f>('Performance Data Input'!P34/1000)*(435.837/2204.62)</f>
        <v>0</v>
      </c>
      <c r="I34" s="31" t="s">
        <v>48</v>
      </c>
      <c r="J34" s="1">
        <f>PerfmDataInput[[#This Row],[Natural gas (Ccf)]]*5</f>
        <v>0</v>
      </c>
      <c r="K34" s="1">
        <f>PerfmDataInput[[#This Row],[Propane (gal)]]*0.00572</f>
        <v>0</v>
      </c>
      <c r="L34" s="1">
        <f>PerfmDataInput[[#This Row],[Heating oil (gal)]]*0.01024</f>
        <v>0</v>
      </c>
      <c r="M34" s="1">
        <f>(PerfmDataInput[[#This Row],[Wood (tons)]]*(16400000/1000000))*(29.8/2204.62)</f>
        <v>0</v>
      </c>
      <c r="N34" s="1">
        <f>PerfmDataInput[[#This Row],[Gasoline (gal)]]*0.00884</f>
        <v>0</v>
      </c>
      <c r="O34" s="1">
        <f>PerfmDataInput[[#This Row],[Diesel (gal)]]*0.01024</f>
        <v>0</v>
      </c>
      <c r="P34" s="1">
        <f>(PerfmDataInput[[#This Row],[Water used (gal)]]*(6139/1000000))*((435.837/2204.62)/1000)</f>
        <v>0</v>
      </c>
      <c r="Q34" s="28"/>
    </row>
    <row r="35" spans="1:17" ht="16.5" x14ac:dyDescent="0.3">
      <c r="A35" s="26" t="s">
        <v>113</v>
      </c>
      <c r="B35" s="1">
        <f>IFERROR(PerfmDataInput[[#This Row],[Trash sent to landfill (lbs)]]*(0.18/2000), " ")</f>
        <v>0</v>
      </c>
      <c r="C35" s="1">
        <f>PerfmDataInput[[#This Row],[Process waste sent to landfill - solid  (lbs)]]*(0.43/2000)</f>
        <v>0</v>
      </c>
      <c r="D35" s="1"/>
      <c r="E35" s="1">
        <f>'Summary Table'!G34*-((0.18+0.03)/2)</f>
        <v>0</v>
      </c>
      <c r="F35" s="1">
        <f>PerfmDataInput[[#This Row],[Recycled material  (lbs)]]*(-2.63/2000)</f>
        <v>0</v>
      </c>
      <c r="G35" s="1"/>
      <c r="H35" s="1">
        <f>('Performance Data Input'!P35/1000)*(435.837/2204.62)</f>
        <v>0</v>
      </c>
      <c r="I35" s="31" t="s">
        <v>48</v>
      </c>
      <c r="J35" s="1">
        <f>PerfmDataInput[[#This Row],[Natural gas (Ccf)]]*5</f>
        <v>0</v>
      </c>
      <c r="K35" s="1">
        <f>PerfmDataInput[[#This Row],[Propane (gal)]]*0.00572</f>
        <v>0</v>
      </c>
      <c r="L35" s="1">
        <f>PerfmDataInput[[#This Row],[Heating oil (gal)]]*0.01024</f>
        <v>0</v>
      </c>
      <c r="M35" s="1">
        <f>(PerfmDataInput[[#This Row],[Wood (tons)]]*(16400000/1000000))*(29.8/2204.62)</f>
        <v>0</v>
      </c>
      <c r="N35" s="1">
        <f>PerfmDataInput[[#This Row],[Gasoline (gal)]]*0.00884</f>
        <v>0</v>
      </c>
      <c r="O35" s="1">
        <f>PerfmDataInput[[#This Row],[Diesel (gal)]]*0.01024</f>
        <v>0</v>
      </c>
      <c r="P35" s="1">
        <f>(PerfmDataInput[[#This Row],[Water used (gal)]]*(6139/1000000))*((435.837/2204.62)/1000)</f>
        <v>0</v>
      </c>
      <c r="Q35" s="28"/>
    </row>
    <row r="36" spans="1:17" ht="16.5" x14ac:dyDescent="0.3">
      <c r="A36" s="26" t="s">
        <v>114</v>
      </c>
      <c r="B36" s="1">
        <f>IFERROR(PerfmDataInput[[#This Row],[Trash sent to landfill (lbs)]]*(0.18/2000), " ")</f>
        <v>0</v>
      </c>
      <c r="C36" s="1">
        <f>PerfmDataInput[[#This Row],[Process waste sent to landfill - solid  (lbs)]]*(0.43/2000)</f>
        <v>0</v>
      </c>
      <c r="D36" s="1"/>
      <c r="E36" s="1">
        <f>'Summary Table'!G35*-((0.18+0.03)/2)</f>
        <v>0</v>
      </c>
      <c r="F36" s="1">
        <f>PerfmDataInput[[#This Row],[Recycled material  (lbs)]]*(-2.63/2000)</f>
        <v>0</v>
      </c>
      <c r="G36" s="1"/>
      <c r="H36" s="1">
        <f>('Performance Data Input'!P36/1000)*(435.837/2204.62)</f>
        <v>0</v>
      </c>
      <c r="I36" s="31" t="s">
        <v>48</v>
      </c>
      <c r="J36" s="1">
        <f>PerfmDataInput[[#This Row],[Natural gas (Ccf)]]*5</f>
        <v>0</v>
      </c>
      <c r="K36" s="1">
        <f>PerfmDataInput[[#This Row],[Propane (gal)]]*0.00572</f>
        <v>0</v>
      </c>
      <c r="L36" s="1">
        <f>PerfmDataInput[[#This Row],[Heating oil (gal)]]*0.01024</f>
        <v>0</v>
      </c>
      <c r="M36" s="1">
        <f>(PerfmDataInput[[#This Row],[Wood (tons)]]*(16400000/1000000))*(29.8/2204.62)</f>
        <v>0</v>
      </c>
      <c r="N36" s="1">
        <f>PerfmDataInput[[#This Row],[Gasoline (gal)]]*0.00884</f>
        <v>0</v>
      </c>
      <c r="O36" s="1">
        <f>PerfmDataInput[[#This Row],[Diesel (gal)]]*0.01024</f>
        <v>0</v>
      </c>
      <c r="P36" s="1">
        <f>(PerfmDataInput[[#This Row],[Water used (gal)]]*(6139/1000000))*((435.837/2204.62)/1000)</f>
        <v>0</v>
      </c>
      <c r="Q36" s="28"/>
    </row>
    <row r="37" spans="1:17" ht="16.5" x14ac:dyDescent="0.3">
      <c r="A37" s="26" t="s">
        <v>115</v>
      </c>
      <c r="B37" s="1">
        <f>IFERROR(PerfmDataInput[[#This Row],[Trash sent to landfill (lbs)]]*(0.18/2000), " ")</f>
        <v>0</v>
      </c>
      <c r="C37" s="1">
        <f>PerfmDataInput[[#This Row],[Process waste sent to landfill - solid  (lbs)]]*(0.43/2000)</f>
        <v>0</v>
      </c>
      <c r="D37" s="1"/>
      <c r="E37" s="1">
        <f>'Summary Table'!G36*-((0.18+0.03)/2)</f>
        <v>0</v>
      </c>
      <c r="F37" s="1">
        <f>PerfmDataInput[[#This Row],[Recycled material  (lbs)]]*(-2.63/2000)</f>
        <v>0</v>
      </c>
      <c r="G37" s="1"/>
      <c r="H37" s="1">
        <f>('Performance Data Input'!P37/1000)*(435.837/2204.62)</f>
        <v>0</v>
      </c>
      <c r="I37" s="31" t="s">
        <v>48</v>
      </c>
      <c r="J37" s="1">
        <f>PerfmDataInput[[#This Row],[Natural gas (Ccf)]]*5</f>
        <v>0</v>
      </c>
      <c r="K37" s="1">
        <f>PerfmDataInput[[#This Row],[Propane (gal)]]*0.00572</f>
        <v>0</v>
      </c>
      <c r="L37" s="1">
        <f>PerfmDataInput[[#This Row],[Heating oil (gal)]]*0.01024</f>
        <v>0</v>
      </c>
      <c r="M37" s="1">
        <f>(PerfmDataInput[[#This Row],[Wood (tons)]]*(16400000/1000000))*(29.8/2204.62)</f>
        <v>0</v>
      </c>
      <c r="N37" s="1">
        <f>PerfmDataInput[[#This Row],[Gasoline (gal)]]*0.00884</f>
        <v>0</v>
      </c>
      <c r="O37" s="1">
        <f>PerfmDataInput[[#This Row],[Diesel (gal)]]*0.01024</f>
        <v>0</v>
      </c>
      <c r="P37" s="1">
        <f>(PerfmDataInput[[#This Row],[Water used (gal)]]*(6139/1000000))*((435.837/2204.62)/1000)</f>
        <v>0</v>
      </c>
      <c r="Q37" s="28"/>
    </row>
    <row r="38" spans="1:17" ht="16.5" x14ac:dyDescent="0.3">
      <c r="A38" s="26" t="s">
        <v>116</v>
      </c>
      <c r="B38" s="1">
        <f>IFERROR(PerfmDataInput[[#This Row],[Trash sent to landfill (lbs)]]*(0.18/2000), " ")</f>
        <v>0</v>
      </c>
      <c r="C38" s="1">
        <f>PerfmDataInput[[#This Row],[Process waste sent to landfill - solid  (lbs)]]*(0.43/2000)</f>
        <v>0</v>
      </c>
      <c r="D38" s="1"/>
      <c r="E38" s="1">
        <f>'Summary Table'!G37*-((0.18+0.03)/2)</f>
        <v>0</v>
      </c>
      <c r="F38" s="1">
        <f>PerfmDataInput[[#This Row],[Recycled material  (lbs)]]*(-2.63/2000)</f>
        <v>0</v>
      </c>
      <c r="G38" s="1"/>
      <c r="H38" s="1">
        <f>('Performance Data Input'!P38/1000)*(435.837/2204.62)</f>
        <v>0</v>
      </c>
      <c r="I38" s="31" t="s">
        <v>48</v>
      </c>
      <c r="J38" s="1">
        <f>PerfmDataInput[[#This Row],[Natural gas (Ccf)]]*5</f>
        <v>0</v>
      </c>
      <c r="K38" s="1">
        <f>PerfmDataInput[[#This Row],[Propane (gal)]]*0.00572</f>
        <v>0</v>
      </c>
      <c r="L38" s="1">
        <f>PerfmDataInput[[#This Row],[Heating oil (gal)]]*0.01024</f>
        <v>0</v>
      </c>
      <c r="M38" s="1">
        <f>(PerfmDataInput[[#This Row],[Wood (tons)]]*(16400000/1000000))*(29.8/2204.62)</f>
        <v>0</v>
      </c>
      <c r="N38" s="1">
        <f>PerfmDataInput[[#This Row],[Gasoline (gal)]]*0.00884</f>
        <v>0</v>
      </c>
      <c r="O38" s="1">
        <f>PerfmDataInput[[#This Row],[Diesel (gal)]]*0.01024</f>
        <v>0</v>
      </c>
      <c r="P38" s="1">
        <f>(PerfmDataInput[[#This Row],[Water used (gal)]]*(6139/1000000))*((435.837/2204.62)/1000)</f>
        <v>0</v>
      </c>
      <c r="Q38" s="28"/>
    </row>
    <row r="39" spans="1:17" ht="16.5" x14ac:dyDescent="0.3">
      <c r="A39" s="26" t="s">
        <v>117</v>
      </c>
      <c r="B39" s="1">
        <f>IFERROR(PerfmDataInput[[#This Row],[Trash sent to landfill (lbs)]]*(0.18/2000), " ")</f>
        <v>0</v>
      </c>
      <c r="C39" s="1">
        <f>PerfmDataInput[[#This Row],[Process waste sent to landfill - solid  (lbs)]]*(0.43/2000)</f>
        <v>0</v>
      </c>
      <c r="D39" s="1"/>
      <c r="E39" s="1">
        <f>'Summary Table'!G38*-((0.18+0.03)/2)</f>
        <v>0</v>
      </c>
      <c r="F39" s="1">
        <f>PerfmDataInput[[#This Row],[Recycled material  (lbs)]]*(-2.63/2000)</f>
        <v>0</v>
      </c>
      <c r="G39" s="1"/>
      <c r="H39" s="1">
        <f>('Performance Data Input'!P39/1000)*(435.837/2204.62)</f>
        <v>0</v>
      </c>
      <c r="I39" s="31" t="s">
        <v>48</v>
      </c>
      <c r="J39" s="1">
        <f>PerfmDataInput[[#This Row],[Natural gas (Ccf)]]*5</f>
        <v>0</v>
      </c>
      <c r="K39" s="1">
        <f>PerfmDataInput[[#This Row],[Propane (gal)]]*0.00572</f>
        <v>0</v>
      </c>
      <c r="L39" s="1">
        <f>PerfmDataInput[[#This Row],[Heating oil (gal)]]*0.01024</f>
        <v>0</v>
      </c>
      <c r="M39" s="1">
        <f>(PerfmDataInput[[#This Row],[Wood (tons)]]*(16400000/1000000))*(29.8/2204.62)</f>
        <v>0</v>
      </c>
      <c r="N39" s="1">
        <f>PerfmDataInput[[#This Row],[Gasoline (gal)]]*0.00884</f>
        <v>0</v>
      </c>
      <c r="O39" s="1">
        <f>PerfmDataInput[[#This Row],[Diesel (gal)]]*0.01024</f>
        <v>0</v>
      </c>
      <c r="P39" s="1">
        <f>(PerfmDataInput[[#This Row],[Water used (gal)]]*(6139/1000000))*((435.837/2204.62)/1000)</f>
        <v>0</v>
      </c>
      <c r="Q39" s="28"/>
    </row>
    <row r="40" spans="1:17" ht="16.5" x14ac:dyDescent="0.3">
      <c r="A40" s="26" t="s">
        <v>118</v>
      </c>
      <c r="B40" s="1">
        <f>IFERROR(PerfmDataInput[[#This Row],[Trash sent to landfill (lbs)]]*(0.18/2000), " ")</f>
        <v>0</v>
      </c>
      <c r="C40" s="1">
        <f>PerfmDataInput[[#This Row],[Process waste sent to landfill - solid  (lbs)]]*(0.43/2000)</f>
        <v>0</v>
      </c>
      <c r="D40" s="1"/>
      <c r="E40" s="1">
        <f>'Summary Table'!G39*-((0.18+0.03)/2)</f>
        <v>0</v>
      </c>
      <c r="F40" s="1">
        <f>PerfmDataInput[[#This Row],[Recycled material  (lbs)]]*(-2.63/2000)</f>
        <v>0</v>
      </c>
      <c r="G40" s="1"/>
      <c r="H40" s="1">
        <f>('Performance Data Input'!P40/1000)*(435.837/2204.62)</f>
        <v>0</v>
      </c>
      <c r="I40" s="31" t="s">
        <v>48</v>
      </c>
      <c r="J40" s="1">
        <f>PerfmDataInput[[#This Row],[Natural gas (Ccf)]]*5</f>
        <v>0</v>
      </c>
      <c r="K40" s="1">
        <f>PerfmDataInput[[#This Row],[Propane (gal)]]*0.00572</f>
        <v>0</v>
      </c>
      <c r="L40" s="1">
        <f>PerfmDataInput[[#This Row],[Heating oil (gal)]]*0.01024</f>
        <v>0</v>
      </c>
      <c r="M40" s="1">
        <f>(PerfmDataInput[[#This Row],[Wood (tons)]]*(16400000/1000000))*(29.8/2204.62)</f>
        <v>0</v>
      </c>
      <c r="N40" s="1">
        <f>PerfmDataInput[[#This Row],[Gasoline (gal)]]*0.00884</f>
        <v>0</v>
      </c>
      <c r="O40" s="1">
        <f>PerfmDataInput[[#This Row],[Diesel (gal)]]*0.01024</f>
        <v>0</v>
      </c>
      <c r="P40" s="1">
        <f>(PerfmDataInput[[#This Row],[Water used (gal)]]*(6139/1000000))*((435.837/2204.62)/1000)</f>
        <v>0</v>
      </c>
      <c r="Q40" s="28"/>
    </row>
    <row r="41" spans="1:17" ht="16.5" x14ac:dyDescent="0.3">
      <c r="A41" s="1" t="s">
        <v>14</v>
      </c>
      <c r="B41" s="1">
        <f>SUBTOTAL(109,CO2e[Solid waste sent to landfill])</f>
        <v>0</v>
      </c>
      <c r="C41" s="1">
        <f>SUBTOTAL(109,CO2e[Process waste sent to landfill])</f>
        <v>0</v>
      </c>
      <c r="D41" s="1"/>
      <c r="E41" s="1">
        <f>SUBTOTAL(109,CO2e[Food &amp; process waste diverted])</f>
        <v>0</v>
      </c>
      <c r="F41" s="1">
        <f>SUBTOTAL(109,CO2e[Recycled material])</f>
        <v>0</v>
      </c>
      <c r="G41" s="1"/>
      <c r="H41" s="1">
        <f>SUBTOTAL(109,CO2e[Purchased electricity consumed])</f>
        <v>0</v>
      </c>
      <c r="I41" s="32" t="s">
        <v>141</v>
      </c>
      <c r="J41" s="1">
        <f>SUBTOTAL(109,CO2e[Natural gas])</f>
        <v>0</v>
      </c>
      <c r="K41" s="1">
        <f>SUBTOTAL(109,CO2e[Propane])</f>
        <v>0</v>
      </c>
      <c r="L41" s="1">
        <f>SUBTOTAL(109,CO2e[Heating oil])</f>
        <v>0</v>
      </c>
      <c r="M41" s="1">
        <f>SUBTOTAL(109,CO2e[Wood])</f>
        <v>0</v>
      </c>
      <c r="N41" s="1">
        <f>SUBTOTAL(109,CO2e[Gasoline])</f>
        <v>0</v>
      </c>
      <c r="O41" s="1">
        <f>SUBTOTAL(109,CO2e[Diesel])</f>
        <v>0</v>
      </c>
      <c r="P41" s="1">
        <f>SUBTOTAL(109,CO2e[Potable water used])</f>
        <v>0</v>
      </c>
      <c r="Q41" s="1"/>
    </row>
    <row r="42" spans="1:17" ht="16.5" x14ac:dyDescent="0.3">
      <c r="A42" s="50"/>
      <c r="B42" s="16"/>
      <c r="C42" s="16"/>
      <c r="D42" s="16"/>
      <c r="E42" s="16"/>
      <c r="F42" s="16"/>
      <c r="G42" s="16"/>
      <c r="H42" s="16"/>
      <c r="I42" s="16"/>
      <c r="J42" s="16"/>
      <c r="K42" s="16"/>
      <c r="L42" s="16"/>
      <c r="M42" s="16"/>
      <c r="N42" s="16"/>
      <c r="O42" s="16"/>
      <c r="P42" s="16"/>
    </row>
    <row r="43" spans="1:17" ht="16.5" x14ac:dyDescent="0.3">
      <c r="A43" s="50"/>
      <c r="B43" s="16"/>
      <c r="C43" s="16"/>
      <c r="D43" s="16"/>
      <c r="E43" s="16"/>
      <c r="F43" s="16"/>
      <c r="G43" s="16"/>
      <c r="H43" s="16"/>
      <c r="I43" s="16"/>
      <c r="J43" s="16"/>
      <c r="K43" s="16"/>
      <c r="L43" s="16"/>
      <c r="M43" s="16"/>
      <c r="N43" s="16"/>
      <c r="O43" s="16"/>
      <c r="P43" s="16"/>
    </row>
    <row r="44" spans="1:17" x14ac:dyDescent="0.25">
      <c r="A44" s="50"/>
    </row>
    <row r="45" spans="1:17" x14ac:dyDescent="0.25">
      <c r="A45" s="50"/>
    </row>
  </sheetData>
  <sheetProtection sheet="1" objects="1" scenarios="1" autoFilter="0"/>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FC299-B277-4318-929D-A852EA1CBE11}">
  <sheetPr>
    <tabColor theme="8" tint="-0.249977111117893"/>
  </sheetPr>
  <dimension ref="A1:C27"/>
  <sheetViews>
    <sheetView workbookViewId="0">
      <selection activeCell="B6" sqref="B6"/>
    </sheetView>
  </sheetViews>
  <sheetFormatPr defaultColWidth="9.140625" defaultRowHeight="16.5" x14ac:dyDescent="0.3"/>
  <cols>
    <col min="1" max="1" width="41.85546875" style="38" customWidth="1"/>
    <col min="2" max="2" width="106.42578125" style="38" customWidth="1"/>
    <col min="3" max="3" width="14.7109375" style="38" customWidth="1"/>
    <col min="4" max="16384" width="9.140625" style="38"/>
  </cols>
  <sheetData>
    <row r="1" spans="1:3" ht="24" x14ac:dyDescent="0.3">
      <c r="A1" s="37" t="s">
        <v>15</v>
      </c>
    </row>
    <row r="2" spans="1:3" ht="17.25" x14ac:dyDescent="0.35">
      <c r="A2" s="38" t="s">
        <v>270</v>
      </c>
    </row>
    <row r="4" spans="1:3" ht="17.25" x14ac:dyDescent="0.3">
      <c r="A4" s="51" t="s">
        <v>33</v>
      </c>
      <c r="B4" s="51" t="s">
        <v>121</v>
      </c>
      <c r="C4" s="51" t="s">
        <v>159</v>
      </c>
    </row>
    <row r="5" spans="1:3" ht="17.25" x14ac:dyDescent="0.35">
      <c r="A5" s="75" t="s">
        <v>120</v>
      </c>
      <c r="B5" s="76" t="s">
        <v>273</v>
      </c>
      <c r="C5" s="77"/>
    </row>
    <row r="6" spans="1:3" x14ac:dyDescent="0.3">
      <c r="A6" s="73" t="s">
        <v>119</v>
      </c>
      <c r="B6" s="76"/>
      <c r="C6" s="77"/>
    </row>
    <row r="7" spans="1:3" x14ac:dyDescent="0.3">
      <c r="A7" s="73" t="s">
        <v>243</v>
      </c>
      <c r="B7" s="76"/>
      <c r="C7" s="77"/>
    </row>
    <row r="8" spans="1:3" x14ac:dyDescent="0.3">
      <c r="A8" s="73" t="s">
        <v>86</v>
      </c>
      <c r="B8" s="76"/>
      <c r="C8" s="77"/>
    </row>
    <row r="9" spans="1:3" x14ac:dyDescent="0.3">
      <c r="A9" s="73" t="s">
        <v>87</v>
      </c>
      <c r="B9" s="76"/>
      <c r="C9" s="77"/>
    </row>
    <row r="10" spans="1:3" x14ac:dyDescent="0.3">
      <c r="A10" s="73" t="s">
        <v>88</v>
      </c>
      <c r="B10" s="76"/>
      <c r="C10" s="77"/>
    </row>
    <row r="11" spans="1:3" x14ac:dyDescent="0.3">
      <c r="A11" s="73" t="s">
        <v>89</v>
      </c>
      <c r="B11" s="76"/>
      <c r="C11" s="77"/>
    </row>
    <row r="12" spans="1:3" x14ac:dyDescent="0.3">
      <c r="A12" s="73" t="s">
        <v>90</v>
      </c>
      <c r="B12" s="76"/>
      <c r="C12" s="77"/>
    </row>
    <row r="13" spans="1:3" x14ac:dyDescent="0.3">
      <c r="A13" s="73" t="s">
        <v>91</v>
      </c>
      <c r="B13" s="76"/>
      <c r="C13" s="77"/>
    </row>
    <row r="14" spans="1:3" x14ac:dyDescent="0.3">
      <c r="A14" s="73" t="s">
        <v>73</v>
      </c>
      <c r="B14" s="76"/>
      <c r="C14" s="77"/>
    </row>
    <row r="15" spans="1:3" x14ac:dyDescent="0.3">
      <c r="A15" s="73" t="s">
        <v>92</v>
      </c>
      <c r="B15" s="76"/>
      <c r="C15" s="77"/>
    </row>
    <row r="16" spans="1:3" x14ac:dyDescent="0.3">
      <c r="A16" s="73" t="s">
        <v>93</v>
      </c>
      <c r="B16" s="76"/>
      <c r="C16" s="77"/>
    </row>
    <row r="17" spans="1:3" x14ac:dyDescent="0.3">
      <c r="A17" s="73" t="s">
        <v>94</v>
      </c>
      <c r="B17" s="76"/>
      <c r="C17" s="77"/>
    </row>
    <row r="18" spans="1:3" x14ac:dyDescent="0.3">
      <c r="A18" s="73" t="s">
        <v>95</v>
      </c>
      <c r="B18" s="76"/>
      <c r="C18" s="77"/>
    </row>
    <row r="19" spans="1:3" x14ac:dyDescent="0.3">
      <c r="A19" s="73" t="s">
        <v>23</v>
      </c>
      <c r="B19" s="76"/>
      <c r="C19" s="77"/>
    </row>
    <row r="20" spans="1:3" x14ac:dyDescent="0.3">
      <c r="A20" s="73" t="s">
        <v>16</v>
      </c>
      <c r="B20" s="76"/>
      <c r="C20" s="77"/>
    </row>
    <row r="21" spans="1:3" x14ac:dyDescent="0.3">
      <c r="A21" s="73" t="s">
        <v>17</v>
      </c>
      <c r="B21" s="76"/>
      <c r="C21" s="77"/>
    </row>
    <row r="22" spans="1:3" x14ac:dyDescent="0.3">
      <c r="A22" s="73" t="s">
        <v>27</v>
      </c>
      <c r="B22" s="76"/>
      <c r="C22" s="77"/>
    </row>
    <row r="23" spans="1:3" x14ac:dyDescent="0.3">
      <c r="A23" s="73" t="s">
        <v>18</v>
      </c>
      <c r="B23" s="76"/>
      <c r="C23" s="77"/>
    </row>
    <row r="24" spans="1:3" x14ac:dyDescent="0.3">
      <c r="A24" s="73" t="s">
        <v>19</v>
      </c>
      <c r="B24" s="76"/>
      <c r="C24" s="77"/>
    </row>
    <row r="25" spans="1:3" x14ac:dyDescent="0.3">
      <c r="A25" s="73" t="s">
        <v>26</v>
      </c>
      <c r="B25" s="76"/>
      <c r="C25" s="77"/>
    </row>
    <row r="26" spans="1:3" x14ac:dyDescent="0.3">
      <c r="A26" s="73" t="s">
        <v>24</v>
      </c>
      <c r="B26" s="76"/>
      <c r="C26" s="77"/>
    </row>
    <row r="27" spans="1:3" x14ac:dyDescent="0.3">
      <c r="A27" s="73" t="s">
        <v>25</v>
      </c>
      <c r="B27" s="76"/>
      <c r="C27" s="77"/>
    </row>
  </sheetData>
  <sheetProtection algorithmName="SHA-512" hashValue="MQ+2IsyF2MPq3yK6Qz0qkLGykGXGWY/USGXAnlhiDYy9dlT7JZR2ndqvHBNXXfxevE0LsqavUe6SQs6cvD5lYA==" saltValue="CtnA3vTLCMAHX6d1P/6+nA==" spinCount="100000" sheet="1" objects="1" scenarios="1" selectLockedCells="1"/>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BF2C-9EFF-4B4B-B3D6-AD2BE5EEEADB}">
  <sheetPr>
    <tabColor theme="1" tint="0.499984740745262"/>
  </sheetPr>
  <dimension ref="A1:G55"/>
  <sheetViews>
    <sheetView topLeftCell="A31" workbookViewId="0">
      <selection activeCell="D8" sqref="D8"/>
    </sheetView>
  </sheetViews>
  <sheetFormatPr defaultColWidth="9.140625" defaultRowHeight="15" x14ac:dyDescent="0.25"/>
  <cols>
    <col min="1" max="1" width="8.42578125" style="18" customWidth="1"/>
    <col min="2" max="2" width="20.85546875" style="18" customWidth="1"/>
    <col min="3" max="3" width="10.85546875" style="18" customWidth="1"/>
    <col min="4" max="4" width="17.85546875" style="18" customWidth="1"/>
    <col min="5" max="5" width="13.140625" style="18" customWidth="1"/>
    <col min="6" max="6" width="28.28515625" style="18" customWidth="1"/>
    <col min="7" max="7" width="48.5703125" style="18" customWidth="1"/>
    <col min="8" max="16384" width="9.140625" style="18"/>
  </cols>
  <sheetData>
    <row r="1" spans="1:2" ht="21" x14ac:dyDescent="0.35">
      <c r="A1" s="24" t="s">
        <v>28</v>
      </c>
    </row>
    <row r="2" spans="1:2" ht="16.5" x14ac:dyDescent="0.3">
      <c r="A2" s="19" t="s">
        <v>47</v>
      </c>
    </row>
    <row r="3" spans="1:2" ht="16.5" x14ac:dyDescent="0.3">
      <c r="A3" s="20" t="s">
        <v>68</v>
      </c>
    </row>
    <row r="4" spans="1:2" ht="16.5" x14ac:dyDescent="0.3">
      <c r="A4" s="19" t="s">
        <v>29</v>
      </c>
    </row>
    <row r="5" spans="1:2" ht="16.5" x14ac:dyDescent="0.3">
      <c r="A5" s="19" t="s">
        <v>30</v>
      </c>
    </row>
    <row r="6" spans="1:2" ht="16.5" x14ac:dyDescent="0.3">
      <c r="A6" s="20" t="s">
        <v>69</v>
      </c>
    </row>
    <row r="7" spans="1:2" ht="16.5" x14ac:dyDescent="0.3">
      <c r="A7" s="20" t="s">
        <v>70</v>
      </c>
    </row>
    <row r="8" spans="1:2" ht="16.5" x14ac:dyDescent="0.3">
      <c r="A8" s="19" t="s">
        <v>32</v>
      </c>
    </row>
    <row r="9" spans="1:2" ht="16.5" x14ac:dyDescent="0.3">
      <c r="A9" s="19" t="s">
        <v>232</v>
      </c>
    </row>
    <row r="10" spans="1:2" ht="16.5" x14ac:dyDescent="0.3">
      <c r="A10" s="19" t="s">
        <v>233</v>
      </c>
    </row>
    <row r="11" spans="1:2" ht="16.5" x14ac:dyDescent="0.3">
      <c r="A11" s="19" t="s">
        <v>274</v>
      </c>
    </row>
    <row r="12" spans="1:2" ht="16.5" x14ac:dyDescent="0.3">
      <c r="A12" s="20" t="s">
        <v>276</v>
      </c>
    </row>
    <row r="13" spans="1:2" ht="16.5" x14ac:dyDescent="0.3">
      <c r="A13" s="20"/>
    </row>
    <row r="14" spans="1:2" ht="24" x14ac:dyDescent="0.4">
      <c r="A14" s="25" t="s">
        <v>129</v>
      </c>
    </row>
    <row r="15" spans="1:2" x14ac:dyDescent="0.25">
      <c r="A15" s="18" t="s">
        <v>54</v>
      </c>
    </row>
    <row r="16" spans="1:2" x14ac:dyDescent="0.25">
      <c r="B16" s="78" t="s">
        <v>55</v>
      </c>
    </row>
    <row r="17" spans="1:5" x14ac:dyDescent="0.25">
      <c r="A17" s="18" t="s">
        <v>56</v>
      </c>
    </row>
    <row r="18" spans="1:5" x14ac:dyDescent="0.25">
      <c r="B18" s="78" t="s">
        <v>57</v>
      </c>
    </row>
    <row r="19" spans="1:5" x14ac:dyDescent="0.25">
      <c r="A19" s="18" t="s">
        <v>58</v>
      </c>
    </row>
    <row r="20" spans="1:5" x14ac:dyDescent="0.25">
      <c r="B20" s="78" t="s">
        <v>59</v>
      </c>
    </row>
    <row r="21" spans="1:5" x14ac:dyDescent="0.25">
      <c r="A21" s="18" t="s">
        <v>79</v>
      </c>
    </row>
    <row r="22" spans="1:5" x14ac:dyDescent="0.25">
      <c r="B22" s="78" t="s">
        <v>72</v>
      </c>
    </row>
    <row r="23" spans="1:5" x14ac:dyDescent="0.25">
      <c r="B23" s="22" t="s">
        <v>250</v>
      </c>
    </row>
    <row r="24" spans="1:5" x14ac:dyDescent="0.25">
      <c r="B24" s="22" t="s">
        <v>251</v>
      </c>
    </row>
    <row r="25" spans="1:5" x14ac:dyDescent="0.25">
      <c r="A25" s="23"/>
      <c r="B25" s="22" t="s">
        <v>74</v>
      </c>
      <c r="C25" s="23"/>
      <c r="D25" s="23"/>
      <c r="E25" s="23"/>
    </row>
    <row r="26" spans="1:5" x14ac:dyDescent="0.25">
      <c r="A26" s="23"/>
      <c r="B26" s="22" t="s">
        <v>136</v>
      </c>
      <c r="C26" s="23"/>
      <c r="D26" s="23"/>
      <c r="E26" s="23"/>
    </row>
    <row r="27" spans="1:5" x14ac:dyDescent="0.25">
      <c r="A27" s="23"/>
      <c r="B27" s="22" t="s">
        <v>252</v>
      </c>
      <c r="C27" s="23"/>
      <c r="D27" s="23"/>
      <c r="E27" s="23"/>
    </row>
    <row r="28" spans="1:5" x14ac:dyDescent="0.25">
      <c r="A28" s="18" t="s">
        <v>64</v>
      </c>
    </row>
    <row r="29" spans="1:5" x14ac:dyDescent="0.25">
      <c r="B29" s="78" t="s">
        <v>65</v>
      </c>
    </row>
    <row r="30" spans="1:5" x14ac:dyDescent="0.25">
      <c r="B30" s="18" t="s">
        <v>66</v>
      </c>
    </row>
    <row r="31" spans="1:5" x14ac:dyDescent="0.25">
      <c r="B31" s="78" t="s">
        <v>67</v>
      </c>
    </row>
    <row r="32" spans="1:5" x14ac:dyDescent="0.25">
      <c r="A32" s="18" t="s">
        <v>78</v>
      </c>
    </row>
    <row r="33" spans="1:7" x14ac:dyDescent="0.25">
      <c r="B33" s="18" t="s">
        <v>137</v>
      </c>
    </row>
    <row r="34" spans="1:7" x14ac:dyDescent="0.25">
      <c r="A34" s="18" t="s">
        <v>139</v>
      </c>
    </row>
    <row r="35" spans="1:7" ht="15.75" x14ac:dyDescent="0.3">
      <c r="A35" s="17"/>
      <c r="B35" s="18" t="s">
        <v>138</v>
      </c>
    </row>
    <row r="36" spans="1:7" x14ac:dyDescent="0.25">
      <c r="A36" s="18" t="s">
        <v>175</v>
      </c>
      <c r="B36" s="21"/>
    </row>
    <row r="37" spans="1:7" x14ac:dyDescent="0.25">
      <c r="B37" s="78" t="s">
        <v>176</v>
      </c>
    </row>
    <row r="38" spans="1:7" x14ac:dyDescent="0.25">
      <c r="B38" s="18" t="s">
        <v>177</v>
      </c>
    </row>
    <row r="39" spans="1:7" x14ac:dyDescent="0.25">
      <c r="B39" s="78" t="s">
        <v>165</v>
      </c>
    </row>
    <row r="40" spans="1:7" ht="16.5" x14ac:dyDescent="0.3">
      <c r="A40" s="19"/>
      <c r="B40" s="18" t="s">
        <v>178</v>
      </c>
    </row>
    <row r="41" spans="1:7" ht="38.25" x14ac:dyDescent="0.3">
      <c r="A41" s="20"/>
      <c r="B41" s="33" t="s">
        <v>179</v>
      </c>
      <c r="C41" s="33" t="s">
        <v>180</v>
      </c>
      <c r="D41" s="33" t="s">
        <v>181</v>
      </c>
      <c r="E41" s="33" t="s">
        <v>240</v>
      </c>
      <c r="F41" s="33" t="s">
        <v>20</v>
      </c>
      <c r="G41" s="33" t="s">
        <v>182</v>
      </c>
    </row>
    <row r="42" spans="1:7" ht="55.5" customHeight="1" x14ac:dyDescent="0.3">
      <c r="A42" s="20"/>
      <c r="B42" s="34" t="s">
        <v>186</v>
      </c>
      <c r="C42" s="35" t="s">
        <v>183</v>
      </c>
      <c r="D42" s="35" t="s">
        <v>184</v>
      </c>
      <c r="E42" s="35">
        <v>300</v>
      </c>
      <c r="F42" s="34" t="s">
        <v>187</v>
      </c>
      <c r="G42" s="34" t="s">
        <v>185</v>
      </c>
    </row>
    <row r="43" spans="1:7" ht="44.25" customHeight="1" x14ac:dyDescent="0.3">
      <c r="A43" s="19"/>
      <c r="B43" s="34" t="s">
        <v>188</v>
      </c>
      <c r="C43" s="35" t="s">
        <v>183</v>
      </c>
      <c r="D43" s="35" t="s">
        <v>189</v>
      </c>
      <c r="E43" s="35">
        <v>400</v>
      </c>
      <c r="F43" s="34" t="s">
        <v>190</v>
      </c>
      <c r="G43" s="34" t="s">
        <v>191</v>
      </c>
    </row>
    <row r="44" spans="1:7" ht="65.25" customHeight="1" x14ac:dyDescent="0.25">
      <c r="B44" s="34" t="s">
        <v>192</v>
      </c>
      <c r="C44" s="35" t="s">
        <v>183</v>
      </c>
      <c r="D44" s="35" t="s">
        <v>247</v>
      </c>
      <c r="E44" s="35">
        <v>100</v>
      </c>
      <c r="F44" s="34"/>
      <c r="G44" s="34" t="s">
        <v>248</v>
      </c>
    </row>
    <row r="45" spans="1:7" ht="51" x14ac:dyDescent="0.25">
      <c r="B45" s="34" t="s">
        <v>193</v>
      </c>
      <c r="C45" s="35" t="s">
        <v>183</v>
      </c>
      <c r="D45" s="33" t="s">
        <v>194</v>
      </c>
      <c r="E45" s="35">
        <v>90</v>
      </c>
      <c r="F45" s="34" t="s">
        <v>206</v>
      </c>
      <c r="G45" s="34" t="s">
        <v>195</v>
      </c>
    </row>
    <row r="46" spans="1:7" ht="25.5" x14ac:dyDescent="0.25">
      <c r="B46" s="34" t="s">
        <v>212</v>
      </c>
      <c r="C46" s="35" t="s">
        <v>183</v>
      </c>
      <c r="D46" s="35" t="s">
        <v>214</v>
      </c>
      <c r="E46" s="35">
        <v>900</v>
      </c>
      <c r="F46" s="34" t="s">
        <v>215</v>
      </c>
      <c r="G46" s="34" t="s">
        <v>216</v>
      </c>
    </row>
    <row r="47" spans="1:7" ht="36.75" customHeight="1" x14ac:dyDescent="0.25">
      <c r="B47" s="34" t="s">
        <v>196</v>
      </c>
      <c r="C47" s="35" t="s">
        <v>183</v>
      </c>
      <c r="D47" s="33" t="s">
        <v>231</v>
      </c>
      <c r="E47" s="35">
        <v>80</v>
      </c>
      <c r="F47" s="34" t="s">
        <v>205</v>
      </c>
      <c r="G47" s="34" t="s">
        <v>202</v>
      </c>
    </row>
    <row r="48" spans="1:7" ht="25.5" x14ac:dyDescent="0.25">
      <c r="B48" s="34" t="s">
        <v>197</v>
      </c>
      <c r="C48" s="35" t="s">
        <v>183</v>
      </c>
      <c r="D48" s="35">
        <v>46</v>
      </c>
      <c r="E48" s="35">
        <v>46</v>
      </c>
      <c r="F48" s="34"/>
      <c r="G48" s="34" t="s">
        <v>203</v>
      </c>
    </row>
    <row r="49" spans="2:7" ht="25.5" x14ac:dyDescent="0.25">
      <c r="B49" s="34" t="s">
        <v>198</v>
      </c>
      <c r="C49" s="35" t="s">
        <v>183</v>
      </c>
      <c r="D49" s="35" t="s">
        <v>204</v>
      </c>
      <c r="E49" s="35">
        <v>110</v>
      </c>
      <c r="F49" s="34"/>
      <c r="G49" s="34" t="s">
        <v>207</v>
      </c>
    </row>
    <row r="50" spans="2:7" ht="25.5" x14ac:dyDescent="0.25">
      <c r="B50" s="34" t="s">
        <v>199</v>
      </c>
      <c r="C50" s="35" t="s">
        <v>183</v>
      </c>
      <c r="D50" s="35">
        <v>380</v>
      </c>
      <c r="E50" s="35">
        <v>380</v>
      </c>
      <c r="F50" s="34"/>
      <c r="G50" s="34" t="s">
        <v>208</v>
      </c>
    </row>
    <row r="51" spans="2:7" ht="25.5" x14ac:dyDescent="0.25">
      <c r="B51" s="34" t="s">
        <v>201</v>
      </c>
      <c r="C51" s="35" t="s">
        <v>183</v>
      </c>
      <c r="D51" s="35">
        <v>32</v>
      </c>
      <c r="E51" s="35">
        <v>32</v>
      </c>
      <c r="F51" s="34"/>
      <c r="G51" s="34" t="s">
        <v>209</v>
      </c>
    </row>
    <row r="52" spans="2:7" ht="25.5" x14ac:dyDescent="0.25">
      <c r="B52" s="34" t="s">
        <v>217</v>
      </c>
      <c r="C52" s="35" t="s">
        <v>183</v>
      </c>
      <c r="D52" s="35">
        <v>35</v>
      </c>
      <c r="E52" s="35">
        <v>35</v>
      </c>
      <c r="F52" s="34"/>
      <c r="G52" s="34" t="s">
        <v>219</v>
      </c>
    </row>
    <row r="53" spans="2:7" ht="25.5" x14ac:dyDescent="0.25">
      <c r="B53" s="34" t="s">
        <v>218</v>
      </c>
      <c r="C53" s="33" t="s">
        <v>220</v>
      </c>
      <c r="D53" s="36">
        <v>1100</v>
      </c>
      <c r="E53" s="36">
        <v>846</v>
      </c>
      <c r="F53" s="34" t="s">
        <v>239</v>
      </c>
      <c r="G53" s="34" t="s">
        <v>221</v>
      </c>
    </row>
    <row r="54" spans="2:7" ht="25.5" x14ac:dyDescent="0.25">
      <c r="B54" s="34" t="s">
        <v>210</v>
      </c>
      <c r="C54" s="35" t="s">
        <v>183</v>
      </c>
      <c r="D54" s="36">
        <v>1000</v>
      </c>
      <c r="E54" s="36">
        <v>1000</v>
      </c>
      <c r="F54" s="34" t="s">
        <v>249</v>
      </c>
      <c r="G54" s="34" t="s">
        <v>211</v>
      </c>
    </row>
    <row r="55" spans="2:7" ht="51.75" customHeight="1" x14ac:dyDescent="0.25">
      <c r="B55" s="34" t="s">
        <v>227</v>
      </c>
      <c r="C55" s="35" t="s">
        <v>183</v>
      </c>
      <c r="D55" s="33" t="s">
        <v>228</v>
      </c>
      <c r="E55" s="35">
        <v>270</v>
      </c>
      <c r="F55" s="34" t="s">
        <v>229</v>
      </c>
      <c r="G55" s="34" t="s">
        <v>230</v>
      </c>
    </row>
  </sheetData>
  <sheetProtection algorithmName="SHA-512" hashValue="DqRkT50yZlDj+kqCz78ZgPa9BBFD5E7XrZBCOmE2gNDeoppTCcSJqyB8YSubxc6hfznXhRyjurLkFWUx961YNA==" saltValue="FI3GLCgjhfB2YRd0TRqhLg==" spinCount="100000" sheet="1" objects="1" scenarios="1"/>
  <hyperlinks>
    <hyperlink ref="B16" r:id="rId1" xr:uid="{19BBA452-1CA3-4776-A5C2-81D439D5FA0A}"/>
    <hyperlink ref="B18" r:id="rId2" xr:uid="{D63778DB-7D4A-4120-81AD-2E0CF651568A}"/>
    <hyperlink ref="B20" r:id="rId3" xr:uid="{BA78C3B2-3A32-41F8-998C-1E5FDE7424B7}"/>
    <hyperlink ref="B29" r:id="rId4" xr:uid="{6CD0C595-9594-498E-AA26-F5D8961F34BA}"/>
    <hyperlink ref="B31" r:id="rId5" xr:uid="{941374A4-2587-4E3D-B883-840F8DBD6FCD}"/>
    <hyperlink ref="B22" r:id="rId6" xr:uid="{7F7FBA40-B870-4BDB-A6D9-44BC295A972A}"/>
    <hyperlink ref="B39" r:id="rId7" xr:uid="{4175D405-9D2A-4E4A-95ED-D7C66AB7AD09}"/>
    <hyperlink ref="B37" r:id="rId8" xr:uid="{8A870FBE-C42A-4136-BC7B-96376C843E72}"/>
  </hyperlinks>
  <pageMargins left="0.7" right="0.7" top="0.75" bottom="0.75" header="0.3" footer="0.3"/>
  <pageSetup orientation="portrait" r:id="rId9"/>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E6408A74861747BF5C1AC9A47C002A" ma:contentTypeVersion="8" ma:contentTypeDescription="Create a new document." ma:contentTypeScope="" ma:versionID="affb258fcbf90630c219e9b1d4af013e">
  <xsd:schema xmlns:xsd="http://www.w3.org/2001/XMLSchema" xmlns:xs="http://www.w3.org/2001/XMLSchema" xmlns:p="http://schemas.microsoft.com/office/2006/metadata/properties" xmlns:ns3="20d47c8b-ce56-47d4-be24-e589baf19ded" xmlns:ns4="894e33ee-377a-47fb-a7e9-070d371a69c4" targetNamespace="http://schemas.microsoft.com/office/2006/metadata/properties" ma:root="true" ma:fieldsID="e193303f6eab39c446fba3a4efbbcafa" ns3:_="" ns4:_="">
    <xsd:import namespace="20d47c8b-ce56-47d4-be24-e589baf19ded"/>
    <xsd:import namespace="894e33ee-377a-47fb-a7e9-070d371a69c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47c8b-ce56-47d4-be24-e589baf19d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4e33ee-377a-47fb-a7e9-070d371a69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B65217-3F37-4357-B32A-685C527C0F47}">
  <ds:schemaRefs>
    <ds:schemaRef ds:uri="http://schemas.microsoft.com/sharepoint/v3/contenttype/forms"/>
  </ds:schemaRefs>
</ds:datastoreItem>
</file>

<file path=customXml/itemProps2.xml><?xml version="1.0" encoding="utf-8"?>
<ds:datastoreItem xmlns:ds="http://schemas.openxmlformats.org/officeDocument/2006/customXml" ds:itemID="{D39A46D1-429B-4A38-B538-E6608D12A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47c8b-ce56-47d4-be24-e589baf19ded"/>
    <ds:schemaRef ds:uri="894e33ee-377a-47fb-a7e9-070d371a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084F20-8B8B-4C22-A79B-08EE24D10CE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94e33ee-377a-47fb-a7e9-070d371a69c4"/>
    <ds:schemaRef ds:uri="20d47c8b-ce56-47d4-be24-e589baf19d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Directions</vt:lpstr>
      <vt:lpstr>Performance Data Input</vt:lpstr>
      <vt:lpstr>Financial Data Input</vt:lpstr>
      <vt:lpstr>Waste Volume Conversions</vt:lpstr>
      <vt:lpstr>Summary Table</vt:lpstr>
      <vt:lpstr>Summary Charts</vt:lpstr>
      <vt:lpstr>Carbon Footprint </vt:lpstr>
      <vt:lpstr>Source Data</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Riechel, Celia</dc:creator>
  <cp:lastModifiedBy>Administrator</cp:lastModifiedBy>
  <dcterms:created xsi:type="dcterms:W3CDTF">2019-02-07T14:19:00Z</dcterms:created>
  <dcterms:modified xsi:type="dcterms:W3CDTF">2020-02-26T19:31:51Z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0x010100F6E6408A74861747BF5C1AC9A47C002A</vt:lpwstr>
  </property>
</Properties>
</file>