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2.xml" ContentType="application/vnd.ms-excel.person+xml"/>
  <Override PartName="/xl/persons/person.xml" ContentType="application/vnd.ms-excel.person+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eiv20\Desktop\Airport\2024\2023 MS4 Annual Report\B - BMP Tracking Table\"/>
    </mc:Choice>
  </mc:AlternateContent>
  <xr:revisionPtr revIDLastSave="0" documentId="13_ncr:1_{73D259A0-9B3E-4747-85A8-5CC5B7148DA4}" xr6:coauthVersionLast="47" xr6:coauthVersionMax="47" xr10:uidLastSave="{00000000-0000-0000-0000-000000000000}"/>
  <bookViews>
    <workbookView xWindow="-108" yWindow="-108" windowWidth="23256" windowHeight="12456" tabRatio="738" activeTab="2" xr2:uid="{00000000-000D-0000-FFFF-FFFF00000000}"/>
  </bookViews>
  <sheets>
    <sheet name="Instructions" sheetId="11" r:id="rId1"/>
    <sheet name="summary" sheetId="13" r:id="rId2"/>
    <sheet name="BMP P Tracking Table" sheetId="1" r:id="rId3"/>
    <sheet name="Disconnection" sheetId="12" r:id="rId4"/>
    <sheet name="Maintenance Only" sheetId="10" r:id="rId5"/>
    <sheet name="Performance Curves" sheetId="8" state="hidden" r:id="rId6"/>
    <sheet name="Loading Rates" sheetId="9" state="hidden" r:id="rId7"/>
    <sheet name="BMP Definitions" sheetId="3" state="hidden" r:id="rId8"/>
    <sheet name="Dropdowns" sheetId="2" state="hidden" r:id="rId9"/>
  </sheets>
  <definedNames>
    <definedName name="_xlnm.Print_Area" localSheetId="2">'BMP P Tracking Table'!$A$1:$BN$72</definedName>
    <definedName name="_xlnm.Print_Area" localSheetId="3">Disconnection!$A$1:$L$35</definedName>
    <definedName name="_xlnm.Print_Area" localSheetId="0">Instructions!$A$1:$A$88</definedName>
    <definedName name="_xlnm.Print_Area" localSheetId="4">'Maintenance Only'!$A$1:$J$8</definedName>
    <definedName name="_xlnm.Print_Area" localSheetId="1">summary!$B$1:$F$12</definedName>
    <definedName name="_xlnm.Print_Titles" localSheetId="2">'BMP P Tracking Table'!$1:$2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3" i="1" l="1"/>
  <c r="AH14" i="1"/>
  <c r="AH15" i="1"/>
  <c r="AH16" i="1"/>
  <c r="AH17" i="1"/>
  <c r="AH18" i="1"/>
  <c r="AH19" i="1"/>
  <c r="AH20" i="1"/>
  <c r="AH21" i="1"/>
  <c r="AH22" i="1"/>
  <c r="AH23" i="1"/>
  <c r="D6" i="13"/>
  <c r="AJ23" i="1"/>
  <c r="AN23" i="1" s="1"/>
  <c r="AD22" i="1"/>
  <c r="AE22" i="1"/>
  <c r="AF22" i="1" s="1"/>
  <c r="AJ22" i="1"/>
  <c r="AN22" i="1"/>
  <c r="AB23" i="1"/>
  <c r="AA23" i="1"/>
  <c r="U23" i="1"/>
  <c r="AD23" i="1" s="1"/>
  <c r="AD55" i="1"/>
  <c r="AE55" i="1"/>
  <c r="AG55" i="1" s="1"/>
  <c r="AD53" i="1"/>
  <c r="C8" i="12"/>
  <c r="AJ21" i="1"/>
  <c r="AN21" i="1" s="1"/>
  <c r="AE21" i="1"/>
  <c r="AG21" i="1" s="1"/>
  <c r="AD21" i="1"/>
  <c r="AE23" i="1" l="1"/>
  <c r="AF23" i="1" s="1"/>
  <c r="AG22" i="1"/>
  <c r="AI22" i="1" s="1"/>
  <c r="AF55" i="1"/>
  <c r="AH55" i="1" s="1"/>
  <c r="AI55" i="1" s="1"/>
  <c r="AF21" i="1"/>
  <c r="AI21" i="1"/>
  <c r="AE13" i="1"/>
  <c r="AF13" i="1" s="1"/>
  <c r="AJ13" i="1"/>
  <c r="AN13" i="1" s="1"/>
  <c r="AJ14" i="1"/>
  <c r="AN14" i="1" s="1"/>
  <c r="AE15" i="1"/>
  <c r="AJ15" i="1"/>
  <c r="AN15" i="1" s="1"/>
  <c r="AE16" i="1"/>
  <c r="AG16" i="1" s="1"/>
  <c r="AJ16" i="1"/>
  <c r="AN16" i="1" s="1"/>
  <c r="AE17" i="1"/>
  <c r="AF17" i="1" s="1"/>
  <c r="AJ17" i="1"/>
  <c r="AN17" i="1" s="1"/>
  <c r="AD13" i="1"/>
  <c r="AD15" i="1"/>
  <c r="AD16" i="1"/>
  <c r="AD17" i="1"/>
  <c r="AJ49" i="1"/>
  <c r="AN49" i="1" s="1"/>
  <c r="AJ50" i="1"/>
  <c r="AN50" i="1" s="1"/>
  <c r="AJ51" i="1"/>
  <c r="AN51" i="1" s="1"/>
  <c r="AE49" i="1"/>
  <c r="AG49" i="1" s="1"/>
  <c r="AE50" i="1"/>
  <c r="AG50" i="1" s="1"/>
  <c r="AE51" i="1"/>
  <c r="AF51" i="1" s="1"/>
  <c r="AE19" i="1"/>
  <c r="AG19" i="1" s="1"/>
  <c r="AD50" i="1"/>
  <c r="AD51" i="1"/>
  <c r="AD19" i="1"/>
  <c r="AE14" i="1"/>
  <c r="BK17" i="1"/>
  <c r="BK16" i="1"/>
  <c r="BK15" i="1"/>
  <c r="AJ19" i="1"/>
  <c r="AN19" i="1" s="1"/>
  <c r="AJ20" i="1"/>
  <c r="AN20" i="1" s="1"/>
  <c r="AE20" i="1"/>
  <c r="AD49" i="1"/>
  <c r="AD20" i="1"/>
  <c r="AG23" i="1" l="1"/>
  <c r="AI23" i="1" s="1"/>
  <c r="AF50" i="1"/>
  <c r="AH50" i="1" s="1"/>
  <c r="AI50" i="1" s="1"/>
  <c r="AG14" i="1"/>
  <c r="AF49" i="1"/>
  <c r="AH49" i="1" s="1"/>
  <c r="AI49" i="1" s="1"/>
  <c r="AD14" i="1"/>
  <c r="AG51" i="1"/>
  <c r="AH51" i="1" s="1"/>
  <c r="AI51" i="1" s="1"/>
  <c r="AF16" i="1"/>
  <c r="AI16" i="1" s="1"/>
  <c r="AG17" i="1"/>
  <c r="AI17" i="1" s="1"/>
  <c r="AG13" i="1"/>
  <c r="AI13" i="1" s="1"/>
  <c r="AG15" i="1"/>
  <c r="AG20" i="1"/>
  <c r="R63" i="1"/>
  <c r="D13" i="12" l="1"/>
  <c r="E13" i="12" s="1"/>
  <c r="D12" i="12"/>
  <c r="F12" i="12" s="1"/>
  <c r="D4" i="12"/>
  <c r="D5" i="12"/>
  <c r="F5" i="12" l="1"/>
  <c r="F4" i="12"/>
  <c r="B4" i="12"/>
  <c r="B5" i="12"/>
  <c r="B6" i="12"/>
  <c r="B7" i="12"/>
  <c r="B8" i="12"/>
  <c r="B9" i="12"/>
  <c r="B10" i="12"/>
  <c r="B11" i="12"/>
  <c r="B12" i="12"/>
  <c r="B13" i="12"/>
  <c r="A5" i="12"/>
  <c r="A6" i="12"/>
  <c r="A7" i="12"/>
  <c r="A8" i="12"/>
  <c r="A9" i="12"/>
  <c r="A10" i="12"/>
  <c r="A11" i="12"/>
  <c r="A12" i="12"/>
  <c r="A13" i="12"/>
  <c r="A4" i="12"/>
  <c r="BK72" i="1"/>
  <c r="BK71" i="1"/>
  <c r="BK70" i="1"/>
  <c r="BK69" i="1"/>
  <c r="BK68" i="1"/>
  <c r="BK67" i="1"/>
  <c r="BK66" i="1"/>
  <c r="BK65" i="1"/>
  <c r="BK63" i="1"/>
  <c r="AA71" i="1"/>
  <c r="AA72" i="1"/>
  <c r="U72" i="1"/>
  <c r="U71" i="1"/>
  <c r="U68" i="1"/>
  <c r="R72" i="1"/>
  <c r="R71" i="1"/>
  <c r="R70" i="1"/>
  <c r="R69" i="1"/>
  <c r="R68" i="1"/>
  <c r="R67" i="1"/>
  <c r="R66" i="1"/>
  <c r="R65" i="1"/>
  <c r="Q64" i="1"/>
  <c r="R64" i="1" s="1"/>
  <c r="F11" i="12"/>
  <c r="C11" i="12"/>
  <c r="F10" i="12"/>
  <c r="G12" i="12"/>
  <c r="G13" i="12"/>
  <c r="C10" i="12"/>
  <c r="F9" i="12"/>
  <c r="F6" i="12"/>
  <c r="F7" i="12"/>
  <c r="F8" i="12"/>
  <c r="U67" i="1"/>
  <c r="C7" i="12"/>
  <c r="C6" i="12"/>
  <c r="U65" i="1" l="1"/>
  <c r="AA63" i="1"/>
  <c r="AA70" i="1"/>
  <c r="AA68" i="1"/>
  <c r="U66" i="1"/>
  <c r="AA64" i="1"/>
  <c r="AA66" i="1"/>
  <c r="AA65" i="1"/>
  <c r="U69" i="1"/>
  <c r="G10" i="12"/>
  <c r="H10" i="12" s="1"/>
  <c r="AA67" i="1"/>
  <c r="U70" i="1"/>
  <c r="G6" i="12"/>
  <c r="H6" i="12" s="1"/>
  <c r="AA69" i="1"/>
  <c r="G9" i="12"/>
  <c r="H9" i="12" s="1"/>
  <c r="G8" i="12"/>
  <c r="H8" i="12" s="1"/>
  <c r="G7" i="12"/>
  <c r="H7" i="12" s="1"/>
  <c r="BK64" i="1"/>
  <c r="G5" i="12"/>
  <c r="H5" i="12" s="1"/>
  <c r="G4" i="12"/>
  <c r="H4" i="12" s="1"/>
  <c r="G11" i="12"/>
  <c r="H11" i="12" s="1"/>
  <c r="H12" i="12" l="1"/>
  <c r="H13" i="12"/>
  <c r="B3" i="12"/>
  <c r="A3" i="12"/>
  <c r="BK32" i="1"/>
  <c r="BK14" i="1" l="1"/>
  <c r="BK13" i="1"/>
  <c r="BK61" i="1" l="1"/>
  <c r="R61" i="1"/>
  <c r="Q12" i="1"/>
  <c r="BK12" i="1" s="1"/>
  <c r="Q11" i="1"/>
  <c r="BK11" i="1" s="1"/>
  <c r="Q10" i="1"/>
  <c r="BK10" i="1" s="1"/>
  <c r="Q8" i="1"/>
  <c r="BK8" i="1" s="1"/>
  <c r="Q7" i="1"/>
  <c r="BK7" i="1" s="1"/>
  <c r="Q6" i="1"/>
  <c r="BK6" i="1" s="1"/>
  <c r="Q5" i="1"/>
  <c r="BK5" i="1" s="1"/>
  <c r="Q4" i="1"/>
  <c r="BK4" i="1" s="1"/>
  <c r="BK27" i="1"/>
  <c r="BK28" i="1"/>
  <c r="BK29" i="1"/>
  <c r="BK34" i="1"/>
  <c r="BK35" i="1"/>
  <c r="BK41" i="1"/>
  <c r="BK42" i="1"/>
  <c r="BK43" i="1"/>
  <c r="BK44" i="1"/>
  <c r="BK45" i="1"/>
  <c r="BK46" i="1"/>
  <c r="BK47" i="1"/>
  <c r="BK48" i="1"/>
  <c r="BK30" i="1"/>
  <c r="BK33" i="1" l="1"/>
  <c r="R52" i="1" l="1"/>
  <c r="R53" i="1"/>
  <c r="R54" i="1"/>
  <c r="Q76" i="1"/>
  <c r="R76" i="1" s="1"/>
  <c r="Q77" i="1"/>
  <c r="R77" i="1" s="1"/>
  <c r="Q18" i="1" l="1"/>
  <c r="BK18" i="1" s="1"/>
  <c r="C45" i="8" l="1"/>
  <c r="AD27" i="1" l="1"/>
  <c r="BI27" i="1" s="1"/>
  <c r="AJ27" i="1" s="1"/>
  <c r="Q9" i="1"/>
  <c r="BK9" i="1" s="1"/>
  <c r="Q59" i="1"/>
  <c r="BK59" i="1" s="1"/>
  <c r="Q60" i="1"/>
  <c r="BK60" i="1" s="1"/>
  <c r="Q62"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R10" i="1" l="1"/>
  <c r="R9" i="1"/>
  <c r="R8" i="1"/>
  <c r="R44" i="1"/>
  <c r="R43" i="1"/>
  <c r="R42" i="1"/>
  <c r="R41" i="1"/>
  <c r="R34" i="1"/>
  <c r="R7" i="1"/>
  <c r="R6" i="1"/>
  <c r="R5" i="1"/>
  <c r="R4" i="1"/>
  <c r="R30" i="1"/>
  <c r="R29" i="1"/>
  <c r="R28" i="1"/>
  <c r="R11" i="1" l="1"/>
  <c r="R12" i="1"/>
  <c r="R45" i="1"/>
  <c r="R46" i="1"/>
  <c r="R47" i="1"/>
  <c r="R48" i="1"/>
  <c r="R18" i="1"/>
  <c r="R59" i="1"/>
  <c r="R60" i="1"/>
  <c r="R62"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AE523" i="1" l="1"/>
  <c r="AE522" i="1"/>
  <c r="AE521" i="1"/>
  <c r="AE520" i="1"/>
  <c r="AE519" i="1"/>
  <c r="AE518" i="1"/>
  <c r="AE517" i="1"/>
  <c r="AE516" i="1"/>
  <c r="AE515" i="1"/>
  <c r="AE514" i="1"/>
  <c r="AE513" i="1"/>
  <c r="AE512" i="1"/>
  <c r="AE511" i="1"/>
  <c r="AE510" i="1"/>
  <c r="AE509" i="1"/>
  <c r="AE508" i="1"/>
  <c r="AE507" i="1"/>
  <c r="AE506" i="1"/>
  <c r="AE505" i="1"/>
  <c r="AE504" i="1"/>
  <c r="AE503" i="1"/>
  <c r="AE502" i="1"/>
  <c r="AE501" i="1"/>
  <c r="AE500" i="1"/>
  <c r="AE499" i="1"/>
  <c r="AE498" i="1"/>
  <c r="AE497" i="1"/>
  <c r="AE496" i="1"/>
  <c r="AE495" i="1"/>
  <c r="AE494" i="1"/>
  <c r="AE493" i="1"/>
  <c r="AE492" i="1"/>
  <c r="AE491" i="1"/>
  <c r="AE490" i="1"/>
  <c r="AE489" i="1"/>
  <c r="AE488" i="1"/>
  <c r="AE487" i="1"/>
  <c r="AE486" i="1"/>
  <c r="AE485" i="1"/>
  <c r="AE484" i="1"/>
  <c r="AE483" i="1"/>
  <c r="AE482" i="1"/>
  <c r="AE481" i="1"/>
  <c r="AE480" i="1"/>
  <c r="AE479" i="1"/>
  <c r="AE478" i="1"/>
  <c r="AE477" i="1"/>
  <c r="AE476" i="1"/>
  <c r="AE475" i="1"/>
  <c r="AE474" i="1"/>
  <c r="AE473" i="1"/>
  <c r="AE472" i="1"/>
  <c r="AE471" i="1"/>
  <c r="AE470" i="1"/>
  <c r="AE469" i="1"/>
  <c r="AE468" i="1"/>
  <c r="AE467" i="1"/>
  <c r="AE466" i="1"/>
  <c r="AE465" i="1"/>
  <c r="AE464" i="1"/>
  <c r="AE463" i="1"/>
  <c r="AE462" i="1"/>
  <c r="AE461" i="1"/>
  <c r="AE460" i="1"/>
  <c r="AE459" i="1"/>
  <c r="AE458" i="1"/>
  <c r="AE457" i="1"/>
  <c r="AE456" i="1"/>
  <c r="AE455" i="1"/>
  <c r="AE454" i="1"/>
  <c r="AE453" i="1"/>
  <c r="AE452" i="1"/>
  <c r="AE451" i="1"/>
  <c r="AE450" i="1"/>
  <c r="AE449" i="1"/>
  <c r="AE448" i="1"/>
  <c r="AE447" i="1"/>
  <c r="AE446" i="1"/>
  <c r="AE445" i="1"/>
  <c r="AE444" i="1"/>
  <c r="AE443" i="1"/>
  <c r="AE442" i="1"/>
  <c r="AE441" i="1"/>
  <c r="AE440" i="1"/>
  <c r="AE439" i="1"/>
  <c r="AE438" i="1"/>
  <c r="AE437" i="1"/>
  <c r="AE436" i="1"/>
  <c r="AE435" i="1"/>
  <c r="AE434" i="1"/>
  <c r="AE433" i="1"/>
  <c r="AE432" i="1"/>
  <c r="AE431" i="1"/>
  <c r="AE430" i="1"/>
  <c r="AE429" i="1"/>
  <c r="AE428" i="1"/>
  <c r="AE427" i="1"/>
  <c r="AE426" i="1"/>
  <c r="AE425" i="1"/>
  <c r="AE424" i="1"/>
  <c r="AE423" i="1"/>
  <c r="AE422" i="1"/>
  <c r="AE421" i="1"/>
  <c r="AE420" i="1"/>
  <c r="AE419" i="1"/>
  <c r="AE418" i="1"/>
  <c r="AE417" i="1"/>
  <c r="AE416" i="1"/>
  <c r="AE415" i="1"/>
  <c r="AE414" i="1"/>
  <c r="AE413" i="1"/>
  <c r="AE412" i="1"/>
  <c r="AE411" i="1"/>
  <c r="AE410" i="1"/>
  <c r="AE409" i="1"/>
  <c r="AE408" i="1"/>
  <c r="AE407" i="1"/>
  <c r="AE406" i="1"/>
  <c r="AE405" i="1"/>
  <c r="AE404" i="1"/>
  <c r="AE403" i="1"/>
  <c r="AE402" i="1"/>
  <c r="AE401" i="1"/>
  <c r="AE400" i="1"/>
  <c r="AE399" i="1"/>
  <c r="AE398" i="1"/>
  <c r="AE397" i="1"/>
  <c r="AE396" i="1"/>
  <c r="AE395" i="1"/>
  <c r="AE394" i="1"/>
  <c r="AE393" i="1"/>
  <c r="AE392" i="1"/>
  <c r="AE391" i="1"/>
  <c r="AE390" i="1"/>
  <c r="AE389" i="1"/>
  <c r="AE388" i="1"/>
  <c r="AE387" i="1"/>
  <c r="AE386" i="1"/>
  <c r="AE385" i="1"/>
  <c r="AE384" i="1"/>
  <c r="AE383" i="1"/>
  <c r="AE382" i="1"/>
  <c r="AE381" i="1"/>
  <c r="AE380" i="1"/>
  <c r="AE379" i="1"/>
  <c r="AE378" i="1"/>
  <c r="AE377" i="1"/>
  <c r="AE376" i="1"/>
  <c r="AE375" i="1"/>
  <c r="AE374" i="1"/>
  <c r="AE373" i="1"/>
  <c r="AE372" i="1"/>
  <c r="AE371" i="1"/>
  <c r="AE370" i="1"/>
  <c r="AE369" i="1"/>
  <c r="AE368" i="1"/>
  <c r="AE367" i="1"/>
  <c r="AE366" i="1"/>
  <c r="AE365" i="1"/>
  <c r="AE364" i="1"/>
  <c r="AE363" i="1"/>
  <c r="AE362" i="1"/>
  <c r="AE361" i="1"/>
  <c r="AE360" i="1"/>
  <c r="AE359" i="1"/>
  <c r="AE358" i="1"/>
  <c r="AE357" i="1"/>
  <c r="AE356" i="1"/>
  <c r="AE355" i="1"/>
  <c r="AE354" i="1"/>
  <c r="AE353" i="1"/>
  <c r="AE352" i="1"/>
  <c r="AE351" i="1"/>
  <c r="AE350" i="1"/>
  <c r="AE349" i="1"/>
  <c r="AE348" i="1"/>
  <c r="AE347" i="1"/>
  <c r="AE346" i="1"/>
  <c r="AE345" i="1"/>
  <c r="AE344" i="1"/>
  <c r="AE343" i="1"/>
  <c r="AE342" i="1"/>
  <c r="AE341" i="1"/>
  <c r="AE340" i="1"/>
  <c r="AE339" i="1"/>
  <c r="AE338" i="1"/>
  <c r="AE337" i="1"/>
  <c r="AE336" i="1"/>
  <c r="AE335" i="1"/>
  <c r="AE334" i="1"/>
  <c r="AE333" i="1"/>
  <c r="AE332" i="1"/>
  <c r="AE331" i="1"/>
  <c r="AE330" i="1"/>
  <c r="AE329" i="1"/>
  <c r="AE328" i="1"/>
  <c r="AE327" i="1"/>
  <c r="AE326" i="1"/>
  <c r="AE325" i="1"/>
  <c r="AE324" i="1"/>
  <c r="AE323" i="1"/>
  <c r="AE322" i="1"/>
  <c r="AE321" i="1"/>
  <c r="AE320" i="1"/>
  <c r="AE319" i="1"/>
  <c r="AE318" i="1"/>
  <c r="AE317" i="1"/>
  <c r="AE316" i="1"/>
  <c r="AE315" i="1"/>
  <c r="AE314" i="1"/>
  <c r="AE313" i="1"/>
  <c r="AE312" i="1"/>
  <c r="AE311" i="1"/>
  <c r="AE310" i="1"/>
  <c r="AE309" i="1"/>
  <c r="AE308" i="1"/>
  <c r="AE307" i="1"/>
  <c r="AE306" i="1"/>
  <c r="AE305" i="1"/>
  <c r="AE304" i="1"/>
  <c r="AE303"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AE218" i="1"/>
  <c r="AE217" i="1"/>
  <c r="AE216" i="1"/>
  <c r="AE215" i="1"/>
  <c r="AE214" i="1"/>
  <c r="AE213"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54" i="1"/>
  <c r="AF54" i="1" s="1"/>
  <c r="AE53" i="1"/>
  <c r="AE52" i="1"/>
  <c r="AE72" i="1"/>
  <c r="AE71" i="1"/>
  <c r="AE70" i="1"/>
  <c r="AE69" i="1"/>
  <c r="AE68" i="1"/>
  <c r="AE67" i="1"/>
  <c r="AE66" i="1"/>
  <c r="AE65" i="1"/>
  <c r="AE64" i="1"/>
  <c r="AE63" i="1"/>
  <c r="AE62" i="1"/>
  <c r="AE61" i="1"/>
  <c r="AE60" i="1"/>
  <c r="AE59" i="1"/>
  <c r="AE18" i="1"/>
  <c r="AE48" i="1"/>
  <c r="AE47" i="1"/>
  <c r="AE46" i="1"/>
  <c r="AE45" i="1"/>
  <c r="AE12" i="1"/>
  <c r="AE11" i="1"/>
  <c r="AE10" i="1"/>
  <c r="AE9" i="1"/>
  <c r="AE8" i="1"/>
  <c r="AE44" i="1"/>
  <c r="AE43" i="1"/>
  <c r="AE42" i="1"/>
  <c r="AE41" i="1"/>
  <c r="AE35" i="1"/>
  <c r="AE34" i="1"/>
  <c r="AE33" i="1"/>
  <c r="AE31" i="1"/>
  <c r="AE7" i="1"/>
  <c r="AE6" i="1"/>
  <c r="AE5" i="1"/>
  <c r="AE4" i="1"/>
  <c r="AE30" i="1"/>
  <c r="AE29" i="1"/>
  <c r="AE28" i="1"/>
  <c r="AE27" i="1"/>
  <c r="AZ523" i="1"/>
  <c r="AY523" i="1"/>
  <c r="AD523" i="1"/>
  <c r="AZ522" i="1"/>
  <c r="AY522" i="1"/>
  <c r="AD522" i="1"/>
  <c r="AZ521" i="1"/>
  <c r="AY521" i="1"/>
  <c r="AD521" i="1"/>
  <c r="AZ520" i="1"/>
  <c r="AY520" i="1"/>
  <c r="AD520" i="1"/>
  <c r="AZ519" i="1"/>
  <c r="AY519" i="1"/>
  <c r="AD519" i="1"/>
  <c r="AZ518" i="1"/>
  <c r="AY518" i="1"/>
  <c r="AD518" i="1"/>
  <c r="AZ517" i="1"/>
  <c r="AY517" i="1"/>
  <c r="AD517" i="1"/>
  <c r="AZ516" i="1"/>
  <c r="AY516" i="1"/>
  <c r="AD516" i="1"/>
  <c r="AZ515" i="1"/>
  <c r="AY515" i="1"/>
  <c r="AD515" i="1"/>
  <c r="AZ514" i="1"/>
  <c r="AY514" i="1"/>
  <c r="AD514" i="1"/>
  <c r="AZ513" i="1"/>
  <c r="AY513" i="1"/>
  <c r="AD513" i="1"/>
  <c r="AZ512" i="1"/>
  <c r="AY512" i="1"/>
  <c r="AD512" i="1"/>
  <c r="AZ511" i="1"/>
  <c r="AY511" i="1"/>
  <c r="AD511" i="1"/>
  <c r="AZ510" i="1"/>
  <c r="AY510" i="1"/>
  <c r="AD510" i="1"/>
  <c r="AZ509" i="1"/>
  <c r="AY509" i="1"/>
  <c r="AD509" i="1"/>
  <c r="AZ508" i="1"/>
  <c r="AY508" i="1"/>
  <c r="AD508" i="1"/>
  <c r="AZ507" i="1"/>
  <c r="AY507" i="1"/>
  <c r="AD507" i="1"/>
  <c r="AZ506" i="1"/>
  <c r="AY506" i="1"/>
  <c r="AD506" i="1"/>
  <c r="AZ505" i="1"/>
  <c r="AY505" i="1"/>
  <c r="AD505" i="1"/>
  <c r="AZ504" i="1"/>
  <c r="AY504" i="1"/>
  <c r="AD504" i="1"/>
  <c r="AZ503" i="1"/>
  <c r="AY503" i="1"/>
  <c r="AD503" i="1"/>
  <c r="AZ502" i="1"/>
  <c r="AY502" i="1"/>
  <c r="AD502" i="1"/>
  <c r="AZ501" i="1"/>
  <c r="AY501" i="1"/>
  <c r="AD501" i="1"/>
  <c r="AZ500" i="1"/>
  <c r="AY500" i="1"/>
  <c r="AD500" i="1"/>
  <c r="AZ499" i="1"/>
  <c r="AY499" i="1"/>
  <c r="AD499" i="1"/>
  <c r="AZ498" i="1"/>
  <c r="AY498" i="1"/>
  <c r="AD498" i="1"/>
  <c r="AZ497" i="1"/>
  <c r="AY497" i="1"/>
  <c r="AD497" i="1"/>
  <c r="AZ496" i="1"/>
  <c r="AY496" i="1"/>
  <c r="AD496" i="1"/>
  <c r="AZ495" i="1"/>
  <c r="AY495" i="1"/>
  <c r="AD495" i="1"/>
  <c r="AZ494" i="1"/>
  <c r="AY494" i="1"/>
  <c r="AD494" i="1"/>
  <c r="AZ493" i="1"/>
  <c r="AY493" i="1"/>
  <c r="AD493" i="1"/>
  <c r="AZ492" i="1"/>
  <c r="AY492" i="1"/>
  <c r="AD492" i="1"/>
  <c r="AZ491" i="1"/>
  <c r="AY491" i="1"/>
  <c r="AD491" i="1"/>
  <c r="AZ490" i="1"/>
  <c r="AY490" i="1"/>
  <c r="AD490" i="1"/>
  <c r="AZ489" i="1"/>
  <c r="AY489" i="1"/>
  <c r="AD489" i="1"/>
  <c r="AZ488" i="1"/>
  <c r="AY488" i="1"/>
  <c r="AD488" i="1"/>
  <c r="AZ487" i="1"/>
  <c r="AY487" i="1"/>
  <c r="AD487" i="1"/>
  <c r="AZ486" i="1"/>
  <c r="AY486" i="1"/>
  <c r="AD486" i="1"/>
  <c r="AZ485" i="1"/>
  <c r="AY485" i="1"/>
  <c r="AD485" i="1"/>
  <c r="AZ484" i="1"/>
  <c r="AY484" i="1"/>
  <c r="AD484" i="1"/>
  <c r="AZ483" i="1"/>
  <c r="AY483" i="1"/>
  <c r="AD483" i="1"/>
  <c r="AZ482" i="1"/>
  <c r="AY482" i="1"/>
  <c r="AD482" i="1"/>
  <c r="AZ481" i="1"/>
  <c r="AY481" i="1"/>
  <c r="AD481" i="1"/>
  <c r="AZ480" i="1"/>
  <c r="AY480" i="1"/>
  <c r="AD480" i="1"/>
  <c r="AZ479" i="1"/>
  <c r="AY479" i="1"/>
  <c r="AD479" i="1"/>
  <c r="AZ478" i="1"/>
  <c r="AY478" i="1"/>
  <c r="AD478" i="1"/>
  <c r="AZ477" i="1"/>
  <c r="AY477" i="1"/>
  <c r="AD477" i="1"/>
  <c r="AZ476" i="1"/>
  <c r="AY476" i="1"/>
  <c r="AD476" i="1"/>
  <c r="AZ475" i="1"/>
  <c r="AY475" i="1"/>
  <c r="AD475" i="1"/>
  <c r="AZ474" i="1"/>
  <c r="AY474" i="1"/>
  <c r="AD474" i="1"/>
  <c r="AZ473" i="1"/>
  <c r="AY473" i="1"/>
  <c r="AD473" i="1"/>
  <c r="AZ472" i="1"/>
  <c r="AY472" i="1"/>
  <c r="AD472" i="1"/>
  <c r="AZ471" i="1"/>
  <c r="AY471" i="1"/>
  <c r="AD471" i="1"/>
  <c r="AZ470" i="1"/>
  <c r="AY470" i="1"/>
  <c r="AD470" i="1"/>
  <c r="AZ469" i="1"/>
  <c r="AY469" i="1"/>
  <c r="AD469" i="1"/>
  <c r="AZ468" i="1"/>
  <c r="AY468" i="1"/>
  <c r="AD468" i="1"/>
  <c r="AZ467" i="1"/>
  <c r="AY467" i="1"/>
  <c r="AD467" i="1"/>
  <c r="AZ466" i="1"/>
  <c r="AY466" i="1"/>
  <c r="AD466" i="1"/>
  <c r="AZ465" i="1"/>
  <c r="AY465" i="1"/>
  <c r="AD465" i="1"/>
  <c r="AZ464" i="1"/>
  <c r="AY464" i="1"/>
  <c r="AD464" i="1"/>
  <c r="AZ463" i="1"/>
  <c r="AY463" i="1"/>
  <c r="AD463" i="1"/>
  <c r="AZ462" i="1"/>
  <c r="AY462" i="1"/>
  <c r="AD462" i="1"/>
  <c r="AZ461" i="1"/>
  <c r="AY461" i="1"/>
  <c r="AD461" i="1"/>
  <c r="AZ460" i="1"/>
  <c r="AY460" i="1"/>
  <c r="AD460" i="1"/>
  <c r="AZ459" i="1"/>
  <c r="AY459" i="1"/>
  <c r="AD459" i="1"/>
  <c r="AZ458" i="1"/>
  <c r="AY458" i="1"/>
  <c r="AD458" i="1"/>
  <c r="AZ457" i="1"/>
  <c r="AY457" i="1"/>
  <c r="AD457" i="1"/>
  <c r="AZ456" i="1"/>
  <c r="AY456" i="1"/>
  <c r="AD456" i="1"/>
  <c r="AZ455" i="1"/>
  <c r="AY455" i="1"/>
  <c r="AD455" i="1"/>
  <c r="AZ454" i="1"/>
  <c r="AY454" i="1"/>
  <c r="AD454" i="1"/>
  <c r="AZ453" i="1"/>
  <c r="AY453" i="1"/>
  <c r="AD453" i="1"/>
  <c r="AZ452" i="1"/>
  <c r="AY452" i="1"/>
  <c r="AD452" i="1"/>
  <c r="AZ451" i="1"/>
  <c r="AY451" i="1"/>
  <c r="AD451" i="1"/>
  <c r="AZ450" i="1"/>
  <c r="AY450" i="1"/>
  <c r="AD450" i="1"/>
  <c r="AZ449" i="1"/>
  <c r="AY449" i="1"/>
  <c r="AD449" i="1"/>
  <c r="AZ448" i="1"/>
  <c r="AY448" i="1"/>
  <c r="AD448" i="1"/>
  <c r="AZ447" i="1"/>
  <c r="AY447" i="1"/>
  <c r="AD447" i="1"/>
  <c r="AZ446" i="1"/>
  <c r="AY446" i="1"/>
  <c r="AD446" i="1"/>
  <c r="AZ445" i="1"/>
  <c r="AY445" i="1"/>
  <c r="AD445" i="1"/>
  <c r="AZ444" i="1"/>
  <c r="AY444" i="1"/>
  <c r="AD444" i="1"/>
  <c r="AZ443" i="1"/>
  <c r="AY443" i="1"/>
  <c r="AD443" i="1"/>
  <c r="AZ442" i="1"/>
  <c r="AY442" i="1"/>
  <c r="AD442" i="1"/>
  <c r="AZ441" i="1"/>
  <c r="AY441" i="1"/>
  <c r="AD441" i="1"/>
  <c r="AZ440" i="1"/>
  <c r="AY440" i="1"/>
  <c r="AD440" i="1"/>
  <c r="AZ439" i="1"/>
  <c r="AY439" i="1"/>
  <c r="AD439" i="1"/>
  <c r="AZ438" i="1"/>
  <c r="AY438" i="1"/>
  <c r="AD438" i="1"/>
  <c r="AZ437" i="1"/>
  <c r="AY437" i="1"/>
  <c r="AD437" i="1"/>
  <c r="AZ436" i="1"/>
  <c r="AY436" i="1"/>
  <c r="AD436" i="1"/>
  <c r="AZ435" i="1"/>
  <c r="AY435" i="1"/>
  <c r="AD435" i="1"/>
  <c r="AZ434" i="1"/>
  <c r="AY434" i="1"/>
  <c r="AD434" i="1"/>
  <c r="AZ433" i="1"/>
  <c r="AY433" i="1"/>
  <c r="AD433" i="1"/>
  <c r="AZ432" i="1"/>
  <c r="AY432" i="1"/>
  <c r="AD432" i="1"/>
  <c r="AZ431" i="1"/>
  <c r="AY431" i="1"/>
  <c r="AD431" i="1"/>
  <c r="AZ430" i="1"/>
  <c r="AY430" i="1"/>
  <c r="AD430" i="1"/>
  <c r="AZ429" i="1"/>
  <c r="AY429" i="1"/>
  <c r="AD429" i="1"/>
  <c r="AZ428" i="1"/>
  <c r="AY428" i="1"/>
  <c r="AD428" i="1"/>
  <c r="AZ427" i="1"/>
  <c r="AY427" i="1"/>
  <c r="AD427" i="1"/>
  <c r="AZ426" i="1"/>
  <c r="AY426" i="1"/>
  <c r="AD426" i="1"/>
  <c r="AZ425" i="1"/>
  <c r="AY425" i="1"/>
  <c r="AD425" i="1"/>
  <c r="AZ424" i="1"/>
  <c r="AY424" i="1"/>
  <c r="AD424" i="1"/>
  <c r="AZ423" i="1"/>
  <c r="AY423" i="1"/>
  <c r="AD423" i="1"/>
  <c r="AZ422" i="1"/>
  <c r="AY422" i="1"/>
  <c r="AD422" i="1"/>
  <c r="AZ421" i="1"/>
  <c r="AY421" i="1"/>
  <c r="AD421" i="1"/>
  <c r="AZ420" i="1"/>
  <c r="AY420" i="1"/>
  <c r="AD420" i="1"/>
  <c r="AZ419" i="1"/>
  <c r="AY419" i="1"/>
  <c r="AD419" i="1"/>
  <c r="AZ418" i="1"/>
  <c r="AY418" i="1"/>
  <c r="AD418" i="1"/>
  <c r="AZ417" i="1"/>
  <c r="AY417" i="1"/>
  <c r="AD417" i="1"/>
  <c r="AZ416" i="1"/>
  <c r="AY416" i="1"/>
  <c r="AD416" i="1"/>
  <c r="AZ415" i="1"/>
  <c r="AY415" i="1"/>
  <c r="AD415" i="1"/>
  <c r="AZ414" i="1"/>
  <c r="AY414" i="1"/>
  <c r="AD414" i="1"/>
  <c r="AZ413" i="1"/>
  <c r="AY413" i="1"/>
  <c r="AD413" i="1"/>
  <c r="AZ412" i="1"/>
  <c r="AY412" i="1"/>
  <c r="AD412" i="1"/>
  <c r="AZ411" i="1"/>
  <c r="AY411" i="1"/>
  <c r="AD411" i="1"/>
  <c r="AZ410" i="1"/>
  <c r="AY410" i="1"/>
  <c r="AD410" i="1"/>
  <c r="AZ409" i="1"/>
  <c r="AY409" i="1"/>
  <c r="AD409" i="1"/>
  <c r="AZ408" i="1"/>
  <c r="AY408" i="1"/>
  <c r="AD408" i="1"/>
  <c r="AZ407" i="1"/>
  <c r="AY407" i="1"/>
  <c r="AD407" i="1"/>
  <c r="AZ406" i="1"/>
  <c r="AY406" i="1"/>
  <c r="AD406" i="1"/>
  <c r="AZ405" i="1"/>
  <c r="AY405" i="1"/>
  <c r="AD405" i="1"/>
  <c r="AZ404" i="1"/>
  <c r="AY404" i="1"/>
  <c r="AD404" i="1"/>
  <c r="AZ403" i="1"/>
  <c r="AY403" i="1"/>
  <c r="AD403" i="1"/>
  <c r="AZ402" i="1"/>
  <c r="AY402" i="1"/>
  <c r="AD402" i="1"/>
  <c r="AZ401" i="1"/>
  <c r="AY401" i="1"/>
  <c r="AD401" i="1"/>
  <c r="AZ400" i="1"/>
  <c r="AY400" i="1"/>
  <c r="AD400" i="1"/>
  <c r="AZ399" i="1"/>
  <c r="AY399" i="1"/>
  <c r="AD399" i="1"/>
  <c r="AZ398" i="1"/>
  <c r="AY398" i="1"/>
  <c r="AD398" i="1"/>
  <c r="AZ397" i="1"/>
  <c r="AY397" i="1"/>
  <c r="AD397" i="1"/>
  <c r="AZ396" i="1"/>
  <c r="AY396" i="1"/>
  <c r="AD396" i="1"/>
  <c r="AZ395" i="1"/>
  <c r="AY395" i="1"/>
  <c r="AD395" i="1"/>
  <c r="AZ394" i="1"/>
  <c r="AY394" i="1"/>
  <c r="AD394" i="1"/>
  <c r="AZ393" i="1"/>
  <c r="AY393" i="1"/>
  <c r="AD393" i="1"/>
  <c r="AZ392" i="1"/>
  <c r="AY392" i="1"/>
  <c r="AD392" i="1"/>
  <c r="AZ391" i="1"/>
  <c r="AY391" i="1"/>
  <c r="AD391" i="1"/>
  <c r="AZ390" i="1"/>
  <c r="AY390" i="1"/>
  <c r="AD390" i="1"/>
  <c r="AZ389" i="1"/>
  <c r="AY389" i="1"/>
  <c r="AD389" i="1"/>
  <c r="AZ388" i="1"/>
  <c r="AY388" i="1"/>
  <c r="AD388" i="1"/>
  <c r="AZ387" i="1"/>
  <c r="AY387" i="1"/>
  <c r="AD387" i="1"/>
  <c r="AZ386" i="1"/>
  <c r="AY386" i="1"/>
  <c r="AD386" i="1"/>
  <c r="AZ385" i="1"/>
  <c r="AY385" i="1"/>
  <c r="AD385" i="1"/>
  <c r="AZ384" i="1"/>
  <c r="AY384" i="1"/>
  <c r="AD384" i="1"/>
  <c r="AZ383" i="1"/>
  <c r="AY383" i="1"/>
  <c r="AD383" i="1"/>
  <c r="AZ382" i="1"/>
  <c r="AY382" i="1"/>
  <c r="AD382" i="1"/>
  <c r="AZ381" i="1"/>
  <c r="AY381" i="1"/>
  <c r="AD381" i="1"/>
  <c r="AZ380" i="1"/>
  <c r="AY380" i="1"/>
  <c r="AD380" i="1"/>
  <c r="AZ379" i="1"/>
  <c r="AY379" i="1"/>
  <c r="AD379" i="1"/>
  <c r="AZ378" i="1"/>
  <c r="AY378" i="1"/>
  <c r="AD378" i="1"/>
  <c r="AZ377" i="1"/>
  <c r="AY377" i="1"/>
  <c r="AD377" i="1"/>
  <c r="AZ376" i="1"/>
  <c r="AY376" i="1"/>
  <c r="AD376" i="1"/>
  <c r="AZ375" i="1"/>
  <c r="AY375" i="1"/>
  <c r="AD375" i="1"/>
  <c r="AZ374" i="1"/>
  <c r="AY374" i="1"/>
  <c r="AD374" i="1"/>
  <c r="AZ373" i="1"/>
  <c r="AY373" i="1"/>
  <c r="AD373" i="1"/>
  <c r="AZ372" i="1"/>
  <c r="AY372" i="1"/>
  <c r="AD372" i="1"/>
  <c r="AZ371" i="1"/>
  <c r="AY371" i="1"/>
  <c r="AD371" i="1"/>
  <c r="AZ370" i="1"/>
  <c r="AY370" i="1"/>
  <c r="AD370" i="1"/>
  <c r="AZ369" i="1"/>
  <c r="AY369" i="1"/>
  <c r="AD369" i="1"/>
  <c r="AZ368" i="1"/>
  <c r="AY368" i="1"/>
  <c r="AD368" i="1"/>
  <c r="AZ367" i="1"/>
  <c r="AY367" i="1"/>
  <c r="AD367" i="1"/>
  <c r="AZ366" i="1"/>
  <c r="AY366" i="1"/>
  <c r="AD366" i="1"/>
  <c r="AZ365" i="1"/>
  <c r="AY365" i="1"/>
  <c r="AD365" i="1"/>
  <c r="AZ364" i="1"/>
  <c r="AY364" i="1"/>
  <c r="AD364" i="1"/>
  <c r="AZ363" i="1"/>
  <c r="AY363" i="1"/>
  <c r="AD363" i="1"/>
  <c r="AZ362" i="1"/>
  <c r="AY362" i="1"/>
  <c r="AD362" i="1"/>
  <c r="AZ361" i="1"/>
  <c r="AY361" i="1"/>
  <c r="AD361" i="1"/>
  <c r="AZ360" i="1"/>
  <c r="AY360" i="1"/>
  <c r="AD360" i="1"/>
  <c r="AZ359" i="1"/>
  <c r="AY359" i="1"/>
  <c r="AD359" i="1"/>
  <c r="AZ358" i="1"/>
  <c r="AY358" i="1"/>
  <c r="AD358" i="1"/>
  <c r="AZ357" i="1"/>
  <c r="AY357" i="1"/>
  <c r="AD357" i="1"/>
  <c r="AZ356" i="1"/>
  <c r="AY356" i="1"/>
  <c r="AD356" i="1"/>
  <c r="AZ355" i="1"/>
  <c r="AY355" i="1"/>
  <c r="AD355" i="1"/>
  <c r="AZ354" i="1"/>
  <c r="AY354" i="1"/>
  <c r="AD354" i="1"/>
  <c r="AZ353" i="1"/>
  <c r="AY353" i="1"/>
  <c r="AD353" i="1"/>
  <c r="AZ352" i="1"/>
  <c r="AY352" i="1"/>
  <c r="AD352" i="1"/>
  <c r="AZ351" i="1"/>
  <c r="AY351" i="1"/>
  <c r="AD351" i="1"/>
  <c r="AZ350" i="1"/>
  <c r="AY350" i="1"/>
  <c r="AD350" i="1"/>
  <c r="AZ349" i="1"/>
  <c r="AY349" i="1"/>
  <c r="AD349" i="1"/>
  <c r="AZ348" i="1"/>
  <c r="AY348" i="1"/>
  <c r="AD348" i="1"/>
  <c r="AZ347" i="1"/>
  <c r="AY347" i="1"/>
  <c r="AD347" i="1"/>
  <c r="AZ346" i="1"/>
  <c r="AY346" i="1"/>
  <c r="AD346" i="1"/>
  <c r="AZ345" i="1"/>
  <c r="AY345" i="1"/>
  <c r="AD345" i="1"/>
  <c r="AZ344" i="1"/>
  <c r="AY344" i="1"/>
  <c r="AD344" i="1"/>
  <c r="AZ343" i="1"/>
  <c r="AY343" i="1"/>
  <c r="AD343" i="1"/>
  <c r="AZ342" i="1"/>
  <c r="AY342" i="1"/>
  <c r="AD342" i="1"/>
  <c r="AZ341" i="1"/>
  <c r="AY341" i="1"/>
  <c r="AD341" i="1"/>
  <c r="AZ340" i="1"/>
  <c r="AY340" i="1"/>
  <c r="AD340" i="1"/>
  <c r="AZ339" i="1"/>
  <c r="AY339" i="1"/>
  <c r="AD339" i="1"/>
  <c r="AZ338" i="1"/>
  <c r="AY338" i="1"/>
  <c r="AD338" i="1"/>
  <c r="AZ337" i="1"/>
  <c r="AY337" i="1"/>
  <c r="AD337" i="1"/>
  <c r="AZ336" i="1"/>
  <c r="AY336" i="1"/>
  <c r="AD336" i="1"/>
  <c r="AZ335" i="1"/>
  <c r="AY335" i="1"/>
  <c r="AD335" i="1"/>
  <c r="AZ334" i="1"/>
  <c r="AY334" i="1"/>
  <c r="AD334" i="1"/>
  <c r="AZ333" i="1"/>
  <c r="AY333" i="1"/>
  <c r="AD333" i="1"/>
  <c r="AZ332" i="1"/>
  <c r="AY332" i="1"/>
  <c r="AD332" i="1"/>
  <c r="AZ331" i="1"/>
  <c r="AY331" i="1"/>
  <c r="AD331" i="1"/>
  <c r="AZ330" i="1"/>
  <c r="AY330" i="1"/>
  <c r="AD330" i="1"/>
  <c r="AZ329" i="1"/>
  <c r="AY329" i="1"/>
  <c r="AD329" i="1"/>
  <c r="AZ328" i="1"/>
  <c r="AY328" i="1"/>
  <c r="AD328" i="1"/>
  <c r="AZ327" i="1"/>
  <c r="AY327" i="1"/>
  <c r="AD327" i="1"/>
  <c r="AZ326" i="1"/>
  <c r="AY326" i="1"/>
  <c r="AD326" i="1"/>
  <c r="AZ325" i="1"/>
  <c r="AY325" i="1"/>
  <c r="AD325" i="1"/>
  <c r="AZ324" i="1"/>
  <c r="AY324" i="1"/>
  <c r="AD324" i="1"/>
  <c r="AZ323" i="1"/>
  <c r="AY323" i="1"/>
  <c r="AD323" i="1"/>
  <c r="AZ322" i="1"/>
  <c r="AY322" i="1"/>
  <c r="AD322" i="1"/>
  <c r="AZ321" i="1"/>
  <c r="AY321" i="1"/>
  <c r="AD321" i="1"/>
  <c r="AZ320" i="1"/>
  <c r="AY320" i="1"/>
  <c r="AD320" i="1"/>
  <c r="AZ319" i="1"/>
  <c r="AY319" i="1"/>
  <c r="AD319" i="1"/>
  <c r="AZ318" i="1"/>
  <c r="AY318" i="1"/>
  <c r="AD318" i="1"/>
  <c r="AZ317" i="1"/>
  <c r="AY317" i="1"/>
  <c r="AD317" i="1"/>
  <c r="AZ316" i="1"/>
  <c r="AY316" i="1"/>
  <c r="AD316" i="1"/>
  <c r="AZ315" i="1"/>
  <c r="AY315" i="1"/>
  <c r="AD315" i="1"/>
  <c r="AZ314" i="1"/>
  <c r="AY314" i="1"/>
  <c r="AD314" i="1"/>
  <c r="AZ313" i="1"/>
  <c r="AY313" i="1"/>
  <c r="AD313" i="1"/>
  <c r="AZ312" i="1"/>
  <c r="AY312" i="1"/>
  <c r="AD312" i="1"/>
  <c r="AZ311" i="1"/>
  <c r="AY311" i="1"/>
  <c r="AD311" i="1"/>
  <c r="AZ310" i="1"/>
  <c r="AY310" i="1"/>
  <c r="AD310" i="1"/>
  <c r="AZ309" i="1"/>
  <c r="AY309" i="1"/>
  <c r="AD309" i="1"/>
  <c r="AZ308" i="1"/>
  <c r="AY308" i="1"/>
  <c r="AD308" i="1"/>
  <c r="AZ307" i="1"/>
  <c r="AY307" i="1"/>
  <c r="AD307" i="1"/>
  <c r="AZ306" i="1"/>
  <c r="AY306" i="1"/>
  <c r="AD306" i="1"/>
  <c r="AZ305" i="1"/>
  <c r="AY305" i="1"/>
  <c r="AD305" i="1"/>
  <c r="AZ304" i="1"/>
  <c r="AY304" i="1"/>
  <c r="AD304" i="1"/>
  <c r="AZ303" i="1"/>
  <c r="AY303" i="1"/>
  <c r="AD303" i="1"/>
  <c r="AZ302" i="1"/>
  <c r="AY302" i="1"/>
  <c r="AD302" i="1"/>
  <c r="AZ301" i="1"/>
  <c r="AY301" i="1"/>
  <c r="AD301" i="1"/>
  <c r="AZ300" i="1"/>
  <c r="AY300" i="1"/>
  <c r="AD300" i="1"/>
  <c r="AZ299" i="1"/>
  <c r="AY299" i="1"/>
  <c r="AD299" i="1"/>
  <c r="AZ298" i="1"/>
  <c r="AY298" i="1"/>
  <c r="AD298" i="1"/>
  <c r="AZ297" i="1"/>
  <c r="AY297" i="1"/>
  <c r="AD297" i="1"/>
  <c r="AZ296" i="1"/>
  <c r="AY296" i="1"/>
  <c r="AD296" i="1"/>
  <c r="AZ295" i="1"/>
  <c r="AY295" i="1"/>
  <c r="AD295" i="1"/>
  <c r="AZ294" i="1"/>
  <c r="AY294" i="1"/>
  <c r="AD294" i="1"/>
  <c r="AZ293" i="1"/>
  <c r="AY293" i="1"/>
  <c r="AD293" i="1"/>
  <c r="AZ292" i="1"/>
  <c r="AY292" i="1"/>
  <c r="AD292" i="1"/>
  <c r="AZ291" i="1"/>
  <c r="AY291" i="1"/>
  <c r="AD291" i="1"/>
  <c r="AZ290" i="1"/>
  <c r="AY290" i="1"/>
  <c r="AD290" i="1"/>
  <c r="AZ289" i="1"/>
  <c r="AY289" i="1"/>
  <c r="AD289" i="1"/>
  <c r="AZ288" i="1"/>
  <c r="AY288" i="1"/>
  <c r="AD288" i="1"/>
  <c r="AZ287" i="1"/>
  <c r="AY287" i="1"/>
  <c r="AD287" i="1"/>
  <c r="AZ286" i="1"/>
  <c r="AY286" i="1"/>
  <c r="AD286" i="1"/>
  <c r="AZ285" i="1"/>
  <c r="AY285" i="1"/>
  <c r="AD285" i="1"/>
  <c r="AZ284" i="1"/>
  <c r="AY284" i="1"/>
  <c r="AD284" i="1"/>
  <c r="AZ283" i="1"/>
  <c r="AY283" i="1"/>
  <c r="AD283" i="1"/>
  <c r="AZ282" i="1"/>
  <c r="AY282" i="1"/>
  <c r="AD282" i="1"/>
  <c r="AZ281" i="1"/>
  <c r="AY281" i="1"/>
  <c r="AD281" i="1"/>
  <c r="AZ280" i="1"/>
  <c r="AY280" i="1"/>
  <c r="AD280" i="1"/>
  <c r="AZ279" i="1"/>
  <c r="AY279" i="1"/>
  <c r="AD279" i="1"/>
  <c r="AZ278" i="1"/>
  <c r="AY278" i="1"/>
  <c r="AD278" i="1"/>
  <c r="AZ277" i="1"/>
  <c r="AY277" i="1"/>
  <c r="AD277" i="1"/>
  <c r="AZ276" i="1"/>
  <c r="AY276" i="1"/>
  <c r="AD276" i="1"/>
  <c r="AZ275" i="1"/>
  <c r="AY275" i="1"/>
  <c r="AD275" i="1"/>
  <c r="AZ274" i="1"/>
  <c r="AY274" i="1"/>
  <c r="AD274" i="1"/>
  <c r="AZ273" i="1"/>
  <c r="AY273" i="1"/>
  <c r="AD273" i="1"/>
  <c r="AZ272" i="1"/>
  <c r="AY272" i="1"/>
  <c r="AD272" i="1"/>
  <c r="AZ271" i="1"/>
  <c r="AY271" i="1"/>
  <c r="AD271" i="1"/>
  <c r="AZ270" i="1"/>
  <c r="AY270" i="1"/>
  <c r="AD270" i="1"/>
  <c r="AZ269" i="1"/>
  <c r="AY269" i="1"/>
  <c r="AD269" i="1"/>
  <c r="AZ268" i="1"/>
  <c r="AY268" i="1"/>
  <c r="AD268" i="1"/>
  <c r="AZ267" i="1"/>
  <c r="AY267" i="1"/>
  <c r="AD267" i="1"/>
  <c r="AZ266" i="1"/>
  <c r="AY266" i="1"/>
  <c r="AD266" i="1"/>
  <c r="AZ265" i="1"/>
  <c r="AY265" i="1"/>
  <c r="AD265" i="1"/>
  <c r="AZ264" i="1"/>
  <c r="AY264" i="1"/>
  <c r="AD264" i="1"/>
  <c r="AZ263" i="1"/>
  <c r="AY263" i="1"/>
  <c r="AD263" i="1"/>
  <c r="AZ262" i="1"/>
  <c r="AY262" i="1"/>
  <c r="AD262" i="1"/>
  <c r="AZ261" i="1"/>
  <c r="AY261" i="1"/>
  <c r="AD261" i="1"/>
  <c r="AZ260" i="1"/>
  <c r="AY260" i="1"/>
  <c r="AD260" i="1"/>
  <c r="AZ259" i="1"/>
  <c r="AY259" i="1"/>
  <c r="AD259" i="1"/>
  <c r="AZ258" i="1"/>
  <c r="AY258" i="1"/>
  <c r="AD258" i="1"/>
  <c r="AZ257" i="1"/>
  <c r="AY257" i="1"/>
  <c r="AD257" i="1"/>
  <c r="AZ256" i="1"/>
  <c r="AY256" i="1"/>
  <c r="AD256" i="1"/>
  <c r="AZ255" i="1"/>
  <c r="AY255" i="1"/>
  <c r="AD255" i="1"/>
  <c r="AZ254" i="1"/>
  <c r="AY254" i="1"/>
  <c r="AD254" i="1"/>
  <c r="AZ253" i="1"/>
  <c r="AY253" i="1"/>
  <c r="AD253" i="1"/>
  <c r="AZ252" i="1"/>
  <c r="AY252" i="1"/>
  <c r="AD252" i="1"/>
  <c r="AZ251" i="1"/>
  <c r="AY251" i="1"/>
  <c r="AD251" i="1"/>
  <c r="AZ250" i="1"/>
  <c r="AY250" i="1"/>
  <c r="AD250" i="1"/>
  <c r="AZ249" i="1"/>
  <c r="AY249" i="1"/>
  <c r="AD249" i="1"/>
  <c r="AZ248" i="1"/>
  <c r="AY248" i="1"/>
  <c r="AD248" i="1"/>
  <c r="AZ247" i="1"/>
  <c r="AY247" i="1"/>
  <c r="AD247" i="1"/>
  <c r="AZ246" i="1"/>
  <c r="AY246" i="1"/>
  <c r="AD246" i="1"/>
  <c r="AZ245" i="1"/>
  <c r="AY245" i="1"/>
  <c r="AD245" i="1"/>
  <c r="AZ244" i="1"/>
  <c r="AY244" i="1"/>
  <c r="AD244" i="1"/>
  <c r="AZ243" i="1"/>
  <c r="AY243" i="1"/>
  <c r="AD243" i="1"/>
  <c r="AZ242" i="1"/>
  <c r="AY242" i="1"/>
  <c r="AD242" i="1"/>
  <c r="AZ241" i="1"/>
  <c r="AY241" i="1"/>
  <c r="AD241" i="1"/>
  <c r="AZ240" i="1"/>
  <c r="AY240" i="1"/>
  <c r="AD240" i="1"/>
  <c r="AZ239" i="1"/>
  <c r="AY239" i="1"/>
  <c r="AD239" i="1"/>
  <c r="AZ238" i="1"/>
  <c r="AY238" i="1"/>
  <c r="AD238" i="1"/>
  <c r="AZ237" i="1"/>
  <c r="AY237" i="1"/>
  <c r="AD237" i="1"/>
  <c r="AZ236" i="1"/>
  <c r="AY236" i="1"/>
  <c r="AD236" i="1"/>
  <c r="AZ235" i="1"/>
  <c r="AY235" i="1"/>
  <c r="AD235" i="1"/>
  <c r="AZ234" i="1"/>
  <c r="AY234" i="1"/>
  <c r="AD234" i="1"/>
  <c r="AZ233" i="1"/>
  <c r="AY233" i="1"/>
  <c r="AD233" i="1"/>
  <c r="AZ232" i="1"/>
  <c r="AY232" i="1"/>
  <c r="AD232" i="1"/>
  <c r="AZ231" i="1"/>
  <c r="AY231" i="1"/>
  <c r="AD231" i="1"/>
  <c r="AZ230" i="1"/>
  <c r="AY230" i="1"/>
  <c r="AD230" i="1"/>
  <c r="AZ229" i="1"/>
  <c r="AY229" i="1"/>
  <c r="AD229" i="1"/>
  <c r="AZ228" i="1"/>
  <c r="AY228" i="1"/>
  <c r="AD228" i="1"/>
  <c r="AZ227" i="1"/>
  <c r="AY227" i="1"/>
  <c r="AD227" i="1"/>
  <c r="AZ226" i="1"/>
  <c r="AY226" i="1"/>
  <c r="AD226" i="1"/>
  <c r="AZ225" i="1"/>
  <c r="AY225" i="1"/>
  <c r="AD225" i="1"/>
  <c r="AZ224" i="1"/>
  <c r="AY224" i="1"/>
  <c r="AD224" i="1"/>
  <c r="AZ223" i="1"/>
  <c r="AY223" i="1"/>
  <c r="AD223" i="1"/>
  <c r="AZ222" i="1"/>
  <c r="AY222" i="1"/>
  <c r="AD222" i="1"/>
  <c r="AZ221" i="1"/>
  <c r="AY221" i="1"/>
  <c r="AD221" i="1"/>
  <c r="AZ220" i="1"/>
  <c r="AY220" i="1"/>
  <c r="AD220" i="1"/>
  <c r="AZ219" i="1"/>
  <c r="AY219" i="1"/>
  <c r="AD219" i="1"/>
  <c r="AZ218" i="1"/>
  <c r="AY218" i="1"/>
  <c r="AD218" i="1"/>
  <c r="AZ217" i="1"/>
  <c r="AY217" i="1"/>
  <c r="AD217" i="1"/>
  <c r="AZ216" i="1"/>
  <c r="AY216" i="1"/>
  <c r="AD216" i="1"/>
  <c r="AZ215" i="1"/>
  <c r="AY215" i="1"/>
  <c r="AD215" i="1"/>
  <c r="AZ214" i="1"/>
  <c r="AY214" i="1"/>
  <c r="AD214" i="1"/>
  <c r="AZ213" i="1"/>
  <c r="AY213" i="1"/>
  <c r="AD213" i="1"/>
  <c r="AZ212" i="1"/>
  <c r="AY212" i="1"/>
  <c r="AD212" i="1"/>
  <c r="AZ211" i="1"/>
  <c r="AY211" i="1"/>
  <c r="AD211" i="1"/>
  <c r="AZ210" i="1"/>
  <c r="AY210" i="1"/>
  <c r="AD210" i="1"/>
  <c r="AZ209" i="1"/>
  <c r="AY209" i="1"/>
  <c r="AD209" i="1"/>
  <c r="AZ208" i="1"/>
  <c r="AY208" i="1"/>
  <c r="AD208" i="1"/>
  <c r="AZ207" i="1"/>
  <c r="AY207" i="1"/>
  <c r="AD207" i="1"/>
  <c r="AZ206" i="1"/>
  <c r="AY206" i="1"/>
  <c r="AD206" i="1"/>
  <c r="AZ205" i="1"/>
  <c r="AY205" i="1"/>
  <c r="AD205" i="1"/>
  <c r="AZ204" i="1"/>
  <c r="AY204" i="1"/>
  <c r="AD204" i="1"/>
  <c r="AZ203" i="1"/>
  <c r="AY203" i="1"/>
  <c r="AD203" i="1"/>
  <c r="AZ202" i="1"/>
  <c r="AY202" i="1"/>
  <c r="AD202" i="1"/>
  <c r="AZ201" i="1"/>
  <c r="AY201" i="1"/>
  <c r="AD201" i="1"/>
  <c r="AZ200" i="1"/>
  <c r="AY200" i="1"/>
  <c r="AD200" i="1"/>
  <c r="AZ199" i="1"/>
  <c r="AY199" i="1"/>
  <c r="AD199" i="1"/>
  <c r="AZ198" i="1"/>
  <c r="AY198" i="1"/>
  <c r="AD198" i="1"/>
  <c r="AZ197" i="1"/>
  <c r="AY197" i="1"/>
  <c r="AD197" i="1"/>
  <c r="AZ196" i="1"/>
  <c r="AY196" i="1"/>
  <c r="AD196" i="1"/>
  <c r="AZ195" i="1"/>
  <c r="AY195" i="1"/>
  <c r="AD195" i="1"/>
  <c r="AZ194" i="1"/>
  <c r="AY194" i="1"/>
  <c r="AD194" i="1"/>
  <c r="AZ193" i="1"/>
  <c r="AY193" i="1"/>
  <c r="AD193" i="1"/>
  <c r="AZ192" i="1"/>
  <c r="AY192" i="1"/>
  <c r="AD192" i="1"/>
  <c r="AZ191" i="1"/>
  <c r="AY191" i="1"/>
  <c r="AD191" i="1"/>
  <c r="AZ190" i="1"/>
  <c r="AY190" i="1"/>
  <c r="AD190" i="1"/>
  <c r="AZ189" i="1"/>
  <c r="AY189" i="1"/>
  <c r="AD189" i="1"/>
  <c r="AZ188" i="1"/>
  <c r="AY188" i="1"/>
  <c r="AD188" i="1"/>
  <c r="AZ187" i="1"/>
  <c r="AY187" i="1"/>
  <c r="AD187" i="1"/>
  <c r="AZ186" i="1"/>
  <c r="AY186" i="1"/>
  <c r="AD186" i="1"/>
  <c r="AZ185" i="1"/>
  <c r="AY185" i="1"/>
  <c r="AD185" i="1"/>
  <c r="AZ184" i="1"/>
  <c r="AY184" i="1"/>
  <c r="AD184" i="1"/>
  <c r="AZ183" i="1"/>
  <c r="AY183" i="1"/>
  <c r="AD183" i="1"/>
  <c r="AZ182" i="1"/>
  <c r="AY182" i="1"/>
  <c r="AD182" i="1"/>
  <c r="AZ181" i="1"/>
  <c r="AY181" i="1"/>
  <c r="AD181" i="1"/>
  <c r="AZ180" i="1"/>
  <c r="AY180" i="1"/>
  <c r="AD180" i="1"/>
  <c r="AZ179" i="1"/>
  <c r="AY179" i="1"/>
  <c r="AD179" i="1"/>
  <c r="AZ178" i="1"/>
  <c r="AY178" i="1"/>
  <c r="AD178" i="1"/>
  <c r="AZ177" i="1"/>
  <c r="AY177" i="1"/>
  <c r="AD177" i="1"/>
  <c r="AZ176" i="1"/>
  <c r="AY176" i="1"/>
  <c r="AD176" i="1"/>
  <c r="AZ175" i="1"/>
  <c r="AY175" i="1"/>
  <c r="AD175" i="1"/>
  <c r="AZ174" i="1"/>
  <c r="AY174" i="1"/>
  <c r="AD174" i="1"/>
  <c r="AZ173" i="1"/>
  <c r="AY173" i="1"/>
  <c r="AD173" i="1"/>
  <c r="AZ172" i="1"/>
  <c r="AY172" i="1"/>
  <c r="AD172" i="1"/>
  <c r="AZ171" i="1"/>
  <c r="AY171" i="1"/>
  <c r="AD171" i="1"/>
  <c r="AZ170" i="1"/>
  <c r="AY170" i="1"/>
  <c r="AD170" i="1"/>
  <c r="AZ169" i="1"/>
  <c r="AY169" i="1"/>
  <c r="AD169" i="1"/>
  <c r="AZ168" i="1"/>
  <c r="AY168" i="1"/>
  <c r="AD168" i="1"/>
  <c r="AZ167" i="1"/>
  <c r="AY167" i="1"/>
  <c r="AD167" i="1"/>
  <c r="AZ166" i="1"/>
  <c r="AY166" i="1"/>
  <c r="AD166" i="1"/>
  <c r="AZ165" i="1"/>
  <c r="AY165" i="1"/>
  <c r="AD165" i="1"/>
  <c r="AZ164" i="1"/>
  <c r="AY164" i="1"/>
  <c r="AD164" i="1"/>
  <c r="AZ163" i="1"/>
  <c r="AY163" i="1"/>
  <c r="AD163" i="1"/>
  <c r="AZ162" i="1"/>
  <c r="AY162" i="1"/>
  <c r="AD162" i="1"/>
  <c r="AZ161" i="1"/>
  <c r="AY161" i="1"/>
  <c r="AD161" i="1"/>
  <c r="AZ160" i="1"/>
  <c r="AY160" i="1"/>
  <c r="AD160" i="1"/>
  <c r="AZ159" i="1"/>
  <c r="AY159" i="1"/>
  <c r="AD159" i="1"/>
  <c r="AZ158" i="1"/>
  <c r="AY158" i="1"/>
  <c r="AD158" i="1"/>
  <c r="AZ157" i="1"/>
  <c r="AY157" i="1"/>
  <c r="AD157" i="1"/>
  <c r="AZ156" i="1"/>
  <c r="AY156" i="1"/>
  <c r="AD156" i="1"/>
  <c r="AZ155" i="1"/>
  <c r="AY155" i="1"/>
  <c r="AD155" i="1"/>
  <c r="AZ154" i="1"/>
  <c r="AY154" i="1"/>
  <c r="AD154" i="1"/>
  <c r="AZ153" i="1"/>
  <c r="AY153" i="1"/>
  <c r="AD153" i="1"/>
  <c r="AZ152" i="1"/>
  <c r="AY152" i="1"/>
  <c r="AD152" i="1"/>
  <c r="AZ151" i="1"/>
  <c r="AY151" i="1"/>
  <c r="AD151" i="1"/>
  <c r="AZ150" i="1"/>
  <c r="AY150" i="1"/>
  <c r="AD150" i="1"/>
  <c r="AZ149" i="1"/>
  <c r="AY149" i="1"/>
  <c r="AD149" i="1"/>
  <c r="AZ148" i="1"/>
  <c r="AY148" i="1"/>
  <c r="AD148" i="1"/>
  <c r="AZ147" i="1"/>
  <c r="AY147" i="1"/>
  <c r="AD147" i="1"/>
  <c r="AZ146" i="1"/>
  <c r="AY146" i="1"/>
  <c r="AD146" i="1"/>
  <c r="AZ145" i="1"/>
  <c r="AY145" i="1"/>
  <c r="AD145" i="1"/>
  <c r="AZ144" i="1"/>
  <c r="AY144" i="1"/>
  <c r="AD144" i="1"/>
  <c r="AZ143" i="1"/>
  <c r="AY143" i="1"/>
  <c r="AD143" i="1"/>
  <c r="AZ142" i="1"/>
  <c r="AY142" i="1"/>
  <c r="AD142" i="1"/>
  <c r="AZ141" i="1"/>
  <c r="AY141" i="1"/>
  <c r="AD141" i="1"/>
  <c r="AZ140" i="1"/>
  <c r="AY140" i="1"/>
  <c r="AD140" i="1"/>
  <c r="AZ139" i="1"/>
  <c r="AY139" i="1"/>
  <c r="AD139" i="1"/>
  <c r="AZ138" i="1"/>
  <c r="AY138" i="1"/>
  <c r="AD138" i="1"/>
  <c r="AZ137" i="1"/>
  <c r="AY137" i="1"/>
  <c r="AD137" i="1"/>
  <c r="AZ136" i="1"/>
  <c r="AY136" i="1"/>
  <c r="AD136" i="1"/>
  <c r="AZ135" i="1"/>
  <c r="AY135" i="1"/>
  <c r="AD135" i="1"/>
  <c r="AZ134" i="1"/>
  <c r="AY134" i="1"/>
  <c r="AD134" i="1"/>
  <c r="AZ133" i="1"/>
  <c r="AY133" i="1"/>
  <c r="AD133" i="1"/>
  <c r="AZ132" i="1"/>
  <c r="AY132" i="1"/>
  <c r="AD132" i="1"/>
  <c r="AZ131" i="1"/>
  <c r="AY131" i="1"/>
  <c r="AD131" i="1"/>
  <c r="AZ130" i="1"/>
  <c r="AY130" i="1"/>
  <c r="AD130" i="1"/>
  <c r="AZ129" i="1"/>
  <c r="AY129" i="1"/>
  <c r="AD129" i="1"/>
  <c r="AZ128" i="1"/>
  <c r="AY128" i="1"/>
  <c r="AD128" i="1"/>
  <c r="AZ127" i="1"/>
  <c r="AY127" i="1"/>
  <c r="AD127" i="1"/>
  <c r="AZ126" i="1"/>
  <c r="AY126" i="1"/>
  <c r="AD126" i="1"/>
  <c r="AZ125" i="1"/>
  <c r="AY125" i="1"/>
  <c r="AD125" i="1"/>
  <c r="AZ124" i="1"/>
  <c r="AY124" i="1"/>
  <c r="AD124" i="1"/>
  <c r="AZ123" i="1"/>
  <c r="AY123" i="1"/>
  <c r="AD123" i="1"/>
  <c r="AZ122" i="1"/>
  <c r="AY122" i="1"/>
  <c r="AD122" i="1"/>
  <c r="AZ121" i="1"/>
  <c r="AY121" i="1"/>
  <c r="AD121" i="1"/>
  <c r="AZ120" i="1"/>
  <c r="AY120" i="1"/>
  <c r="AD120" i="1"/>
  <c r="AZ119" i="1"/>
  <c r="AY119" i="1"/>
  <c r="AD119" i="1"/>
  <c r="AZ118" i="1"/>
  <c r="AY118" i="1"/>
  <c r="AD118" i="1"/>
  <c r="AZ117" i="1"/>
  <c r="AY117" i="1"/>
  <c r="AD117" i="1"/>
  <c r="AZ116" i="1"/>
  <c r="AY116" i="1"/>
  <c r="AD116" i="1"/>
  <c r="AZ115" i="1"/>
  <c r="AY115" i="1"/>
  <c r="AD115" i="1"/>
  <c r="AZ114" i="1"/>
  <c r="AY114" i="1"/>
  <c r="AD114" i="1"/>
  <c r="AZ113" i="1"/>
  <c r="AY113" i="1"/>
  <c r="AD113" i="1"/>
  <c r="AZ112" i="1"/>
  <c r="AY112" i="1"/>
  <c r="AD112" i="1"/>
  <c r="AZ111" i="1"/>
  <c r="AY111" i="1"/>
  <c r="AD111" i="1"/>
  <c r="AZ110" i="1"/>
  <c r="AY110" i="1"/>
  <c r="AD110" i="1"/>
  <c r="AZ109" i="1"/>
  <c r="AY109" i="1"/>
  <c r="AD109" i="1"/>
  <c r="AZ108" i="1"/>
  <c r="AY108" i="1"/>
  <c r="AD108" i="1"/>
  <c r="AZ107" i="1"/>
  <c r="AY107" i="1"/>
  <c r="AD107" i="1"/>
  <c r="AZ106" i="1"/>
  <c r="AY106" i="1"/>
  <c r="AD106" i="1"/>
  <c r="AZ105" i="1"/>
  <c r="AY105" i="1"/>
  <c r="AD105" i="1"/>
  <c r="AZ104" i="1"/>
  <c r="AY104" i="1"/>
  <c r="AD104" i="1"/>
  <c r="AZ103" i="1"/>
  <c r="AY103" i="1"/>
  <c r="AD103" i="1"/>
  <c r="AZ102" i="1"/>
  <c r="AY102" i="1"/>
  <c r="AD102" i="1"/>
  <c r="AZ101" i="1"/>
  <c r="AY101" i="1"/>
  <c r="AD101" i="1"/>
  <c r="AZ100" i="1"/>
  <c r="AY100" i="1"/>
  <c r="AD100" i="1"/>
  <c r="AZ99" i="1"/>
  <c r="AY99" i="1"/>
  <c r="AD99" i="1"/>
  <c r="AZ98" i="1"/>
  <c r="AY98" i="1"/>
  <c r="AD98" i="1"/>
  <c r="AZ97" i="1"/>
  <c r="AY97" i="1"/>
  <c r="AD97" i="1"/>
  <c r="AZ96" i="1"/>
  <c r="AY96" i="1"/>
  <c r="AD96" i="1"/>
  <c r="AZ95" i="1"/>
  <c r="AY95" i="1"/>
  <c r="AD95" i="1"/>
  <c r="AZ94" i="1"/>
  <c r="AY94" i="1"/>
  <c r="AD94" i="1"/>
  <c r="AZ93" i="1"/>
  <c r="AY93" i="1"/>
  <c r="AD93" i="1"/>
  <c r="AZ92" i="1"/>
  <c r="AY92" i="1"/>
  <c r="AD92" i="1"/>
  <c r="AZ91" i="1"/>
  <c r="AY91" i="1"/>
  <c r="AD91" i="1"/>
  <c r="AZ90" i="1"/>
  <c r="AY90" i="1"/>
  <c r="AD90" i="1"/>
  <c r="AZ89" i="1"/>
  <c r="AY89" i="1"/>
  <c r="AD89" i="1"/>
  <c r="AZ88" i="1"/>
  <c r="AY88" i="1"/>
  <c r="AD88" i="1"/>
  <c r="AZ87" i="1"/>
  <c r="AY87" i="1"/>
  <c r="AD87" i="1"/>
  <c r="AZ86" i="1"/>
  <c r="AY86" i="1"/>
  <c r="AD86" i="1"/>
  <c r="AZ85" i="1"/>
  <c r="AY85" i="1"/>
  <c r="AD85" i="1"/>
  <c r="AZ84" i="1"/>
  <c r="AY84" i="1"/>
  <c r="AD84" i="1"/>
  <c r="AZ83" i="1"/>
  <c r="AY83" i="1"/>
  <c r="AD83" i="1"/>
  <c r="AZ82" i="1"/>
  <c r="AY82" i="1"/>
  <c r="AD82" i="1"/>
  <c r="AZ81" i="1"/>
  <c r="AY81" i="1"/>
  <c r="AD81" i="1"/>
  <c r="AZ80" i="1"/>
  <c r="AY80" i="1"/>
  <c r="AD80" i="1"/>
  <c r="AZ79" i="1"/>
  <c r="AY79" i="1"/>
  <c r="AD79" i="1"/>
  <c r="AZ78" i="1"/>
  <c r="AY78" i="1"/>
  <c r="AD78" i="1"/>
  <c r="AZ77" i="1"/>
  <c r="AY77" i="1"/>
  <c r="AD77" i="1"/>
  <c r="AZ76" i="1"/>
  <c r="AY76" i="1"/>
  <c r="AD76" i="1"/>
  <c r="AZ54" i="1"/>
  <c r="AY54" i="1"/>
  <c r="AD54" i="1"/>
  <c r="AZ53" i="1"/>
  <c r="AY53" i="1"/>
  <c r="AZ52" i="1"/>
  <c r="AY52" i="1"/>
  <c r="AD52" i="1"/>
  <c r="AZ72" i="1"/>
  <c r="AY72" i="1"/>
  <c r="AD72" i="1"/>
  <c r="AJ72" i="1" s="1"/>
  <c r="AZ71" i="1"/>
  <c r="AY71" i="1"/>
  <c r="AD71" i="1"/>
  <c r="AJ71" i="1" s="1"/>
  <c r="AZ27" i="1"/>
  <c r="AZ30" i="1"/>
  <c r="AZ4" i="1"/>
  <c r="AZ5" i="1"/>
  <c r="AZ6" i="1"/>
  <c r="AZ7" i="1"/>
  <c r="AZ31" i="1"/>
  <c r="AZ33" i="1"/>
  <c r="AZ34" i="1"/>
  <c r="AZ35" i="1"/>
  <c r="AZ41" i="1"/>
  <c r="AZ42" i="1"/>
  <c r="AZ43" i="1"/>
  <c r="AZ44" i="1"/>
  <c r="AZ8" i="1"/>
  <c r="AZ9" i="1"/>
  <c r="AZ10" i="1"/>
  <c r="AZ11" i="1"/>
  <c r="AZ12" i="1"/>
  <c r="AZ45" i="1"/>
  <c r="AZ46" i="1"/>
  <c r="AZ47" i="1"/>
  <c r="AZ48" i="1"/>
  <c r="AZ18" i="1"/>
  <c r="AZ59" i="1"/>
  <c r="AZ60" i="1"/>
  <c r="AZ61" i="1"/>
  <c r="AZ62" i="1"/>
  <c r="AZ63" i="1"/>
  <c r="AZ64" i="1"/>
  <c r="AZ65" i="1"/>
  <c r="AZ66" i="1"/>
  <c r="AZ67" i="1"/>
  <c r="AZ68" i="1"/>
  <c r="AZ69" i="1"/>
  <c r="AZ70" i="1"/>
  <c r="BA9" i="1" l="1"/>
  <c r="BA185" i="1"/>
  <c r="BA189" i="1"/>
  <c r="BA193" i="1"/>
  <c r="BA197" i="1"/>
  <c r="BA201" i="1"/>
  <c r="BA205" i="1"/>
  <c r="BA209" i="1"/>
  <c r="BA213" i="1"/>
  <c r="BA217" i="1"/>
  <c r="BA221" i="1"/>
  <c r="BA225" i="1"/>
  <c r="BA229" i="1"/>
  <c r="BA233" i="1"/>
  <c r="BA237" i="1"/>
  <c r="BA241" i="1"/>
  <c r="BA245" i="1"/>
  <c r="BA249" i="1"/>
  <c r="BA253" i="1"/>
  <c r="BA257" i="1"/>
  <c r="BA261" i="1"/>
  <c r="BA265" i="1"/>
  <c r="BA269" i="1"/>
  <c r="BA273" i="1"/>
  <c r="BA277" i="1"/>
  <c r="BA281" i="1"/>
  <c r="BA285" i="1"/>
  <c r="BA293" i="1"/>
  <c r="BA297" i="1"/>
  <c r="BA301" i="1"/>
  <c r="BA305" i="1"/>
  <c r="BA309" i="1"/>
  <c r="BA317" i="1"/>
  <c r="BA325" i="1"/>
  <c r="BA329" i="1"/>
  <c r="BA333" i="1"/>
  <c r="BA345" i="1"/>
  <c r="BA349" i="1"/>
  <c r="BA353" i="1"/>
  <c r="BA357" i="1"/>
  <c r="BA365" i="1"/>
  <c r="BA369" i="1"/>
  <c r="BA381" i="1"/>
  <c r="BA385" i="1"/>
  <c r="BA389" i="1"/>
  <c r="BA393" i="1"/>
  <c r="BA397" i="1"/>
  <c r="BA401" i="1"/>
  <c r="BA405" i="1"/>
  <c r="BA409" i="1"/>
  <c r="BA413" i="1"/>
  <c r="BA417" i="1"/>
  <c r="BA421" i="1"/>
  <c r="BA429" i="1"/>
  <c r="BA433" i="1"/>
  <c r="BA437" i="1"/>
  <c r="BA441" i="1"/>
  <c r="BA445" i="1"/>
  <c r="BA449" i="1"/>
  <c r="BA453" i="1"/>
  <c r="BA457" i="1"/>
  <c r="BA461" i="1"/>
  <c r="BA465" i="1"/>
  <c r="BA473" i="1"/>
  <c r="BA481" i="1"/>
  <c r="BA489" i="1"/>
  <c r="BA493" i="1"/>
  <c r="BA497" i="1"/>
  <c r="BA501" i="1"/>
  <c r="BA505" i="1"/>
  <c r="BA509" i="1"/>
  <c r="BA513" i="1"/>
  <c r="BA517" i="1"/>
  <c r="BA521" i="1"/>
  <c r="BA67" i="1"/>
  <c r="BA44" i="1"/>
  <c r="BA30" i="1"/>
  <c r="BA4" i="1"/>
  <c r="BA66" i="1"/>
  <c r="BA65" i="1"/>
  <c r="BA48" i="1"/>
  <c r="BA43" i="1"/>
  <c r="BA27" i="1"/>
  <c r="BA6" i="1"/>
  <c r="BA18" i="1"/>
  <c r="BA42" i="1"/>
  <c r="BA53" i="1"/>
  <c r="BA78" i="1"/>
  <c r="BA82" i="1"/>
  <c r="BA86" i="1"/>
  <c r="BA90" i="1"/>
  <c r="BA94" i="1"/>
  <c r="BA98" i="1"/>
  <c r="BA102" i="1"/>
  <c r="BA106" i="1"/>
  <c r="BA110" i="1"/>
  <c r="BA114" i="1"/>
  <c r="BA118" i="1"/>
  <c r="BA122" i="1"/>
  <c r="BA126" i="1"/>
  <c r="BA130" i="1"/>
  <c r="BA134" i="1"/>
  <c r="BA138" i="1"/>
  <c r="BA142" i="1"/>
  <c r="BA146" i="1"/>
  <c r="BA150" i="1"/>
  <c r="BA154" i="1"/>
  <c r="BA158" i="1"/>
  <c r="BA162" i="1"/>
  <c r="BA166" i="1"/>
  <c r="BA170" i="1"/>
  <c r="BA174" i="1"/>
  <c r="BA178" i="1"/>
  <c r="BA182" i="1"/>
  <c r="BA186" i="1"/>
  <c r="BA194" i="1"/>
  <c r="BA202" i="1"/>
  <c r="BA206" i="1"/>
  <c r="BA210" i="1"/>
  <c r="BA218" i="1"/>
  <c r="BA226" i="1"/>
  <c r="BA234" i="1"/>
  <c r="BA238" i="1"/>
  <c r="BA242" i="1"/>
  <c r="BA250" i="1"/>
  <c r="BA254" i="1"/>
  <c r="BA258" i="1"/>
  <c r="BA262" i="1"/>
  <c r="BA266" i="1"/>
  <c r="BA270" i="1"/>
  <c r="BA274" i="1"/>
  <c r="BA278" i="1"/>
  <c r="BA282" i="1"/>
  <c r="BA286" i="1"/>
  <c r="BA294" i="1"/>
  <c r="BA298" i="1"/>
  <c r="BA302" i="1"/>
  <c r="BA306" i="1"/>
  <c r="BA314" i="1"/>
  <c r="BA318" i="1"/>
  <c r="BA322" i="1"/>
  <c r="BA326" i="1"/>
  <c r="BA330" i="1"/>
  <c r="BA334" i="1"/>
  <c r="BA338" i="1"/>
  <c r="BA342" i="1"/>
  <c r="BA346" i="1"/>
  <c r="BA350" i="1"/>
  <c r="BA354" i="1"/>
  <c r="BA358" i="1"/>
  <c r="BA362" i="1"/>
  <c r="BA366" i="1"/>
  <c r="BA370" i="1"/>
  <c r="BA374" i="1"/>
  <c r="BA378" i="1"/>
  <c r="BA382" i="1"/>
  <c r="BA386" i="1"/>
  <c r="BA394" i="1"/>
  <c r="BA398" i="1"/>
  <c r="BA402" i="1"/>
  <c r="BA410" i="1"/>
  <c r="BA418" i="1"/>
  <c r="BA422" i="1"/>
  <c r="BA430" i="1"/>
  <c r="BA434" i="1"/>
  <c r="BA438" i="1"/>
  <c r="BA442" i="1"/>
  <c r="BA446" i="1"/>
  <c r="BA450" i="1"/>
  <c r="BA454" i="1"/>
  <c r="BA458" i="1"/>
  <c r="BA462" i="1"/>
  <c r="BA466" i="1"/>
  <c r="BA474" i="1"/>
  <c r="BA478" i="1"/>
  <c r="BA482" i="1"/>
  <c r="BA490" i="1"/>
  <c r="BA494" i="1"/>
  <c r="BA498" i="1"/>
  <c r="BA502" i="1"/>
  <c r="BA506" i="1"/>
  <c r="BA510" i="1"/>
  <c r="BA514" i="1"/>
  <c r="BA518" i="1"/>
  <c r="BA522" i="1"/>
  <c r="BA8" i="1"/>
  <c r="BA46" i="1"/>
  <c r="BA63" i="1"/>
  <c r="BA41" i="1"/>
  <c r="BA62" i="1"/>
  <c r="BA45" i="1"/>
  <c r="BA35" i="1"/>
  <c r="BA69" i="1"/>
  <c r="BA61" i="1"/>
  <c r="BA12" i="1"/>
  <c r="BA34" i="1"/>
  <c r="BA79" i="1"/>
  <c r="BA83" i="1"/>
  <c r="BA87" i="1"/>
  <c r="BA95" i="1"/>
  <c r="BA103" i="1"/>
  <c r="BA111" i="1"/>
  <c r="BA119" i="1"/>
  <c r="BA127" i="1"/>
  <c r="BA135" i="1"/>
  <c r="BA143" i="1"/>
  <c r="BA155" i="1"/>
  <c r="BA163" i="1"/>
  <c r="BA171" i="1"/>
  <c r="BA179" i="1"/>
  <c r="BA183" i="1"/>
  <c r="BA187" i="1"/>
  <c r="BA191" i="1"/>
  <c r="BA195" i="1"/>
  <c r="BA199" i="1"/>
  <c r="BA203" i="1"/>
  <c r="BA207" i="1"/>
  <c r="BA211" i="1"/>
  <c r="BA215" i="1"/>
  <c r="BA219" i="1"/>
  <c r="BA223" i="1"/>
  <c r="BA227" i="1"/>
  <c r="BA231" i="1"/>
  <c r="BA235" i="1"/>
  <c r="BA239" i="1"/>
  <c r="BA243" i="1"/>
  <c r="BA247" i="1"/>
  <c r="BA251" i="1"/>
  <c r="BA255" i="1"/>
  <c r="BA259" i="1"/>
  <c r="BA263" i="1"/>
  <c r="BA267" i="1"/>
  <c r="BA271" i="1"/>
  <c r="BA275" i="1"/>
  <c r="BA279" i="1"/>
  <c r="BA287" i="1"/>
  <c r="BA291" i="1"/>
  <c r="BA295" i="1"/>
  <c r="BA303" i="1"/>
  <c r="BA307" i="1"/>
  <c r="BA311" i="1"/>
  <c r="BA319" i="1"/>
  <c r="BA323" i="1"/>
  <c r="BA327" i="1"/>
  <c r="BA331" i="1"/>
  <c r="BA335" i="1"/>
  <c r="BA339" i="1"/>
  <c r="BA343" i="1"/>
  <c r="BA347" i="1"/>
  <c r="BA351" i="1"/>
  <c r="BA355" i="1"/>
  <c r="BA359" i="1"/>
  <c r="BA363" i="1"/>
  <c r="BA367" i="1"/>
  <c r="BA371" i="1"/>
  <c r="BA375" i="1"/>
  <c r="BA379" i="1"/>
  <c r="BA383" i="1"/>
  <c r="BA387" i="1"/>
  <c r="BA391" i="1"/>
  <c r="BA395" i="1"/>
  <c r="BA399" i="1"/>
  <c r="BA403" i="1"/>
  <c r="BA407" i="1"/>
  <c r="BA411" i="1"/>
  <c r="BA415" i="1"/>
  <c r="BA419" i="1"/>
  <c r="BA423" i="1"/>
  <c r="BA427" i="1"/>
  <c r="BA431" i="1"/>
  <c r="BA435" i="1"/>
  <c r="BA443" i="1"/>
  <c r="BA447" i="1"/>
  <c r="BA451" i="1"/>
  <c r="BA455" i="1"/>
  <c r="BA459" i="1"/>
  <c r="BA463" i="1"/>
  <c r="BA467" i="1"/>
  <c r="BA471" i="1"/>
  <c r="BA475" i="1"/>
  <c r="BA479" i="1"/>
  <c r="BA483" i="1"/>
  <c r="BA491" i="1"/>
  <c r="BA511" i="1"/>
  <c r="BA515" i="1"/>
  <c r="BA60" i="1"/>
  <c r="BA59" i="1"/>
  <c r="BA10" i="1"/>
  <c r="BA31" i="1"/>
  <c r="BA70" i="1"/>
  <c r="BA7" i="1"/>
  <c r="BA72" i="1"/>
  <c r="BA76" i="1"/>
  <c r="BA80" i="1"/>
  <c r="BA84" i="1"/>
  <c r="BA88" i="1"/>
  <c r="BA92" i="1"/>
  <c r="BA96" i="1"/>
  <c r="BA104" i="1"/>
  <c r="BA108" i="1"/>
  <c r="BA112" i="1"/>
  <c r="BA120" i="1"/>
  <c r="BA124" i="1"/>
  <c r="BA128" i="1"/>
  <c r="BA136" i="1"/>
  <c r="BA144" i="1"/>
  <c r="BA148" i="1"/>
  <c r="BA156" i="1"/>
  <c r="BA164" i="1"/>
  <c r="BA172" i="1"/>
  <c r="BA176" i="1"/>
  <c r="BA180" i="1"/>
  <c r="BA184" i="1"/>
  <c r="BA188" i="1"/>
  <c r="BA192" i="1"/>
  <c r="BA196" i="1"/>
  <c r="BA200" i="1"/>
  <c r="BA204" i="1"/>
  <c r="BA208" i="1"/>
  <c r="BA212" i="1"/>
  <c r="BA216" i="1"/>
  <c r="BA220" i="1"/>
  <c r="BA224" i="1"/>
  <c r="BA228" i="1"/>
  <c r="BA232" i="1"/>
  <c r="BA236" i="1"/>
  <c r="BA240" i="1"/>
  <c r="BA244" i="1"/>
  <c r="BA248" i="1"/>
  <c r="BA252" i="1"/>
  <c r="BA256" i="1"/>
  <c r="BA260" i="1"/>
  <c r="BA264" i="1"/>
  <c r="BA268" i="1"/>
  <c r="BA272" i="1"/>
  <c r="BA276" i="1"/>
  <c r="BA284" i="1"/>
  <c r="BA292" i="1"/>
  <c r="BA300" i="1"/>
  <c r="BA316" i="1"/>
  <c r="BA320" i="1"/>
  <c r="BA324" i="1"/>
  <c r="BA328" i="1"/>
  <c r="BA332" i="1"/>
  <c r="BA336" i="1"/>
  <c r="BA340" i="1"/>
  <c r="BA344" i="1"/>
  <c r="BA348" i="1"/>
  <c r="BA352" i="1"/>
  <c r="BA356" i="1"/>
  <c r="BA360" i="1"/>
  <c r="BA364" i="1"/>
  <c r="BA368" i="1"/>
  <c r="BA372" i="1"/>
  <c r="BA376" i="1"/>
  <c r="BA380" i="1"/>
  <c r="BA388" i="1"/>
  <c r="BA392" i="1"/>
  <c r="BA396" i="1"/>
  <c r="BA400" i="1"/>
  <c r="BA404" i="1"/>
  <c r="BA408" i="1"/>
  <c r="BA412" i="1"/>
  <c r="BA416" i="1"/>
  <c r="BA420" i="1"/>
  <c r="BA424" i="1"/>
  <c r="BA428" i="1"/>
  <c r="BA432" i="1"/>
  <c r="BA436" i="1"/>
  <c r="BA440" i="1"/>
  <c r="BA444" i="1"/>
  <c r="BA448" i="1"/>
  <c r="BA452" i="1"/>
  <c r="BA456" i="1"/>
  <c r="BA460" i="1"/>
  <c r="BA464" i="1"/>
  <c r="BA468" i="1"/>
  <c r="BA476" i="1"/>
  <c r="BA480" i="1"/>
  <c r="BA484" i="1"/>
  <c r="BA488" i="1"/>
  <c r="BA492" i="1"/>
  <c r="BA496" i="1"/>
  <c r="BA500" i="1"/>
  <c r="BA504" i="1"/>
  <c r="BA508" i="1"/>
  <c r="BA512" i="1"/>
  <c r="BA516" i="1"/>
  <c r="BA520" i="1"/>
  <c r="AG7" i="1"/>
  <c r="AG44" i="1"/>
  <c r="AG45" i="1"/>
  <c r="AF66" i="1"/>
  <c r="AG66" i="1"/>
  <c r="AF53" i="1"/>
  <c r="AG53" i="1"/>
  <c r="AF82" i="1"/>
  <c r="AG82" i="1"/>
  <c r="AF90" i="1"/>
  <c r="AG90" i="1"/>
  <c r="AF98" i="1"/>
  <c r="AG98" i="1"/>
  <c r="AF106" i="1"/>
  <c r="AG106" i="1"/>
  <c r="AF114" i="1"/>
  <c r="AG114" i="1"/>
  <c r="AF122" i="1"/>
  <c r="AG122" i="1"/>
  <c r="AF130" i="1"/>
  <c r="AG130" i="1"/>
  <c r="AF138" i="1"/>
  <c r="AG138" i="1"/>
  <c r="AF146" i="1"/>
  <c r="AG146" i="1"/>
  <c r="AF158" i="1"/>
  <c r="AG158" i="1"/>
  <c r="AF166" i="1"/>
  <c r="AG166" i="1"/>
  <c r="AF174" i="1"/>
  <c r="AG174" i="1"/>
  <c r="AF182" i="1"/>
  <c r="AG182" i="1"/>
  <c r="AF190" i="1"/>
  <c r="AG190" i="1"/>
  <c r="AF198" i="1"/>
  <c r="AG198" i="1"/>
  <c r="AF206" i="1"/>
  <c r="AG206" i="1"/>
  <c r="AF214" i="1"/>
  <c r="AG214" i="1"/>
  <c r="AF222" i="1"/>
  <c r="AG222" i="1"/>
  <c r="AF230" i="1"/>
  <c r="AG230" i="1"/>
  <c r="AF238" i="1"/>
  <c r="AG238" i="1"/>
  <c r="AF250" i="1"/>
  <c r="AG250" i="1"/>
  <c r="AF258" i="1"/>
  <c r="AG258" i="1"/>
  <c r="AF266" i="1"/>
  <c r="AG266" i="1"/>
  <c r="AF274" i="1"/>
  <c r="AG274" i="1"/>
  <c r="AF282" i="1"/>
  <c r="AG282" i="1"/>
  <c r="AF290" i="1"/>
  <c r="AG290" i="1"/>
  <c r="AF302" i="1"/>
  <c r="AG302" i="1"/>
  <c r="AF310" i="1"/>
  <c r="AG310" i="1"/>
  <c r="AF318" i="1"/>
  <c r="AG318" i="1"/>
  <c r="AF326" i="1"/>
  <c r="AG326" i="1"/>
  <c r="AF334" i="1"/>
  <c r="AG334" i="1"/>
  <c r="AF342" i="1"/>
  <c r="AG342" i="1"/>
  <c r="AF350" i="1"/>
  <c r="AG350" i="1"/>
  <c r="AF358" i="1"/>
  <c r="AG358" i="1"/>
  <c r="AF366" i="1"/>
  <c r="AG366" i="1"/>
  <c r="AF374" i="1"/>
  <c r="AG374" i="1"/>
  <c r="AF378" i="1"/>
  <c r="AG378" i="1"/>
  <c r="AF390" i="1"/>
  <c r="AG390" i="1"/>
  <c r="AF398" i="1"/>
  <c r="AG398" i="1"/>
  <c r="AF402" i="1"/>
  <c r="AG402" i="1"/>
  <c r="AF414" i="1"/>
  <c r="AG414" i="1"/>
  <c r="AF422" i="1"/>
  <c r="AG422" i="1"/>
  <c r="AF430" i="1"/>
  <c r="AG430" i="1"/>
  <c r="AF438" i="1"/>
  <c r="AG438" i="1"/>
  <c r="AF446" i="1"/>
  <c r="AG446" i="1"/>
  <c r="AF454" i="1"/>
  <c r="AG454" i="1"/>
  <c r="AF462" i="1"/>
  <c r="AG462" i="1"/>
  <c r="AF470" i="1"/>
  <c r="AG470" i="1"/>
  <c r="AF478" i="1"/>
  <c r="AG478" i="1"/>
  <c r="AF486" i="1"/>
  <c r="AG486" i="1"/>
  <c r="AF494" i="1"/>
  <c r="AG494" i="1"/>
  <c r="AF502" i="1"/>
  <c r="AG502" i="1"/>
  <c r="AF522" i="1"/>
  <c r="AG522" i="1"/>
  <c r="AG28" i="1"/>
  <c r="AG5" i="1"/>
  <c r="AF33" i="1"/>
  <c r="AG33" i="1"/>
  <c r="AG42" i="1"/>
  <c r="AG11" i="1"/>
  <c r="AG47" i="1"/>
  <c r="AF60" i="1"/>
  <c r="AG60" i="1"/>
  <c r="AF64" i="1"/>
  <c r="AG64" i="1"/>
  <c r="AF68" i="1"/>
  <c r="AG68" i="1"/>
  <c r="AF72" i="1"/>
  <c r="AG72" i="1"/>
  <c r="AF76" i="1"/>
  <c r="AG76" i="1"/>
  <c r="AF80" i="1"/>
  <c r="AG80" i="1"/>
  <c r="AF84" i="1"/>
  <c r="AG84" i="1"/>
  <c r="AF88" i="1"/>
  <c r="AG88" i="1"/>
  <c r="AF92" i="1"/>
  <c r="AG92" i="1"/>
  <c r="AF96" i="1"/>
  <c r="AG96" i="1"/>
  <c r="AF100" i="1"/>
  <c r="AG100" i="1"/>
  <c r="AF104" i="1"/>
  <c r="AG104" i="1"/>
  <c r="AF108" i="1"/>
  <c r="AG108" i="1"/>
  <c r="AF112" i="1"/>
  <c r="AG112" i="1"/>
  <c r="AF116" i="1"/>
  <c r="AG116" i="1"/>
  <c r="AF120" i="1"/>
  <c r="AG120" i="1"/>
  <c r="AF124" i="1"/>
  <c r="AG124" i="1"/>
  <c r="AF128" i="1"/>
  <c r="AG128" i="1"/>
  <c r="AF132" i="1"/>
  <c r="AG132" i="1"/>
  <c r="AF136" i="1"/>
  <c r="AG136" i="1"/>
  <c r="AF140" i="1"/>
  <c r="AG140" i="1"/>
  <c r="AF144" i="1"/>
  <c r="AG144" i="1"/>
  <c r="AF148" i="1"/>
  <c r="AG148" i="1"/>
  <c r="AF152" i="1"/>
  <c r="AG152" i="1"/>
  <c r="AF156" i="1"/>
  <c r="AG156" i="1"/>
  <c r="AF160" i="1"/>
  <c r="AG160" i="1"/>
  <c r="AF164" i="1"/>
  <c r="AG164" i="1"/>
  <c r="AF168" i="1"/>
  <c r="AG168" i="1"/>
  <c r="AF172" i="1"/>
  <c r="AG172" i="1"/>
  <c r="AF176" i="1"/>
  <c r="AG176" i="1"/>
  <c r="AF180" i="1"/>
  <c r="AG180" i="1"/>
  <c r="AF184" i="1"/>
  <c r="AG184" i="1"/>
  <c r="AF188" i="1"/>
  <c r="AG188" i="1"/>
  <c r="AF192" i="1"/>
  <c r="AG192" i="1"/>
  <c r="AF196" i="1"/>
  <c r="AG196" i="1"/>
  <c r="AF200" i="1"/>
  <c r="AG200" i="1"/>
  <c r="AF204" i="1"/>
  <c r="AG204" i="1"/>
  <c r="AF208" i="1"/>
  <c r="AG208" i="1"/>
  <c r="AF212" i="1"/>
  <c r="AG212" i="1"/>
  <c r="AF216" i="1"/>
  <c r="AG216" i="1"/>
  <c r="AF220" i="1"/>
  <c r="AG220" i="1"/>
  <c r="AF224" i="1"/>
  <c r="AG224" i="1"/>
  <c r="AF228" i="1"/>
  <c r="AG228" i="1"/>
  <c r="AF232" i="1"/>
  <c r="AG232" i="1"/>
  <c r="AF236" i="1"/>
  <c r="AG236" i="1"/>
  <c r="AF240" i="1"/>
  <c r="AG240" i="1"/>
  <c r="AF244" i="1"/>
  <c r="AG244" i="1"/>
  <c r="AF248" i="1"/>
  <c r="AG248" i="1"/>
  <c r="AF252" i="1"/>
  <c r="AG252" i="1"/>
  <c r="AF256" i="1"/>
  <c r="AG256" i="1"/>
  <c r="AF260" i="1"/>
  <c r="AG260" i="1"/>
  <c r="AF264" i="1"/>
  <c r="AG264" i="1"/>
  <c r="AF268" i="1"/>
  <c r="AG268" i="1"/>
  <c r="AF272" i="1"/>
  <c r="AG272" i="1"/>
  <c r="AF276" i="1"/>
  <c r="AG276" i="1"/>
  <c r="AF280" i="1"/>
  <c r="AG280" i="1"/>
  <c r="AF284" i="1"/>
  <c r="AG284" i="1"/>
  <c r="AF288" i="1"/>
  <c r="AG288" i="1"/>
  <c r="AF292" i="1"/>
  <c r="AG292" i="1"/>
  <c r="AF296" i="1"/>
  <c r="AG296" i="1"/>
  <c r="AF300" i="1"/>
  <c r="AG300" i="1"/>
  <c r="AF304" i="1"/>
  <c r="AG304" i="1"/>
  <c r="AF308" i="1"/>
  <c r="AG308" i="1"/>
  <c r="AF312" i="1"/>
  <c r="AG312" i="1"/>
  <c r="AF316" i="1"/>
  <c r="AG316" i="1"/>
  <c r="AF320" i="1"/>
  <c r="AG320" i="1"/>
  <c r="AF324" i="1"/>
  <c r="AG324" i="1"/>
  <c r="AF328" i="1"/>
  <c r="AG328" i="1"/>
  <c r="AF332" i="1"/>
  <c r="AG332" i="1"/>
  <c r="AF336" i="1"/>
  <c r="AG336" i="1"/>
  <c r="AF340" i="1"/>
  <c r="AG340" i="1"/>
  <c r="AF344" i="1"/>
  <c r="AG344" i="1"/>
  <c r="AF348" i="1"/>
  <c r="AG348" i="1"/>
  <c r="AF352" i="1"/>
  <c r="AG352" i="1"/>
  <c r="AF356" i="1"/>
  <c r="AG356" i="1"/>
  <c r="AF360" i="1"/>
  <c r="AG360" i="1"/>
  <c r="AF364" i="1"/>
  <c r="AG364" i="1"/>
  <c r="AF368" i="1"/>
  <c r="AG368" i="1"/>
  <c r="AF372" i="1"/>
  <c r="AG372" i="1"/>
  <c r="AF376" i="1"/>
  <c r="AG376" i="1"/>
  <c r="AF380" i="1"/>
  <c r="AG380" i="1"/>
  <c r="AF384" i="1"/>
  <c r="AG384" i="1"/>
  <c r="AF388" i="1"/>
  <c r="AG388" i="1"/>
  <c r="AF392" i="1"/>
  <c r="AG392" i="1"/>
  <c r="AF396" i="1"/>
  <c r="AG396" i="1"/>
  <c r="AF400" i="1"/>
  <c r="AG400" i="1"/>
  <c r="AF404" i="1"/>
  <c r="AG404" i="1"/>
  <c r="AF408" i="1"/>
  <c r="AG408" i="1"/>
  <c r="AF412" i="1"/>
  <c r="AG412" i="1"/>
  <c r="AF416" i="1"/>
  <c r="AG416" i="1"/>
  <c r="AF420" i="1"/>
  <c r="AG420" i="1"/>
  <c r="AF424" i="1"/>
  <c r="AG424" i="1"/>
  <c r="AF428" i="1"/>
  <c r="AG428" i="1"/>
  <c r="AF432" i="1"/>
  <c r="AG432" i="1"/>
  <c r="AF436" i="1"/>
  <c r="AG436" i="1"/>
  <c r="AF440" i="1"/>
  <c r="AG440" i="1"/>
  <c r="AF444" i="1"/>
  <c r="AG444" i="1"/>
  <c r="AF448" i="1"/>
  <c r="AG448" i="1"/>
  <c r="AF452" i="1"/>
  <c r="AG452" i="1"/>
  <c r="AF456" i="1"/>
  <c r="AG456" i="1"/>
  <c r="AF460" i="1"/>
  <c r="AG460" i="1"/>
  <c r="AF464" i="1"/>
  <c r="AG464" i="1"/>
  <c r="AF468" i="1"/>
  <c r="AG468" i="1"/>
  <c r="AF472" i="1"/>
  <c r="AG472" i="1"/>
  <c r="AF476" i="1"/>
  <c r="AG476" i="1"/>
  <c r="AF480" i="1"/>
  <c r="AG480" i="1"/>
  <c r="AF484" i="1"/>
  <c r="AG484" i="1"/>
  <c r="AF488" i="1"/>
  <c r="AG488" i="1"/>
  <c r="AF492" i="1"/>
  <c r="AG492" i="1"/>
  <c r="AF496" i="1"/>
  <c r="AG496" i="1"/>
  <c r="AF500" i="1"/>
  <c r="AG500" i="1"/>
  <c r="AF504" i="1"/>
  <c r="AG504" i="1"/>
  <c r="AF508" i="1"/>
  <c r="AG508" i="1"/>
  <c r="AF512" i="1"/>
  <c r="AG512" i="1"/>
  <c r="AF516" i="1"/>
  <c r="AG516" i="1"/>
  <c r="AF520" i="1"/>
  <c r="AG520" i="1"/>
  <c r="AF521" i="1"/>
  <c r="AG521" i="1"/>
  <c r="AG6" i="1"/>
  <c r="AG43" i="1"/>
  <c r="AG12" i="1"/>
  <c r="AF69" i="1"/>
  <c r="AG69" i="1"/>
  <c r="AF77" i="1"/>
  <c r="AG77" i="1"/>
  <c r="AF85" i="1"/>
  <c r="AG85" i="1"/>
  <c r="AF93" i="1"/>
  <c r="AG93" i="1"/>
  <c r="AF101" i="1"/>
  <c r="AG101" i="1"/>
  <c r="AF109" i="1"/>
  <c r="AG109" i="1"/>
  <c r="AF117" i="1"/>
  <c r="AG117" i="1"/>
  <c r="AF125" i="1"/>
  <c r="AG125" i="1"/>
  <c r="AF133" i="1"/>
  <c r="AG133" i="1"/>
  <c r="AF145" i="1"/>
  <c r="AG145" i="1"/>
  <c r="AF153" i="1"/>
  <c r="AG153" i="1"/>
  <c r="AF161" i="1"/>
  <c r="AG161" i="1"/>
  <c r="AF165" i="1"/>
  <c r="AG165" i="1"/>
  <c r="AF173" i="1"/>
  <c r="AG173" i="1"/>
  <c r="AF181" i="1"/>
  <c r="AG181" i="1"/>
  <c r="AF189" i="1"/>
  <c r="AG189" i="1"/>
  <c r="AF197" i="1"/>
  <c r="AG197" i="1"/>
  <c r="AF209" i="1"/>
  <c r="AG209" i="1"/>
  <c r="AF213" i="1"/>
  <c r="AG213" i="1"/>
  <c r="AF221" i="1"/>
  <c r="AG221" i="1"/>
  <c r="AF229" i="1"/>
  <c r="AG229" i="1"/>
  <c r="AF241" i="1"/>
  <c r="AG241" i="1"/>
  <c r="AF249" i="1"/>
  <c r="AG249" i="1"/>
  <c r="AF257" i="1"/>
  <c r="AG257" i="1"/>
  <c r="AF265" i="1"/>
  <c r="AG265" i="1"/>
  <c r="AF273" i="1"/>
  <c r="AG273" i="1"/>
  <c r="AF281" i="1"/>
  <c r="AG281" i="1"/>
  <c r="AF289" i="1"/>
  <c r="AG289" i="1"/>
  <c r="AF293" i="1"/>
  <c r="AG293" i="1"/>
  <c r="AF301" i="1"/>
  <c r="AG301" i="1"/>
  <c r="AF309" i="1"/>
  <c r="AG309" i="1"/>
  <c r="AF317" i="1"/>
  <c r="AG317" i="1"/>
  <c r="AF325" i="1"/>
  <c r="AG325" i="1"/>
  <c r="AF333" i="1"/>
  <c r="AG333" i="1"/>
  <c r="AF341" i="1"/>
  <c r="AG341" i="1"/>
  <c r="AF349" i="1"/>
  <c r="AG349" i="1"/>
  <c r="AF361" i="1"/>
  <c r="AG361" i="1"/>
  <c r="AF369" i="1"/>
  <c r="AG369" i="1"/>
  <c r="AF377" i="1"/>
  <c r="AG377" i="1"/>
  <c r="AF385" i="1"/>
  <c r="AG385" i="1"/>
  <c r="AF393" i="1"/>
  <c r="AG393" i="1"/>
  <c r="AF401" i="1"/>
  <c r="AG401" i="1"/>
  <c r="AF409" i="1"/>
  <c r="AG409" i="1"/>
  <c r="AF417" i="1"/>
  <c r="AG417" i="1"/>
  <c r="AF425" i="1"/>
  <c r="AG425" i="1"/>
  <c r="AF433" i="1"/>
  <c r="AG433" i="1"/>
  <c r="AF441" i="1"/>
  <c r="AG441" i="1"/>
  <c r="AF449" i="1"/>
  <c r="AG449" i="1"/>
  <c r="AF457" i="1"/>
  <c r="AG457" i="1"/>
  <c r="AF465" i="1"/>
  <c r="AG465" i="1"/>
  <c r="AF473" i="1"/>
  <c r="AG473" i="1"/>
  <c r="AF481" i="1"/>
  <c r="AG481" i="1"/>
  <c r="AF489" i="1"/>
  <c r="AG489" i="1"/>
  <c r="AF497" i="1"/>
  <c r="AG497" i="1"/>
  <c r="AF505" i="1"/>
  <c r="AG505" i="1"/>
  <c r="AF517" i="1"/>
  <c r="AG517" i="1"/>
  <c r="AG29" i="1"/>
  <c r="AG34" i="1"/>
  <c r="AG9" i="1"/>
  <c r="AG48" i="1"/>
  <c r="AF61" i="1"/>
  <c r="AG61" i="1"/>
  <c r="AF65" i="1"/>
  <c r="AG65" i="1"/>
  <c r="AF52" i="1"/>
  <c r="AG52" i="1"/>
  <c r="AF81" i="1"/>
  <c r="AG81" i="1"/>
  <c r="AF89" i="1"/>
  <c r="AG89" i="1"/>
  <c r="AF97" i="1"/>
  <c r="AG97" i="1"/>
  <c r="AF105" i="1"/>
  <c r="AG105" i="1"/>
  <c r="AF113" i="1"/>
  <c r="AG113" i="1"/>
  <c r="AF121" i="1"/>
  <c r="AG121" i="1"/>
  <c r="AF129" i="1"/>
  <c r="AG129" i="1"/>
  <c r="AF137" i="1"/>
  <c r="AG137" i="1"/>
  <c r="AF141" i="1"/>
  <c r="AG141" i="1"/>
  <c r="AF149" i="1"/>
  <c r="AG149" i="1"/>
  <c r="AF157" i="1"/>
  <c r="AG157" i="1"/>
  <c r="AF169" i="1"/>
  <c r="AG169" i="1"/>
  <c r="AF177" i="1"/>
  <c r="AG177" i="1"/>
  <c r="AF185" i="1"/>
  <c r="AG185" i="1"/>
  <c r="AF193" i="1"/>
  <c r="AG193" i="1"/>
  <c r="AF201" i="1"/>
  <c r="AG201" i="1"/>
  <c r="AF205" i="1"/>
  <c r="AG205" i="1"/>
  <c r="AF217" i="1"/>
  <c r="AG217" i="1"/>
  <c r="AF225" i="1"/>
  <c r="AG225" i="1"/>
  <c r="AF233" i="1"/>
  <c r="AG233" i="1"/>
  <c r="AF237" i="1"/>
  <c r="AG237" i="1"/>
  <c r="AF245" i="1"/>
  <c r="AG245" i="1"/>
  <c r="AF253" i="1"/>
  <c r="AG253" i="1"/>
  <c r="AF261" i="1"/>
  <c r="AG261" i="1"/>
  <c r="AF269" i="1"/>
  <c r="AG269" i="1"/>
  <c r="AF277" i="1"/>
  <c r="AG277" i="1"/>
  <c r="AF285" i="1"/>
  <c r="AG285" i="1"/>
  <c r="AF297" i="1"/>
  <c r="AG297" i="1"/>
  <c r="AF305" i="1"/>
  <c r="AG305" i="1"/>
  <c r="AF313" i="1"/>
  <c r="AG313" i="1"/>
  <c r="AF321" i="1"/>
  <c r="AG321" i="1"/>
  <c r="AF329" i="1"/>
  <c r="AG329" i="1"/>
  <c r="AF337" i="1"/>
  <c r="AG337" i="1"/>
  <c r="AF345" i="1"/>
  <c r="AG345" i="1"/>
  <c r="AF353" i="1"/>
  <c r="AG353" i="1"/>
  <c r="AF357" i="1"/>
  <c r="AG357" i="1"/>
  <c r="AF365" i="1"/>
  <c r="AG365" i="1"/>
  <c r="AF373" i="1"/>
  <c r="AG373" i="1"/>
  <c r="AF381" i="1"/>
  <c r="AG381" i="1"/>
  <c r="AF389" i="1"/>
  <c r="AG389" i="1"/>
  <c r="AF397" i="1"/>
  <c r="AG397" i="1"/>
  <c r="AF405" i="1"/>
  <c r="AG405" i="1"/>
  <c r="AF413" i="1"/>
  <c r="AG413" i="1"/>
  <c r="AF421" i="1"/>
  <c r="AG421" i="1"/>
  <c r="AF429" i="1"/>
  <c r="AG429" i="1"/>
  <c r="AF437" i="1"/>
  <c r="AG437" i="1"/>
  <c r="AF445" i="1"/>
  <c r="AG445" i="1"/>
  <c r="AF453" i="1"/>
  <c r="AG453" i="1"/>
  <c r="AF461" i="1"/>
  <c r="AG461" i="1"/>
  <c r="AF469" i="1"/>
  <c r="AG469" i="1"/>
  <c r="AF477" i="1"/>
  <c r="AG477" i="1"/>
  <c r="AF485" i="1"/>
  <c r="AG485" i="1"/>
  <c r="AF493" i="1"/>
  <c r="AG493" i="1"/>
  <c r="AF501" i="1"/>
  <c r="AG501" i="1"/>
  <c r="AF509" i="1"/>
  <c r="AG509" i="1"/>
  <c r="AF513" i="1"/>
  <c r="AG513" i="1"/>
  <c r="AG30" i="1"/>
  <c r="AF35" i="1"/>
  <c r="AG35" i="1"/>
  <c r="AG18" i="1"/>
  <c r="AF62" i="1"/>
  <c r="AG62" i="1"/>
  <c r="AF70" i="1"/>
  <c r="AG70" i="1"/>
  <c r="AF78" i="1"/>
  <c r="AG78" i="1"/>
  <c r="AF86" i="1"/>
  <c r="AG86" i="1"/>
  <c r="AF94" i="1"/>
  <c r="AG94" i="1"/>
  <c r="AF102" i="1"/>
  <c r="AG102" i="1"/>
  <c r="AF110" i="1"/>
  <c r="AG110" i="1"/>
  <c r="AF118" i="1"/>
  <c r="AG118" i="1"/>
  <c r="AF126" i="1"/>
  <c r="AG126" i="1"/>
  <c r="AF134" i="1"/>
  <c r="AG134" i="1"/>
  <c r="AF142" i="1"/>
  <c r="AG142" i="1"/>
  <c r="AF150" i="1"/>
  <c r="AG150" i="1"/>
  <c r="AF154" i="1"/>
  <c r="AG154" i="1"/>
  <c r="AF162" i="1"/>
  <c r="AG162" i="1"/>
  <c r="AF170" i="1"/>
  <c r="AG170" i="1"/>
  <c r="AF178" i="1"/>
  <c r="AG178" i="1"/>
  <c r="AF186" i="1"/>
  <c r="AG186" i="1"/>
  <c r="AF194" i="1"/>
  <c r="AG194" i="1"/>
  <c r="AF202" i="1"/>
  <c r="AG202" i="1"/>
  <c r="AF210" i="1"/>
  <c r="AG210" i="1"/>
  <c r="AF218" i="1"/>
  <c r="AG218" i="1"/>
  <c r="AF226" i="1"/>
  <c r="AG226" i="1"/>
  <c r="AF234" i="1"/>
  <c r="AG234" i="1"/>
  <c r="AF242" i="1"/>
  <c r="AG242" i="1"/>
  <c r="AF246" i="1"/>
  <c r="AG246" i="1"/>
  <c r="AF254" i="1"/>
  <c r="AG254" i="1"/>
  <c r="AF262" i="1"/>
  <c r="AG262" i="1"/>
  <c r="AF270" i="1"/>
  <c r="AG270" i="1"/>
  <c r="AF278" i="1"/>
  <c r="AG278" i="1"/>
  <c r="AF286" i="1"/>
  <c r="AG286" i="1"/>
  <c r="AF294" i="1"/>
  <c r="AG294" i="1"/>
  <c r="AF298" i="1"/>
  <c r="AG298" i="1"/>
  <c r="AF306" i="1"/>
  <c r="AG306" i="1"/>
  <c r="AF314" i="1"/>
  <c r="AG314" i="1"/>
  <c r="AF322" i="1"/>
  <c r="AG322" i="1"/>
  <c r="AF330" i="1"/>
  <c r="AG330" i="1"/>
  <c r="AF338" i="1"/>
  <c r="AG338" i="1"/>
  <c r="AF346" i="1"/>
  <c r="AG346" i="1"/>
  <c r="AF354" i="1"/>
  <c r="AG354" i="1"/>
  <c r="AF362" i="1"/>
  <c r="AG362" i="1"/>
  <c r="AF370" i="1"/>
  <c r="AG370" i="1"/>
  <c r="AF382" i="1"/>
  <c r="AG382" i="1"/>
  <c r="AF386" i="1"/>
  <c r="AG386" i="1"/>
  <c r="AF394" i="1"/>
  <c r="AG394" i="1"/>
  <c r="AF406" i="1"/>
  <c r="AG406" i="1"/>
  <c r="AF410" i="1"/>
  <c r="AG410" i="1"/>
  <c r="AF418" i="1"/>
  <c r="AG418" i="1"/>
  <c r="AF426" i="1"/>
  <c r="AG426" i="1"/>
  <c r="AF434" i="1"/>
  <c r="AG434" i="1"/>
  <c r="AF442" i="1"/>
  <c r="AG442" i="1"/>
  <c r="AF450" i="1"/>
  <c r="AG450" i="1"/>
  <c r="AF458" i="1"/>
  <c r="AG458" i="1"/>
  <c r="AF466" i="1"/>
  <c r="AG466" i="1"/>
  <c r="AF474" i="1"/>
  <c r="AG474" i="1"/>
  <c r="AF482" i="1"/>
  <c r="AG482" i="1"/>
  <c r="AF490" i="1"/>
  <c r="AG490" i="1"/>
  <c r="AF498" i="1"/>
  <c r="AG498" i="1"/>
  <c r="AF506" i="1"/>
  <c r="AG506" i="1"/>
  <c r="AF510" i="1"/>
  <c r="AG510" i="1"/>
  <c r="AF514" i="1"/>
  <c r="AG514" i="1"/>
  <c r="AF518" i="1"/>
  <c r="AG518" i="1"/>
  <c r="AG27" i="1"/>
  <c r="AG4" i="1"/>
  <c r="AF31" i="1"/>
  <c r="AG31" i="1"/>
  <c r="AG41" i="1"/>
  <c r="AG8" i="1"/>
  <c r="AG10" i="1"/>
  <c r="AG46" i="1"/>
  <c r="AF59" i="1"/>
  <c r="AG59" i="1"/>
  <c r="AF63" i="1"/>
  <c r="AG63" i="1"/>
  <c r="AF67" i="1"/>
  <c r="AG67" i="1"/>
  <c r="AF71" i="1"/>
  <c r="AG71" i="1"/>
  <c r="AG54" i="1"/>
  <c r="AH54" i="1" s="1"/>
  <c r="AF79" i="1"/>
  <c r="AG79" i="1"/>
  <c r="AF83" i="1"/>
  <c r="AG83" i="1"/>
  <c r="AF87" i="1"/>
  <c r="AG87" i="1"/>
  <c r="AF91" i="1"/>
  <c r="AG91" i="1"/>
  <c r="AF95" i="1"/>
  <c r="AG95" i="1"/>
  <c r="AF99" i="1"/>
  <c r="AG99" i="1"/>
  <c r="AF103" i="1"/>
  <c r="AG103" i="1"/>
  <c r="AF107" i="1"/>
  <c r="AG107" i="1"/>
  <c r="AF111" i="1"/>
  <c r="AG111" i="1"/>
  <c r="AF115" i="1"/>
  <c r="AG115" i="1"/>
  <c r="AF119" i="1"/>
  <c r="AG119" i="1"/>
  <c r="AF123" i="1"/>
  <c r="AG123" i="1"/>
  <c r="AF127" i="1"/>
  <c r="AG127" i="1"/>
  <c r="AF131" i="1"/>
  <c r="AG131" i="1"/>
  <c r="AF135" i="1"/>
  <c r="AG135" i="1"/>
  <c r="AF139" i="1"/>
  <c r="AG139" i="1"/>
  <c r="AF143" i="1"/>
  <c r="AG143" i="1"/>
  <c r="AF147" i="1"/>
  <c r="AG147" i="1"/>
  <c r="AF151" i="1"/>
  <c r="AG151" i="1"/>
  <c r="AF155" i="1"/>
  <c r="AG155" i="1"/>
  <c r="AF159" i="1"/>
  <c r="AG159" i="1"/>
  <c r="AF163" i="1"/>
  <c r="AG163" i="1"/>
  <c r="AF167" i="1"/>
  <c r="AG167" i="1"/>
  <c r="AF171" i="1"/>
  <c r="AG171" i="1"/>
  <c r="AF175" i="1"/>
  <c r="AG175" i="1"/>
  <c r="AF179" i="1"/>
  <c r="AG179" i="1"/>
  <c r="AF183" i="1"/>
  <c r="AG183" i="1"/>
  <c r="AF187" i="1"/>
  <c r="AG187" i="1"/>
  <c r="AF191" i="1"/>
  <c r="AG191" i="1"/>
  <c r="AF195" i="1"/>
  <c r="AG195" i="1"/>
  <c r="AF199" i="1"/>
  <c r="AG199" i="1"/>
  <c r="AF203" i="1"/>
  <c r="AG203" i="1"/>
  <c r="AF207" i="1"/>
  <c r="AG207" i="1"/>
  <c r="AF211" i="1"/>
  <c r="AG211" i="1"/>
  <c r="AF215" i="1"/>
  <c r="AG215" i="1"/>
  <c r="AF219" i="1"/>
  <c r="AG219" i="1"/>
  <c r="AF223" i="1"/>
  <c r="AG223" i="1"/>
  <c r="AF227" i="1"/>
  <c r="AG227" i="1"/>
  <c r="AF231" i="1"/>
  <c r="AG231" i="1"/>
  <c r="AF235" i="1"/>
  <c r="AG235" i="1"/>
  <c r="AF239" i="1"/>
  <c r="AG239" i="1"/>
  <c r="AF243" i="1"/>
  <c r="AG243" i="1"/>
  <c r="AF247" i="1"/>
  <c r="AG247" i="1"/>
  <c r="AF251" i="1"/>
  <c r="AG251" i="1"/>
  <c r="AF255" i="1"/>
  <c r="AG255" i="1"/>
  <c r="AF259" i="1"/>
  <c r="AG259" i="1"/>
  <c r="AF263" i="1"/>
  <c r="AG263" i="1"/>
  <c r="AF267" i="1"/>
  <c r="AG267" i="1"/>
  <c r="AF271" i="1"/>
  <c r="AG271" i="1"/>
  <c r="AF275" i="1"/>
  <c r="AG275" i="1"/>
  <c r="AF279" i="1"/>
  <c r="AG279" i="1"/>
  <c r="AF283" i="1"/>
  <c r="AG283" i="1"/>
  <c r="AF287" i="1"/>
  <c r="AG287" i="1"/>
  <c r="AF291" i="1"/>
  <c r="AG291" i="1"/>
  <c r="AF295" i="1"/>
  <c r="AG295" i="1"/>
  <c r="AF299" i="1"/>
  <c r="AG299" i="1"/>
  <c r="AF303" i="1"/>
  <c r="AG303" i="1"/>
  <c r="AF307" i="1"/>
  <c r="AG307" i="1"/>
  <c r="AF311" i="1"/>
  <c r="AG311" i="1"/>
  <c r="AF315" i="1"/>
  <c r="AG315" i="1"/>
  <c r="AF319" i="1"/>
  <c r="AG319" i="1"/>
  <c r="AF323" i="1"/>
  <c r="AG323" i="1"/>
  <c r="AF327" i="1"/>
  <c r="AG327" i="1"/>
  <c r="AF331" i="1"/>
  <c r="AG331" i="1"/>
  <c r="AF335" i="1"/>
  <c r="AG335" i="1"/>
  <c r="AF339" i="1"/>
  <c r="AG339" i="1"/>
  <c r="AF343" i="1"/>
  <c r="AG343" i="1"/>
  <c r="AF347" i="1"/>
  <c r="AG347" i="1"/>
  <c r="AF351" i="1"/>
  <c r="AG351" i="1"/>
  <c r="AF355" i="1"/>
  <c r="AG355" i="1"/>
  <c r="AF359" i="1"/>
  <c r="AG359" i="1"/>
  <c r="AF363" i="1"/>
  <c r="AG363" i="1"/>
  <c r="AF367" i="1"/>
  <c r="AG367" i="1"/>
  <c r="AF371" i="1"/>
  <c r="AG371" i="1"/>
  <c r="AF375" i="1"/>
  <c r="AG375" i="1"/>
  <c r="AF379" i="1"/>
  <c r="AG379" i="1"/>
  <c r="AF383" i="1"/>
  <c r="AG383" i="1"/>
  <c r="AF387" i="1"/>
  <c r="AG387" i="1"/>
  <c r="AF391" i="1"/>
  <c r="AG391" i="1"/>
  <c r="AF395" i="1"/>
  <c r="AG395" i="1"/>
  <c r="AF399" i="1"/>
  <c r="AG399" i="1"/>
  <c r="AF403" i="1"/>
  <c r="AG403" i="1"/>
  <c r="AF407" i="1"/>
  <c r="AG407" i="1"/>
  <c r="AF411" i="1"/>
  <c r="AG411" i="1"/>
  <c r="AF415" i="1"/>
  <c r="AG415" i="1"/>
  <c r="AF419" i="1"/>
  <c r="AG419" i="1"/>
  <c r="AF423" i="1"/>
  <c r="AG423" i="1"/>
  <c r="AF427" i="1"/>
  <c r="AG427" i="1"/>
  <c r="AF431" i="1"/>
  <c r="AG431" i="1"/>
  <c r="AF435" i="1"/>
  <c r="AG435" i="1"/>
  <c r="AF439" i="1"/>
  <c r="AG439" i="1"/>
  <c r="AF443" i="1"/>
  <c r="AG443" i="1"/>
  <c r="AF447" i="1"/>
  <c r="AG447" i="1"/>
  <c r="AF451" i="1"/>
  <c r="AG451" i="1"/>
  <c r="AF455" i="1"/>
  <c r="AG455" i="1"/>
  <c r="AF459" i="1"/>
  <c r="AG459" i="1"/>
  <c r="AF463" i="1"/>
  <c r="AG463" i="1"/>
  <c r="AF467" i="1"/>
  <c r="AG467" i="1"/>
  <c r="AF471" i="1"/>
  <c r="AG471" i="1"/>
  <c r="AF475" i="1"/>
  <c r="AG475" i="1"/>
  <c r="AF479" i="1"/>
  <c r="AG479" i="1"/>
  <c r="AF483" i="1"/>
  <c r="AG483" i="1"/>
  <c r="AF487" i="1"/>
  <c r="AG487" i="1"/>
  <c r="AF491" i="1"/>
  <c r="AG491" i="1"/>
  <c r="AF495" i="1"/>
  <c r="AG495" i="1"/>
  <c r="AF499" i="1"/>
  <c r="AG499" i="1"/>
  <c r="AF503" i="1"/>
  <c r="AG503" i="1"/>
  <c r="AF507" i="1"/>
  <c r="AG507" i="1"/>
  <c r="AF511" i="1"/>
  <c r="AG511" i="1"/>
  <c r="AF515" i="1"/>
  <c r="AG515" i="1"/>
  <c r="AF519" i="1"/>
  <c r="AG519" i="1"/>
  <c r="AF523" i="1"/>
  <c r="AG523" i="1"/>
  <c r="BB64" i="1"/>
  <c r="BA64" i="1"/>
  <c r="BB11" i="1"/>
  <c r="BA11" i="1"/>
  <c r="BB52" i="1"/>
  <c r="BA52" i="1"/>
  <c r="BB77" i="1"/>
  <c r="BA77" i="1"/>
  <c r="BB81" i="1"/>
  <c r="BA81" i="1"/>
  <c r="BB85" i="1"/>
  <c r="BA85" i="1"/>
  <c r="BB89" i="1"/>
  <c r="BA89" i="1"/>
  <c r="BB93" i="1"/>
  <c r="BA93" i="1"/>
  <c r="BB97" i="1"/>
  <c r="BA97" i="1"/>
  <c r="BB101" i="1"/>
  <c r="BA101" i="1"/>
  <c r="BB105" i="1"/>
  <c r="BA105" i="1"/>
  <c r="BB109" i="1"/>
  <c r="BA109" i="1"/>
  <c r="BB113" i="1"/>
  <c r="BA113" i="1"/>
  <c r="BB117" i="1"/>
  <c r="BA117" i="1"/>
  <c r="BB121" i="1"/>
  <c r="BA121" i="1"/>
  <c r="BB125" i="1"/>
  <c r="BA125" i="1"/>
  <c r="BB129" i="1"/>
  <c r="BA129" i="1"/>
  <c r="BB133" i="1"/>
  <c r="BA133" i="1"/>
  <c r="BB137" i="1"/>
  <c r="BA137" i="1"/>
  <c r="BB141" i="1"/>
  <c r="BA141" i="1"/>
  <c r="BB145" i="1"/>
  <c r="BA145" i="1"/>
  <c r="BB149" i="1"/>
  <c r="BA149" i="1"/>
  <c r="BB153" i="1"/>
  <c r="BA153" i="1"/>
  <c r="BB157" i="1"/>
  <c r="BA157" i="1"/>
  <c r="BB161" i="1"/>
  <c r="BA161" i="1"/>
  <c r="BB165" i="1"/>
  <c r="BA165" i="1"/>
  <c r="BB169" i="1"/>
  <c r="BA169" i="1"/>
  <c r="BB173" i="1"/>
  <c r="BA173" i="1"/>
  <c r="BB177" i="1"/>
  <c r="BA177" i="1"/>
  <c r="BB181" i="1"/>
  <c r="BA181" i="1"/>
  <c r="BB198" i="1"/>
  <c r="BA198" i="1"/>
  <c r="BB214" i="1"/>
  <c r="BA214" i="1"/>
  <c r="BB222" i="1"/>
  <c r="BA222" i="1"/>
  <c r="BB230" i="1"/>
  <c r="BA230" i="1"/>
  <c r="BB246" i="1"/>
  <c r="BA246" i="1"/>
  <c r="BB283" i="1"/>
  <c r="BA283" i="1"/>
  <c r="BB296" i="1"/>
  <c r="BA296" i="1"/>
  <c r="BB304" i="1"/>
  <c r="BA304" i="1"/>
  <c r="BB308" i="1"/>
  <c r="BA308" i="1"/>
  <c r="BB313" i="1"/>
  <c r="BA313" i="1"/>
  <c r="BB321" i="1"/>
  <c r="BA321" i="1"/>
  <c r="BB337" i="1"/>
  <c r="BA337" i="1"/>
  <c r="BB341" i="1"/>
  <c r="BA341" i="1"/>
  <c r="BB361" i="1"/>
  <c r="BA361" i="1"/>
  <c r="BB373" i="1"/>
  <c r="BA373" i="1"/>
  <c r="BB377" i="1"/>
  <c r="BA377" i="1"/>
  <c r="BB472" i="1"/>
  <c r="BA472" i="1"/>
  <c r="BB100" i="1"/>
  <c r="BA100" i="1"/>
  <c r="BB116" i="1"/>
  <c r="BA116" i="1"/>
  <c r="BB132" i="1"/>
  <c r="BA132" i="1"/>
  <c r="BB140" i="1"/>
  <c r="BA140" i="1"/>
  <c r="BB152" i="1"/>
  <c r="BA152" i="1"/>
  <c r="BB160" i="1"/>
  <c r="BA160" i="1"/>
  <c r="BB168" i="1"/>
  <c r="BA168" i="1"/>
  <c r="BB290" i="1"/>
  <c r="BA290" i="1"/>
  <c r="BB299" i="1"/>
  <c r="BA299" i="1"/>
  <c r="BB312" i="1"/>
  <c r="BA312" i="1"/>
  <c r="BB384" i="1"/>
  <c r="BA384" i="1"/>
  <c r="BB406" i="1"/>
  <c r="BA406" i="1"/>
  <c r="BB439" i="1"/>
  <c r="BA439" i="1"/>
  <c r="BB487" i="1"/>
  <c r="BA487" i="1"/>
  <c r="BB495" i="1"/>
  <c r="BA495" i="1"/>
  <c r="BB499" i="1"/>
  <c r="BA499" i="1"/>
  <c r="BB503" i="1"/>
  <c r="BA503" i="1"/>
  <c r="BB507" i="1"/>
  <c r="BA507" i="1"/>
  <c r="BB519" i="1"/>
  <c r="BA519" i="1"/>
  <c r="BB523" i="1"/>
  <c r="BA523" i="1"/>
  <c r="BB71" i="1"/>
  <c r="BA71" i="1"/>
  <c r="BB54" i="1"/>
  <c r="BA54" i="1"/>
  <c r="BB91" i="1"/>
  <c r="BA91" i="1"/>
  <c r="BB99" i="1"/>
  <c r="BA99" i="1"/>
  <c r="BB107" i="1"/>
  <c r="BA107" i="1"/>
  <c r="BB115" i="1"/>
  <c r="BA115" i="1"/>
  <c r="BB123" i="1"/>
  <c r="BA123" i="1"/>
  <c r="BB131" i="1"/>
  <c r="BA131" i="1"/>
  <c r="BB139" i="1"/>
  <c r="BA139" i="1"/>
  <c r="BB147" i="1"/>
  <c r="BA147" i="1"/>
  <c r="BB151" i="1"/>
  <c r="BA151" i="1"/>
  <c r="BB159" i="1"/>
  <c r="BA159" i="1"/>
  <c r="BB167" i="1"/>
  <c r="BA167" i="1"/>
  <c r="BB175" i="1"/>
  <c r="BA175" i="1"/>
  <c r="BB289" i="1"/>
  <c r="BA289" i="1"/>
  <c r="BB310" i="1"/>
  <c r="BA310" i="1"/>
  <c r="BB315" i="1"/>
  <c r="BA315" i="1"/>
  <c r="BB414" i="1"/>
  <c r="BA414" i="1"/>
  <c r="BB426" i="1"/>
  <c r="BA426" i="1"/>
  <c r="BB470" i="1"/>
  <c r="BA470" i="1"/>
  <c r="BB486" i="1"/>
  <c r="BA486" i="1"/>
  <c r="BB68" i="1"/>
  <c r="BA68" i="1"/>
  <c r="BB47" i="1"/>
  <c r="BA47" i="1"/>
  <c r="BB33" i="1"/>
  <c r="BA33" i="1"/>
  <c r="BB5" i="1"/>
  <c r="BA5" i="1"/>
  <c r="BB190" i="1"/>
  <c r="BA190" i="1"/>
  <c r="BB280" i="1"/>
  <c r="BA280" i="1"/>
  <c r="BB288" i="1"/>
  <c r="BA288" i="1"/>
  <c r="BB390" i="1"/>
  <c r="BA390" i="1"/>
  <c r="BB425" i="1"/>
  <c r="BA425" i="1"/>
  <c r="BB469" i="1"/>
  <c r="BA469" i="1"/>
  <c r="BB477" i="1"/>
  <c r="BA477" i="1"/>
  <c r="BB485" i="1"/>
  <c r="BA485" i="1"/>
  <c r="BB124" i="1"/>
  <c r="BC124" i="1" s="1"/>
  <c r="BB427" i="1"/>
  <c r="BB184" i="1"/>
  <c r="BC184" i="1" s="1"/>
  <c r="BB411" i="1"/>
  <c r="BB183" i="1"/>
  <c r="BB108" i="1"/>
  <c r="BB258" i="1"/>
  <c r="BB297" i="1"/>
  <c r="BB447" i="1"/>
  <c r="BB508" i="1"/>
  <c r="BB274" i="1"/>
  <c r="BB285" i="1"/>
  <c r="BB490" i="1"/>
  <c r="BB92" i="1"/>
  <c r="BB176" i="1"/>
  <c r="BB210" i="1"/>
  <c r="BB464" i="1"/>
  <c r="BB238" i="1"/>
  <c r="BB266" i="1"/>
  <c r="BB301" i="1"/>
  <c r="BB218" i="1"/>
  <c r="BC218" i="1" s="1"/>
  <c r="BB250" i="1"/>
  <c r="BB306" i="1"/>
  <c r="BB309" i="1"/>
  <c r="BB478" i="1"/>
  <c r="BB79" i="1"/>
  <c r="BB350" i="1"/>
  <c r="BB431" i="1"/>
  <c r="BB281" i="1"/>
  <c r="BB325" i="1"/>
  <c r="BB395" i="1"/>
  <c r="BB398" i="1"/>
  <c r="BB448" i="1"/>
  <c r="BB459" i="1"/>
  <c r="BB483" i="1"/>
  <c r="BB187" i="1"/>
  <c r="BB195" i="1"/>
  <c r="BB202" i="1"/>
  <c r="BB242" i="1"/>
  <c r="BB333" i="1"/>
  <c r="BB334" i="1"/>
  <c r="BB365" i="1"/>
  <c r="BC365" i="1" s="1"/>
  <c r="BB374" i="1"/>
  <c r="BB293" i="1"/>
  <c r="BB515" i="1"/>
  <c r="BB234" i="1"/>
  <c r="BB206" i="1"/>
  <c r="BB223" i="1"/>
  <c r="BB326" i="1"/>
  <c r="BB357" i="1"/>
  <c r="BB369" i="1"/>
  <c r="BB444" i="1"/>
  <c r="BB226" i="1"/>
  <c r="BB314" i="1"/>
  <c r="BB358" i="1"/>
  <c r="BB451" i="1"/>
  <c r="BB330" i="1"/>
  <c r="BB346" i="1"/>
  <c r="BB354" i="1"/>
  <c r="BB491" i="1"/>
  <c r="BB492" i="1"/>
  <c r="BB247" i="1"/>
  <c r="BB255" i="1"/>
  <c r="BB263" i="1"/>
  <c r="BB512" i="1"/>
  <c r="BB103" i="1"/>
  <c r="BB111" i="1"/>
  <c r="BB119" i="1"/>
  <c r="BB127" i="1"/>
  <c r="BB135" i="1"/>
  <c r="BB143" i="1"/>
  <c r="BB215" i="1"/>
  <c r="BB318" i="1"/>
  <c r="BB370" i="1"/>
  <c r="BB385" i="1"/>
  <c r="BB186" i="1"/>
  <c r="BB207" i="1"/>
  <c r="BB239" i="1"/>
  <c r="BB307" i="1"/>
  <c r="BB322" i="1"/>
  <c r="BB342" i="1"/>
  <c r="BB366" i="1"/>
  <c r="BB428" i="1"/>
  <c r="BB435" i="1"/>
  <c r="BB456" i="1"/>
  <c r="BB471" i="1"/>
  <c r="BB271" i="1"/>
  <c r="BB317" i="1"/>
  <c r="BB353" i="1"/>
  <c r="BB407" i="1"/>
  <c r="BB520" i="1"/>
  <c r="BB87" i="1"/>
  <c r="BB95" i="1"/>
  <c r="BB305" i="1"/>
  <c r="BB455" i="1"/>
  <c r="BB72" i="1"/>
  <c r="BB83" i="1"/>
  <c r="BB88" i="1"/>
  <c r="BB96" i="1"/>
  <c r="BB104" i="1"/>
  <c r="BB112" i="1"/>
  <c r="BB120" i="1"/>
  <c r="BB128" i="1"/>
  <c r="BB136" i="1"/>
  <c r="BB144" i="1"/>
  <c r="BB194" i="1"/>
  <c r="BB199" i="1"/>
  <c r="BC199" i="1" s="1"/>
  <c r="BB231" i="1"/>
  <c r="BB254" i="1"/>
  <c r="BB262" i="1"/>
  <c r="BB270" i="1"/>
  <c r="BB282" i="1"/>
  <c r="BB362" i="1"/>
  <c r="BB378" i="1"/>
  <c r="BB381" i="1"/>
  <c r="BB391" i="1"/>
  <c r="BB436" i="1"/>
  <c r="BB291" i="1"/>
  <c r="BB338" i="1"/>
  <c r="BB387" i="1"/>
  <c r="BB403" i="1"/>
  <c r="BB419" i="1"/>
  <c r="BB467" i="1"/>
  <c r="BB191" i="1"/>
  <c r="BB298" i="1"/>
  <c r="BB349" i="1"/>
  <c r="BB440" i="1"/>
  <c r="BB443" i="1"/>
  <c r="BB460" i="1"/>
  <c r="BB463" i="1"/>
  <c r="BB479" i="1"/>
  <c r="BB496" i="1"/>
  <c r="BB504" i="1"/>
  <c r="BB84" i="1"/>
  <c r="BB148" i="1"/>
  <c r="BB155" i="1"/>
  <c r="BC155" i="1" s="1"/>
  <c r="BB156" i="1"/>
  <c r="BB163" i="1"/>
  <c r="BB164" i="1"/>
  <c r="BB171" i="1"/>
  <c r="BB172" i="1"/>
  <c r="BB179" i="1"/>
  <c r="BB180" i="1"/>
  <c r="BB203" i="1"/>
  <c r="BB211" i="1"/>
  <c r="BB219" i="1"/>
  <c r="BB227" i="1"/>
  <c r="BB235" i="1"/>
  <c r="BB243" i="1"/>
  <c r="BB251" i="1"/>
  <c r="BB259" i="1"/>
  <c r="BB267" i="1"/>
  <c r="BB275" i="1"/>
  <c r="BB329" i="1"/>
  <c r="BB345" i="1"/>
  <c r="BB386" i="1"/>
  <c r="BB394" i="1"/>
  <c r="BB399" i="1"/>
  <c r="BB402" i="1"/>
  <c r="BB410" i="1"/>
  <c r="BB415" i="1"/>
  <c r="BB418" i="1"/>
  <c r="BB423" i="1"/>
  <c r="BB432" i="1"/>
  <c r="BB452" i="1"/>
  <c r="BB475" i="1"/>
  <c r="BB511" i="1"/>
  <c r="BB516" i="1"/>
  <c r="BB382" i="1"/>
  <c r="BB500" i="1"/>
  <c r="BB189" i="1"/>
  <c r="BB320" i="1"/>
  <c r="BB323" i="1"/>
  <c r="BB80" i="1"/>
  <c r="BB278" i="1"/>
  <c r="BB521" i="1"/>
  <c r="BB76" i="1"/>
  <c r="BB90" i="1"/>
  <c r="BB94" i="1"/>
  <c r="BB98" i="1"/>
  <c r="BB102" i="1"/>
  <c r="BB106" i="1"/>
  <c r="BB110" i="1"/>
  <c r="BB114" i="1"/>
  <c r="BB118" i="1"/>
  <c r="BB122" i="1"/>
  <c r="BB126" i="1"/>
  <c r="BB130" i="1"/>
  <c r="BB134" i="1"/>
  <c r="BB138" i="1"/>
  <c r="BB142" i="1"/>
  <c r="BB146" i="1"/>
  <c r="BB150" i="1"/>
  <c r="BB154" i="1"/>
  <c r="BB158" i="1"/>
  <c r="BB162" i="1"/>
  <c r="BB166" i="1"/>
  <c r="BB170" i="1"/>
  <c r="BB174" i="1"/>
  <c r="BB178" i="1"/>
  <c r="BB182" i="1"/>
  <c r="BB197" i="1"/>
  <c r="BB205" i="1"/>
  <c r="BB209" i="1"/>
  <c r="BB213" i="1"/>
  <c r="BB217" i="1"/>
  <c r="BB221" i="1"/>
  <c r="BB225" i="1"/>
  <c r="BB229" i="1"/>
  <c r="BB233" i="1"/>
  <c r="BB237" i="1"/>
  <c r="BB241" i="1"/>
  <c r="BB245" i="1"/>
  <c r="BB249" i="1"/>
  <c r="BB253" i="1"/>
  <c r="BB257" i="1"/>
  <c r="BB261" i="1"/>
  <c r="BB265" i="1"/>
  <c r="BB269" i="1"/>
  <c r="BB273" i="1"/>
  <c r="BB277" i="1"/>
  <c r="BB279" i="1"/>
  <c r="BB324" i="1"/>
  <c r="BB352" i="1"/>
  <c r="BB442" i="1"/>
  <c r="BB185" i="1"/>
  <c r="BB201" i="1"/>
  <c r="BB188" i="1"/>
  <c r="BB193" i="1"/>
  <c r="BB286" i="1"/>
  <c r="BB300" i="1"/>
  <c r="BB303" i="1"/>
  <c r="BB356" i="1"/>
  <c r="BB192" i="1"/>
  <c r="BB196" i="1"/>
  <c r="BB200" i="1"/>
  <c r="BB204" i="1"/>
  <c r="BB208" i="1"/>
  <c r="BB212" i="1"/>
  <c r="BB216" i="1"/>
  <c r="BB220" i="1"/>
  <c r="BB224" i="1"/>
  <c r="BB228" i="1"/>
  <c r="BB232" i="1"/>
  <c r="BB236" i="1"/>
  <c r="BB240" i="1"/>
  <c r="BB244" i="1"/>
  <c r="BB248" i="1"/>
  <c r="BB252" i="1"/>
  <c r="BB256" i="1"/>
  <c r="BB260" i="1"/>
  <c r="BB264" i="1"/>
  <c r="BB268" i="1"/>
  <c r="BB272" i="1"/>
  <c r="BB276" i="1"/>
  <c r="BB284" i="1"/>
  <c r="BB287" i="1"/>
  <c r="BB294" i="1"/>
  <c r="BB327" i="1"/>
  <c r="BB340" i="1"/>
  <c r="BB372" i="1"/>
  <c r="BB396" i="1"/>
  <c r="BB292" i="1"/>
  <c r="BB295" i="1"/>
  <c r="BB302" i="1"/>
  <c r="BB311" i="1"/>
  <c r="BB336" i="1"/>
  <c r="BB368" i="1"/>
  <c r="BB404" i="1"/>
  <c r="BB328" i="1"/>
  <c r="BB331" i="1"/>
  <c r="BB344" i="1"/>
  <c r="BB360" i="1"/>
  <c r="BB376" i="1"/>
  <c r="BB388" i="1"/>
  <c r="BB420" i="1"/>
  <c r="BB316" i="1"/>
  <c r="BB319" i="1"/>
  <c r="BB332" i="1"/>
  <c r="BB335" i="1"/>
  <c r="BB348" i="1"/>
  <c r="BB364" i="1"/>
  <c r="BB380" i="1"/>
  <c r="BB412" i="1"/>
  <c r="BB454" i="1"/>
  <c r="BB339" i="1"/>
  <c r="BB343" i="1"/>
  <c r="BB347" i="1"/>
  <c r="BB351" i="1"/>
  <c r="BB355" i="1"/>
  <c r="BB359" i="1"/>
  <c r="BB363" i="1"/>
  <c r="BB367" i="1"/>
  <c r="BB371" i="1"/>
  <c r="BB375" i="1"/>
  <c r="BB379" i="1"/>
  <c r="BB383" i="1"/>
  <c r="BB392" i="1"/>
  <c r="BB400" i="1"/>
  <c r="BB408" i="1"/>
  <c r="BB416" i="1"/>
  <c r="BB458" i="1"/>
  <c r="BB509" i="1"/>
  <c r="BB438" i="1"/>
  <c r="BB389" i="1"/>
  <c r="BB393" i="1"/>
  <c r="BB397" i="1"/>
  <c r="BB401" i="1"/>
  <c r="BB405" i="1"/>
  <c r="BB409" i="1"/>
  <c r="BB413" i="1"/>
  <c r="BB417" i="1"/>
  <c r="BB421" i="1"/>
  <c r="BB430" i="1"/>
  <c r="BB446" i="1"/>
  <c r="BB462" i="1"/>
  <c r="BB493" i="1"/>
  <c r="BB505" i="1"/>
  <c r="BB422" i="1"/>
  <c r="BB434" i="1"/>
  <c r="BB450" i="1"/>
  <c r="BC450" i="1" s="1"/>
  <c r="BB466" i="1"/>
  <c r="BB474" i="1"/>
  <c r="BB429" i="1"/>
  <c r="BB433" i="1"/>
  <c r="BB437" i="1"/>
  <c r="BB441" i="1"/>
  <c r="BB445" i="1"/>
  <c r="BB449" i="1"/>
  <c r="BB453" i="1"/>
  <c r="BB457" i="1"/>
  <c r="BB461" i="1"/>
  <c r="BB465" i="1"/>
  <c r="BB481" i="1"/>
  <c r="BB488" i="1"/>
  <c r="BB424" i="1"/>
  <c r="BB473" i="1"/>
  <c r="BB480" i="1"/>
  <c r="BB482" i="1"/>
  <c r="BB489" i="1"/>
  <c r="BB501" i="1"/>
  <c r="BB517" i="1"/>
  <c r="BB468" i="1"/>
  <c r="BB476" i="1"/>
  <c r="BB484" i="1"/>
  <c r="BB497" i="1"/>
  <c r="BB513" i="1"/>
  <c r="BB494" i="1"/>
  <c r="BB498" i="1"/>
  <c r="BB502" i="1"/>
  <c r="BB506" i="1"/>
  <c r="BB510" i="1"/>
  <c r="BB514" i="1"/>
  <c r="BB518" i="1"/>
  <c r="BB522" i="1"/>
  <c r="BB53" i="1"/>
  <c r="BB78" i="1"/>
  <c r="BB82" i="1"/>
  <c r="BB86" i="1"/>
  <c r="BB69" i="1"/>
  <c r="BB65" i="1"/>
  <c r="BB61" i="1"/>
  <c r="BB48" i="1"/>
  <c r="BB12" i="1"/>
  <c r="BB9" i="1"/>
  <c r="BB43" i="1"/>
  <c r="BB34" i="1"/>
  <c r="BB6" i="1"/>
  <c r="BB60" i="1"/>
  <c r="BB42" i="1"/>
  <c r="BB67" i="1"/>
  <c r="BB63" i="1"/>
  <c r="BB59" i="1"/>
  <c r="BC59" i="1" s="1"/>
  <c r="BB46" i="1"/>
  <c r="BB10" i="1"/>
  <c r="BB8" i="1"/>
  <c r="BB41" i="1"/>
  <c r="BB31" i="1"/>
  <c r="BB4" i="1"/>
  <c r="BB27" i="1"/>
  <c r="BB70" i="1"/>
  <c r="BB66" i="1"/>
  <c r="BB62" i="1"/>
  <c r="BB18" i="1"/>
  <c r="BB45" i="1"/>
  <c r="BB44" i="1"/>
  <c r="BB35" i="1"/>
  <c r="BB7" i="1"/>
  <c r="BB30" i="1"/>
  <c r="AY27" i="1"/>
  <c r="AY28" i="1"/>
  <c r="AY30" i="1"/>
  <c r="AY5" i="1"/>
  <c r="AY6" i="1"/>
  <c r="AY7" i="1"/>
  <c r="AY31" i="1"/>
  <c r="AY33" i="1"/>
  <c r="AY34" i="1"/>
  <c r="AY35" i="1"/>
  <c r="AY41" i="1"/>
  <c r="AY42" i="1"/>
  <c r="AY43" i="1"/>
  <c r="AY44" i="1"/>
  <c r="AY8" i="1"/>
  <c r="AY9" i="1"/>
  <c r="AY10" i="1"/>
  <c r="AY11" i="1"/>
  <c r="AY12" i="1"/>
  <c r="AY45" i="1"/>
  <c r="AY46" i="1"/>
  <c r="AY47" i="1"/>
  <c r="AY48" i="1"/>
  <c r="AY18" i="1"/>
  <c r="AY59" i="1"/>
  <c r="AY60" i="1"/>
  <c r="AY61" i="1"/>
  <c r="AY62" i="1"/>
  <c r="AY63" i="1"/>
  <c r="AY64" i="1"/>
  <c r="AY65" i="1"/>
  <c r="AY66" i="1"/>
  <c r="AY67" i="1"/>
  <c r="AY68" i="1"/>
  <c r="AY69" i="1"/>
  <c r="AY70" i="1"/>
  <c r="BC518" i="1" l="1"/>
  <c r="BC334" i="1"/>
  <c r="BC235" i="1"/>
  <c r="BC506" i="1"/>
  <c r="BD506" i="1" s="1"/>
  <c r="BF506" i="1" s="1"/>
  <c r="BC164" i="1"/>
  <c r="BD164" i="1" s="1"/>
  <c r="BF164" i="1" s="1"/>
  <c r="AH80" i="1"/>
  <c r="AI80" i="1" s="1"/>
  <c r="AN80" i="1" s="1"/>
  <c r="AH130" i="1"/>
  <c r="AH98" i="1"/>
  <c r="AI98" i="1" s="1"/>
  <c r="AN98" i="1" s="1"/>
  <c r="BC463" i="1"/>
  <c r="BD463" i="1" s="1"/>
  <c r="BF463" i="1" s="1"/>
  <c r="BC502" i="1"/>
  <c r="BD502" i="1" s="1"/>
  <c r="BF502" i="1" s="1"/>
  <c r="BC48" i="1"/>
  <c r="BD48" i="1" s="1"/>
  <c r="BF48" i="1" s="1"/>
  <c r="BC67" i="1"/>
  <c r="BC410" i="1"/>
  <c r="BC522" i="1"/>
  <c r="BD522" i="1" s="1"/>
  <c r="BF522" i="1" s="1"/>
  <c r="BC185" i="1"/>
  <c r="BC197" i="1"/>
  <c r="BD197" i="1" s="1"/>
  <c r="BF197" i="1" s="1"/>
  <c r="BC504" i="1"/>
  <c r="BD504" i="1" s="1"/>
  <c r="BF504" i="1" s="1"/>
  <c r="BC281" i="1"/>
  <c r="BD281" i="1" s="1"/>
  <c r="BF281" i="1" s="1"/>
  <c r="BC172" i="1"/>
  <c r="BD172" i="1" s="1"/>
  <c r="BF172" i="1" s="1"/>
  <c r="BC431" i="1"/>
  <c r="BD431" i="1" s="1"/>
  <c r="BF431" i="1" s="1"/>
  <c r="BC354" i="1"/>
  <c r="BC127" i="1"/>
  <c r="BD127" i="1" s="1"/>
  <c r="BF127" i="1" s="1"/>
  <c r="BC386" i="1"/>
  <c r="BD386" i="1" s="1"/>
  <c r="BF386" i="1" s="1"/>
  <c r="AH344" i="1"/>
  <c r="AI344" i="1" s="1"/>
  <c r="AN344" i="1" s="1"/>
  <c r="AH182" i="1"/>
  <c r="AI182" i="1" s="1"/>
  <c r="AN182" i="1" s="1"/>
  <c r="BC285" i="1"/>
  <c r="BD285" i="1" s="1"/>
  <c r="BF285" i="1" s="1"/>
  <c r="AH134" i="1"/>
  <c r="AI134" i="1" s="1"/>
  <c r="AN134" i="1" s="1"/>
  <c r="AH393" i="1"/>
  <c r="AH272" i="1"/>
  <c r="AH256" i="1"/>
  <c r="AI256" i="1" s="1"/>
  <c r="AN256" i="1" s="1"/>
  <c r="BC61" i="1"/>
  <c r="BD61" i="1" s="1"/>
  <c r="BF61" i="1" s="1"/>
  <c r="BC211" i="1"/>
  <c r="BD211" i="1" s="1"/>
  <c r="BF211" i="1" s="1"/>
  <c r="BC258" i="1"/>
  <c r="BD258" i="1" s="1"/>
  <c r="BF258" i="1" s="1"/>
  <c r="BC70" i="1"/>
  <c r="BD70" i="1" s="1"/>
  <c r="BF70" i="1" s="1"/>
  <c r="BC108" i="1"/>
  <c r="BD108" i="1" s="1"/>
  <c r="BF108" i="1" s="1"/>
  <c r="BC193" i="1"/>
  <c r="BD193" i="1" s="1"/>
  <c r="BF193" i="1" s="1"/>
  <c r="BC514" i="1"/>
  <c r="BD514" i="1" s="1"/>
  <c r="BF514" i="1" s="1"/>
  <c r="BC424" i="1"/>
  <c r="BD424" i="1" s="1"/>
  <c r="BF424" i="1" s="1"/>
  <c r="BC423" i="1"/>
  <c r="BD423" i="1" s="1"/>
  <c r="BF423" i="1" s="1"/>
  <c r="BC259" i="1"/>
  <c r="BD259" i="1" s="1"/>
  <c r="BF259" i="1" s="1"/>
  <c r="BC180" i="1"/>
  <c r="BD180" i="1" s="1"/>
  <c r="BF180" i="1" s="1"/>
  <c r="BC492" i="1"/>
  <c r="BD492" i="1" s="1"/>
  <c r="BF492" i="1" s="1"/>
  <c r="BC448" i="1"/>
  <c r="BD448" i="1" s="1"/>
  <c r="BF448" i="1" s="1"/>
  <c r="AH328" i="1"/>
  <c r="BC8" i="1"/>
  <c r="BC427" i="1"/>
  <c r="BD427" i="1" s="1"/>
  <c r="BF427" i="1" s="1"/>
  <c r="BC76" i="1"/>
  <c r="BD76" i="1" s="1"/>
  <c r="BF76" i="1" s="1"/>
  <c r="BC223" i="1"/>
  <c r="BD223" i="1" s="1"/>
  <c r="BF223" i="1" s="1"/>
  <c r="BC171" i="1"/>
  <c r="BD171" i="1" s="1"/>
  <c r="BF171" i="1" s="1"/>
  <c r="BC194" i="1"/>
  <c r="BD194" i="1" s="1"/>
  <c r="BF194" i="1" s="1"/>
  <c r="BC4" i="1"/>
  <c r="BC418" i="1"/>
  <c r="BD418" i="1" s="1"/>
  <c r="BF418" i="1" s="1"/>
  <c r="BC494" i="1"/>
  <c r="BD494" i="1" s="1"/>
  <c r="BF494" i="1" s="1"/>
  <c r="BC411" i="1"/>
  <c r="BD411" i="1" s="1"/>
  <c r="BF411" i="1" s="1"/>
  <c r="BC394" i="1"/>
  <c r="BD394" i="1" s="1"/>
  <c r="BF394" i="1" s="1"/>
  <c r="BC510" i="1"/>
  <c r="BD510" i="1" s="1"/>
  <c r="BF510" i="1" s="1"/>
  <c r="BC42" i="1"/>
  <c r="BD42" i="1" s="1"/>
  <c r="BF42" i="1" s="1"/>
  <c r="AH437" i="1"/>
  <c r="AI437" i="1" s="1"/>
  <c r="AN437" i="1" s="1"/>
  <c r="AH361" i="1"/>
  <c r="AI361" i="1" s="1"/>
  <c r="AN361" i="1" s="1"/>
  <c r="AH400" i="1"/>
  <c r="AH352" i="1"/>
  <c r="AI352" i="1" s="1"/>
  <c r="AN352" i="1" s="1"/>
  <c r="AH304" i="1"/>
  <c r="AI304" i="1" s="1"/>
  <c r="AN304" i="1" s="1"/>
  <c r="AH208" i="1"/>
  <c r="AI208" i="1" s="1"/>
  <c r="AN208" i="1" s="1"/>
  <c r="AH198" i="1"/>
  <c r="AI198" i="1" s="1"/>
  <c r="AN198" i="1" s="1"/>
  <c r="BC498" i="1"/>
  <c r="BD498" i="1" s="1"/>
  <c r="BF498" i="1" s="1"/>
  <c r="BC466" i="1"/>
  <c r="BD466" i="1" s="1"/>
  <c r="BF466" i="1" s="1"/>
  <c r="BC202" i="1"/>
  <c r="BD202" i="1" s="1"/>
  <c r="BF202" i="1" s="1"/>
  <c r="BC41" i="1"/>
  <c r="BC484" i="1"/>
  <c r="BD484" i="1" s="1"/>
  <c r="BF484" i="1" s="1"/>
  <c r="BC490" i="1"/>
  <c r="BD490" i="1" s="1"/>
  <c r="BF490" i="1" s="1"/>
  <c r="BC434" i="1"/>
  <c r="BD434" i="1" s="1"/>
  <c r="BF434" i="1" s="1"/>
  <c r="BC443" i="1"/>
  <c r="BD443" i="1" s="1"/>
  <c r="BF443" i="1" s="1"/>
  <c r="BC187" i="1"/>
  <c r="BD187" i="1" s="1"/>
  <c r="BF187" i="1" s="1"/>
  <c r="BC292" i="1"/>
  <c r="BD292" i="1" s="1"/>
  <c r="BF292" i="1" s="1"/>
  <c r="BC163" i="1"/>
  <c r="BD163" i="1" s="1"/>
  <c r="BF163" i="1" s="1"/>
  <c r="BC250" i="1"/>
  <c r="BD250" i="1" s="1"/>
  <c r="BF250" i="1" s="1"/>
  <c r="BC201" i="1"/>
  <c r="BD201" i="1" s="1"/>
  <c r="BF201" i="1" s="1"/>
  <c r="BC156" i="1"/>
  <c r="BD156" i="1" s="1"/>
  <c r="BF156" i="1" s="1"/>
  <c r="BC274" i="1"/>
  <c r="BD274" i="1" s="1"/>
  <c r="BF274" i="1" s="1"/>
  <c r="BC438" i="1"/>
  <c r="BD438" i="1" s="1"/>
  <c r="BF438" i="1" s="1"/>
  <c r="BC374" i="1"/>
  <c r="BD374" i="1" s="1"/>
  <c r="BF374" i="1" s="1"/>
  <c r="BC395" i="1"/>
  <c r="BD395" i="1" s="1"/>
  <c r="BF395" i="1" s="1"/>
  <c r="BC62" i="1"/>
  <c r="BD62" i="1" s="1"/>
  <c r="BF62" i="1" s="1"/>
  <c r="BC34" i="1"/>
  <c r="BC45" i="1"/>
  <c r="BD45" i="1" s="1"/>
  <c r="BF45" i="1" s="1"/>
  <c r="BC44" i="1"/>
  <c r="BD44" i="1" s="1"/>
  <c r="BF44" i="1" s="1"/>
  <c r="BC476" i="1"/>
  <c r="BC267" i="1"/>
  <c r="BC43" i="1"/>
  <c r="BD43" i="1" s="1"/>
  <c r="BF43" i="1" s="1"/>
  <c r="BC80" i="1"/>
  <c r="BC46" i="1"/>
  <c r="BD46" i="1" s="1"/>
  <c r="BF46" i="1" s="1"/>
  <c r="BC9" i="1"/>
  <c r="BD9" i="1" s="1"/>
  <c r="BF9" i="1" s="1"/>
  <c r="BD518" i="1"/>
  <c r="BF518" i="1" s="1"/>
  <c r="BC251" i="1"/>
  <c r="BC349" i="1"/>
  <c r="BC87" i="1"/>
  <c r="BC346" i="1"/>
  <c r="BC508" i="1"/>
  <c r="BC309" i="1"/>
  <c r="BC10" i="1"/>
  <c r="BD10" i="1" s="1"/>
  <c r="BF10" i="1" s="1"/>
  <c r="BC468" i="1"/>
  <c r="BC454" i="1"/>
  <c r="BC18" i="1"/>
  <c r="BD18" i="1" s="1"/>
  <c r="BF18" i="1" s="1"/>
  <c r="BC12" i="1"/>
  <c r="BD12" i="1" s="1"/>
  <c r="BF12" i="1" s="1"/>
  <c r="BC243" i="1"/>
  <c r="BC330" i="1"/>
  <c r="BD218" i="1"/>
  <c r="BF218" i="1" s="1"/>
  <c r="BC447" i="1"/>
  <c r="BC63" i="1"/>
  <c r="BD63" i="1" s="1"/>
  <c r="BF63" i="1" s="1"/>
  <c r="BC402" i="1"/>
  <c r="BC227" i="1"/>
  <c r="BC148" i="1"/>
  <c r="BC239" i="1"/>
  <c r="BD365" i="1"/>
  <c r="BF365" i="1" s="1"/>
  <c r="BD185" i="1"/>
  <c r="BF185" i="1" s="1"/>
  <c r="BC297" i="1"/>
  <c r="BC473" i="1"/>
  <c r="BD334" i="1"/>
  <c r="BF334" i="1" s="1"/>
  <c r="BC183" i="1"/>
  <c r="BC66" i="1"/>
  <c r="BD66" i="1" s="1"/>
  <c r="BF66" i="1" s="1"/>
  <c r="BC219" i="1"/>
  <c r="BC27" i="1"/>
  <c r="BD27" i="1" s="1"/>
  <c r="BF27" i="1" s="1"/>
  <c r="BC69" i="1"/>
  <c r="BD69" i="1" s="1"/>
  <c r="BF69" i="1" s="1"/>
  <c r="BC203" i="1"/>
  <c r="BC496" i="1"/>
  <c r="BC333" i="1"/>
  <c r="BC30" i="1"/>
  <c r="BD30" i="1" s="1"/>
  <c r="BF30" i="1" s="1"/>
  <c r="BC345" i="1"/>
  <c r="BC242" i="1"/>
  <c r="BD184" i="1"/>
  <c r="BF184" i="1" s="1"/>
  <c r="BC207" i="1"/>
  <c r="BC7" i="1"/>
  <c r="BD7" i="1" s="1"/>
  <c r="BF7" i="1" s="1"/>
  <c r="BC31" i="1"/>
  <c r="BC60" i="1"/>
  <c r="BC311" i="1"/>
  <c r="BC284" i="1"/>
  <c r="BC329" i="1"/>
  <c r="BC179" i="1"/>
  <c r="BC231" i="1"/>
  <c r="BC72" i="1"/>
  <c r="BD235" i="1"/>
  <c r="BF235" i="1" s="1"/>
  <c r="BC84" i="1"/>
  <c r="BC65" i="1"/>
  <c r="BD65" i="1" s="1"/>
  <c r="BF65" i="1" s="1"/>
  <c r="BC35" i="1"/>
  <c r="BD35" i="1" s="1"/>
  <c r="BF35" i="1" s="1"/>
  <c r="BC6" i="1"/>
  <c r="BD6" i="1" s="1"/>
  <c r="BF6" i="1" s="1"/>
  <c r="BD450" i="1"/>
  <c r="BF450" i="1" s="1"/>
  <c r="BC452" i="1"/>
  <c r="BC275" i="1"/>
  <c r="BD199" i="1"/>
  <c r="BF199" i="1" s="1"/>
  <c r="BC215" i="1"/>
  <c r="BC491" i="1"/>
  <c r="BC326" i="1"/>
  <c r="BC195" i="1"/>
  <c r="BD124" i="1"/>
  <c r="BF124" i="1" s="1"/>
  <c r="BD155" i="1"/>
  <c r="BF155" i="1" s="1"/>
  <c r="BC432" i="1"/>
  <c r="BD410" i="1"/>
  <c r="BF410" i="1" s="1"/>
  <c r="BC95" i="1"/>
  <c r="BD354" i="1"/>
  <c r="BF354" i="1" s="1"/>
  <c r="AH102" i="1"/>
  <c r="AI102" i="1" s="1"/>
  <c r="AN102" i="1" s="1"/>
  <c r="AH133" i="1"/>
  <c r="AI133" i="1" s="1"/>
  <c r="AN133" i="1" s="1"/>
  <c r="AH408" i="1"/>
  <c r="AI408" i="1" s="1"/>
  <c r="AN408" i="1" s="1"/>
  <c r="AH192" i="1"/>
  <c r="AI192" i="1" s="1"/>
  <c r="AN192" i="1" s="1"/>
  <c r="AH144" i="1"/>
  <c r="AI144" i="1" s="1"/>
  <c r="AN144" i="1" s="1"/>
  <c r="AH96" i="1"/>
  <c r="AI96" i="1" s="1"/>
  <c r="AN96" i="1" s="1"/>
  <c r="AH318" i="1"/>
  <c r="BC283" i="1"/>
  <c r="AH291" i="1"/>
  <c r="AH147" i="1"/>
  <c r="AH394" i="1"/>
  <c r="AI394" i="1" s="1"/>
  <c r="AN394" i="1" s="1"/>
  <c r="AH513" i="1"/>
  <c r="AH329" i="1"/>
  <c r="AI329" i="1" s="1"/>
  <c r="AN329" i="1" s="1"/>
  <c r="AH440" i="1"/>
  <c r="AI440" i="1" s="1"/>
  <c r="AN440" i="1" s="1"/>
  <c r="AH115" i="1"/>
  <c r="AI115" i="1" s="1"/>
  <c r="AN115" i="1" s="1"/>
  <c r="AH426" i="1"/>
  <c r="AI426" i="1" s="1"/>
  <c r="AN426" i="1" s="1"/>
  <c r="AH150" i="1"/>
  <c r="AH453" i="1"/>
  <c r="AH261" i="1"/>
  <c r="AH456" i="1"/>
  <c r="AH360" i="1"/>
  <c r="AH414" i="1"/>
  <c r="AH214" i="1"/>
  <c r="AI214" i="1" s="1"/>
  <c r="AN214" i="1" s="1"/>
  <c r="AH371" i="1"/>
  <c r="AH179" i="1"/>
  <c r="AI179" i="1" s="1"/>
  <c r="AN179" i="1" s="1"/>
  <c r="AH178" i="1"/>
  <c r="AI178" i="1" s="1"/>
  <c r="AN178" i="1" s="1"/>
  <c r="AH86" i="1"/>
  <c r="AI86" i="1" s="1"/>
  <c r="AN86" i="1" s="1"/>
  <c r="AH297" i="1"/>
  <c r="AI297" i="1" s="1"/>
  <c r="AN297" i="1" s="1"/>
  <c r="AH409" i="1"/>
  <c r="AI409" i="1" s="1"/>
  <c r="AN409" i="1" s="1"/>
  <c r="AH424" i="1"/>
  <c r="AH184" i="1"/>
  <c r="BC299" i="1"/>
  <c r="BC214" i="1"/>
  <c r="BC141" i="1"/>
  <c r="AH296" i="1"/>
  <c r="AI296" i="1" s="1"/>
  <c r="AN296" i="1" s="1"/>
  <c r="AH282" i="1"/>
  <c r="BC47" i="1"/>
  <c r="BD47" i="1" s="1"/>
  <c r="BF47" i="1" s="1"/>
  <c r="BC377" i="1"/>
  <c r="BC133" i="1"/>
  <c r="AH507" i="1"/>
  <c r="AH251" i="1"/>
  <c r="AI251" i="1" s="1"/>
  <c r="AN251" i="1" s="1"/>
  <c r="AH155" i="1"/>
  <c r="AI155" i="1" s="1"/>
  <c r="AN155" i="1" s="1"/>
  <c r="AH139" i="1"/>
  <c r="AH123" i="1"/>
  <c r="AH107" i="1"/>
  <c r="AH469" i="1"/>
  <c r="AH245" i="1"/>
  <c r="AI245" i="1" s="1"/>
  <c r="AN245" i="1" s="1"/>
  <c r="AH185" i="1"/>
  <c r="AH89" i="1"/>
  <c r="AI89" i="1" s="1"/>
  <c r="AN89" i="1" s="1"/>
  <c r="AH165" i="1"/>
  <c r="AI165" i="1" s="1"/>
  <c r="AN165" i="1" s="1"/>
  <c r="AH512" i="1"/>
  <c r="AH480" i="1"/>
  <c r="BC5" i="1"/>
  <c r="AH350" i="1"/>
  <c r="AH230" i="1"/>
  <c r="AH166" i="1"/>
  <c r="AH146" i="1"/>
  <c r="AH114" i="1"/>
  <c r="AH82" i="1"/>
  <c r="AI82" i="1" s="1"/>
  <c r="AN82" i="1" s="1"/>
  <c r="AH225" i="1"/>
  <c r="AH205" i="1"/>
  <c r="AH141" i="1"/>
  <c r="AI141" i="1" s="1"/>
  <c r="AN141" i="1" s="1"/>
  <c r="AH93" i="1"/>
  <c r="AI93" i="1" s="1"/>
  <c r="AN93" i="1" s="1"/>
  <c r="AH484" i="1"/>
  <c r="AH468" i="1"/>
  <c r="AH420" i="1"/>
  <c r="AH356" i="1"/>
  <c r="AH486" i="1"/>
  <c r="AI486" i="1" s="1"/>
  <c r="AN486" i="1" s="1"/>
  <c r="AH422" i="1"/>
  <c r="AH90" i="1"/>
  <c r="AI53" i="1"/>
  <c r="AN53" i="1" s="1"/>
  <c r="AH475" i="1"/>
  <c r="AH467" i="1"/>
  <c r="AH435" i="1"/>
  <c r="AI435" i="1" s="1"/>
  <c r="AN435" i="1" s="1"/>
  <c r="AH427" i="1"/>
  <c r="AH419" i="1"/>
  <c r="AH411" i="1"/>
  <c r="AH403" i="1"/>
  <c r="AH395" i="1"/>
  <c r="AH387" i="1"/>
  <c r="AH339" i="1"/>
  <c r="AH323" i="1"/>
  <c r="AH315" i="1"/>
  <c r="BC477" i="1"/>
  <c r="BC116" i="1"/>
  <c r="BC89" i="1"/>
  <c r="AH519" i="1"/>
  <c r="AI519" i="1" s="1"/>
  <c r="AN519" i="1" s="1"/>
  <c r="AH495" i="1"/>
  <c r="AI495" i="1" s="1"/>
  <c r="AN495" i="1" s="1"/>
  <c r="AH327" i="1"/>
  <c r="AH255" i="1"/>
  <c r="AH223" i="1"/>
  <c r="AH191" i="1"/>
  <c r="AH151" i="1"/>
  <c r="AH143" i="1"/>
  <c r="AH79" i="1"/>
  <c r="AI79" i="1" s="1"/>
  <c r="AN79" i="1" s="1"/>
  <c r="AH278" i="1"/>
  <c r="AH170" i="1"/>
  <c r="AH126" i="1"/>
  <c r="AI126" i="1" s="1"/>
  <c r="AN126" i="1" s="1"/>
  <c r="AH305" i="1"/>
  <c r="AH269" i="1"/>
  <c r="AI269" i="1" s="1"/>
  <c r="AN269" i="1" s="1"/>
  <c r="AH129" i="1"/>
  <c r="AH164" i="1"/>
  <c r="AH140" i="1"/>
  <c r="AH502" i="1"/>
  <c r="AH267" i="1"/>
  <c r="AH259" i="1"/>
  <c r="AH243" i="1"/>
  <c r="AH235" i="1"/>
  <c r="AH227" i="1"/>
  <c r="AH219" i="1"/>
  <c r="AI219" i="1" s="1"/>
  <c r="AN219" i="1" s="1"/>
  <c r="AH203" i="1"/>
  <c r="AI203" i="1" s="1"/>
  <c r="AN203" i="1" s="1"/>
  <c r="AH195" i="1"/>
  <c r="AH187" i="1"/>
  <c r="AH171" i="1"/>
  <c r="AH163" i="1"/>
  <c r="AH131" i="1"/>
  <c r="AH99" i="1"/>
  <c r="AH91" i="1"/>
  <c r="AH458" i="1"/>
  <c r="AH298" i="1"/>
  <c r="AH286" i="1"/>
  <c r="AI286" i="1" s="1"/>
  <c r="AN286" i="1" s="1"/>
  <c r="AH162" i="1"/>
  <c r="AI162" i="1" s="1"/>
  <c r="AN162" i="1" s="1"/>
  <c r="AH118" i="1"/>
  <c r="AH485" i="1"/>
  <c r="AH345" i="1"/>
  <c r="AH313" i="1"/>
  <c r="AH277" i="1"/>
  <c r="AH201" i="1"/>
  <c r="AH169" i="1"/>
  <c r="AH137" i="1"/>
  <c r="AH489" i="1"/>
  <c r="AH473" i="1"/>
  <c r="AH425" i="1"/>
  <c r="AI425" i="1" s="1"/>
  <c r="AN425" i="1" s="1"/>
  <c r="AH377" i="1"/>
  <c r="AI377" i="1" s="1"/>
  <c r="AN377" i="1" s="1"/>
  <c r="AH309" i="1"/>
  <c r="AI309" i="1" s="1"/>
  <c r="AN309" i="1" s="1"/>
  <c r="AH293" i="1"/>
  <c r="AH229" i="1"/>
  <c r="AH213" i="1"/>
  <c r="AH117" i="1"/>
  <c r="AH101" i="1"/>
  <c r="AH504" i="1"/>
  <c r="AH488" i="1"/>
  <c r="AI488" i="1" s="1"/>
  <c r="AN488" i="1" s="1"/>
  <c r="AH472" i="1"/>
  <c r="AH464" i="1"/>
  <c r="AH432" i="1"/>
  <c r="AI432" i="1" s="1"/>
  <c r="AN432" i="1" s="1"/>
  <c r="AH416" i="1"/>
  <c r="AH384" i="1"/>
  <c r="AH320" i="1"/>
  <c r="AH280" i="1"/>
  <c r="AH240" i="1"/>
  <c r="AH224" i="1"/>
  <c r="AH216" i="1"/>
  <c r="AH168" i="1"/>
  <c r="AH160" i="1"/>
  <c r="AH152" i="1"/>
  <c r="AH128" i="1"/>
  <c r="AH112" i="1"/>
  <c r="AI112" i="1" s="1"/>
  <c r="AN112" i="1" s="1"/>
  <c r="AH88" i="1"/>
  <c r="AI88" i="1" s="1"/>
  <c r="AN88" i="1" s="1"/>
  <c r="AH494" i="1"/>
  <c r="AH446" i="1"/>
  <c r="AH398" i="1"/>
  <c r="BC190" i="1"/>
  <c r="BC33" i="1"/>
  <c r="BC68" i="1"/>
  <c r="BC175" i="1"/>
  <c r="BC131" i="1"/>
  <c r="BC115" i="1"/>
  <c r="BC54" i="1"/>
  <c r="BC499" i="1"/>
  <c r="BC487" i="1"/>
  <c r="BC140" i="1"/>
  <c r="BC472" i="1"/>
  <c r="BC373" i="1"/>
  <c r="BC321" i="1"/>
  <c r="BC308" i="1"/>
  <c r="BC161" i="1"/>
  <c r="BC153" i="1"/>
  <c r="BC145" i="1"/>
  <c r="BC137" i="1"/>
  <c r="BC129" i="1"/>
  <c r="BC81" i="1"/>
  <c r="BC64" i="1"/>
  <c r="BD64" i="1" s="1"/>
  <c r="BF64" i="1" s="1"/>
  <c r="AH487" i="1"/>
  <c r="AH471" i="1"/>
  <c r="AH455" i="1"/>
  <c r="AH447" i="1"/>
  <c r="AH431" i="1"/>
  <c r="AH423" i="1"/>
  <c r="AH415" i="1"/>
  <c r="AH407" i="1"/>
  <c r="AH391" i="1"/>
  <c r="AH383" i="1"/>
  <c r="AH375" i="1"/>
  <c r="AH367" i="1"/>
  <c r="AH359" i="1"/>
  <c r="AH351" i="1"/>
  <c r="AH319" i="1"/>
  <c r="AH311" i="1"/>
  <c r="AH303" i="1"/>
  <c r="AH295" i="1"/>
  <c r="AH287" i="1"/>
  <c r="AH271" i="1"/>
  <c r="AH263" i="1"/>
  <c r="AH231" i="1"/>
  <c r="AH207" i="1"/>
  <c r="AH199" i="1"/>
  <c r="AI199" i="1" s="1"/>
  <c r="AN199" i="1" s="1"/>
  <c r="AH183" i="1"/>
  <c r="AH175" i="1"/>
  <c r="AH167" i="1"/>
  <c r="AH159" i="1"/>
  <c r="AH127" i="1"/>
  <c r="AH111" i="1"/>
  <c r="AH95" i="1"/>
  <c r="AH87" i="1"/>
  <c r="AI87" i="1" s="1"/>
  <c r="AN87" i="1" s="1"/>
  <c r="AH71" i="1"/>
  <c r="AH518" i="1"/>
  <c r="AH510" i="1"/>
  <c r="AH434" i="1"/>
  <c r="AH406" i="1"/>
  <c r="AH386" i="1"/>
  <c r="AH370" i="1"/>
  <c r="AH294" i="1"/>
  <c r="AH262" i="1"/>
  <c r="AH246" i="1"/>
  <c r="AH154" i="1"/>
  <c r="AH142" i="1"/>
  <c r="AH110" i="1"/>
  <c r="AH94" i="1"/>
  <c r="AH78" i="1"/>
  <c r="AH429" i="1"/>
  <c r="AI429" i="1" s="1"/>
  <c r="AN429" i="1" s="1"/>
  <c r="AH353" i="1"/>
  <c r="AH337" i="1"/>
  <c r="AH321" i="1"/>
  <c r="AH285" i="1"/>
  <c r="AH253" i="1"/>
  <c r="AH237" i="1"/>
  <c r="AH193" i="1"/>
  <c r="AH177" i="1"/>
  <c r="AI177" i="1" s="1"/>
  <c r="AN177" i="1" s="1"/>
  <c r="AH157" i="1"/>
  <c r="AH97" i="1"/>
  <c r="AH497" i="1"/>
  <c r="AH481" i="1"/>
  <c r="AH465" i="1"/>
  <c r="AH449" i="1"/>
  <c r="AH433" i="1"/>
  <c r="AH385" i="1"/>
  <c r="AH369" i="1"/>
  <c r="AH301" i="1"/>
  <c r="AH289" i="1"/>
  <c r="AH273" i="1"/>
  <c r="AH257" i="1"/>
  <c r="AH241" i="1"/>
  <c r="AH221" i="1"/>
  <c r="AH209" i="1"/>
  <c r="AI209" i="1" s="1"/>
  <c r="AN209" i="1" s="1"/>
  <c r="AH189" i="1"/>
  <c r="AI189" i="1" s="1"/>
  <c r="AN189" i="1" s="1"/>
  <c r="AH173" i="1"/>
  <c r="AH161" i="1"/>
  <c r="AH145" i="1"/>
  <c r="AH125" i="1"/>
  <c r="AH109" i="1"/>
  <c r="AH508" i="1"/>
  <c r="AH476" i="1"/>
  <c r="AI476" i="1" s="1"/>
  <c r="AN476" i="1" s="1"/>
  <c r="AH460" i="1"/>
  <c r="AH452" i="1"/>
  <c r="AH436" i="1"/>
  <c r="AH428" i="1"/>
  <c r="AH380" i="1"/>
  <c r="AH364" i="1"/>
  <c r="AH324" i="1"/>
  <c r="AH308" i="1"/>
  <c r="AH300" i="1"/>
  <c r="AH292" i="1"/>
  <c r="AH284" i="1"/>
  <c r="AH268" i="1"/>
  <c r="AH252" i="1"/>
  <c r="BC290" i="1"/>
  <c r="AH220" i="1"/>
  <c r="AH196" i="1"/>
  <c r="AI196" i="1" s="1"/>
  <c r="AN196" i="1" s="1"/>
  <c r="AH180" i="1"/>
  <c r="AH172" i="1"/>
  <c r="AH156" i="1"/>
  <c r="AH132" i="1"/>
  <c r="AH124" i="1"/>
  <c r="AH116" i="1"/>
  <c r="AH108" i="1"/>
  <c r="AH100" i="1"/>
  <c r="AH84" i="1"/>
  <c r="AH76" i="1"/>
  <c r="AH438" i="1"/>
  <c r="AH390" i="1"/>
  <c r="AH358" i="1"/>
  <c r="AH342" i="1"/>
  <c r="AH326" i="1"/>
  <c r="AH174" i="1"/>
  <c r="AH158" i="1"/>
  <c r="AH138" i="1"/>
  <c r="AH122" i="1"/>
  <c r="AH106" i="1"/>
  <c r="BC425" i="1"/>
  <c r="BC288" i="1"/>
  <c r="BC414" i="1"/>
  <c r="BC310" i="1"/>
  <c r="BC147" i="1"/>
  <c r="BC99" i="1"/>
  <c r="BC523" i="1"/>
  <c r="BC507" i="1"/>
  <c r="BC406" i="1"/>
  <c r="BC312" i="1"/>
  <c r="BC341" i="1"/>
  <c r="BC296" i="1"/>
  <c r="BC246" i="1"/>
  <c r="BC222" i="1"/>
  <c r="BC198" i="1"/>
  <c r="BC177" i="1"/>
  <c r="BC169" i="1"/>
  <c r="BC121" i="1"/>
  <c r="BC113" i="1"/>
  <c r="BC105" i="1"/>
  <c r="BC97" i="1"/>
  <c r="BC52" i="1"/>
  <c r="BC485" i="1"/>
  <c r="BC469" i="1"/>
  <c r="BC280" i="1"/>
  <c r="BC315" i="1"/>
  <c r="BC139" i="1"/>
  <c r="BC107" i="1"/>
  <c r="BC71" i="1"/>
  <c r="BC168" i="1"/>
  <c r="BC132" i="1"/>
  <c r="BC100" i="1"/>
  <c r="BC313" i="1"/>
  <c r="BC304" i="1"/>
  <c r="BC181" i="1"/>
  <c r="BC173" i="1"/>
  <c r="BC165" i="1"/>
  <c r="BC157" i="1"/>
  <c r="BC149" i="1"/>
  <c r="BC125" i="1"/>
  <c r="BC117" i="1"/>
  <c r="BC109" i="1"/>
  <c r="BC101" i="1"/>
  <c r="BC390" i="1"/>
  <c r="BC486" i="1"/>
  <c r="BC426" i="1"/>
  <c r="BC289" i="1"/>
  <c r="BC167" i="1"/>
  <c r="BC151" i="1"/>
  <c r="BC123" i="1"/>
  <c r="BC91" i="1"/>
  <c r="BC519" i="1"/>
  <c r="BC503" i="1"/>
  <c r="BC495" i="1"/>
  <c r="BC439" i="1"/>
  <c r="BC384" i="1"/>
  <c r="BC152" i="1"/>
  <c r="BC361" i="1"/>
  <c r="BC337" i="1"/>
  <c r="BC230" i="1"/>
  <c r="BC93" i="1"/>
  <c r="BC85" i="1"/>
  <c r="BC77" i="1"/>
  <c r="BC11" i="1"/>
  <c r="BC470" i="1"/>
  <c r="BC159" i="1"/>
  <c r="BC160" i="1"/>
  <c r="AH522" i="1"/>
  <c r="AH506" i="1"/>
  <c r="AH523" i="1"/>
  <c r="AH479" i="1"/>
  <c r="AH83" i="1"/>
  <c r="AH288" i="1"/>
  <c r="AH470" i="1"/>
  <c r="AH451" i="1"/>
  <c r="AH430" i="1"/>
  <c r="AI430" i="1" s="1"/>
  <c r="AN430" i="1" s="1"/>
  <c r="AH463" i="1"/>
  <c r="AH442" i="1"/>
  <c r="AH421" i="1"/>
  <c r="AH417" i="1"/>
  <c r="AH405" i="1"/>
  <c r="AH401" i="1"/>
  <c r="AH389" i="1"/>
  <c r="AH454" i="1"/>
  <c r="AI454" i="1" s="1"/>
  <c r="AN454" i="1" s="1"/>
  <c r="AH439" i="1"/>
  <c r="AH515" i="1"/>
  <c r="AH372" i="1"/>
  <c r="AH499" i="1"/>
  <c r="AH466" i="1"/>
  <c r="AH307" i="1"/>
  <c r="AH316" i="1"/>
  <c r="AH348" i="1"/>
  <c r="AH336" i="1"/>
  <c r="AH194" i="1"/>
  <c r="AH443" i="1"/>
  <c r="AH135" i="1"/>
  <c r="AH119" i="1"/>
  <c r="AH103" i="1"/>
  <c r="AH190" i="1"/>
  <c r="AH412" i="1"/>
  <c r="AH228" i="1"/>
  <c r="AH509" i="1"/>
  <c r="AH457" i="1"/>
  <c r="AH516" i="1"/>
  <c r="AH335" i="1"/>
  <c r="AH248" i="1"/>
  <c r="AH239" i="1"/>
  <c r="AH200" i="1"/>
  <c r="AH482" i="1"/>
  <c r="AH404" i="1"/>
  <c r="AH399" i="1"/>
  <c r="AH374" i="1"/>
  <c r="AH363" i="1"/>
  <c r="AH247" i="1"/>
  <c r="AH232" i="1"/>
  <c r="AH362" i="1"/>
  <c r="AH136" i="1"/>
  <c r="AH104" i="1"/>
  <c r="AH444" i="1"/>
  <c r="AH492" i="1"/>
  <c r="AH354" i="1"/>
  <c r="AH211" i="1"/>
  <c r="AH149" i="1"/>
  <c r="AH92" i="1"/>
  <c r="AH501" i="1"/>
  <c r="AH378" i="1"/>
  <c r="AH338" i="1"/>
  <c r="AH274" i="1"/>
  <c r="AH258" i="1"/>
  <c r="AH242" i="1"/>
  <c r="AH226" i="1"/>
  <c r="AH210" i="1"/>
  <c r="AH461" i="1"/>
  <c r="AH500" i="1"/>
  <c r="AH317" i="1"/>
  <c r="AH85" i="1"/>
  <c r="AH483" i="1"/>
  <c r="AH355" i="1"/>
  <c r="AH283" i="1"/>
  <c r="AH493" i="1"/>
  <c r="AH418" i="1"/>
  <c r="AH402" i="1"/>
  <c r="AH334" i="1"/>
  <c r="AH314" i="1"/>
  <c r="AH290" i="1"/>
  <c r="AH270" i="1"/>
  <c r="AH254" i="1"/>
  <c r="AH238" i="1"/>
  <c r="AH222" i="1"/>
  <c r="AH206" i="1"/>
  <c r="AH520" i="1"/>
  <c r="AH496" i="1"/>
  <c r="AH448" i="1"/>
  <c r="AH312" i="1"/>
  <c r="AH148" i="1"/>
  <c r="AH441" i="1"/>
  <c r="AH181" i="1"/>
  <c r="AH105" i="1"/>
  <c r="AH81" i="1"/>
  <c r="AH365" i="1"/>
  <c r="AH349" i="1"/>
  <c r="AH333" i="1"/>
  <c r="AH77" i="1"/>
  <c r="AH514" i="1"/>
  <c r="AH498" i="1"/>
  <c r="AH491" i="1"/>
  <c r="AH511" i="1"/>
  <c r="AH478" i="1"/>
  <c r="AH462" i="1"/>
  <c r="AH413" i="1"/>
  <c r="AH397" i="1"/>
  <c r="AH459" i="1"/>
  <c r="AH450" i="1"/>
  <c r="AH477" i="1"/>
  <c r="AH340" i="1"/>
  <c r="AH368" i="1"/>
  <c r="AH376" i="1"/>
  <c r="AH197" i="1"/>
  <c r="AH332" i="1"/>
  <c r="AH279" i="1"/>
  <c r="AI279" i="1" s="1"/>
  <c r="AN279" i="1" s="1"/>
  <c r="AH265" i="1"/>
  <c r="AH249" i="1"/>
  <c r="AH233" i="1"/>
  <c r="AH217" i="1"/>
  <c r="AH379" i="1"/>
  <c r="AH343" i="1"/>
  <c r="AH396" i="1"/>
  <c r="AH244" i="1"/>
  <c r="AH212" i="1"/>
  <c r="AH388" i="1"/>
  <c r="AH264" i="1"/>
  <c r="AH382" i="1"/>
  <c r="AH215" i="1"/>
  <c r="AH120" i="1"/>
  <c r="AH366" i="1"/>
  <c r="AH310" i="1"/>
  <c r="AH445" i="1"/>
  <c r="AH392" i="1"/>
  <c r="AH121" i="1"/>
  <c r="AH521" i="1"/>
  <c r="AH176" i="1"/>
  <c r="AH113" i="1"/>
  <c r="AH72" i="1"/>
  <c r="AH302" i="1"/>
  <c r="AH347" i="1"/>
  <c r="AH299" i="1"/>
  <c r="AH490" i="1"/>
  <c r="AH346" i="1"/>
  <c r="AH330" i="1"/>
  <c r="AH306" i="1"/>
  <c r="AH266" i="1"/>
  <c r="AH250" i="1"/>
  <c r="AH234" i="1"/>
  <c r="AH218" i="1"/>
  <c r="AH202" i="1"/>
  <c r="AH188" i="1"/>
  <c r="AH381" i="1"/>
  <c r="AH276" i="1"/>
  <c r="AH260" i="1"/>
  <c r="AH236" i="1"/>
  <c r="AI236" i="1" s="1"/>
  <c r="AN236" i="1" s="1"/>
  <c r="AH204" i="1"/>
  <c r="AH503" i="1"/>
  <c r="AH331" i="1"/>
  <c r="AH474" i="1"/>
  <c r="AH410" i="1"/>
  <c r="AH322" i="1"/>
  <c r="AH186" i="1"/>
  <c r="AH505" i="1"/>
  <c r="AH517" i="1"/>
  <c r="AH325" i="1"/>
  <c r="AH153" i="1"/>
  <c r="AH373" i="1"/>
  <c r="AH357" i="1"/>
  <c r="AH341" i="1"/>
  <c r="AH281" i="1"/>
  <c r="AH275" i="1"/>
  <c r="AI130" i="1"/>
  <c r="AN130" i="1" s="1"/>
  <c r="AI400" i="1"/>
  <c r="AN400" i="1" s="1"/>
  <c r="AI480" i="1"/>
  <c r="AN480" i="1" s="1"/>
  <c r="BC303" i="1"/>
  <c r="BC331" i="1"/>
  <c r="BC515" i="1"/>
  <c r="BC266" i="1"/>
  <c r="BC383" i="1"/>
  <c r="BC375" i="1"/>
  <c r="BC367" i="1"/>
  <c r="BC359" i="1"/>
  <c r="BC351" i="1"/>
  <c r="BC343" i="1"/>
  <c r="BC398" i="1"/>
  <c r="BC478" i="1"/>
  <c r="BC421" i="1"/>
  <c r="BC226" i="1"/>
  <c r="BC517" i="1"/>
  <c r="BC437" i="1"/>
  <c r="BC119" i="1"/>
  <c r="BC249" i="1"/>
  <c r="BC440" i="1"/>
  <c r="BC435" i="1"/>
  <c r="BC314" i="1"/>
  <c r="BC83" i="1"/>
  <c r="BC464" i="1"/>
  <c r="BC210" i="1"/>
  <c r="BC92" i="1"/>
  <c r="BC413" i="1"/>
  <c r="BC397" i="1"/>
  <c r="BC221" i="1"/>
  <c r="AI272" i="1"/>
  <c r="AN272" i="1" s="1"/>
  <c r="BC357" i="1"/>
  <c r="BC409" i="1"/>
  <c r="BC408" i="1"/>
  <c r="BC205" i="1"/>
  <c r="BC511" i="1"/>
  <c r="BC387" i="1"/>
  <c r="BC381" i="1"/>
  <c r="BC143" i="1"/>
  <c r="BC206" i="1"/>
  <c r="BC459" i="1"/>
  <c r="BC325" i="1"/>
  <c r="BC350" i="1"/>
  <c r="BC79" i="1"/>
  <c r="BC301" i="1"/>
  <c r="BC238" i="1"/>
  <c r="BC176" i="1"/>
  <c r="BC120" i="1"/>
  <c r="BC103" i="1"/>
  <c r="BC405" i="1"/>
  <c r="BC460" i="1"/>
  <c r="BC88" i="1"/>
  <c r="BC455" i="1"/>
  <c r="BC328" i="1"/>
  <c r="BC302" i="1"/>
  <c r="BC237" i="1"/>
  <c r="BC320" i="1"/>
  <c r="BC453" i="1"/>
  <c r="BC505" i="1"/>
  <c r="BC436" i="1"/>
  <c r="BC456" i="1"/>
  <c r="BC385" i="1"/>
  <c r="BC318" i="1"/>
  <c r="BC451" i="1"/>
  <c r="BC474" i="1"/>
  <c r="BC380" i="1"/>
  <c r="BC388" i="1"/>
  <c r="BC376" i="1"/>
  <c r="BC404" i="1"/>
  <c r="BC178" i="1"/>
  <c r="BC442" i="1"/>
  <c r="BC273" i="1"/>
  <c r="BC261" i="1"/>
  <c r="BC253" i="1"/>
  <c r="BC118" i="1"/>
  <c r="BC110" i="1"/>
  <c r="BC479" i="1"/>
  <c r="BC128" i="1"/>
  <c r="BC96" i="1"/>
  <c r="BC307" i="1"/>
  <c r="BC111" i="1"/>
  <c r="BC263" i="1"/>
  <c r="BC247" i="1"/>
  <c r="BC358" i="1"/>
  <c r="BC234" i="1"/>
  <c r="BC489" i="1"/>
  <c r="BC417" i="1"/>
  <c r="BC412" i="1"/>
  <c r="BC188" i="1"/>
  <c r="BC277" i="1"/>
  <c r="BC265" i="1"/>
  <c r="BC245" i="1"/>
  <c r="BC521" i="1"/>
  <c r="BC254" i="1"/>
  <c r="BC483" i="1"/>
  <c r="AI419" i="1"/>
  <c r="AN419" i="1" s="1"/>
  <c r="BC306" i="1"/>
  <c r="BC497" i="1"/>
  <c r="BC482" i="1"/>
  <c r="BC488" i="1"/>
  <c r="BC336" i="1"/>
  <c r="BC150" i="1"/>
  <c r="BC257" i="1"/>
  <c r="BC467" i="1"/>
  <c r="BC364" i="1"/>
  <c r="BC340" i="1"/>
  <c r="BC279" i="1"/>
  <c r="AI507" i="1"/>
  <c r="AN507" i="1" s="1"/>
  <c r="BC444" i="1"/>
  <c r="BC293" i="1"/>
  <c r="BC86" i="1"/>
  <c r="BC465" i="1"/>
  <c r="BC457" i="1"/>
  <c r="BC449" i="1"/>
  <c r="BC441" i="1"/>
  <c r="BC433" i="1"/>
  <c r="BC391" i="1"/>
  <c r="BC322" i="1"/>
  <c r="BC512" i="1"/>
  <c r="BC294" i="1"/>
  <c r="BC189" i="1"/>
  <c r="BC217" i="1"/>
  <c r="BC146" i="1"/>
  <c r="BC138" i="1"/>
  <c r="BC130" i="1"/>
  <c r="BC122" i="1"/>
  <c r="BC114" i="1"/>
  <c r="BC106" i="1"/>
  <c r="BC98" i="1"/>
  <c r="BC90" i="1"/>
  <c r="BC191" i="1"/>
  <c r="BC419" i="1"/>
  <c r="BC407" i="1"/>
  <c r="BC353" i="1"/>
  <c r="BC471" i="1"/>
  <c r="BC461" i="1"/>
  <c r="BC445" i="1"/>
  <c r="BC429" i="1"/>
  <c r="BC389" i="1"/>
  <c r="BC348" i="1"/>
  <c r="BC360" i="1"/>
  <c r="BC396" i="1"/>
  <c r="BC286" i="1"/>
  <c r="BC170" i="1"/>
  <c r="BC162" i="1"/>
  <c r="BC154" i="1"/>
  <c r="BC324" i="1"/>
  <c r="BC269" i="1"/>
  <c r="BC241" i="1"/>
  <c r="BC233" i="1"/>
  <c r="BC298" i="1"/>
  <c r="BC403" i="1"/>
  <c r="BC291" i="1"/>
  <c r="BC378" i="1"/>
  <c r="BC362" i="1"/>
  <c r="BC282" i="1"/>
  <c r="BC520" i="1"/>
  <c r="BC135" i="1"/>
  <c r="BC369" i="1"/>
  <c r="BC401" i="1"/>
  <c r="BC393" i="1"/>
  <c r="BC316" i="1"/>
  <c r="BC300" i="1"/>
  <c r="BC323" i="1"/>
  <c r="BC500" i="1"/>
  <c r="BC186" i="1"/>
  <c r="BC368" i="1"/>
  <c r="BC513" i="1"/>
  <c r="BC462" i="1"/>
  <c r="BC430" i="1"/>
  <c r="AI393" i="1"/>
  <c r="AN393" i="1" s="1"/>
  <c r="BC475" i="1"/>
  <c r="BC144" i="1"/>
  <c r="BC112" i="1"/>
  <c r="BC428" i="1"/>
  <c r="BC366" i="1"/>
  <c r="BC342" i="1"/>
  <c r="BC255" i="1"/>
  <c r="BC82" i="1"/>
  <c r="BC78" i="1"/>
  <c r="BC501" i="1"/>
  <c r="BC481" i="1"/>
  <c r="BC480" i="1"/>
  <c r="BC422" i="1"/>
  <c r="BC493" i="1"/>
  <c r="BC446" i="1"/>
  <c r="BC458" i="1"/>
  <c r="BC379" i="1"/>
  <c r="BC371" i="1"/>
  <c r="BC363" i="1"/>
  <c r="BC355" i="1"/>
  <c r="BC347" i="1"/>
  <c r="BC339" i="1"/>
  <c r="AI328" i="1"/>
  <c r="AN328" i="1" s="1"/>
  <c r="BC319" i="1"/>
  <c r="BC344" i="1"/>
  <c r="BC295" i="1"/>
  <c r="BC327" i="1"/>
  <c r="BC287" i="1"/>
  <c r="BC356" i="1"/>
  <c r="BC182" i="1"/>
  <c r="BC174" i="1"/>
  <c r="BC166" i="1"/>
  <c r="BC158" i="1"/>
  <c r="BC352" i="1"/>
  <c r="BC229" i="1"/>
  <c r="BC225" i="1"/>
  <c r="BC382" i="1"/>
  <c r="BC415" i="1"/>
  <c r="BC399" i="1"/>
  <c r="BC338" i="1"/>
  <c r="BC270" i="1"/>
  <c r="BC136" i="1"/>
  <c r="BC104" i="1"/>
  <c r="BC305" i="1"/>
  <c r="BC271" i="1"/>
  <c r="BC370" i="1"/>
  <c r="BC509" i="1"/>
  <c r="BC392" i="1"/>
  <c r="BC332" i="1"/>
  <c r="BC420" i="1"/>
  <c r="AI380" i="1"/>
  <c r="AN380" i="1" s="1"/>
  <c r="BC372" i="1"/>
  <c r="BC213" i="1"/>
  <c r="BC209" i="1"/>
  <c r="BC278" i="1"/>
  <c r="BC142" i="1"/>
  <c r="BC134" i="1"/>
  <c r="BC126" i="1"/>
  <c r="BC102" i="1"/>
  <c r="BC94" i="1"/>
  <c r="BC516" i="1"/>
  <c r="BC262" i="1"/>
  <c r="BC317" i="1"/>
  <c r="BD59" i="1"/>
  <c r="BF59" i="1" s="1"/>
  <c r="BC53" i="1"/>
  <c r="BD8" i="1"/>
  <c r="BF8" i="1" s="1"/>
  <c r="BC400" i="1"/>
  <c r="BC335" i="1"/>
  <c r="BC276" i="1"/>
  <c r="BC268" i="1"/>
  <c r="BC260" i="1"/>
  <c r="BC252" i="1"/>
  <c r="BC244" i="1"/>
  <c r="BC236" i="1"/>
  <c r="BC228" i="1"/>
  <c r="BC220" i="1"/>
  <c r="BC212" i="1"/>
  <c r="BC204" i="1"/>
  <c r="BC196" i="1"/>
  <c r="BC416" i="1"/>
  <c r="BC272" i="1"/>
  <c r="BC264" i="1"/>
  <c r="BC256" i="1"/>
  <c r="BC248" i="1"/>
  <c r="BC240" i="1"/>
  <c r="BC232" i="1"/>
  <c r="BC224" i="1"/>
  <c r="BC216" i="1"/>
  <c r="BC208" i="1"/>
  <c r="BC200" i="1"/>
  <c r="BC192" i="1"/>
  <c r="BD67" i="1"/>
  <c r="BF67" i="1" s="1"/>
  <c r="BD41" i="1"/>
  <c r="BF41" i="1" s="1"/>
  <c r="BD34" i="1"/>
  <c r="BF34" i="1" s="1"/>
  <c r="BD5" i="1" l="1"/>
  <c r="BF5" i="1" s="1"/>
  <c r="BD317" i="1"/>
  <c r="BF317" i="1" s="1"/>
  <c r="BD128" i="1"/>
  <c r="BF128" i="1" s="1"/>
  <c r="AI402" i="1"/>
  <c r="AN402" i="1" s="1"/>
  <c r="BD304" i="1"/>
  <c r="BF304" i="1" s="1"/>
  <c r="AI237" i="1"/>
  <c r="AN237" i="1" s="1"/>
  <c r="AI216" i="1"/>
  <c r="AN216" i="1" s="1"/>
  <c r="AI339" i="1"/>
  <c r="AN339" i="1" s="1"/>
  <c r="BD491" i="1"/>
  <c r="BF491" i="1" s="1"/>
  <c r="BD454" i="1"/>
  <c r="BF454" i="1" s="1"/>
  <c r="BD346" i="1"/>
  <c r="BF346" i="1" s="1"/>
  <c r="BD248" i="1"/>
  <c r="BF248" i="1" s="1"/>
  <c r="BD244" i="1"/>
  <c r="BF244" i="1" s="1"/>
  <c r="BD262" i="1"/>
  <c r="BF262" i="1" s="1"/>
  <c r="BD372" i="1"/>
  <c r="BF372" i="1" s="1"/>
  <c r="BD270" i="1"/>
  <c r="BF270" i="1" s="1"/>
  <c r="BD166" i="1"/>
  <c r="BF166" i="1" s="1"/>
  <c r="BD347" i="1"/>
  <c r="BF347" i="1" s="1"/>
  <c r="BD481" i="1"/>
  <c r="BF481" i="1" s="1"/>
  <c r="BD300" i="1"/>
  <c r="BF300" i="1" s="1"/>
  <c r="BD291" i="1"/>
  <c r="BF291" i="1" s="1"/>
  <c r="BD360" i="1"/>
  <c r="BF360" i="1" s="1"/>
  <c r="BD98" i="1"/>
  <c r="BF98" i="1" s="1"/>
  <c r="BD391" i="1"/>
  <c r="BF391" i="1" s="1"/>
  <c r="BD340" i="1"/>
  <c r="BF340" i="1" s="1"/>
  <c r="BD483" i="1"/>
  <c r="BF483" i="1" s="1"/>
  <c r="BD489" i="1"/>
  <c r="BF489" i="1" s="1"/>
  <c r="BD479" i="1"/>
  <c r="BF479" i="1" s="1"/>
  <c r="BD380" i="1"/>
  <c r="BF380" i="1" s="1"/>
  <c r="BD103" i="1"/>
  <c r="BF103" i="1" s="1"/>
  <c r="BD143" i="1"/>
  <c r="BF143" i="1" s="1"/>
  <c r="BD221" i="1"/>
  <c r="BF221" i="1" s="1"/>
  <c r="BD249" i="1"/>
  <c r="BF249" i="1" s="1"/>
  <c r="BD351" i="1"/>
  <c r="BF351" i="1" s="1"/>
  <c r="AI291" i="1"/>
  <c r="AN291" i="1" s="1"/>
  <c r="AI275" i="1"/>
  <c r="AN275" i="1" s="1"/>
  <c r="AI410" i="1"/>
  <c r="AN410" i="1" s="1"/>
  <c r="AI234" i="1"/>
  <c r="AN234" i="1" s="1"/>
  <c r="AI176" i="1"/>
  <c r="AN176" i="1" s="1"/>
  <c r="AI212" i="1"/>
  <c r="AN212" i="1" s="1"/>
  <c r="AI376" i="1"/>
  <c r="AN376" i="1" s="1"/>
  <c r="AI498" i="1"/>
  <c r="AN498" i="1" s="1"/>
  <c r="AI448" i="1"/>
  <c r="AN448" i="1" s="1"/>
  <c r="AI418" i="1"/>
  <c r="AN418" i="1" s="1"/>
  <c r="AI258" i="1"/>
  <c r="AN258" i="1" s="1"/>
  <c r="AI136" i="1"/>
  <c r="AN136" i="1" s="1"/>
  <c r="AI335" i="1"/>
  <c r="AN335" i="1" s="1"/>
  <c r="AI336" i="1"/>
  <c r="AN336" i="1" s="1"/>
  <c r="AI405" i="1"/>
  <c r="AN405" i="1" s="1"/>
  <c r="AI506" i="1"/>
  <c r="AN506" i="1" s="1"/>
  <c r="BD152" i="1"/>
  <c r="BF152" i="1" s="1"/>
  <c r="BD486" i="1"/>
  <c r="BF486" i="1" s="1"/>
  <c r="BD313" i="1"/>
  <c r="BF313" i="1" s="1"/>
  <c r="BD97" i="1"/>
  <c r="BF97" i="1" s="1"/>
  <c r="BD406" i="1"/>
  <c r="BF406" i="1" s="1"/>
  <c r="AI158" i="1"/>
  <c r="AN158" i="1" s="1"/>
  <c r="AI124" i="1"/>
  <c r="AN124" i="1" s="1"/>
  <c r="AI300" i="1"/>
  <c r="AN300" i="1" s="1"/>
  <c r="AI125" i="1"/>
  <c r="AN125" i="1" s="1"/>
  <c r="AI369" i="1"/>
  <c r="AN369" i="1" s="1"/>
  <c r="AI253" i="1"/>
  <c r="AN253" i="1" s="1"/>
  <c r="AI262" i="1"/>
  <c r="AN262" i="1" s="1"/>
  <c r="AI127" i="1"/>
  <c r="AN127" i="1" s="1"/>
  <c r="AI303" i="1"/>
  <c r="AN303" i="1" s="1"/>
  <c r="AI431" i="1"/>
  <c r="AN431" i="1" s="1"/>
  <c r="BD308" i="1"/>
  <c r="BF308" i="1" s="1"/>
  <c r="BD33" i="1"/>
  <c r="BF33" i="1" s="1"/>
  <c r="AI224" i="1"/>
  <c r="AN224" i="1" s="1"/>
  <c r="AI117" i="1"/>
  <c r="AN117" i="1" s="1"/>
  <c r="AI277" i="1"/>
  <c r="AN277" i="1" s="1"/>
  <c r="AI131" i="1"/>
  <c r="AN131" i="1" s="1"/>
  <c r="AI502" i="1"/>
  <c r="AN502" i="1" s="1"/>
  <c r="AI191" i="1"/>
  <c r="AN191" i="1" s="1"/>
  <c r="AI387" i="1"/>
  <c r="AN387" i="1" s="1"/>
  <c r="AI166" i="1"/>
  <c r="AN166" i="1" s="1"/>
  <c r="AI123" i="1"/>
  <c r="AN123" i="1" s="1"/>
  <c r="BD299" i="1"/>
  <c r="BF299" i="1" s="1"/>
  <c r="AI456" i="1"/>
  <c r="AN456" i="1" s="1"/>
  <c r="BD283" i="1"/>
  <c r="BF283" i="1" s="1"/>
  <c r="BD496" i="1"/>
  <c r="BF496" i="1" s="1"/>
  <c r="BD297" i="1"/>
  <c r="BF297" i="1" s="1"/>
  <c r="BD80" i="1"/>
  <c r="BF80" i="1" s="1"/>
  <c r="BD355" i="1"/>
  <c r="BF355" i="1" s="1"/>
  <c r="BD120" i="1"/>
  <c r="BF120" i="1" s="1"/>
  <c r="AI368" i="1"/>
  <c r="AN368" i="1" s="1"/>
  <c r="BD507" i="1"/>
  <c r="BF507" i="1" s="1"/>
  <c r="AI213" i="1"/>
  <c r="AN213" i="1" s="1"/>
  <c r="BD393" i="1"/>
  <c r="BF393" i="1" s="1"/>
  <c r="BD467" i="1"/>
  <c r="BF467" i="1" s="1"/>
  <c r="BD176" i="1"/>
  <c r="BF176" i="1" s="1"/>
  <c r="BD413" i="1"/>
  <c r="BF413" i="1" s="1"/>
  <c r="BD367" i="1"/>
  <c r="BF367" i="1" s="1"/>
  <c r="AI341" i="1"/>
  <c r="AN341" i="1" s="1"/>
  <c r="AI331" i="1"/>
  <c r="AN331" i="1" s="1"/>
  <c r="AI266" i="1"/>
  <c r="AN266" i="1" s="1"/>
  <c r="AI121" i="1"/>
  <c r="AN121" i="1" s="1"/>
  <c r="AI396" i="1"/>
  <c r="AN396" i="1" s="1"/>
  <c r="AI340" i="1"/>
  <c r="AN340" i="1" s="1"/>
  <c r="AI77" i="1"/>
  <c r="AN77" i="1" s="1"/>
  <c r="AI520" i="1"/>
  <c r="AN520" i="1" s="1"/>
  <c r="AI283" i="1"/>
  <c r="AN283" i="1" s="1"/>
  <c r="AI338" i="1"/>
  <c r="AN338" i="1" s="1"/>
  <c r="AI232" i="1"/>
  <c r="AN232" i="1" s="1"/>
  <c r="AI457" i="1"/>
  <c r="AN457" i="1" s="1"/>
  <c r="AI316" i="1"/>
  <c r="AN316" i="1" s="1"/>
  <c r="AI421" i="1"/>
  <c r="AN421" i="1" s="1"/>
  <c r="BD160" i="1"/>
  <c r="BF160" i="1" s="1"/>
  <c r="BD439" i="1"/>
  <c r="BF439" i="1" s="1"/>
  <c r="BD101" i="1"/>
  <c r="BF101" i="1" s="1"/>
  <c r="BD132" i="1"/>
  <c r="BF132" i="1" s="1"/>
  <c r="BD113" i="1"/>
  <c r="BF113" i="1" s="1"/>
  <c r="BD523" i="1"/>
  <c r="BF523" i="1" s="1"/>
  <c r="AI326" i="1"/>
  <c r="AN326" i="1" s="1"/>
  <c r="AI156" i="1"/>
  <c r="AN156" i="1" s="1"/>
  <c r="AI324" i="1"/>
  <c r="AN324" i="1" s="1"/>
  <c r="AI161" i="1"/>
  <c r="AN161" i="1" s="1"/>
  <c r="AI433" i="1"/>
  <c r="AN433" i="1" s="1"/>
  <c r="AI321" i="1"/>
  <c r="AN321" i="1" s="1"/>
  <c r="AI370" i="1"/>
  <c r="AN370" i="1" s="1"/>
  <c r="AI167" i="1"/>
  <c r="AN167" i="1" s="1"/>
  <c r="AI319" i="1"/>
  <c r="AN319" i="1" s="1"/>
  <c r="AI455" i="1"/>
  <c r="AN455" i="1" s="1"/>
  <c r="BD373" i="1"/>
  <c r="BF373" i="1" s="1"/>
  <c r="AI398" i="1"/>
  <c r="AN398" i="1" s="1"/>
  <c r="AI280" i="1"/>
  <c r="AN280" i="1" s="1"/>
  <c r="AI229" i="1"/>
  <c r="AN229" i="1" s="1"/>
  <c r="AI345" i="1"/>
  <c r="AN345" i="1" s="1"/>
  <c r="AI171" i="1"/>
  <c r="AN171" i="1" s="1"/>
  <c r="AI164" i="1"/>
  <c r="AN164" i="1" s="1"/>
  <c r="AI255" i="1"/>
  <c r="AN255" i="1" s="1"/>
  <c r="AI403" i="1"/>
  <c r="AN403" i="1" s="1"/>
  <c r="AI420" i="1"/>
  <c r="AN420" i="1" s="1"/>
  <c r="AI350" i="1"/>
  <c r="AN350" i="1" s="1"/>
  <c r="AI424" i="1"/>
  <c r="AN424" i="1" s="1"/>
  <c r="AI453" i="1"/>
  <c r="AN453" i="1" s="1"/>
  <c r="BD203" i="1"/>
  <c r="BF203" i="1" s="1"/>
  <c r="BD183" i="1"/>
  <c r="BF183" i="1" s="1"/>
  <c r="BD239" i="1"/>
  <c r="BF239" i="1" s="1"/>
  <c r="BD339" i="1"/>
  <c r="BF339" i="1" s="1"/>
  <c r="BD322" i="1"/>
  <c r="BF322" i="1" s="1"/>
  <c r="AI388" i="1"/>
  <c r="AN388" i="1" s="1"/>
  <c r="AI194" i="1"/>
  <c r="AN194" i="1" s="1"/>
  <c r="AI116" i="1"/>
  <c r="AN116" i="1" s="1"/>
  <c r="BD161" i="1"/>
  <c r="BF161" i="1" s="1"/>
  <c r="BD516" i="1"/>
  <c r="BF516" i="1" s="1"/>
  <c r="BD234" i="1"/>
  <c r="BF234" i="1" s="1"/>
  <c r="AI107" i="1"/>
  <c r="AN107" i="1" s="1"/>
  <c r="AI521" i="1"/>
  <c r="AN521" i="1" s="1"/>
  <c r="AI516" i="1"/>
  <c r="AN516" i="1" s="1"/>
  <c r="AI174" i="1"/>
  <c r="AN174" i="1" s="1"/>
  <c r="AI311" i="1"/>
  <c r="AN311" i="1" s="1"/>
  <c r="AI140" i="1"/>
  <c r="AN140" i="1" s="1"/>
  <c r="AI261" i="1"/>
  <c r="AN261" i="1" s="1"/>
  <c r="BD329" i="1"/>
  <c r="BF329" i="1" s="1"/>
  <c r="BD468" i="1"/>
  <c r="BF468" i="1" s="1"/>
  <c r="BD78" i="1"/>
  <c r="BF78" i="1" s="1"/>
  <c r="BD433" i="1"/>
  <c r="BF433" i="1" s="1"/>
  <c r="BD118" i="1"/>
  <c r="BF118" i="1" s="1"/>
  <c r="BD453" i="1"/>
  <c r="BF453" i="1" s="1"/>
  <c r="BD381" i="1"/>
  <c r="BF381" i="1" s="1"/>
  <c r="BD119" i="1"/>
  <c r="BF119" i="1" s="1"/>
  <c r="BD31" i="1"/>
  <c r="BF31" i="1" s="1"/>
  <c r="BD272" i="1"/>
  <c r="BF272" i="1" s="1"/>
  <c r="BD268" i="1"/>
  <c r="BF268" i="1" s="1"/>
  <c r="BD102" i="1"/>
  <c r="BF102" i="1" s="1"/>
  <c r="BD332" i="1"/>
  <c r="BF332" i="1" s="1"/>
  <c r="BD415" i="1"/>
  <c r="BF415" i="1" s="1"/>
  <c r="BD356" i="1"/>
  <c r="BF356" i="1" s="1"/>
  <c r="BD371" i="1"/>
  <c r="BF371" i="1" s="1"/>
  <c r="BD82" i="1"/>
  <c r="BF82" i="1" s="1"/>
  <c r="BD462" i="1"/>
  <c r="BF462" i="1" s="1"/>
  <c r="BD401" i="1"/>
  <c r="BF401" i="1" s="1"/>
  <c r="BD233" i="1"/>
  <c r="BF233" i="1" s="1"/>
  <c r="BD429" i="1"/>
  <c r="BF429" i="1" s="1"/>
  <c r="BD122" i="1"/>
  <c r="BF122" i="1" s="1"/>
  <c r="BD441" i="1"/>
  <c r="BF441" i="1" s="1"/>
  <c r="BD257" i="1"/>
  <c r="BF257" i="1" s="1"/>
  <c r="BD254" i="1"/>
  <c r="BF254" i="1" s="1"/>
  <c r="BD358" i="1"/>
  <c r="BF358" i="1" s="1"/>
  <c r="BD253" i="1"/>
  <c r="BF253" i="1" s="1"/>
  <c r="BD320" i="1"/>
  <c r="BF320" i="1" s="1"/>
  <c r="BD238" i="1"/>
  <c r="BF238" i="1" s="1"/>
  <c r="BD387" i="1"/>
  <c r="BF387" i="1" s="1"/>
  <c r="BD92" i="1"/>
  <c r="BF92" i="1" s="1"/>
  <c r="BD437" i="1"/>
  <c r="BF437" i="1" s="1"/>
  <c r="BD375" i="1"/>
  <c r="BF375" i="1" s="1"/>
  <c r="AI357" i="1"/>
  <c r="AN357" i="1" s="1"/>
  <c r="AI503" i="1"/>
  <c r="AN503" i="1" s="1"/>
  <c r="AI306" i="1"/>
  <c r="AN306" i="1" s="1"/>
  <c r="AI392" i="1"/>
  <c r="AN392" i="1" s="1"/>
  <c r="AI343" i="1"/>
  <c r="AN343" i="1" s="1"/>
  <c r="AI477" i="1"/>
  <c r="AN477" i="1" s="1"/>
  <c r="AI333" i="1"/>
  <c r="AN333" i="1" s="1"/>
  <c r="AI206" i="1"/>
  <c r="AN206" i="1" s="1"/>
  <c r="AI355" i="1"/>
  <c r="AN355" i="1" s="1"/>
  <c r="AI378" i="1"/>
  <c r="AN378" i="1" s="1"/>
  <c r="AI247" i="1"/>
  <c r="AN247" i="1" s="1"/>
  <c r="AI509" i="1"/>
  <c r="AN509" i="1" s="1"/>
  <c r="AI307" i="1"/>
  <c r="AN307" i="1" s="1"/>
  <c r="AI442" i="1"/>
  <c r="AN442" i="1" s="1"/>
  <c r="BD159" i="1"/>
  <c r="BF159" i="1" s="1"/>
  <c r="BD495" i="1"/>
  <c r="BF495" i="1" s="1"/>
  <c r="BD109" i="1"/>
  <c r="BF109" i="1" s="1"/>
  <c r="BD168" i="1"/>
  <c r="BF168" i="1" s="1"/>
  <c r="BD121" i="1"/>
  <c r="BF121" i="1" s="1"/>
  <c r="BD99" i="1"/>
  <c r="BF99" i="1" s="1"/>
  <c r="AI342" i="1"/>
  <c r="AN342" i="1" s="1"/>
  <c r="AI172" i="1"/>
  <c r="AN172" i="1" s="1"/>
  <c r="AI364" i="1"/>
  <c r="AN364" i="1" s="1"/>
  <c r="AI173" i="1"/>
  <c r="AN173" i="1" s="1"/>
  <c r="AI449" i="1"/>
  <c r="AN449" i="1" s="1"/>
  <c r="AI337" i="1"/>
  <c r="AN337" i="1" s="1"/>
  <c r="AI386" i="1"/>
  <c r="AN386" i="1" s="1"/>
  <c r="AI175" i="1"/>
  <c r="AN175" i="1" s="1"/>
  <c r="AI351" i="1"/>
  <c r="AN351" i="1" s="1"/>
  <c r="AI471" i="1"/>
  <c r="AN471" i="1" s="1"/>
  <c r="BD472" i="1"/>
  <c r="BF472" i="1" s="1"/>
  <c r="AI446" i="1"/>
  <c r="AN446" i="1" s="1"/>
  <c r="AI320" i="1"/>
  <c r="AN320" i="1" s="1"/>
  <c r="AI293" i="1"/>
  <c r="AN293" i="1" s="1"/>
  <c r="AI485" i="1"/>
  <c r="AN485" i="1" s="1"/>
  <c r="AI187" i="1"/>
  <c r="AN187" i="1" s="1"/>
  <c r="AI129" i="1"/>
  <c r="AN129" i="1" s="1"/>
  <c r="AI327" i="1"/>
  <c r="AN327" i="1" s="1"/>
  <c r="AI411" i="1"/>
  <c r="AN411" i="1" s="1"/>
  <c r="AI468" i="1"/>
  <c r="AN468" i="1" s="1"/>
  <c r="AI150" i="1"/>
  <c r="AN150" i="1" s="1"/>
  <c r="BD432" i="1"/>
  <c r="BF432" i="1" s="1"/>
  <c r="BD242" i="1"/>
  <c r="BF242" i="1" s="1"/>
  <c r="BD87" i="1"/>
  <c r="BF87" i="1" s="1"/>
  <c r="BD361" i="1"/>
  <c r="BF361" i="1" s="1"/>
  <c r="AI201" i="1"/>
  <c r="AN201" i="1" s="1"/>
  <c r="BD338" i="1"/>
  <c r="BF338" i="1" s="1"/>
  <c r="AI474" i="1"/>
  <c r="AN474" i="1" s="1"/>
  <c r="AI348" i="1"/>
  <c r="AN348" i="1" s="1"/>
  <c r="AI294" i="1"/>
  <c r="AN294" i="1" s="1"/>
  <c r="AI395" i="1"/>
  <c r="AN395" i="1" s="1"/>
  <c r="BD399" i="1"/>
  <c r="BF399" i="1" s="1"/>
  <c r="BD241" i="1"/>
  <c r="BF241" i="1" s="1"/>
  <c r="BD210" i="1"/>
  <c r="BF210" i="1" s="1"/>
  <c r="AI379" i="1"/>
  <c r="AN379" i="1" s="1"/>
  <c r="BD503" i="1"/>
  <c r="BF503" i="1" s="1"/>
  <c r="BD117" i="1"/>
  <c r="BF117" i="1" s="1"/>
  <c r="BD71" i="1"/>
  <c r="BF71" i="1" s="1"/>
  <c r="BD169" i="1"/>
  <c r="BF169" i="1" s="1"/>
  <c r="BD147" i="1"/>
  <c r="BF147" i="1" s="1"/>
  <c r="AI358" i="1"/>
  <c r="AN358" i="1" s="1"/>
  <c r="AI180" i="1"/>
  <c r="AN180" i="1" s="1"/>
  <c r="AI465" i="1"/>
  <c r="AN465" i="1" s="1"/>
  <c r="AI353" i="1"/>
  <c r="AN353" i="1" s="1"/>
  <c r="AI406" i="1"/>
  <c r="AN406" i="1" s="1"/>
  <c r="AI183" i="1"/>
  <c r="AN183" i="1" s="1"/>
  <c r="AI359" i="1"/>
  <c r="AN359" i="1" s="1"/>
  <c r="AI487" i="1"/>
  <c r="AN487" i="1" s="1"/>
  <c r="BD140" i="1"/>
  <c r="BF140" i="1" s="1"/>
  <c r="AI494" i="1"/>
  <c r="AN494" i="1" s="1"/>
  <c r="AI384" i="1"/>
  <c r="AN384" i="1" s="1"/>
  <c r="AI118" i="1"/>
  <c r="AN118" i="1" s="1"/>
  <c r="AI195" i="1"/>
  <c r="AN195" i="1" s="1"/>
  <c r="AI484" i="1"/>
  <c r="AN484" i="1" s="1"/>
  <c r="BD148" i="1"/>
  <c r="BF148" i="1" s="1"/>
  <c r="BD330" i="1"/>
  <c r="BF330" i="1" s="1"/>
  <c r="BD475" i="1"/>
  <c r="BF475" i="1" s="1"/>
  <c r="BD388" i="1"/>
  <c r="BF388" i="1" s="1"/>
  <c r="AI312" i="1"/>
  <c r="AN312" i="1" s="1"/>
  <c r="BD426" i="1"/>
  <c r="BF426" i="1" s="1"/>
  <c r="AI301" i="1"/>
  <c r="AN301" i="1" s="1"/>
  <c r="AI101" i="1"/>
  <c r="AN101" i="1" s="1"/>
  <c r="AI422" i="1"/>
  <c r="AN422" i="1" s="1"/>
  <c r="BD359" i="1"/>
  <c r="BF359" i="1" s="1"/>
  <c r="AI244" i="1"/>
  <c r="AN244" i="1" s="1"/>
  <c r="AI522" i="1"/>
  <c r="AN522" i="1" s="1"/>
  <c r="AI385" i="1"/>
  <c r="AN385" i="1" s="1"/>
  <c r="AI240" i="1"/>
  <c r="AN240" i="1" s="1"/>
  <c r="AI184" i="1"/>
  <c r="AN184" i="1" s="1"/>
  <c r="BD182" i="1"/>
  <c r="BF182" i="1" s="1"/>
  <c r="BD416" i="1"/>
  <c r="BF416" i="1" s="1"/>
  <c r="BD379" i="1"/>
  <c r="BF379" i="1" s="1"/>
  <c r="BD150" i="1"/>
  <c r="BF150" i="1" s="1"/>
  <c r="BD511" i="1"/>
  <c r="BF511" i="1" s="1"/>
  <c r="AI349" i="1"/>
  <c r="AN349" i="1" s="1"/>
  <c r="BD470" i="1"/>
  <c r="BF470" i="1" s="1"/>
  <c r="BD327" i="1"/>
  <c r="BF327" i="1" s="1"/>
  <c r="BD458" i="1"/>
  <c r="BF458" i="1" s="1"/>
  <c r="BD342" i="1"/>
  <c r="BF342" i="1" s="1"/>
  <c r="AI360" i="1"/>
  <c r="AN360" i="1" s="1"/>
  <c r="BD269" i="1"/>
  <c r="BF269" i="1" s="1"/>
  <c r="BD461" i="1"/>
  <c r="BF461" i="1" s="1"/>
  <c r="BD138" i="1"/>
  <c r="BF138" i="1" s="1"/>
  <c r="BD457" i="1"/>
  <c r="BF457" i="1" s="1"/>
  <c r="BD336" i="1"/>
  <c r="BF336" i="1" s="1"/>
  <c r="BD245" i="1"/>
  <c r="BF245" i="1" s="1"/>
  <c r="BD263" i="1"/>
  <c r="BF263" i="1" s="1"/>
  <c r="BD273" i="1"/>
  <c r="BF273" i="1" s="1"/>
  <c r="BD451" i="1"/>
  <c r="BF451" i="1" s="1"/>
  <c r="BD302" i="1"/>
  <c r="BF302" i="1" s="1"/>
  <c r="BD464" i="1"/>
  <c r="BF464" i="1" s="1"/>
  <c r="BD266" i="1"/>
  <c r="BF266" i="1" s="1"/>
  <c r="AI52" i="1"/>
  <c r="AN52" i="1" s="1"/>
  <c r="AI346" i="1"/>
  <c r="AN346" i="1" s="1"/>
  <c r="AI310" i="1"/>
  <c r="AN310" i="1" s="1"/>
  <c r="AI217" i="1"/>
  <c r="AN217" i="1" s="1"/>
  <c r="AI459" i="1"/>
  <c r="AN459" i="1" s="1"/>
  <c r="AI365" i="1"/>
  <c r="AN365" i="1" s="1"/>
  <c r="AI238" i="1"/>
  <c r="AN238" i="1" s="1"/>
  <c r="AI85" i="1"/>
  <c r="AN85" i="1" s="1"/>
  <c r="AI92" i="1"/>
  <c r="AN92" i="1" s="1"/>
  <c r="AI374" i="1"/>
  <c r="AN374" i="1" s="1"/>
  <c r="AI412" i="1"/>
  <c r="AN412" i="1" s="1"/>
  <c r="AI499" i="1"/>
  <c r="AN499" i="1" s="1"/>
  <c r="BD11" i="1"/>
  <c r="BF11" i="1" s="1"/>
  <c r="BD519" i="1"/>
  <c r="BF519" i="1" s="1"/>
  <c r="BD125" i="1"/>
  <c r="BF125" i="1" s="1"/>
  <c r="BD107" i="1"/>
  <c r="BF107" i="1" s="1"/>
  <c r="BD177" i="1"/>
  <c r="BF177" i="1" s="1"/>
  <c r="BD310" i="1"/>
  <c r="BF310" i="1" s="1"/>
  <c r="AI390" i="1"/>
  <c r="AN390" i="1" s="1"/>
  <c r="AI428" i="1"/>
  <c r="AN428" i="1" s="1"/>
  <c r="AI481" i="1"/>
  <c r="AN481" i="1" s="1"/>
  <c r="AI434" i="1"/>
  <c r="AN434" i="1" s="1"/>
  <c r="AI367" i="1"/>
  <c r="AN367" i="1" s="1"/>
  <c r="BD487" i="1"/>
  <c r="BF487" i="1" s="1"/>
  <c r="AI416" i="1"/>
  <c r="AN416" i="1" s="1"/>
  <c r="AI305" i="1"/>
  <c r="AN305" i="1" s="1"/>
  <c r="AI427" i="1"/>
  <c r="AN427" i="1" s="1"/>
  <c r="AI512" i="1"/>
  <c r="AN512" i="1" s="1"/>
  <c r="BD133" i="1"/>
  <c r="BF133" i="1" s="1"/>
  <c r="BD72" i="1"/>
  <c r="BF72" i="1" s="1"/>
  <c r="BD284" i="1"/>
  <c r="BF284" i="1" s="1"/>
  <c r="BD345" i="1"/>
  <c r="BF345" i="1" s="1"/>
  <c r="BD309" i="1"/>
  <c r="BF309" i="1" s="1"/>
  <c r="BD349" i="1"/>
  <c r="BF349" i="1" s="1"/>
  <c r="BD236" i="1"/>
  <c r="BF236" i="1" s="1"/>
  <c r="BD378" i="1"/>
  <c r="BF378" i="1" s="1"/>
  <c r="BD436" i="1"/>
  <c r="BF436" i="1" s="1"/>
  <c r="AI322" i="1"/>
  <c r="AN322" i="1" s="1"/>
  <c r="AI242" i="1"/>
  <c r="AN242" i="1" s="1"/>
  <c r="BD52" i="1"/>
  <c r="BF52" i="1" s="1"/>
  <c r="AI246" i="1"/>
  <c r="AN246" i="1" s="1"/>
  <c r="AI99" i="1"/>
  <c r="AN99" i="1" s="1"/>
  <c r="BD214" i="1"/>
  <c r="BF214" i="1" s="1"/>
  <c r="BD256" i="1"/>
  <c r="BF256" i="1" s="1"/>
  <c r="BD403" i="1"/>
  <c r="BF403" i="1" s="1"/>
  <c r="BD474" i="1"/>
  <c r="BF474" i="1" s="1"/>
  <c r="AI514" i="1"/>
  <c r="AN514" i="1" s="1"/>
  <c r="AI417" i="1"/>
  <c r="AN417" i="1" s="1"/>
  <c r="AI132" i="1"/>
  <c r="AN132" i="1" s="1"/>
  <c r="AI447" i="1"/>
  <c r="AN447" i="1" s="1"/>
  <c r="AI223" i="1"/>
  <c r="AN223" i="1" s="1"/>
  <c r="BD215" i="1"/>
  <c r="BF215" i="1" s="1"/>
  <c r="BD94" i="1"/>
  <c r="BF94" i="1" s="1"/>
  <c r="BD298" i="1"/>
  <c r="BF298" i="1" s="1"/>
  <c r="BD382" i="1"/>
  <c r="BF382" i="1" s="1"/>
  <c r="BD445" i="1"/>
  <c r="BF445" i="1" s="1"/>
  <c r="BD261" i="1"/>
  <c r="BF261" i="1" s="1"/>
  <c r="BD383" i="1"/>
  <c r="BF383" i="1" s="1"/>
  <c r="AI445" i="1"/>
  <c r="AN445" i="1" s="1"/>
  <c r="AI501" i="1"/>
  <c r="AN501" i="1" s="1"/>
  <c r="AI463" i="1"/>
  <c r="AN463" i="1" s="1"/>
  <c r="BD134" i="1"/>
  <c r="BF134" i="1" s="1"/>
  <c r="BD196" i="1"/>
  <c r="BF196" i="1" s="1"/>
  <c r="BD370" i="1"/>
  <c r="BF370" i="1" s="1"/>
  <c r="BD366" i="1"/>
  <c r="BF366" i="1" s="1"/>
  <c r="BD324" i="1"/>
  <c r="BF324" i="1" s="1"/>
  <c r="BD465" i="1"/>
  <c r="BF465" i="1" s="1"/>
  <c r="BD265" i="1"/>
  <c r="BF265" i="1" s="1"/>
  <c r="BD318" i="1"/>
  <c r="BF318" i="1" s="1"/>
  <c r="BD60" i="1"/>
  <c r="BF60" i="1" s="1"/>
  <c r="BD79" i="1"/>
  <c r="BF79" i="1" s="1"/>
  <c r="BD205" i="1"/>
  <c r="BF205" i="1" s="1"/>
  <c r="BD83" i="1"/>
  <c r="BF83" i="1" s="1"/>
  <c r="BD226" i="1"/>
  <c r="BF226" i="1" s="1"/>
  <c r="BD515" i="1"/>
  <c r="BF515" i="1" s="1"/>
  <c r="AI153" i="1"/>
  <c r="AN153" i="1" s="1"/>
  <c r="AI260" i="1"/>
  <c r="AN260" i="1" s="1"/>
  <c r="AI490" i="1"/>
  <c r="AN490" i="1" s="1"/>
  <c r="AI366" i="1"/>
  <c r="AN366" i="1" s="1"/>
  <c r="AI233" i="1"/>
  <c r="AN233" i="1" s="1"/>
  <c r="AI397" i="1"/>
  <c r="AN397" i="1" s="1"/>
  <c r="AI81" i="1"/>
  <c r="AN81" i="1" s="1"/>
  <c r="AI254" i="1"/>
  <c r="AN254" i="1" s="1"/>
  <c r="AI317" i="1"/>
  <c r="AN317" i="1" s="1"/>
  <c r="AI149" i="1"/>
  <c r="AN149" i="1" s="1"/>
  <c r="AI399" i="1"/>
  <c r="AN399" i="1" s="1"/>
  <c r="AI190" i="1"/>
  <c r="AN190" i="1" s="1"/>
  <c r="AI372" i="1"/>
  <c r="AN372" i="1" s="1"/>
  <c r="AI451" i="1"/>
  <c r="AN451" i="1" s="1"/>
  <c r="BD77" i="1"/>
  <c r="BF77" i="1" s="1"/>
  <c r="BD91" i="1"/>
  <c r="BF91" i="1" s="1"/>
  <c r="BD149" i="1"/>
  <c r="BF149" i="1" s="1"/>
  <c r="BD139" i="1"/>
  <c r="BF139" i="1" s="1"/>
  <c r="BD198" i="1"/>
  <c r="BF198" i="1" s="1"/>
  <c r="BD414" i="1"/>
  <c r="BF414" i="1" s="1"/>
  <c r="AI438" i="1"/>
  <c r="AN438" i="1" s="1"/>
  <c r="AI220" i="1"/>
  <c r="AN220" i="1" s="1"/>
  <c r="AI436" i="1"/>
  <c r="AN436" i="1" s="1"/>
  <c r="AI221" i="1"/>
  <c r="AN221" i="1" s="1"/>
  <c r="AI497" i="1"/>
  <c r="AN497" i="1" s="1"/>
  <c r="AI78" i="1"/>
  <c r="AN78" i="1" s="1"/>
  <c r="AI510" i="1"/>
  <c r="AN510" i="1" s="1"/>
  <c r="AI207" i="1"/>
  <c r="AN207" i="1" s="1"/>
  <c r="AI375" i="1"/>
  <c r="AN375" i="1" s="1"/>
  <c r="BD81" i="1"/>
  <c r="BF81" i="1" s="1"/>
  <c r="BD499" i="1"/>
  <c r="BF499" i="1" s="1"/>
  <c r="BD89" i="1"/>
  <c r="BF89" i="1" s="1"/>
  <c r="BD377" i="1"/>
  <c r="BF377" i="1" s="1"/>
  <c r="BD227" i="1"/>
  <c r="BF227" i="1" s="1"/>
  <c r="BD267" i="1"/>
  <c r="BF267" i="1" s="1"/>
  <c r="BD136" i="1"/>
  <c r="BF136" i="1" s="1"/>
  <c r="BD90" i="1"/>
  <c r="BF90" i="1" s="1"/>
  <c r="BD440" i="1"/>
  <c r="BF440" i="1" s="1"/>
  <c r="AI197" i="1"/>
  <c r="AN197" i="1" s="1"/>
  <c r="AI523" i="1"/>
  <c r="AN523" i="1" s="1"/>
  <c r="AI109" i="1"/>
  <c r="AN109" i="1" s="1"/>
  <c r="BD68" i="1"/>
  <c r="BF68" i="1" s="1"/>
  <c r="BD501" i="1"/>
  <c r="BF501" i="1" s="1"/>
  <c r="BD364" i="1"/>
  <c r="BF364" i="1" s="1"/>
  <c r="AI493" i="1"/>
  <c r="AN493" i="1" s="1"/>
  <c r="BD384" i="1"/>
  <c r="BF384" i="1" s="1"/>
  <c r="AI308" i="1"/>
  <c r="AN308" i="1" s="1"/>
  <c r="BD321" i="1"/>
  <c r="BF321" i="1" s="1"/>
  <c r="AI356" i="1"/>
  <c r="AN356" i="1" s="1"/>
  <c r="BD260" i="1"/>
  <c r="BF260" i="1" s="1"/>
  <c r="BD389" i="1"/>
  <c r="BF389" i="1" s="1"/>
  <c r="BD392" i="1"/>
  <c r="BF392" i="1" s="1"/>
  <c r="BD369" i="1"/>
  <c r="BF369" i="1" s="1"/>
  <c r="BD247" i="1"/>
  <c r="BF247" i="1" s="1"/>
  <c r="BD517" i="1"/>
  <c r="BF517" i="1" s="1"/>
  <c r="AI373" i="1"/>
  <c r="AN373" i="1" s="1"/>
  <c r="AI222" i="1"/>
  <c r="AN222" i="1" s="1"/>
  <c r="AI228" i="1"/>
  <c r="AN228" i="1" s="1"/>
  <c r="BD192" i="1"/>
  <c r="BF192" i="1" s="1"/>
  <c r="BD509" i="1"/>
  <c r="BF509" i="1" s="1"/>
  <c r="BD200" i="1"/>
  <c r="BF200" i="1" s="1"/>
  <c r="BD142" i="1"/>
  <c r="BF142" i="1" s="1"/>
  <c r="BD135" i="1"/>
  <c r="BF135" i="1" s="1"/>
  <c r="BD146" i="1"/>
  <c r="BF146" i="1" s="1"/>
  <c r="BD208" i="1"/>
  <c r="BF208" i="1" s="1"/>
  <c r="BD278" i="1"/>
  <c r="BF278" i="1" s="1"/>
  <c r="BD344" i="1"/>
  <c r="BF344" i="1" s="1"/>
  <c r="BD446" i="1"/>
  <c r="BF446" i="1" s="1"/>
  <c r="BD186" i="1"/>
  <c r="BF186" i="1" s="1"/>
  <c r="BD520" i="1"/>
  <c r="BF520" i="1" s="1"/>
  <c r="BD154" i="1"/>
  <c r="BF154" i="1" s="1"/>
  <c r="BD353" i="1"/>
  <c r="BF353" i="1" s="1"/>
  <c r="BD217" i="1"/>
  <c r="BF217" i="1" s="1"/>
  <c r="BD86" i="1"/>
  <c r="BF86" i="1" s="1"/>
  <c r="BD488" i="1"/>
  <c r="BF488" i="1" s="1"/>
  <c r="BD277" i="1"/>
  <c r="BF277" i="1" s="1"/>
  <c r="BD111" i="1"/>
  <c r="BF111" i="1" s="1"/>
  <c r="BD442" i="1"/>
  <c r="BF442" i="1" s="1"/>
  <c r="BD385" i="1"/>
  <c r="BF385" i="1" s="1"/>
  <c r="BD328" i="1"/>
  <c r="BF328" i="1" s="1"/>
  <c r="BD350" i="1"/>
  <c r="BF350" i="1" s="1"/>
  <c r="BD314" i="1"/>
  <c r="BF314" i="1" s="1"/>
  <c r="BD331" i="1"/>
  <c r="BF331" i="1" s="1"/>
  <c r="AI325" i="1"/>
  <c r="AN325" i="1" s="1"/>
  <c r="AI276" i="1"/>
  <c r="AN276" i="1" s="1"/>
  <c r="AI299" i="1"/>
  <c r="AN299" i="1" s="1"/>
  <c r="AI120" i="1"/>
  <c r="AN120" i="1" s="1"/>
  <c r="AI249" i="1"/>
  <c r="AN249" i="1" s="1"/>
  <c r="AI413" i="1"/>
  <c r="AN413" i="1" s="1"/>
  <c r="AI105" i="1"/>
  <c r="AN105" i="1" s="1"/>
  <c r="AI270" i="1"/>
  <c r="AN270" i="1" s="1"/>
  <c r="AI500" i="1"/>
  <c r="AN500" i="1" s="1"/>
  <c r="AI211" i="1"/>
  <c r="AN211" i="1" s="1"/>
  <c r="AI404" i="1"/>
  <c r="AN404" i="1" s="1"/>
  <c r="AI103" i="1"/>
  <c r="AN103" i="1" s="1"/>
  <c r="AI515" i="1"/>
  <c r="AN515" i="1" s="1"/>
  <c r="AI470" i="1"/>
  <c r="AN470" i="1" s="1"/>
  <c r="BD85" i="1"/>
  <c r="BF85" i="1" s="1"/>
  <c r="BD123" i="1"/>
  <c r="BF123" i="1" s="1"/>
  <c r="BD157" i="1"/>
  <c r="BF157" i="1" s="1"/>
  <c r="BD315" i="1"/>
  <c r="BF315" i="1" s="1"/>
  <c r="BD222" i="1"/>
  <c r="BF222" i="1" s="1"/>
  <c r="BD288" i="1"/>
  <c r="BF288" i="1" s="1"/>
  <c r="AI76" i="1"/>
  <c r="AN76" i="1" s="1"/>
  <c r="BD290" i="1"/>
  <c r="BF290" i="1" s="1"/>
  <c r="AI452" i="1"/>
  <c r="AN452" i="1" s="1"/>
  <c r="AI241" i="1"/>
  <c r="AN241" i="1" s="1"/>
  <c r="AI97" i="1"/>
  <c r="AN97" i="1" s="1"/>
  <c r="AI94" i="1"/>
  <c r="AN94" i="1" s="1"/>
  <c r="AI518" i="1"/>
  <c r="AN518" i="1" s="1"/>
  <c r="AI231" i="1"/>
  <c r="AN231" i="1" s="1"/>
  <c r="AI383" i="1"/>
  <c r="AN383" i="1" s="1"/>
  <c r="BD129" i="1"/>
  <c r="BF129" i="1" s="1"/>
  <c r="BD54" i="1"/>
  <c r="BF54" i="1" s="1"/>
  <c r="AI128" i="1"/>
  <c r="AN128" i="1" s="1"/>
  <c r="AI464" i="1"/>
  <c r="AN464" i="1" s="1"/>
  <c r="AI473" i="1"/>
  <c r="AN473" i="1" s="1"/>
  <c r="AI298" i="1"/>
  <c r="AN298" i="1" s="1"/>
  <c r="AI227" i="1"/>
  <c r="AN227" i="1" s="1"/>
  <c r="AI170" i="1"/>
  <c r="AN170" i="1" s="1"/>
  <c r="BD116" i="1"/>
  <c r="BF116" i="1" s="1"/>
  <c r="AI467" i="1"/>
  <c r="AN467" i="1" s="1"/>
  <c r="AI205" i="1"/>
  <c r="AN205" i="1" s="1"/>
  <c r="BD195" i="1"/>
  <c r="BF195" i="1" s="1"/>
  <c r="BD275" i="1"/>
  <c r="BF275" i="1" s="1"/>
  <c r="BD231" i="1"/>
  <c r="BF231" i="1" s="1"/>
  <c r="BD311" i="1"/>
  <c r="BF311" i="1" s="1"/>
  <c r="BD508" i="1"/>
  <c r="BF508" i="1" s="1"/>
  <c r="BD158" i="1"/>
  <c r="BF158" i="1" s="1"/>
  <c r="BD279" i="1"/>
  <c r="BF279" i="1" s="1"/>
  <c r="BD343" i="1"/>
  <c r="BF343" i="1" s="1"/>
  <c r="AI491" i="1"/>
  <c r="AN491" i="1" s="1"/>
  <c r="AI401" i="1"/>
  <c r="AN401" i="1" s="1"/>
  <c r="AI292" i="1"/>
  <c r="AN292" i="1" s="1"/>
  <c r="AI295" i="1"/>
  <c r="AN295" i="1" s="1"/>
  <c r="AI151" i="1"/>
  <c r="AN151" i="1" s="1"/>
  <c r="BD174" i="1"/>
  <c r="BF174" i="1" s="1"/>
  <c r="BD106" i="1"/>
  <c r="BF106" i="1" s="1"/>
  <c r="BD110" i="1"/>
  <c r="BF110" i="1" s="1"/>
  <c r="AI281" i="1"/>
  <c r="AN281" i="1" s="1"/>
  <c r="AI274" i="1"/>
  <c r="AN274" i="1" s="1"/>
  <c r="BD100" i="1"/>
  <c r="BF100" i="1" s="1"/>
  <c r="AI285" i="1"/>
  <c r="AN285" i="1" s="1"/>
  <c r="AI313" i="1"/>
  <c r="AN313" i="1" s="1"/>
  <c r="BD420" i="1"/>
  <c r="BF420" i="1" s="1"/>
  <c r="BD114" i="1"/>
  <c r="BF114" i="1" s="1"/>
  <c r="BD126" i="1"/>
  <c r="BF126" i="1" s="1"/>
  <c r="BD513" i="1"/>
  <c r="BF513" i="1" s="1"/>
  <c r="BD521" i="1"/>
  <c r="BF521" i="1" s="1"/>
  <c r="BD301" i="1"/>
  <c r="BF301" i="1" s="1"/>
  <c r="AI330" i="1"/>
  <c r="AN330" i="1" s="1"/>
  <c r="AI483" i="1"/>
  <c r="AN483" i="1" s="1"/>
  <c r="AI466" i="1"/>
  <c r="AN466" i="1" s="1"/>
  <c r="BD335" i="1"/>
  <c r="BF335" i="1" s="1"/>
  <c r="BD400" i="1"/>
  <c r="BF400" i="1" s="1"/>
  <c r="BD295" i="1"/>
  <c r="BF295" i="1" s="1"/>
  <c r="BD368" i="1"/>
  <c r="BF368" i="1" s="1"/>
  <c r="BD471" i="1"/>
  <c r="BF471" i="1" s="1"/>
  <c r="BD204" i="1"/>
  <c r="BF204" i="1" s="1"/>
  <c r="AI363" i="1"/>
  <c r="AN363" i="1" s="1"/>
  <c r="BD428" i="1"/>
  <c r="BF428" i="1" s="1"/>
  <c r="BD216" i="1"/>
  <c r="BF216" i="1" s="1"/>
  <c r="BD212" i="1"/>
  <c r="BF212" i="1" s="1"/>
  <c r="BD209" i="1"/>
  <c r="BF209" i="1" s="1"/>
  <c r="BD271" i="1"/>
  <c r="BF271" i="1" s="1"/>
  <c r="BD225" i="1"/>
  <c r="BF225" i="1" s="1"/>
  <c r="BD493" i="1"/>
  <c r="BF493" i="1" s="1"/>
  <c r="BD112" i="1"/>
  <c r="BF112" i="1" s="1"/>
  <c r="BD500" i="1"/>
  <c r="BF500" i="1" s="1"/>
  <c r="BD162" i="1"/>
  <c r="BF162" i="1" s="1"/>
  <c r="BD407" i="1"/>
  <c r="BF407" i="1" s="1"/>
  <c r="BD189" i="1"/>
  <c r="BF189" i="1" s="1"/>
  <c r="BD293" i="1"/>
  <c r="BF293" i="1" s="1"/>
  <c r="BD482" i="1"/>
  <c r="BF482" i="1" s="1"/>
  <c r="BD188" i="1"/>
  <c r="BF188" i="1" s="1"/>
  <c r="BD307" i="1"/>
  <c r="BF307" i="1" s="1"/>
  <c r="BD178" i="1"/>
  <c r="BF178" i="1" s="1"/>
  <c r="BD455" i="1"/>
  <c r="BF455" i="1" s="1"/>
  <c r="BD325" i="1"/>
  <c r="BF325" i="1" s="1"/>
  <c r="BD408" i="1"/>
  <c r="BF408" i="1" s="1"/>
  <c r="BD435" i="1"/>
  <c r="BF435" i="1" s="1"/>
  <c r="BD421" i="1"/>
  <c r="BF421" i="1" s="1"/>
  <c r="BD303" i="1"/>
  <c r="BF303" i="1" s="1"/>
  <c r="AI517" i="1"/>
  <c r="AN517" i="1" s="1"/>
  <c r="AI381" i="1"/>
  <c r="AN381" i="1" s="1"/>
  <c r="AI347" i="1"/>
  <c r="AN347" i="1" s="1"/>
  <c r="AI215" i="1"/>
  <c r="AN215" i="1" s="1"/>
  <c r="AI265" i="1"/>
  <c r="AN265" i="1" s="1"/>
  <c r="AI462" i="1"/>
  <c r="AN462" i="1" s="1"/>
  <c r="AI181" i="1"/>
  <c r="AN181" i="1" s="1"/>
  <c r="AI290" i="1"/>
  <c r="AN290" i="1" s="1"/>
  <c r="AI461" i="1"/>
  <c r="AN461" i="1" s="1"/>
  <c r="AI354" i="1"/>
  <c r="AN354" i="1" s="1"/>
  <c r="AI482" i="1"/>
  <c r="AN482" i="1" s="1"/>
  <c r="AI119" i="1"/>
  <c r="AN119" i="1" s="1"/>
  <c r="AI439" i="1"/>
  <c r="AN439" i="1" s="1"/>
  <c r="AI288" i="1"/>
  <c r="AN288" i="1" s="1"/>
  <c r="BD93" i="1"/>
  <c r="BF93" i="1" s="1"/>
  <c r="BD151" i="1"/>
  <c r="BF151" i="1" s="1"/>
  <c r="BD165" i="1"/>
  <c r="BF165" i="1" s="1"/>
  <c r="BD280" i="1"/>
  <c r="BF280" i="1" s="1"/>
  <c r="BD246" i="1"/>
  <c r="BF246" i="1" s="1"/>
  <c r="BD425" i="1"/>
  <c r="BF425" i="1" s="1"/>
  <c r="AI84" i="1"/>
  <c r="AN84" i="1" s="1"/>
  <c r="AI252" i="1"/>
  <c r="AN252" i="1" s="1"/>
  <c r="AI460" i="1"/>
  <c r="AN460" i="1" s="1"/>
  <c r="AI257" i="1"/>
  <c r="AN257" i="1" s="1"/>
  <c r="AI157" i="1"/>
  <c r="AN157" i="1" s="1"/>
  <c r="AI110" i="1"/>
  <c r="AN110" i="1" s="1"/>
  <c r="AI71" i="1"/>
  <c r="AN71" i="1" s="1"/>
  <c r="AI263" i="1"/>
  <c r="AN263" i="1" s="1"/>
  <c r="AI391" i="1"/>
  <c r="AN391" i="1" s="1"/>
  <c r="BD137" i="1"/>
  <c r="BF137" i="1" s="1"/>
  <c r="BD115" i="1"/>
  <c r="BF115" i="1" s="1"/>
  <c r="AI152" i="1"/>
  <c r="AN152" i="1" s="1"/>
  <c r="AI472" i="1"/>
  <c r="AN472" i="1" s="1"/>
  <c r="AI489" i="1"/>
  <c r="AN489" i="1" s="1"/>
  <c r="AI458" i="1"/>
  <c r="AN458" i="1" s="1"/>
  <c r="AI235" i="1"/>
  <c r="AN235" i="1" s="1"/>
  <c r="AI278" i="1"/>
  <c r="AN278" i="1" s="1"/>
  <c r="BD477" i="1"/>
  <c r="BF477" i="1" s="1"/>
  <c r="AI475" i="1"/>
  <c r="AN475" i="1" s="1"/>
  <c r="AI225" i="1"/>
  <c r="AN225" i="1" s="1"/>
  <c r="AI185" i="1"/>
  <c r="AN185" i="1" s="1"/>
  <c r="AI282" i="1"/>
  <c r="AN282" i="1" s="1"/>
  <c r="AI371" i="1"/>
  <c r="AN371" i="1" s="1"/>
  <c r="AI513" i="1"/>
  <c r="AN513" i="1" s="1"/>
  <c r="BD95" i="1"/>
  <c r="BF95" i="1" s="1"/>
  <c r="BD219" i="1"/>
  <c r="BF219" i="1" s="1"/>
  <c r="BD402" i="1"/>
  <c r="BF402" i="1" s="1"/>
  <c r="BD243" i="1"/>
  <c r="BF243" i="1" s="1"/>
  <c r="BD476" i="1"/>
  <c r="BF476" i="1" s="1"/>
  <c r="BD480" i="1"/>
  <c r="BF480" i="1" s="1"/>
  <c r="AI113" i="1"/>
  <c r="AN113" i="1" s="1"/>
  <c r="AI248" i="1"/>
  <c r="AN248" i="1" s="1"/>
  <c r="BD312" i="1"/>
  <c r="BF312" i="1" s="1"/>
  <c r="AI111" i="1"/>
  <c r="AN111" i="1" s="1"/>
  <c r="AI267" i="1"/>
  <c r="AN267" i="1" s="1"/>
  <c r="AI146" i="1"/>
  <c r="AN146" i="1" s="1"/>
  <c r="BD252" i="1"/>
  <c r="BF252" i="1" s="1"/>
  <c r="BD348" i="1"/>
  <c r="BF348" i="1" s="1"/>
  <c r="BD397" i="1"/>
  <c r="BF397" i="1" s="1"/>
  <c r="AI250" i="1"/>
  <c r="AN250" i="1" s="1"/>
  <c r="AI362" i="1"/>
  <c r="AN362" i="1" s="1"/>
  <c r="BD105" i="1"/>
  <c r="BF105" i="1" s="1"/>
  <c r="AI159" i="1"/>
  <c r="AN159" i="1" s="1"/>
  <c r="AI163" i="1"/>
  <c r="AN163" i="1" s="1"/>
  <c r="AI139" i="1"/>
  <c r="AN139" i="1" s="1"/>
  <c r="BD363" i="1"/>
  <c r="BF363" i="1" s="1"/>
  <c r="BD276" i="1"/>
  <c r="BF276" i="1" s="1"/>
  <c r="BD255" i="1"/>
  <c r="BF255" i="1" s="1"/>
  <c r="BD449" i="1"/>
  <c r="BF449" i="1" s="1"/>
  <c r="AI450" i="1"/>
  <c r="AN450" i="1" s="1"/>
  <c r="BD224" i="1"/>
  <c r="BF224" i="1" s="1"/>
  <c r="BD53" i="1"/>
  <c r="BF53" i="1" s="1"/>
  <c r="BD213" i="1"/>
  <c r="BF213" i="1" s="1"/>
  <c r="BD305" i="1"/>
  <c r="BF305" i="1" s="1"/>
  <c r="BD229" i="1"/>
  <c r="BF229" i="1" s="1"/>
  <c r="BD319" i="1"/>
  <c r="BF319" i="1" s="1"/>
  <c r="BD422" i="1"/>
  <c r="BF422" i="1" s="1"/>
  <c r="BD144" i="1"/>
  <c r="BF144" i="1" s="1"/>
  <c r="BD282" i="1"/>
  <c r="BF282" i="1" s="1"/>
  <c r="BD170" i="1"/>
  <c r="BF170" i="1" s="1"/>
  <c r="BD419" i="1"/>
  <c r="BF419" i="1" s="1"/>
  <c r="BD294" i="1"/>
  <c r="BF294" i="1" s="1"/>
  <c r="BD444" i="1"/>
  <c r="BF444" i="1" s="1"/>
  <c r="BD497" i="1"/>
  <c r="BF497" i="1" s="1"/>
  <c r="BD412" i="1"/>
  <c r="BF412" i="1" s="1"/>
  <c r="BD404" i="1"/>
  <c r="BF404" i="1" s="1"/>
  <c r="BD456" i="1"/>
  <c r="BF456" i="1" s="1"/>
  <c r="BD88" i="1"/>
  <c r="BF88" i="1" s="1"/>
  <c r="BD459" i="1"/>
  <c r="BF459" i="1" s="1"/>
  <c r="BD409" i="1"/>
  <c r="BF409" i="1" s="1"/>
  <c r="BD478" i="1"/>
  <c r="BF478" i="1" s="1"/>
  <c r="AI505" i="1"/>
  <c r="AN505" i="1" s="1"/>
  <c r="AI188" i="1"/>
  <c r="AN188" i="1" s="1"/>
  <c r="AI302" i="1"/>
  <c r="AN302" i="1" s="1"/>
  <c r="AI382" i="1"/>
  <c r="AN382" i="1" s="1"/>
  <c r="AI478" i="1"/>
  <c r="AN478" i="1" s="1"/>
  <c r="AI441" i="1"/>
  <c r="AN441" i="1" s="1"/>
  <c r="AI314" i="1"/>
  <c r="AN314" i="1" s="1"/>
  <c r="AI210" i="1"/>
  <c r="AN210" i="1" s="1"/>
  <c r="AI492" i="1"/>
  <c r="AN492" i="1" s="1"/>
  <c r="AI200" i="1"/>
  <c r="AN200" i="1" s="1"/>
  <c r="AI135" i="1"/>
  <c r="AN135" i="1" s="1"/>
  <c r="AI83" i="1"/>
  <c r="AN83" i="1" s="1"/>
  <c r="BD230" i="1"/>
  <c r="BF230" i="1" s="1"/>
  <c r="BD167" i="1"/>
  <c r="BF167" i="1" s="1"/>
  <c r="BD173" i="1"/>
  <c r="BF173" i="1" s="1"/>
  <c r="BD469" i="1"/>
  <c r="BF469" i="1" s="1"/>
  <c r="BD296" i="1"/>
  <c r="BF296" i="1" s="1"/>
  <c r="AI106" i="1"/>
  <c r="AN106" i="1" s="1"/>
  <c r="AI100" i="1"/>
  <c r="AN100" i="1" s="1"/>
  <c r="AI268" i="1"/>
  <c r="AN268" i="1" s="1"/>
  <c r="AI273" i="1"/>
  <c r="AN273" i="1" s="1"/>
  <c r="AI142" i="1"/>
  <c r="AN142" i="1" s="1"/>
  <c r="AI271" i="1"/>
  <c r="AN271" i="1" s="1"/>
  <c r="AI407" i="1"/>
  <c r="AN407" i="1" s="1"/>
  <c r="BD145" i="1"/>
  <c r="BF145" i="1" s="1"/>
  <c r="BD131" i="1"/>
  <c r="BF131" i="1" s="1"/>
  <c r="AI160" i="1"/>
  <c r="AN160" i="1" s="1"/>
  <c r="AI137" i="1"/>
  <c r="AN137" i="1" s="1"/>
  <c r="AI54" i="1"/>
  <c r="AI243" i="1"/>
  <c r="AN243" i="1" s="1"/>
  <c r="AI315" i="1"/>
  <c r="AN315" i="1" s="1"/>
  <c r="BD326" i="1"/>
  <c r="BF326" i="1" s="1"/>
  <c r="BD452" i="1"/>
  <c r="BF452" i="1" s="1"/>
  <c r="BD84" i="1"/>
  <c r="BF84" i="1" s="1"/>
  <c r="BD251" i="1"/>
  <c r="BF251" i="1" s="1"/>
  <c r="BD240" i="1"/>
  <c r="BF240" i="1" s="1"/>
  <c r="BD396" i="1"/>
  <c r="BF396" i="1" s="1"/>
  <c r="BD405" i="1"/>
  <c r="BF405" i="1" s="1"/>
  <c r="AI218" i="1"/>
  <c r="AN218" i="1" s="1"/>
  <c r="AI104" i="1"/>
  <c r="AN104" i="1" s="1"/>
  <c r="AI138" i="1"/>
  <c r="AN138" i="1" s="1"/>
  <c r="AI423" i="1"/>
  <c r="AN423" i="1" s="1"/>
  <c r="BD179" i="1"/>
  <c r="BF179" i="1" s="1"/>
  <c r="BD316" i="1"/>
  <c r="BF316" i="1" s="1"/>
  <c r="BD505" i="1"/>
  <c r="BF505" i="1" s="1"/>
  <c r="AI496" i="1"/>
  <c r="AN496" i="1" s="1"/>
  <c r="BD390" i="1"/>
  <c r="BF390" i="1" s="1"/>
  <c r="AI145" i="1"/>
  <c r="AN145" i="1" s="1"/>
  <c r="BD190" i="1"/>
  <c r="BF190" i="1" s="1"/>
  <c r="AI230" i="1"/>
  <c r="AN230" i="1" s="1"/>
  <c r="BD264" i="1"/>
  <c r="BF264" i="1" s="1"/>
  <c r="BD430" i="1"/>
  <c r="BF430" i="1" s="1"/>
  <c r="BD287" i="1"/>
  <c r="BF287" i="1" s="1"/>
  <c r="BD130" i="1"/>
  <c r="BF130" i="1" s="1"/>
  <c r="BD237" i="1"/>
  <c r="BF237" i="1" s="1"/>
  <c r="AI204" i="1"/>
  <c r="AN204" i="1" s="1"/>
  <c r="BD220" i="1"/>
  <c r="BF220" i="1" s="1"/>
  <c r="BD232" i="1"/>
  <c r="BF232" i="1" s="1"/>
  <c r="BD228" i="1"/>
  <c r="BF228" i="1" s="1"/>
  <c r="BD104" i="1"/>
  <c r="BF104" i="1" s="1"/>
  <c r="BD352" i="1"/>
  <c r="BF352" i="1" s="1"/>
  <c r="BD323" i="1"/>
  <c r="BF323" i="1" s="1"/>
  <c r="BD362" i="1"/>
  <c r="BF362" i="1" s="1"/>
  <c r="BD286" i="1"/>
  <c r="BF286" i="1" s="1"/>
  <c r="BD191" i="1"/>
  <c r="BF191" i="1" s="1"/>
  <c r="BD512" i="1"/>
  <c r="BF512" i="1" s="1"/>
  <c r="BD306" i="1"/>
  <c r="BF306" i="1" s="1"/>
  <c r="BD417" i="1"/>
  <c r="BF417" i="1" s="1"/>
  <c r="BD96" i="1"/>
  <c r="BF96" i="1" s="1"/>
  <c r="BD376" i="1"/>
  <c r="BF376" i="1" s="1"/>
  <c r="BD460" i="1"/>
  <c r="BF460" i="1" s="1"/>
  <c r="BD206" i="1"/>
  <c r="BF206" i="1" s="1"/>
  <c r="BD357" i="1"/>
  <c r="BF357" i="1" s="1"/>
  <c r="BD398" i="1"/>
  <c r="BF398" i="1" s="1"/>
  <c r="AI318" i="1"/>
  <c r="AN318" i="1" s="1"/>
  <c r="AI186" i="1"/>
  <c r="AN186" i="1" s="1"/>
  <c r="AI202" i="1"/>
  <c r="AN202" i="1" s="1"/>
  <c r="AI72" i="1"/>
  <c r="AN72" i="1" s="1"/>
  <c r="AI264" i="1"/>
  <c r="AN264" i="1" s="1"/>
  <c r="AI332" i="1"/>
  <c r="AN332" i="1" s="1"/>
  <c r="AI511" i="1"/>
  <c r="AN511" i="1" s="1"/>
  <c r="AI148" i="1"/>
  <c r="AN148" i="1" s="1"/>
  <c r="AI334" i="1"/>
  <c r="AN334" i="1" s="1"/>
  <c r="AI226" i="1"/>
  <c r="AN226" i="1" s="1"/>
  <c r="AI444" i="1"/>
  <c r="AN444" i="1" s="1"/>
  <c r="AI239" i="1"/>
  <c r="AN239" i="1" s="1"/>
  <c r="AI443" i="1"/>
  <c r="AN443" i="1" s="1"/>
  <c r="AI389" i="1"/>
  <c r="AN389" i="1" s="1"/>
  <c r="AI479" i="1"/>
  <c r="AN479" i="1" s="1"/>
  <c r="BD337" i="1"/>
  <c r="BF337" i="1" s="1"/>
  <c r="BD289" i="1"/>
  <c r="BF289" i="1" s="1"/>
  <c r="BD181" i="1"/>
  <c r="BF181" i="1" s="1"/>
  <c r="BD485" i="1"/>
  <c r="BF485" i="1" s="1"/>
  <c r="BD341" i="1"/>
  <c r="BF341" i="1" s="1"/>
  <c r="AI122" i="1"/>
  <c r="AN122" i="1" s="1"/>
  <c r="AI108" i="1"/>
  <c r="AN108" i="1" s="1"/>
  <c r="AI284" i="1"/>
  <c r="AN284" i="1" s="1"/>
  <c r="AI508" i="1"/>
  <c r="AN508" i="1" s="1"/>
  <c r="AI289" i="1"/>
  <c r="AN289" i="1" s="1"/>
  <c r="AI193" i="1"/>
  <c r="AN193" i="1" s="1"/>
  <c r="AI154" i="1"/>
  <c r="AN154" i="1" s="1"/>
  <c r="AI95" i="1"/>
  <c r="AN95" i="1" s="1"/>
  <c r="AI287" i="1"/>
  <c r="AN287" i="1" s="1"/>
  <c r="AI415" i="1"/>
  <c r="AN415" i="1" s="1"/>
  <c r="BD153" i="1"/>
  <c r="BF153" i="1" s="1"/>
  <c r="BD175" i="1"/>
  <c r="BF175" i="1" s="1"/>
  <c r="AI168" i="1"/>
  <c r="AN168" i="1" s="1"/>
  <c r="AI504" i="1"/>
  <c r="AN504" i="1" s="1"/>
  <c r="AI169" i="1"/>
  <c r="AN169" i="1" s="1"/>
  <c r="AI91" i="1"/>
  <c r="AN91" i="1" s="1"/>
  <c r="AI259" i="1"/>
  <c r="AN259" i="1" s="1"/>
  <c r="AI143" i="1"/>
  <c r="AN143" i="1" s="1"/>
  <c r="AI323" i="1"/>
  <c r="AN323" i="1" s="1"/>
  <c r="AI90" i="1"/>
  <c r="AN90" i="1" s="1"/>
  <c r="AI114" i="1"/>
  <c r="AN114" i="1" s="1"/>
  <c r="AI469" i="1"/>
  <c r="AN469" i="1" s="1"/>
  <c r="BD141" i="1"/>
  <c r="BF141" i="1" s="1"/>
  <c r="AI414" i="1"/>
  <c r="AN414" i="1" s="1"/>
  <c r="AI147" i="1"/>
  <c r="AN147" i="1" s="1"/>
  <c r="BD207" i="1"/>
  <c r="BF207" i="1" s="1"/>
  <c r="BD333" i="1"/>
  <c r="BF333" i="1" s="1"/>
  <c r="BD473" i="1"/>
  <c r="BF473" i="1" s="1"/>
  <c r="BD447" i="1"/>
  <c r="BF447" i="1" s="1"/>
  <c r="AD5" i="1"/>
  <c r="BI5" i="1" s="1"/>
  <c r="AJ5" i="1" s="1"/>
  <c r="AY4" i="1" l="1"/>
  <c r="AD4" i="1"/>
  <c r="BI4" i="1" s="1"/>
  <c r="AJ4" i="1" s="1"/>
  <c r="BD4" i="1" l="1"/>
  <c r="BF4" i="1" s="1"/>
  <c r="C2"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AF15" i="1" l="1"/>
  <c r="AF20" i="1"/>
  <c r="AI20" i="1" s="1"/>
  <c r="AI15" i="1"/>
  <c r="AF19" i="1"/>
  <c r="AI19" i="1" s="1"/>
  <c r="AF14" i="1"/>
  <c r="AI14" i="1" s="1"/>
  <c r="AF45" i="1"/>
  <c r="AF42" i="1"/>
  <c r="AF12" i="1"/>
  <c r="AF9" i="1"/>
  <c r="AF18" i="1"/>
  <c r="AF46" i="1"/>
  <c r="AF28" i="1"/>
  <c r="AF48" i="1"/>
  <c r="AH48" i="1" s="1"/>
  <c r="AF30" i="1"/>
  <c r="AF41" i="1"/>
  <c r="AF7" i="1"/>
  <c r="AF5" i="1"/>
  <c r="AF11" i="1"/>
  <c r="AF6" i="1"/>
  <c r="AF29" i="1"/>
  <c r="AF27" i="1"/>
  <c r="AH27" i="1" s="1"/>
  <c r="AF8" i="1"/>
  <c r="AF10" i="1"/>
  <c r="AF44" i="1"/>
  <c r="AF47" i="1"/>
  <c r="AF43" i="1"/>
  <c r="AF34" i="1"/>
  <c r="AF4" i="1"/>
  <c r="AD30" i="1"/>
  <c r="BI30" i="1" s="1"/>
  <c r="AJ30" i="1" s="1"/>
  <c r="AD6" i="1"/>
  <c r="BI6" i="1" s="1"/>
  <c r="AJ6" i="1" s="1"/>
  <c r="AD7" i="1"/>
  <c r="BI7" i="1" s="1"/>
  <c r="AJ7" i="1" s="1"/>
  <c r="AD31" i="1"/>
  <c r="AD33" i="1"/>
  <c r="AD34" i="1"/>
  <c r="BI34" i="1" s="1"/>
  <c r="AJ34" i="1" s="1"/>
  <c r="AD35" i="1"/>
  <c r="AD41" i="1"/>
  <c r="BI41" i="1" s="1"/>
  <c r="AJ41" i="1" s="1"/>
  <c r="AD42" i="1"/>
  <c r="BI42" i="1" s="1"/>
  <c r="AJ42" i="1" s="1"/>
  <c r="AD43" i="1"/>
  <c r="BI43" i="1" s="1"/>
  <c r="AJ43" i="1" s="1"/>
  <c r="AD44" i="1"/>
  <c r="BI44" i="1" s="1"/>
  <c r="AJ44" i="1" s="1"/>
  <c r="AD8" i="1"/>
  <c r="BI8" i="1" s="1"/>
  <c r="AJ8" i="1" s="1"/>
  <c r="AD9" i="1"/>
  <c r="BI9" i="1" s="1"/>
  <c r="AJ9" i="1" s="1"/>
  <c r="AD10" i="1"/>
  <c r="BI10" i="1" s="1"/>
  <c r="AJ10" i="1" s="1"/>
  <c r="AD11" i="1"/>
  <c r="BI11" i="1" s="1"/>
  <c r="AJ11" i="1" s="1"/>
  <c r="AD12" i="1"/>
  <c r="BI12" i="1" s="1"/>
  <c r="AJ12" i="1" s="1"/>
  <c r="AD45" i="1"/>
  <c r="BI45" i="1" s="1"/>
  <c r="AJ45" i="1" s="1"/>
  <c r="AD46" i="1"/>
  <c r="BI46" i="1" s="1"/>
  <c r="AJ46" i="1" s="1"/>
  <c r="AD47" i="1"/>
  <c r="BI47" i="1" s="1"/>
  <c r="AJ47" i="1" s="1"/>
  <c r="AD48" i="1"/>
  <c r="BI48" i="1" s="1"/>
  <c r="AJ48" i="1" s="1"/>
  <c r="AD18" i="1"/>
  <c r="BI18" i="1" s="1"/>
  <c r="AJ18" i="1" s="1"/>
  <c r="AD59" i="1"/>
  <c r="AD60" i="1"/>
  <c r="AD61" i="1"/>
  <c r="AD62" i="1"/>
  <c r="AD63" i="1"/>
  <c r="AJ63" i="1" s="1"/>
  <c r="AD64" i="1"/>
  <c r="AJ64" i="1" s="1"/>
  <c r="AD65" i="1"/>
  <c r="AJ65" i="1" s="1"/>
  <c r="AD66" i="1"/>
  <c r="AJ66" i="1" s="1"/>
  <c r="AD67" i="1"/>
  <c r="AJ67" i="1" s="1"/>
  <c r="AD68" i="1"/>
  <c r="AJ68" i="1" s="1"/>
  <c r="AD69" i="1"/>
  <c r="AJ69" i="1" s="1"/>
  <c r="AD70" i="1"/>
  <c r="AJ70" i="1" s="1"/>
  <c r="AI27" i="1" l="1"/>
  <c r="AN27" i="1" s="1"/>
  <c r="AH4" i="1" l="1"/>
  <c r="AI4" i="1" l="1"/>
  <c r="AN4" i="1" s="1"/>
  <c r="AZ29" i="1"/>
  <c r="AY29" i="1"/>
  <c r="AD29" i="1"/>
  <c r="BI29" i="1" s="1"/>
  <c r="AJ29" i="1" s="1"/>
  <c r="AZ28" i="1"/>
  <c r="AD28" i="1"/>
  <c r="BI28" i="1" s="1"/>
  <c r="AJ28" i="1" s="1"/>
  <c r="AH68" i="1"/>
  <c r="AH60" i="1"/>
  <c r="AH67" i="1"/>
  <c r="AH59" i="1"/>
  <c r="AH10" i="1"/>
  <c r="AH8" i="1"/>
  <c r="AH70" i="1"/>
  <c r="AH66" i="1"/>
  <c r="AH62" i="1"/>
  <c r="AH45" i="1"/>
  <c r="AH44" i="1"/>
  <c r="AH35" i="1"/>
  <c r="AH7" i="1"/>
  <c r="AH69" i="1"/>
  <c r="AH65" i="1"/>
  <c r="AH61" i="1"/>
  <c r="AH12" i="1"/>
  <c r="AH9" i="1"/>
  <c r="AH43" i="1"/>
  <c r="AH34" i="1"/>
  <c r="AH6" i="1"/>
  <c r="AH47" i="1"/>
  <c r="AH11" i="1"/>
  <c r="AH42" i="1"/>
  <c r="AH33" i="1"/>
  <c r="AH5" i="1"/>
  <c r="AH64" i="1"/>
  <c r="AH63" i="1"/>
  <c r="AH46" i="1"/>
  <c r="AH41" i="1"/>
  <c r="AH31" i="1"/>
  <c r="AH30" i="1"/>
  <c r="BA28" i="1" l="1"/>
  <c r="BA29" i="1"/>
  <c r="AI48" i="1"/>
  <c r="AN48" i="1" s="1"/>
  <c r="AI46" i="1"/>
  <c r="AN46" i="1" s="1"/>
  <c r="AI47" i="1"/>
  <c r="AN47" i="1" s="1"/>
  <c r="AI43" i="1"/>
  <c r="AN43" i="1" s="1"/>
  <c r="AI63" i="1"/>
  <c r="AN63" i="1" s="1"/>
  <c r="AI45" i="1"/>
  <c r="AN45" i="1" s="1"/>
  <c r="AI6" i="1"/>
  <c r="AN6" i="1" s="1"/>
  <c r="AI35" i="1"/>
  <c r="AN35" i="1" s="1"/>
  <c r="AI18" i="1"/>
  <c r="AN18" i="1" s="1"/>
  <c r="C6" i="13" s="1"/>
  <c r="AI59" i="1"/>
  <c r="AN59" i="1" s="1"/>
  <c r="AI7" i="1"/>
  <c r="AN7" i="1" s="1"/>
  <c r="AI70" i="1"/>
  <c r="AN70" i="1" s="1"/>
  <c r="AI30" i="1"/>
  <c r="AN30" i="1" s="1"/>
  <c r="AI34" i="1"/>
  <c r="AN34" i="1" s="1"/>
  <c r="AI69" i="1"/>
  <c r="AN69" i="1" s="1"/>
  <c r="AI10" i="1"/>
  <c r="AN10" i="1" s="1"/>
  <c r="AI41" i="1"/>
  <c r="AN41" i="1" s="1"/>
  <c r="AI64" i="1"/>
  <c r="AN64" i="1" s="1"/>
  <c r="AI9" i="1"/>
  <c r="AN9" i="1" s="1"/>
  <c r="AI31" i="1"/>
  <c r="AN31" i="1" s="1"/>
  <c r="AI60" i="1"/>
  <c r="AN60" i="1" s="1"/>
  <c r="C7" i="13" s="1"/>
  <c r="AI11" i="1"/>
  <c r="AN11" i="1" s="1"/>
  <c r="AI44" i="1"/>
  <c r="AN44" i="1" s="1"/>
  <c r="AI67" i="1"/>
  <c r="AN67" i="1" s="1"/>
  <c r="AI33" i="1"/>
  <c r="AN33" i="1" s="1"/>
  <c r="AI42" i="1"/>
  <c r="AN42" i="1" s="1"/>
  <c r="AI61" i="1"/>
  <c r="AN61" i="1" s="1"/>
  <c r="AI66" i="1"/>
  <c r="AN66" i="1" s="1"/>
  <c r="AI68" i="1"/>
  <c r="AN68" i="1" s="1"/>
  <c r="AI62" i="1"/>
  <c r="AN62" i="1" s="1"/>
  <c r="AI5" i="1"/>
  <c r="AN5" i="1" s="1"/>
  <c r="AI12" i="1"/>
  <c r="AN12" i="1" s="1"/>
  <c r="AI65" i="1"/>
  <c r="AN65" i="1" s="1"/>
  <c r="AI8" i="1"/>
  <c r="AN8" i="1" s="1"/>
  <c r="BB28" i="1"/>
  <c r="BB29" i="1"/>
  <c r="AH29" i="1"/>
  <c r="AH28" i="1"/>
  <c r="C8" i="13" l="1"/>
  <c r="D8" i="13"/>
  <c r="BH3" i="1"/>
  <c r="D7" i="13"/>
  <c r="AI29" i="1"/>
  <c r="AN29" i="1" s="1"/>
  <c r="AI28" i="1"/>
  <c r="AN28" i="1" s="1"/>
  <c r="BC29" i="1"/>
  <c r="BC28" i="1"/>
  <c r="D10" i="13" l="1"/>
  <c r="BH26" i="1"/>
  <c r="C10" i="13"/>
  <c r="BD28" i="1"/>
  <c r="BF28" i="1" s="1"/>
  <c r="BD29" i="1"/>
  <c r="BF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Schelley, Emily</author>
  </authors>
  <commentList>
    <comment ref="AV1" authorId="0" shapeId="0" xr:uid="{70F1396C-5593-4295-91E0-200BB727000F}">
      <text>
        <r>
          <rPr>
            <sz val="9"/>
            <color indexed="81"/>
            <rFont val="Tahoma"/>
            <family val="2"/>
          </rPr>
          <t xml:space="preserve">If the BMP has been upgraded multiple times, specifications entered in this section should be the last configuration that is not eligible for credit under the phosphorus control plan. </t>
        </r>
      </text>
    </comment>
    <comment ref="A2" authorId="1" shapeId="0" xr:uid="{7CE72B43-D4E9-4ED7-98C6-D32AA3F958A1}">
      <text>
        <r>
          <rPr>
            <sz val="9"/>
            <color indexed="81"/>
            <rFont val="Tahoma"/>
            <family val="2"/>
          </rPr>
          <t>An indentifier assigned by the MS4, such as from a FRP or PCP.</t>
        </r>
      </text>
    </comment>
    <comment ref="AE2" authorId="0" shapeId="0" xr:uid="{0D1A9507-C4E6-4F01-8212-D151694F27CB}">
      <text>
        <r>
          <rPr>
            <sz val="9"/>
            <color indexed="81"/>
            <rFont val="Tahoma"/>
            <family val="2"/>
          </rPr>
          <t>Storage depth maxes out at 2", which is the max value on the EPA performance curves.</t>
        </r>
      </text>
    </comment>
    <comment ref="AJ2" authorId="0" shapeId="0" xr:uid="{A08E9D2F-6D62-408E-9919-11CB447CBCAB}">
      <text>
        <r>
          <rPr>
            <sz val="9"/>
            <color indexed="81"/>
            <rFont val="Tahoma"/>
            <family val="2"/>
          </rPr>
          <t>Use only if the worksheet does not accomodate the situation, such as if there are practices in series. Manual values will override calculated values if present</t>
        </r>
      </text>
    </comment>
    <comment ref="AM2" authorId="0" shapeId="0" xr:uid="{CBB6BC95-FE40-4EEB-A2BB-9221196699BB}">
      <text>
        <r>
          <rPr>
            <b/>
            <sz val="9"/>
            <color indexed="81"/>
            <rFont val="Tahoma"/>
            <family val="2"/>
          </rPr>
          <t>Administrator:</t>
        </r>
        <r>
          <rPr>
            <sz val="9"/>
            <color indexed="81"/>
            <rFont val="Tahoma"/>
            <family val="2"/>
          </rPr>
          <t xml:space="preserve">
If credit for the practice is going to be shared between MS4s, put the % credit received by your MS4 here.</t>
        </r>
      </text>
    </comment>
    <comment ref="AZ2" authorId="0" shapeId="0" xr:uid="{22E2B3A9-F97B-4BD2-9981-7277C1BDB38D}">
      <text>
        <r>
          <rPr>
            <sz val="9"/>
            <color indexed="81"/>
            <rFont val="Tahoma"/>
            <family val="2"/>
          </rPr>
          <t>Storage depth maxes out at 2", which is the max value on the EPA performance curves.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2" authorId="0" shapeId="0" xr:uid="{A578DF90-7111-462D-8FB3-ADE936E49A4A}">
      <text>
        <r>
          <rPr>
            <sz val="9"/>
            <color indexed="81"/>
            <rFont val="Tahoma"/>
            <family val="2"/>
          </rPr>
          <t>An indentifier assigned by the MS4, such as from a FRP or PCP.</t>
        </r>
      </text>
    </comment>
  </commentList>
</comments>
</file>

<file path=xl/sharedStrings.xml><?xml version="1.0" encoding="utf-8"?>
<sst xmlns="http://schemas.openxmlformats.org/spreadsheetml/2006/main" count="1430" uniqueCount="462">
  <si>
    <t>Project Name</t>
  </si>
  <si>
    <t>Responsible party (i.e., MS4/TS4)</t>
  </si>
  <si>
    <t>BMP type</t>
  </si>
  <si>
    <t>BMP status (planned, constructed)</t>
  </si>
  <si>
    <t>Unique ID</t>
  </si>
  <si>
    <t>Applicable FRP/PCP</t>
  </si>
  <si>
    <t>Burlington Int'l Airport MS4</t>
  </si>
  <si>
    <t>Burlington MS4</t>
  </si>
  <si>
    <t>Colchester MS4</t>
  </si>
  <si>
    <t>Essex Town MS4</t>
  </si>
  <si>
    <t>Essex Junction MS4</t>
  </si>
  <si>
    <t>Rutland Town MS4</t>
  </si>
  <si>
    <t>Shelburne MS4</t>
  </si>
  <si>
    <t>South Burlington MS4</t>
  </si>
  <si>
    <t>BTV</t>
  </si>
  <si>
    <t>BUR</t>
  </si>
  <si>
    <t>COL</t>
  </si>
  <si>
    <t>RUT</t>
  </si>
  <si>
    <t>SHE</t>
  </si>
  <si>
    <t>EST</t>
  </si>
  <si>
    <t>ESJ</t>
  </si>
  <si>
    <t>SBU</t>
  </si>
  <si>
    <t>St. Albans City MS4</t>
  </si>
  <si>
    <t>St. Albans Town MS4</t>
  </si>
  <si>
    <t>University of Vermont MS4</t>
  </si>
  <si>
    <t>Williston MS4</t>
  </si>
  <si>
    <t>Winooski MS4</t>
  </si>
  <si>
    <t>SAC</t>
  </si>
  <si>
    <t>SAT</t>
  </si>
  <si>
    <t>UVM</t>
  </si>
  <si>
    <t>WIL</t>
  </si>
  <si>
    <t>WIN</t>
  </si>
  <si>
    <t>VTR</t>
  </si>
  <si>
    <t>Centennial Brook</t>
  </si>
  <si>
    <t>Potash Brook</t>
  </si>
  <si>
    <t>Morehouse Brook</t>
  </si>
  <si>
    <t>Sunderland Brook</t>
  </si>
  <si>
    <t>Indian Brook</t>
  </si>
  <si>
    <t>Moon Brook</t>
  </si>
  <si>
    <t>Bartlett Brook</t>
  </si>
  <si>
    <t>Munroe Brook</t>
  </si>
  <si>
    <t>Englesby Brook</t>
  </si>
  <si>
    <t>Rugg Brook</t>
  </si>
  <si>
    <t>Stevens Brook</t>
  </si>
  <si>
    <t>Allen Brook</t>
  </si>
  <si>
    <t>Bioretention</t>
  </si>
  <si>
    <t>Gravel Wetland</t>
  </si>
  <si>
    <t>Infiltration Trench</t>
  </si>
  <si>
    <t>Wet pond/ Created Wetland</t>
  </si>
  <si>
    <t>Planned</t>
  </si>
  <si>
    <t>Infiltration rate (in/hr)</t>
  </si>
  <si>
    <t xml:space="preserve">Responsible Party </t>
  </si>
  <si>
    <t>Land Owner</t>
  </si>
  <si>
    <t>Applicable FRP</t>
  </si>
  <si>
    <t>Date of last inspection</t>
  </si>
  <si>
    <t>STP in Manual</t>
  </si>
  <si>
    <t>Variations in manual</t>
  </si>
  <si>
    <t>LC BATT- Performance Curve</t>
  </si>
  <si>
    <t>Storage volume required</t>
  </si>
  <si>
    <t>Infiltration Rate required</t>
  </si>
  <si>
    <t>Other info needed</t>
  </si>
  <si>
    <t>Notes</t>
  </si>
  <si>
    <t>No</t>
  </si>
  <si>
    <t>N/A</t>
  </si>
  <si>
    <t>Infiltrating</t>
  </si>
  <si>
    <t>Surface Infiltration</t>
  </si>
  <si>
    <t>Yes</t>
  </si>
  <si>
    <t xml:space="preserve">DSV = Ponding water storage volume and void space volumes of soil filter media. Example:  DSV = (Apond x Dpond) + (Asoil x Dsoil x nsoil mix) </t>
  </si>
  <si>
    <t>Underdrained</t>
  </si>
  <si>
    <t>Bio-filtration</t>
  </si>
  <si>
    <t xml:space="preserve">DSV = Ponding water storage volume and void space volume of soil filter media.  DSV =  (Abed x Dponding)+ (Abed x Dsoil x nsoil)  </t>
  </si>
  <si>
    <t>Infiltration</t>
  </si>
  <si>
    <t>Basin</t>
  </si>
  <si>
    <r>
      <t>DSV = Water volume of storage structure before bypass. Example for linear trapazoidal vegetated swale.  DSV = (L x ((W</t>
    </r>
    <r>
      <rPr>
        <sz val="8"/>
        <color theme="1"/>
        <rFont val="Calibri"/>
        <family val="2"/>
        <scheme val="minor"/>
      </rPr>
      <t>bottom</t>
    </r>
    <r>
      <rPr>
        <sz val="11"/>
        <color theme="1"/>
        <rFont val="Calibri"/>
        <family val="2"/>
        <scheme val="minor"/>
      </rPr>
      <t>+W</t>
    </r>
    <r>
      <rPr>
        <sz val="8"/>
        <color theme="1"/>
        <rFont val="Calibri"/>
        <family val="2"/>
        <scheme val="minor"/>
      </rPr>
      <t>top@Dmax</t>
    </r>
    <r>
      <rPr>
        <sz val="11"/>
        <color theme="1"/>
        <rFont val="Calibri"/>
        <family val="2"/>
        <scheme val="minor"/>
      </rPr>
      <t xml:space="preserve"> )/2) x D)</t>
    </r>
  </si>
  <si>
    <t>Trench</t>
  </si>
  <si>
    <r>
      <t>DSV = void space volumes of stone and sand layers. DSV = (A</t>
    </r>
    <r>
      <rPr>
        <sz val="8"/>
        <color theme="1"/>
        <rFont val="Calibri"/>
        <family val="2"/>
        <scheme val="minor"/>
      </rPr>
      <t>trench</t>
    </r>
    <r>
      <rPr>
        <sz val="11"/>
        <color theme="1"/>
        <rFont val="Calibri"/>
        <family val="2"/>
        <scheme val="minor"/>
      </rPr>
      <t xml:space="preserve"> x D</t>
    </r>
    <r>
      <rPr>
        <sz val="8"/>
        <color theme="1"/>
        <rFont val="Calibri"/>
        <family val="2"/>
        <scheme val="minor"/>
      </rPr>
      <t>stone</t>
    </r>
    <r>
      <rPr>
        <sz val="11"/>
        <color theme="1"/>
        <rFont val="Calibri"/>
        <family val="2"/>
        <scheme val="minor"/>
      </rPr>
      <t xml:space="preserve"> x n</t>
    </r>
    <r>
      <rPr>
        <sz val="9"/>
        <color theme="1"/>
        <rFont val="Calibri"/>
        <family val="2"/>
        <scheme val="minor"/>
      </rPr>
      <t>stone</t>
    </r>
    <r>
      <rPr>
        <sz val="11"/>
        <color theme="1"/>
        <rFont val="Calibri"/>
        <family val="2"/>
        <scheme val="minor"/>
      </rPr>
      <t xml:space="preserve"> )+ (A</t>
    </r>
    <r>
      <rPr>
        <sz val="9"/>
        <color theme="1"/>
        <rFont val="Calibri"/>
        <family val="2"/>
        <scheme val="minor"/>
      </rPr>
      <t>trench</t>
    </r>
    <r>
      <rPr>
        <sz val="11"/>
        <color theme="1"/>
        <rFont val="Calibri"/>
        <family val="2"/>
        <scheme val="minor"/>
      </rPr>
      <t xml:space="preserve"> x D</t>
    </r>
    <r>
      <rPr>
        <sz val="9"/>
        <color theme="1"/>
        <rFont val="Calibri"/>
        <family val="2"/>
        <scheme val="minor"/>
      </rPr>
      <t>sand</t>
    </r>
    <r>
      <rPr>
        <sz val="11"/>
        <color theme="1"/>
        <rFont val="Calibri"/>
        <family val="2"/>
        <scheme val="minor"/>
      </rPr>
      <t xml:space="preserve"> x n</t>
    </r>
    <r>
      <rPr>
        <sz val="9"/>
        <color theme="1"/>
        <rFont val="Calibri"/>
        <family val="2"/>
        <scheme val="minor"/>
      </rPr>
      <t>sand</t>
    </r>
    <r>
      <rPr>
        <sz val="11"/>
        <color theme="1"/>
        <rFont val="Calibri"/>
        <family val="2"/>
        <scheme val="minor"/>
      </rPr>
      <t>)</t>
    </r>
  </si>
  <si>
    <t xml:space="preserve">Subsurface </t>
  </si>
  <si>
    <t>Dry Swale</t>
  </si>
  <si>
    <t>DSV = Water volume of storage structure before bypass. Example for linear trapazoidal vegetated swale.  DSV = (L x ((Wbottom+Wtop@Dmax )/2) x D)</t>
  </si>
  <si>
    <t>Filters</t>
  </si>
  <si>
    <t>Sand Filter</t>
  </si>
  <si>
    <r>
      <t>DSV = Ponding water storage volume and void space volume of soil filter media. DSV =  (Abed x Dponding)+ (A</t>
    </r>
    <r>
      <rPr>
        <sz val="8"/>
        <color theme="1"/>
        <rFont val="Calibri"/>
        <family val="2"/>
        <scheme val="minor"/>
      </rPr>
      <t>bed</t>
    </r>
    <r>
      <rPr>
        <sz val="11"/>
        <color theme="1"/>
        <rFont val="Calibri"/>
        <family val="2"/>
        <scheme val="minor"/>
      </rPr>
      <t xml:space="preserve"> x D</t>
    </r>
    <r>
      <rPr>
        <sz val="8"/>
        <color theme="1"/>
        <rFont val="Calibri"/>
        <family val="2"/>
        <scheme val="minor"/>
      </rPr>
      <t>soi</t>
    </r>
    <r>
      <rPr>
        <sz val="11"/>
        <color theme="1"/>
        <rFont val="Calibri"/>
        <family val="2"/>
        <scheme val="minor"/>
      </rPr>
      <t>l x n</t>
    </r>
    <r>
      <rPr>
        <sz val="8"/>
        <color theme="1"/>
        <rFont val="Calibri"/>
        <family val="2"/>
        <scheme val="minor"/>
      </rPr>
      <t>soil</t>
    </r>
    <r>
      <rPr>
        <sz val="11"/>
        <color theme="1"/>
        <rFont val="Calibri"/>
        <family val="2"/>
        <scheme val="minor"/>
      </rPr>
      <t xml:space="preserve">)  </t>
    </r>
  </si>
  <si>
    <t>Wet Pond</t>
  </si>
  <si>
    <t>NA</t>
  </si>
  <si>
    <t>For storage volume use WQV calculated for pond. If no ED is used, WQV = Perm pool volume</t>
  </si>
  <si>
    <t>Treatment Wetland</t>
  </si>
  <si>
    <t>Shallow Surface Wetland</t>
  </si>
  <si>
    <t xml:space="preserve">DSV = pretreatment volume + ponding volume + void space volume of gravel ISR.                                                   DSV = (A pretreatment x DpreTreatment)+ (A wetland x Dponding)+ (AISR x Dgravel  x ngravel)  Pretreatment </t>
  </si>
  <si>
    <t>also asks for pretreatment volume</t>
  </si>
  <si>
    <t>Permeable Pavement</t>
  </si>
  <si>
    <t>Subsurface infiltration</t>
  </si>
  <si>
    <t>Lined with underdrain</t>
  </si>
  <si>
    <t>Porous Pavement</t>
  </si>
  <si>
    <t>Depth of Filter course (Inches)</t>
  </si>
  <si>
    <t xml:space="preserve">Depth of filter course </t>
  </si>
  <si>
    <t>Definitions</t>
  </si>
  <si>
    <t>Practice that treats runoff  by passing it through a vegetated filter bed, with a filter mixture of sand, soil, and organic matter. Filtered stormwater is either returned to a conveyance system or infiltrated into the native soil.</t>
  </si>
  <si>
    <t>Practices that capture and store stormwater runoff, for the express purpose of allowing it to infiltrate into the soil</t>
  </si>
  <si>
    <t>A soil filter system that temporarily stores and then filters a desired runoff volume for treatment. It is configured as a linear channel, and covered with turf or surface material other than mulch and ornamental plants.</t>
  </si>
  <si>
    <t>Filtering systems capture and temporarily store runoff and pass it through a filter bed of sand or augmented media. Filtered runoff may be collected  (via underdrain), or allowed to exfiltrate into the soil.</t>
  </si>
  <si>
    <t>DSV= Pemanant pool volume prior to high flow bypass   DSV=Apond x Dpond   (does not include pretreatment volume)</t>
  </si>
  <si>
    <t>A practice consisting of a permanent pool of standing water that promotes a stable environment for gravitational settling, biological uptake, and microbial activity.</t>
  </si>
  <si>
    <t>Treatment systems that maximize pollutant removal and the uptake of nutrients through wetland vegetation, retention, and settling.  Gravel wetlands store water within the void spaces of gravel. Shallow surface wetlands use organic wetland soils and have a permanent pool of water that supports  wetland plants.</t>
  </si>
  <si>
    <t xml:space="preserve">Hardscape surfaces with an underlying reservoir course that captures and temporarily stores it before infiltrating into the underlying soil or conveying it elsewhere.  </t>
  </si>
  <si>
    <t>DSV= Design Storage Volume = physical storage capacity to hold water</t>
  </si>
  <si>
    <t>VSV=Void Space Volume</t>
  </si>
  <si>
    <t>L= length, W= width, D= depth at design capacity before bypass, n=porosity fill material, A= average surface area for calculating volume</t>
  </si>
  <si>
    <t>Infiltration rate = saturated soil hydraulic conductivity</t>
  </si>
  <si>
    <t>Footnotes:</t>
  </si>
  <si>
    <t>Maintence needed?</t>
  </si>
  <si>
    <t>Under Construction</t>
  </si>
  <si>
    <t>Complete</t>
  </si>
  <si>
    <t>Design, Construction and Maintence</t>
  </si>
  <si>
    <t>(this tab can be hidden when you send it out to the public)</t>
  </si>
  <si>
    <t>BMP Tracking Specifications</t>
  </si>
  <si>
    <t xml:space="preserve">BMP Identification </t>
  </si>
  <si>
    <t>ü</t>
  </si>
  <si>
    <t>Existing SW permit number (if applicable)</t>
  </si>
  <si>
    <t>Is this an upgrade to an existing BMP?</t>
  </si>
  <si>
    <t>n/a</t>
  </si>
  <si>
    <t>VTrans TS4</t>
  </si>
  <si>
    <t>LC TMDL Drainage Area</t>
  </si>
  <si>
    <t>LC TMDL Lake Segment</t>
  </si>
  <si>
    <t>Lake Segment</t>
  </si>
  <si>
    <t>Drainage Area</t>
  </si>
  <si>
    <t>South Lake B</t>
  </si>
  <si>
    <t>South Lake A</t>
  </si>
  <si>
    <t>Port Henry</t>
  </si>
  <si>
    <t>Otter Creek</t>
  </si>
  <si>
    <t>Main Lake</t>
  </si>
  <si>
    <t>Shelburne Bay</t>
  </si>
  <si>
    <t>Burlington Bay</t>
  </si>
  <si>
    <t>Malletts Bay</t>
  </si>
  <si>
    <t>Northeast Arm</t>
  </si>
  <si>
    <t>St. Albans Bay</t>
  </si>
  <si>
    <t>Missisquoi Bay</t>
  </si>
  <si>
    <t>Isle La Motte</t>
  </si>
  <si>
    <t>Mettawee River</t>
  </si>
  <si>
    <t>Poultney River</t>
  </si>
  <si>
    <t>South Lake B Direct Drainage</t>
  </si>
  <si>
    <t>South Lake A Direct Drainage</t>
  </si>
  <si>
    <t>Port Henry Direct Drainage</t>
  </si>
  <si>
    <t>Lewis Creek</t>
  </si>
  <si>
    <t>Little Otter Creek</t>
  </si>
  <si>
    <t>Otter Creek Direct Drainage</t>
  </si>
  <si>
    <t>Main Lake Direct Drainage</t>
  </si>
  <si>
    <t>Winooski River</t>
  </si>
  <si>
    <t>Laplatte River</t>
  </si>
  <si>
    <t>Burlington Bay Direct Drainage</t>
  </si>
  <si>
    <t>Lamoille River</t>
  </si>
  <si>
    <t>Malletts Bay Direct Drainage</t>
  </si>
  <si>
    <t>Northeast Arm Direct Drainage</t>
  </si>
  <si>
    <t>St. Albans Bay Direct Drainage</t>
  </si>
  <si>
    <t>Mississquoi Bay Direct Drainage</t>
  </si>
  <si>
    <t>Mississquoi River</t>
  </si>
  <si>
    <t>Isle La Motte Direct Drainage</t>
  </si>
  <si>
    <t>Burlington Bay - CSO</t>
  </si>
  <si>
    <t>Latitude (decimal degrees)</t>
  </si>
  <si>
    <t>Longitude (decimal degrees)</t>
  </si>
  <si>
    <t>BMP type prior to upgrade</t>
  </si>
  <si>
    <t>Sand filter (infiltrating)</t>
  </si>
  <si>
    <t>Bioretention (infiltrating)</t>
  </si>
  <si>
    <t>Bioretention (w/ underdrain)</t>
  </si>
  <si>
    <t>Sand filter (w/ underdrain)</t>
  </si>
  <si>
    <t>Infiltration Chambers</t>
  </si>
  <si>
    <t>Dry Swale (w/ underdrain)</t>
  </si>
  <si>
    <t>Dry Swale (infiltrating)</t>
  </si>
  <si>
    <t>Infiltration Rate Required</t>
  </si>
  <si>
    <t>no</t>
  </si>
  <si>
    <t>yes</t>
  </si>
  <si>
    <t>Watershed Projects Database ID (if known)</t>
  </si>
  <si>
    <t xml:space="preserve">Unique ID </t>
  </si>
  <si>
    <t>Infiltration rate prior to upgrade (in/hr)</t>
  </si>
  <si>
    <t>Year Planned Construction</t>
  </si>
  <si>
    <t>Part of MS4/ Incorporated into MS4</t>
  </si>
  <si>
    <t>Date Constructed</t>
  </si>
  <si>
    <t xml:space="preserve">BMP Status </t>
  </si>
  <si>
    <t xml:space="preserve">BMP Specifications Prior to Upgrade </t>
  </si>
  <si>
    <t>Preliminary Design (&lt;100%)</t>
  </si>
  <si>
    <t>Final Design (100%)</t>
  </si>
  <si>
    <t>Design Storage Volume (DSV)</t>
  </si>
  <si>
    <t>Impervious area  (acres)</t>
  </si>
  <si>
    <t>Eligible for Phosphorus Credit?</t>
  </si>
  <si>
    <t>Pervious HSG A</t>
  </si>
  <si>
    <t>Pervious HSG B</t>
  </si>
  <si>
    <t>Pervious HSG C</t>
  </si>
  <si>
    <t xml:space="preserve">Pervious HSG D </t>
  </si>
  <si>
    <t>Unpaved Roads</t>
  </si>
  <si>
    <t>Paved Roads</t>
  </si>
  <si>
    <t>Non-Road Impervious</t>
  </si>
  <si>
    <t>Developed Impervious</t>
  </si>
  <si>
    <t>Developed Pervious</t>
  </si>
  <si>
    <t>Forest</t>
  </si>
  <si>
    <t>HSG A</t>
  </si>
  <si>
    <t>HSG B</t>
  </si>
  <si>
    <t>HSG C</t>
  </si>
  <si>
    <t>HSG D</t>
  </si>
  <si>
    <t>Weighted Average</t>
  </si>
  <si>
    <t>Missisquoi River</t>
  </si>
  <si>
    <t>Basin-wide</t>
  </si>
  <si>
    <t>*The basin wide average of the HSG soil type was used here, as these loads were not included in the TMDL modeling.</t>
  </si>
  <si>
    <r>
      <t> </t>
    </r>
    <r>
      <rPr>
        <sz val="10"/>
        <color theme="1"/>
        <rFont val="Calibri"/>
        <family val="2"/>
        <scheme val="minor"/>
      </rPr>
      <t>What should be our suggestion for the blanks on this table?</t>
    </r>
  </si>
  <si>
    <r>
      <t> </t>
    </r>
    <r>
      <rPr>
        <sz val="10"/>
        <color theme="1"/>
        <rFont val="Calibri"/>
        <family val="2"/>
        <scheme val="minor"/>
      </rPr>
      <t>If a value is listed as N/A use the basin wide average of that soil group. We can add these numbers in and then add an asterisk and a footnote.</t>
    </r>
  </si>
  <si>
    <r>
      <t>0.412</t>
    </r>
    <r>
      <rPr>
        <sz val="8"/>
        <rFont val="Calibri"/>
        <family val="2"/>
        <scheme val="minor"/>
      </rPr>
      <t>  </t>
    </r>
  </si>
  <si>
    <t>Infiltration Rate</t>
  </si>
  <si>
    <t>8.27 in/hr</t>
  </si>
  <si>
    <t>2.41 in/hr</t>
  </si>
  <si>
    <t>1.02 in/hr</t>
  </si>
  <si>
    <t>0.52 in/hr</t>
  </si>
  <si>
    <t>0.27 in /hr</t>
  </si>
  <si>
    <t>0.17 in/hr</t>
  </si>
  <si>
    <t>Practice Type</t>
  </si>
  <si>
    <t>Infiltration Basin</t>
  </si>
  <si>
    <t>Upper Efficiency - Lower Efficiency</t>
  </si>
  <si>
    <t>Percent of Storage Depth Step</t>
  </si>
  <si>
    <t>Extended Dry Detention Pond</t>
  </si>
  <si>
    <t xml:space="preserve">BMP Type </t>
  </si>
  <si>
    <t>Pervious Entry Method</t>
  </si>
  <si>
    <t>Pervious Entry Type</t>
  </si>
  <si>
    <t>Total Pervious</t>
  </si>
  <si>
    <t>By HSG</t>
  </si>
  <si>
    <t>Total Pervious area (acres) </t>
  </si>
  <si>
    <t>Missisquoi Bay Direct Drainage</t>
  </si>
  <si>
    <t>Yes (include previoius drainage area info)</t>
  </si>
  <si>
    <t xml:space="preserve"> HSG A </t>
  </si>
  <si>
    <t xml:space="preserve"> HSG B</t>
  </si>
  <si>
    <t>Total Pervious Area</t>
  </si>
  <si>
    <t>Upper Efficiency - Lower Efficiency4</t>
  </si>
  <si>
    <t>Percent of Storage Depth Step5</t>
  </si>
  <si>
    <t>Pervious Entry Method 2</t>
  </si>
  <si>
    <t>Does the upgrade changed the drainage area?</t>
  </si>
  <si>
    <t>Prior Impervious area (acres)</t>
  </si>
  <si>
    <t>Grass Channel</t>
  </si>
  <si>
    <t>Previous SW permit number (if applicable)</t>
  </si>
  <si>
    <t>Cost Estimate (optional)</t>
  </si>
  <si>
    <t>BMP Tracking Table Instructions</t>
  </si>
  <si>
    <r>
      <t>·</t>
    </r>
    <r>
      <rPr>
        <sz val="7"/>
        <color theme="1"/>
        <rFont val="Times New Roman"/>
        <family val="1"/>
      </rPr>
      <t xml:space="preserve">         </t>
    </r>
    <r>
      <rPr>
        <sz val="11"/>
        <color theme="1"/>
        <rFont val="Calibri"/>
        <family val="2"/>
        <scheme val="minor"/>
      </rPr>
      <t>BMP P Tracking Table – used to track practice maintenance, construction, and phosphorus accounting of practices included in a phosphorus control plan (PCP) or flow restoration plan (FRP).</t>
    </r>
  </si>
  <si>
    <r>
      <t>·</t>
    </r>
    <r>
      <rPr>
        <sz val="7"/>
        <color theme="1"/>
        <rFont val="Times New Roman"/>
        <family val="1"/>
      </rPr>
      <t xml:space="preserve">         </t>
    </r>
    <r>
      <rPr>
        <sz val="11"/>
        <color theme="1"/>
        <rFont val="Calibri"/>
        <family val="2"/>
        <scheme val="minor"/>
      </rPr>
      <t>Maintenance – used to track maintenance of practices that are not included in a phosphorus control plan or flow restoration plan, but the MS4 has taken full legal responsibility for.</t>
    </r>
  </si>
  <si>
    <t>Some cells have a dropdown that appear when the cell is selected.  Please select one of the values from the list, rather than typing in a value manually.  If a value is input that doesn’t match one of the expected values, formulas in the workbook may break.</t>
  </si>
  <si>
    <t>Storage Volumes</t>
  </si>
  <si>
    <t>The storage volume is the maximum amount of water that a practice can hold at one time. The storage volume that should be used for credit calculations is typically the volume of water can hold during storms up to the 1-year return storm. Some practices are designed to provide attenuation and safe passage of larger storms, such as the 10- or 100-year return storm; however, this additional volume typically does not stay in the practice long enough to receive much treatment and shouldn’t be included in credit calculations.</t>
  </si>
  <si>
    <t>Storage Volume for Ponds and Wetlands</t>
  </si>
  <si>
    <t>For wet ponds and gravel wetlands, there is typically a large outlet at or near the top of the outlet riser that allows larger storms to exit the practice quickly.  Storage above that level is considered flood storage and should be excluded from credit calculations.</t>
  </si>
  <si>
    <t>Modeling documentation for the practice should include a stage vs. storage table that can be used to determine the appropriate volume for credit calculations.</t>
  </si>
  <si>
    <t xml:space="preserve">Many ponds built prior to the adoption of the 2002 Vermont Stormwater Management Manual were designed for peak flow attenuation and have neither a permanent pool nor extended detention. Ponds lacking these features are not assigned a phosphorus credit as they do not provide significant treatment. </t>
  </si>
  <si>
    <t>Storage Volume for Grass Channels</t>
  </si>
  <si>
    <t>Grass channels were a popular treatment practice under the 2002 Vermont Stormwater Management Manual (VSMM). Grass channels were typically sized to provide treatment for the water quality storm, which was the 0.9” storm under the 2002 VSMM. Grass channel typically have volume to convey large storms but credit calculations should be based on the peak volume of water in the swale during the water quality storm.</t>
  </si>
  <si>
    <t>emily.schelley@vermont.gov</t>
  </si>
  <si>
    <t>Storage Volume of Filters and Bioretention Practices</t>
  </si>
  <si>
    <t>The workbook is designed to track stormwater practices that are owned or controlled by an MS4.  There are two tabs:</t>
  </si>
  <si>
    <t>Drainage Area Prior to Upgrade</t>
  </si>
  <si>
    <t>Manual P Reduction (kg/yr)</t>
  </si>
  <si>
    <t>Phosphorus Calculations</t>
  </si>
  <si>
    <t>% Credit to MS4</t>
  </si>
  <si>
    <t xml:space="preserve">When calculating the storage of a filter media, the porosity (n) of 0.33 should be used. The same rule about excluding flood storage in storage calculations as for ponds and wetlands applies to these practices.  </t>
  </si>
  <si>
    <t>What can be included for phosphorus credit?</t>
  </si>
  <si>
    <r>
      <rPr>
        <sz val="12"/>
        <rFont val="Calibri"/>
        <family val="2"/>
      </rPr>
      <t xml:space="preserve">•    </t>
    </r>
    <r>
      <rPr>
        <sz val="12"/>
        <rFont val="Calibri"/>
        <family val="2"/>
        <scheme val="minor"/>
      </rPr>
      <t>Increase in treatment built during or after 2002 on existing impervious</t>
    </r>
  </si>
  <si>
    <t>Basin Information</t>
  </si>
  <si>
    <r>
      <t>Storage volume (ft</t>
    </r>
    <r>
      <rPr>
        <b/>
        <vertAlign val="superscript"/>
        <sz val="11"/>
        <color theme="1"/>
        <rFont val="Calibri"/>
        <family val="2"/>
        <scheme val="minor"/>
      </rPr>
      <t>3</t>
    </r>
    <r>
      <rPr>
        <b/>
        <sz val="11"/>
        <color theme="1"/>
        <rFont val="Calibri"/>
        <family val="2"/>
        <scheme val="minor"/>
      </rPr>
      <t>)</t>
    </r>
  </si>
  <si>
    <r>
      <t>Previous storage volume (ft</t>
    </r>
    <r>
      <rPr>
        <b/>
        <vertAlign val="superscript"/>
        <sz val="11"/>
        <color theme="1"/>
        <rFont val="Calibri"/>
        <family val="2"/>
        <scheme val="minor"/>
      </rPr>
      <t>3</t>
    </r>
    <r>
      <rPr>
        <b/>
        <sz val="11"/>
        <color theme="1"/>
        <rFont val="Calibri"/>
        <family val="2"/>
        <scheme val="minor"/>
      </rPr>
      <t>)</t>
    </r>
  </si>
  <si>
    <t>Manual P Reduction - Prior Practice (kg/yr)</t>
  </si>
  <si>
    <t>http://anrmaps.vermont.gov/websites/anra5/</t>
  </si>
  <si>
    <t>Do not put anything in cells that have been grey out         .  This could break equations.</t>
  </si>
  <si>
    <t>Generalized diagram off a wet pond</t>
  </si>
  <si>
    <t>If the appropriate FRP Watershed is selected, the drainage area and lake segment will autofill, although it may not work if you delete the cell contents. Drainage areas and Lake Segments can be found on the Natural Resources Atlas (linked below) by selecting ANR Basemap Data&gt; Lake Segment Basins.  Stormwater Impaired Watersheds are found under Stormwater&gt;Stormwater Impaired Watersheds.</t>
  </si>
  <si>
    <t>HydroCAD summary of a grass channel (swale) showing the correct storage volume for credit calculations</t>
  </si>
  <si>
    <t>HydroCAD summary of a wet pond showing the correct storage volume for credit calculations</t>
  </si>
  <si>
    <r>
      <rPr>
        <sz val="11"/>
        <color theme="1"/>
        <rFont val="Calibri"/>
        <family val="2"/>
      </rPr>
      <t xml:space="preserve">•    </t>
    </r>
    <r>
      <rPr>
        <sz val="11"/>
        <color theme="1"/>
        <rFont val="Calibri"/>
        <family val="2"/>
        <scheme val="minor"/>
      </rPr>
      <t>Treatment of new impervious after 2010 that was not required to obtain a state stormwater permit</t>
    </r>
  </si>
  <si>
    <t>Last updated 2/12/2020</t>
  </si>
  <si>
    <t>* Prior Load Before Treatment (kg/acre/year)</t>
  </si>
  <si>
    <t>* Prior Storage Depth (inches)</t>
  </si>
  <si>
    <t>* Prior Practice Efficiency</t>
  </si>
  <si>
    <t>* Estimated P removal of Prior Practice (kg/yr)</t>
  </si>
  <si>
    <t>* P Credit (kg/yr)</t>
  </si>
  <si>
    <t>* P Reduction (kg/year)</t>
  </si>
  <si>
    <t>* Practice Efficiency</t>
  </si>
  <si>
    <t>* Storage Depth (inches)</t>
  </si>
  <si>
    <t>* Load Before Treatment (kg/ac/yr)</t>
  </si>
  <si>
    <r>
      <t xml:space="preserve">Some cells of the worksheet are locked to protect the formulas. Where this is the case , the field name is marked with an </t>
    </r>
    <r>
      <rPr>
        <b/>
        <sz val="11"/>
        <color theme="1"/>
        <rFont val="Calibri"/>
        <family val="2"/>
        <scheme val="minor"/>
      </rPr>
      <t>*</t>
    </r>
    <r>
      <rPr>
        <sz val="11"/>
        <color theme="1"/>
        <rFont val="Calibri"/>
        <family val="2"/>
        <scheme val="minor"/>
      </rPr>
      <t xml:space="preserve">.  If errors are discovered please contact: </t>
    </r>
  </si>
  <si>
    <t>BTV TW F</t>
  </si>
  <si>
    <t>BTV RW 15-33 (006)</t>
  </si>
  <si>
    <t>BTV RW 15-33 (005)</t>
  </si>
  <si>
    <t>BTV RW 15-33 (004)</t>
  </si>
  <si>
    <t>BTV RW 15-33 (003)</t>
  </si>
  <si>
    <t>BTV RW 15-33 (002)</t>
  </si>
  <si>
    <t>BTV RW 15-33 (001)</t>
  </si>
  <si>
    <t>BTV HFA</t>
  </si>
  <si>
    <t>BTV QA</t>
  </si>
  <si>
    <t>BTV SRS</t>
  </si>
  <si>
    <t>BTV TW G/K</t>
  </si>
  <si>
    <t>BTV HAPL (POI 1)</t>
  </si>
  <si>
    <t>BTV HAPL (POI 2)</t>
  </si>
  <si>
    <t>BTV CRCF</t>
  </si>
  <si>
    <t>BTV FRP 1</t>
  </si>
  <si>
    <t xml:space="preserve">Taxiway G (Underground Chamber #1 001) </t>
  </si>
  <si>
    <t>Taxiway G (Underground Infiltration Tank #2 002)</t>
  </si>
  <si>
    <t>Taxiway F (S/N 002)</t>
  </si>
  <si>
    <t>Reconstruct, Mark, and Groove Runway 15-33 (detention #4)</t>
  </si>
  <si>
    <t>Reconstruct, Mark, and Groove Runway 15-33</t>
  </si>
  <si>
    <t>Reconstruct, Mark, and Groove Runway 15-33 (detention #1 &amp; #2)</t>
  </si>
  <si>
    <t>Reconstruct, Mark, and Groove Runway 15-33 (detention #3)</t>
  </si>
  <si>
    <t>Heritage Flight Aviation</t>
  </si>
  <si>
    <t>Sewage Receiving Station</t>
  </si>
  <si>
    <t>Construct Mark &amp; Light TW G/K (disconnection)</t>
  </si>
  <si>
    <t>Heritage Aviation Parking Lot (POI 1)</t>
  </si>
  <si>
    <t>Heritage Aviation Parking Lot (POI 2)</t>
  </si>
  <si>
    <t xml:space="preserve">BMP 17 Glycol Infiltration Field </t>
  </si>
  <si>
    <t xml:space="preserve">BMP 3 Glycol Infiltration Field </t>
  </si>
  <si>
    <t>Consolidated Rental Car Facility (UG System A&amp;B)</t>
  </si>
  <si>
    <t>Taxiway B Extension (Storm Trap 1)</t>
  </si>
  <si>
    <t>Taxiway B Extension (Storm Trap 2)</t>
  </si>
  <si>
    <t>Airport Drive Infiltration Gallery</t>
  </si>
  <si>
    <t>Burlington International Airport</t>
  </si>
  <si>
    <t>TBD</t>
  </si>
  <si>
    <t>3028-INDS.6</t>
  </si>
  <si>
    <t>3028-INDS.7</t>
  </si>
  <si>
    <t>3028-9010.2</t>
  </si>
  <si>
    <t>3028-INDS.AR</t>
  </si>
  <si>
    <t>3845-9010</t>
  </si>
  <si>
    <t>3028-9015.1</t>
  </si>
  <si>
    <t>3028-INDS.3</t>
  </si>
  <si>
    <t>9028-9015.2</t>
  </si>
  <si>
    <t>3845-9015.1</t>
  </si>
  <si>
    <t>UIC #6-0117</t>
  </si>
  <si>
    <t>UIC #6-0075</t>
  </si>
  <si>
    <t>3028-INDS.4</t>
  </si>
  <si>
    <t>3028-9015.3</t>
  </si>
  <si>
    <t/>
  </si>
  <si>
    <t>HOUSE REMOVAL A</t>
  </si>
  <si>
    <t>HOUSE REMOVAL B</t>
  </si>
  <si>
    <t>Revised as per DEC watershed delineation &amp; only credit P reduction for existing impervious surface treatment</t>
  </si>
  <si>
    <t>kg/yr</t>
  </si>
  <si>
    <t>Goal as per DEC table</t>
  </si>
  <si>
    <t>Total</t>
  </si>
  <si>
    <t>Impervious Surface Removal</t>
  </si>
  <si>
    <t>RUNWAY REMOVAL</t>
  </si>
  <si>
    <t>BTV BMP 17</t>
  </si>
  <si>
    <t>BTV BMP 3</t>
  </si>
  <si>
    <t>House Removal Centennial</t>
  </si>
  <si>
    <t>House Removal Potash</t>
  </si>
  <si>
    <t>Taxiway G</t>
  </si>
  <si>
    <t>BTV South Terminal Expansion</t>
  </si>
  <si>
    <t>BTV STE</t>
  </si>
  <si>
    <t>Quarry Access Road (disconnection S/N 002)</t>
  </si>
  <si>
    <t>Reconstruct, Mark, and Groove Runway 15-33 (disconnection S/N 001)</t>
  </si>
  <si>
    <t>Redeveloped Impervious Being Disconnected</t>
  </si>
  <si>
    <t>BTV BCJG 001</t>
  </si>
  <si>
    <t>BTV BCJG 002</t>
  </si>
  <si>
    <t>Ratio</t>
  </si>
  <si>
    <t>Impervious area to pervious area ratio</t>
  </si>
  <si>
    <t>Soil type of Receiving Pervious Area - Phosphorus</t>
  </si>
  <si>
    <t>Generalized reductions for where details aren't known</t>
  </si>
  <si>
    <t>2002 VSMM (0.9")</t>
  </si>
  <si>
    <t>2017 VSMM (1.0")</t>
  </si>
  <si>
    <t>Pervious Area</t>
  </si>
  <si>
    <t>Reconstruct, Mark, and Groove Runway 15-33 (disconnection S/N 002)</t>
  </si>
  <si>
    <t>Reconstruct, Mark, and Groove Runway 15-33 (disconnection S/N 003)</t>
  </si>
  <si>
    <t>Reconstruct, Mark, and Groove Runway 15-33 (disconnection S/N 004)</t>
  </si>
  <si>
    <t>Reconstruct, Mark, and Groove Runway 15-33 (disconnection S/N 005)</t>
  </si>
  <si>
    <t>Reconstruct, Mark, and Groove Runway 15-33 (disconnection S/N 006)</t>
  </si>
  <si>
    <t>Total Impervious</t>
  </si>
  <si>
    <t>Total Area</t>
  </si>
  <si>
    <t>DISCONNECTION</t>
  </si>
  <si>
    <t>IMPERVIOUS SURFACE REMOVAL</t>
  </si>
  <si>
    <t>Disconnection</t>
  </si>
  <si>
    <t>BTV TW B 1</t>
  </si>
  <si>
    <t>BTV TW B 2</t>
  </si>
  <si>
    <t>Taxiway B, C, J, G (Swale #1)</t>
  </si>
  <si>
    <t>Taxiway B, C, J, G (Swale #2)</t>
  </si>
  <si>
    <t>Taxiway B, C, J, G (Swale #3)</t>
  </si>
  <si>
    <t>Taxiway B, C, J, G (Swale #4)</t>
  </si>
  <si>
    <t>BTV BCJG 1</t>
  </si>
  <si>
    <t>BTV BCJG 2</t>
  </si>
  <si>
    <t>BTV BCJG 3</t>
  </si>
  <si>
    <t>BTV BCJG 4</t>
  </si>
  <si>
    <t>Taxiway B, C, J, G (disconnection 001)</t>
  </si>
  <si>
    <t>Taxiway B, C, J, G (disconnection 002)</t>
  </si>
  <si>
    <t>BTV TW G 1</t>
  </si>
  <si>
    <t>Manual Practice Efficiency (Missing Calculated via STP website)</t>
  </si>
  <si>
    <t>August /September 2016</t>
  </si>
  <si>
    <t>7/28/16; 8/9/16</t>
  </si>
  <si>
    <t>5/19/16; 6/2/16; 6/16/16; 6/29/16; 7/13/16; 7/28/16; 8/11/16</t>
  </si>
  <si>
    <t>Spring 2019</t>
  </si>
  <si>
    <t>October, 2018</t>
  </si>
  <si>
    <t>October, 2019</t>
  </si>
  <si>
    <t>3028-INDS.6A</t>
  </si>
  <si>
    <t>BTV TW G 2, Phase 1</t>
  </si>
  <si>
    <t>BTV TW G 3, Phase 2</t>
  </si>
  <si>
    <t>Maintenance</t>
  </si>
  <si>
    <t>Maintenance needed?</t>
  </si>
  <si>
    <t>information taken from Airport Drive FRP BMP summary sheet</t>
  </si>
  <si>
    <t>Stantec</t>
  </si>
  <si>
    <t>EIV</t>
  </si>
  <si>
    <t>HERITAGE ADDITION</t>
  </si>
  <si>
    <t>3028-INDS.8</t>
  </si>
  <si>
    <t>Remain Overnight Arpon (Phase 7)</t>
  </si>
  <si>
    <t>3028-INDS.9</t>
  </si>
  <si>
    <t>3028-INDS.10</t>
  </si>
  <si>
    <t>BTV RON</t>
  </si>
  <si>
    <t xml:space="preserve"> </t>
  </si>
  <si>
    <t>BTV BLDG 7 002</t>
  </si>
  <si>
    <t>BTV BLDG 7 003</t>
  </si>
  <si>
    <t>BTV BLDG 7 004</t>
  </si>
  <si>
    <t>BTV BLDG 7 001</t>
  </si>
  <si>
    <t>BTV Beta Technologies Hanger (Bld 7) S/N 001</t>
  </si>
  <si>
    <t>BTV Beta Technologies Hanger (Bld 7) S/N 002</t>
  </si>
  <si>
    <t>BTV Beta Technologies Hanger (Bld 7) S/N 003</t>
  </si>
  <si>
    <t>BTV Beta Technologies Hanger (Bld 7) S/N 004</t>
  </si>
  <si>
    <t>S/N 001 treats runoff from S/N 003 and S/N 004</t>
  </si>
  <si>
    <t>BTV HOTEL S/N 001</t>
  </si>
  <si>
    <t>BTV HOTEL S/N 002</t>
  </si>
  <si>
    <t>BTV HOTEL S/N 003</t>
  </si>
  <si>
    <t>BTV HOTEL 001</t>
  </si>
  <si>
    <t>BTV HOTEL 002</t>
  </si>
  <si>
    <t>BTV HOTEL 003</t>
  </si>
  <si>
    <t>Heritage Flight Hangar Addition S/N 001</t>
  </si>
  <si>
    <t>SHELBURNE BAY LAKE SEGMENT</t>
  </si>
  <si>
    <t>MAIN LAKE SEGMENT</t>
  </si>
  <si>
    <t>August, 2020</t>
  </si>
  <si>
    <t>Taxiway G (Dry Detention Pond 001)</t>
  </si>
  <si>
    <t>Completed By:</t>
  </si>
  <si>
    <t>SUMMARY</t>
  </si>
  <si>
    <t xml:space="preserve">DISCONNECTION </t>
  </si>
  <si>
    <t xml:space="preserve">BTV TW K </t>
  </si>
  <si>
    <t>Taxiway K</t>
  </si>
  <si>
    <t>3028-9050</t>
  </si>
  <si>
    <t>BTV TERMINT</t>
  </si>
  <si>
    <t xml:space="preserve">BTV Terminal Integration </t>
  </si>
  <si>
    <t>3028-9050.1</t>
  </si>
  <si>
    <t>May/June 2021</t>
  </si>
  <si>
    <t>Fall 2022</t>
  </si>
  <si>
    <t xml:space="preserve"> = Shelburne Bay Lake Segment Total</t>
  </si>
  <si>
    <t>1-1391</t>
  </si>
  <si>
    <t>1-0839</t>
  </si>
  <si>
    <t>S APRON</t>
  </si>
  <si>
    <t>South Apron Expansion</t>
  </si>
  <si>
    <t>RED. AIR DRAIN</t>
  </si>
  <si>
    <t>Redirect Airfield Drainage to North Outfall</t>
  </si>
  <si>
    <t>3028-9015.2</t>
  </si>
  <si>
    <t>5/27/21-6/11/21</t>
  </si>
  <si>
    <t>BETA Technologies - BTV Assembly Facility</t>
  </si>
  <si>
    <t>3028-9050.2</t>
  </si>
  <si>
    <t>BETA General Aviation Hangar</t>
  </si>
  <si>
    <t>3028-9050.3</t>
  </si>
  <si>
    <t>Heritage Aviation Fuel Farm Expansion</t>
  </si>
  <si>
    <t>3028-9050.6</t>
  </si>
  <si>
    <t>6/21/22, 6/28/22</t>
  </si>
  <si>
    <t>6/14/22-6/22/22</t>
  </si>
  <si>
    <t>BETA FF (002)</t>
  </si>
  <si>
    <t>BETA GA (001)</t>
  </si>
  <si>
    <t>BETA AF (001)</t>
  </si>
  <si>
    <t>EIV (Used ANR STP calculator: https://anrweb.vt.gov/DEC/CleanWaterDashboard/STPCalculator.aspx)</t>
  </si>
  <si>
    <t>Summer 2024</t>
  </si>
  <si>
    <t>Extend Taxiway G and Construct New General Aviation South Apron</t>
  </si>
  <si>
    <t>3028-9050.8</t>
  </si>
  <si>
    <t>Burlington International Airport (BTV)
BMP Tracking Table
Date: April 1, 2024
Project Name</t>
  </si>
  <si>
    <t>Rehabilitate Taxiway A</t>
  </si>
  <si>
    <t>3028-9050.5A</t>
  </si>
  <si>
    <t>BTV Re. TW A (001)</t>
  </si>
  <si>
    <t xml:space="preserve">BTV S APRN/EXT TW G </t>
  </si>
  <si>
    <t>NOTE: Hotspot treatment area not included in phosphorus removal calculation</t>
  </si>
  <si>
    <t>3028-9050.7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</si>
</sst>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0.00000"/>
    <numFmt numFmtId="166" formatCode="_(* #,##0_);_(* \(#,##0\);_(* &quot;-&quot;??_);_(@_)"/>
    <numFmt numFmtId="167" formatCode="0.000"/>
  </numFmts>
  <fonts count="39" x14ac:knownFonts="1">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sz val="11"/>
      <name val="Calibri"/>
      <family val="2"/>
      <scheme val="minor"/>
    </font>
    <font>
      <b/>
      <sz val="11"/>
      <color rgb="FFFF0000"/>
      <name val="Calibri"/>
      <family val="2"/>
      <scheme val="minor"/>
    </font>
    <font>
      <b/>
      <sz val="11"/>
      <color rgb="FFFF0000"/>
      <name val="Wingdings"/>
      <charset val="2"/>
    </font>
    <font>
      <sz val="10"/>
      <name val="Arial"/>
      <family val="2"/>
    </font>
    <font>
      <b/>
      <sz val="10"/>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8"/>
      <name val="Calibri"/>
      <family val="2"/>
      <scheme val="minor"/>
    </font>
    <font>
      <sz val="11"/>
      <color theme="1"/>
      <name val="Calibri"/>
      <family val="2"/>
      <scheme val="minor"/>
    </font>
    <font>
      <sz val="12"/>
      <color theme="1"/>
      <name val="Calibri"/>
      <family val="2"/>
      <scheme val="minor"/>
    </font>
    <font>
      <sz val="10"/>
      <name val="Calibri"/>
      <family val="2"/>
      <scheme val="minor"/>
    </font>
    <font>
      <sz val="9"/>
      <color indexed="81"/>
      <name val="Tahoma"/>
      <family val="2"/>
    </font>
    <font>
      <sz val="11"/>
      <color theme="1"/>
      <name val="Symbol"/>
      <family val="1"/>
      <charset val="2"/>
    </font>
    <font>
      <sz val="7"/>
      <color theme="1"/>
      <name val="Times New Roman"/>
      <family val="1"/>
    </font>
    <font>
      <u/>
      <sz val="11"/>
      <color theme="10"/>
      <name val="Calibri"/>
      <family val="2"/>
      <scheme val="minor"/>
    </font>
    <font>
      <b/>
      <sz val="14"/>
      <color theme="1"/>
      <name val="Calibri"/>
      <family val="2"/>
      <scheme val="minor"/>
    </font>
    <font>
      <b/>
      <sz val="12"/>
      <name val="Calibri"/>
      <family val="2"/>
      <scheme val="minor"/>
    </font>
    <font>
      <sz val="12"/>
      <name val="Calibri"/>
      <family val="2"/>
      <scheme val="minor"/>
    </font>
    <font>
      <sz val="12"/>
      <name val="Calibri"/>
      <family val="2"/>
    </font>
    <font>
      <sz val="11"/>
      <color theme="1"/>
      <name val="Calibri"/>
      <family val="2"/>
    </font>
    <font>
      <b/>
      <vertAlign val="superscript"/>
      <sz val="11"/>
      <color theme="1"/>
      <name val="Calibri"/>
      <family val="2"/>
      <scheme val="minor"/>
    </font>
    <font>
      <b/>
      <sz val="9"/>
      <color indexed="81"/>
      <name val="Tahoma"/>
      <family val="2"/>
    </font>
    <font>
      <sz val="11"/>
      <color theme="1" tint="0.249977111117893"/>
      <name val="Calibri"/>
      <family val="2"/>
      <scheme val="minor"/>
    </font>
    <font>
      <i/>
      <sz val="11"/>
      <color theme="4" tint="-0.249977111117893"/>
      <name val="Calibri"/>
      <family val="2"/>
      <scheme val="minor"/>
    </font>
    <font>
      <i/>
      <sz val="12"/>
      <color theme="1"/>
      <name val="Calibri"/>
      <family val="2"/>
      <scheme val="minor"/>
    </font>
    <font>
      <sz val="11"/>
      <color rgb="FFFF0000"/>
      <name val="Calibri"/>
      <family val="2"/>
      <scheme val="minor"/>
    </font>
    <font>
      <sz val="11"/>
      <color rgb="FF7030A0"/>
      <name val="Calibri"/>
      <family val="2"/>
      <scheme val="minor"/>
    </font>
    <font>
      <sz val="11"/>
      <color theme="1"/>
      <name val="Arial"/>
      <family val="2"/>
    </font>
    <font>
      <b/>
      <u/>
      <sz val="11"/>
      <name val="Calibri"/>
      <family val="2"/>
      <scheme val="minor"/>
    </font>
    <font>
      <b/>
      <sz val="11"/>
      <name val="Calibri"/>
      <family val="2"/>
      <scheme val="minor"/>
    </font>
    <font>
      <b/>
      <i/>
      <sz val="11"/>
      <name val="Calibri"/>
      <family val="2"/>
      <scheme val="minor"/>
    </font>
    <font>
      <sz val="11"/>
      <color theme="5"/>
      <name val="Calibri"/>
      <family val="2"/>
      <scheme val="minor"/>
    </font>
  </fonts>
  <fills count="18">
    <fill>
      <patternFill patternType="none"/>
    </fill>
    <fill>
      <patternFill patternType="gray125"/>
    </fill>
    <fill>
      <patternFill patternType="solid">
        <fgColor theme="8"/>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9E2F3"/>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rgb="FF4472C4"/>
      </left>
      <right/>
      <top style="medium">
        <color rgb="FF4472C4"/>
      </top>
      <bottom/>
      <diagonal/>
    </border>
    <border>
      <left style="medium">
        <color rgb="FF4472C4"/>
      </left>
      <right/>
      <top/>
      <bottom style="medium">
        <color rgb="FF8EAADB"/>
      </bottom>
      <diagonal/>
    </border>
    <border>
      <left/>
      <right/>
      <top style="medium">
        <color rgb="FF4472C4"/>
      </top>
      <bottom/>
      <diagonal/>
    </border>
    <border>
      <left/>
      <right/>
      <top/>
      <bottom style="medium">
        <color rgb="FF8EAADB"/>
      </bottom>
      <diagonal/>
    </border>
    <border>
      <left/>
      <right/>
      <top style="medium">
        <color rgb="FF4472C4"/>
      </top>
      <bottom style="medium">
        <color rgb="FF4472C4"/>
      </bottom>
      <diagonal/>
    </border>
    <border>
      <left/>
      <right style="medium">
        <color rgb="FF4472C4"/>
      </right>
      <top style="medium">
        <color rgb="FF4472C4"/>
      </top>
      <bottom/>
      <diagonal/>
    </border>
    <border>
      <left/>
      <right style="medium">
        <color rgb="FF4472C4"/>
      </right>
      <top/>
      <bottom style="medium">
        <color rgb="FF8EAADB"/>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rgb="FF8EAADB"/>
      </left>
      <right/>
      <top style="medium">
        <color rgb="FF8EAADB"/>
      </top>
      <bottom style="medium">
        <color rgb="FF8EAADB"/>
      </bottom>
      <diagonal/>
    </border>
    <border>
      <left/>
      <right style="medium">
        <color rgb="FF8EAADB"/>
      </right>
      <top style="medium">
        <color rgb="FF8EAADB"/>
      </top>
      <bottom style="medium">
        <color rgb="FF8EAADB"/>
      </bottom>
      <diagonal/>
    </border>
    <border>
      <left/>
      <right/>
      <top style="medium">
        <color rgb="FF8EAADB"/>
      </top>
      <bottom style="medium">
        <color rgb="FF8EAADB"/>
      </bottom>
      <diagonal/>
    </border>
    <border>
      <left style="thin">
        <color theme="6"/>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indexed="64"/>
      </left>
      <right/>
      <top/>
      <bottom/>
      <diagonal/>
    </border>
    <border>
      <left/>
      <right style="thin">
        <color indexed="64"/>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s>
  <cellStyleXfs count="4">
    <xf numFmtId="0" fontId="0" fillId="0" borderId="0"/>
    <xf numFmtId="43" fontId="15" fillId="0" borderId="0" applyFont="0" applyFill="0" applyBorder="0" applyAlignment="0" applyProtection="0"/>
    <xf numFmtId="0" fontId="21" fillId="0" borderId="0" applyNumberFormat="0" applyFill="0" applyBorder="0" applyAlignment="0" applyProtection="0"/>
    <xf numFmtId="9" fontId="15" fillId="0" borderId="0" applyFont="0" applyFill="0" applyBorder="0" applyAlignment="0" applyProtection="0"/>
  </cellStyleXfs>
  <cellXfs count="237">
    <xf numFmtId="0" fontId="0" fillId="0" borderId="0" xfId="0"/>
    <xf numFmtId="0" fontId="1" fillId="0" borderId="0" xfId="0" applyFont="1"/>
    <xf numFmtId="0" fontId="2" fillId="0" borderId="0" xfId="0" applyFont="1" applyAlignment="1">
      <alignment wrapText="1"/>
    </xf>
    <xf numFmtId="0" fontId="1" fillId="3" borderId="1" xfId="0" applyFont="1" applyFill="1" applyBorder="1" applyAlignment="1">
      <alignment wrapText="1"/>
    </xf>
    <xf numFmtId="0" fontId="0" fillId="0" borderId="1" xfId="0" applyBorder="1"/>
    <xf numFmtId="0" fontId="0" fillId="0" borderId="1" xfId="0" applyBorder="1" applyAlignment="1">
      <alignment wrapText="1"/>
    </xf>
    <xf numFmtId="0" fontId="1" fillId="0" borderId="1" xfId="0" applyFont="1" applyBorder="1"/>
    <xf numFmtId="0" fontId="0" fillId="0" borderId="1" xfId="0" applyBorder="1" applyAlignment="1">
      <alignment horizontal="left" vertical="center" wrapText="1"/>
    </xf>
    <xf numFmtId="0" fontId="0" fillId="0" borderId="1" xfId="0" applyBorder="1" applyAlignment="1">
      <alignment horizontal="center"/>
    </xf>
    <xf numFmtId="0" fontId="1" fillId="3" borderId="1" xfId="0" applyFont="1" applyFill="1" applyBorder="1" applyAlignment="1">
      <alignment horizontal="left" wrapText="1"/>
    </xf>
    <xf numFmtId="0" fontId="7" fillId="0" borderId="1" xfId="0" applyFont="1" applyBorder="1" applyAlignment="1">
      <alignment wrapText="1"/>
    </xf>
    <xf numFmtId="0" fontId="8" fillId="0" borderId="1" xfId="0" applyFont="1" applyBorder="1" applyAlignment="1">
      <alignment horizontal="center"/>
    </xf>
    <xf numFmtId="0" fontId="9" fillId="0" borderId="0" xfId="0" applyFont="1"/>
    <xf numFmtId="0" fontId="6" fillId="0" borderId="0" xfId="0" applyFont="1"/>
    <xf numFmtId="0" fontId="0" fillId="0" borderId="5" xfId="0" applyBorder="1"/>
    <xf numFmtId="0" fontId="1" fillId="0" borderId="5" xfId="0" applyFont="1" applyBorder="1"/>
    <xf numFmtId="0" fontId="0" fillId="0" borderId="5" xfId="0" applyBorder="1" applyAlignment="1">
      <alignment wrapText="1"/>
    </xf>
    <xf numFmtId="0" fontId="5" fillId="0" borderId="0" xfId="0" applyFont="1"/>
    <xf numFmtId="0" fontId="12" fillId="9" borderId="13" xfId="0" applyFont="1" applyFill="1" applyBorder="1" applyAlignment="1">
      <alignment horizontal="center" vertical="center"/>
    </xf>
    <xf numFmtId="0" fontId="12" fillId="9" borderId="14" xfId="0" applyFont="1" applyFill="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0" fillId="0" borderId="14" xfId="0" applyBorder="1" applyAlignment="1">
      <alignment horizontal="center" vertical="center"/>
    </xf>
    <xf numFmtId="0" fontId="13" fillId="10" borderId="13" xfId="0" applyFont="1" applyFill="1" applyBorder="1" applyAlignment="1">
      <alignment vertical="center"/>
    </xf>
    <xf numFmtId="0" fontId="13" fillId="10" borderId="14" xfId="0" applyFont="1" applyFill="1" applyBorder="1" applyAlignment="1">
      <alignment vertical="center"/>
    </xf>
    <xf numFmtId="0" fontId="12" fillId="10" borderId="14" xfId="0" applyFont="1" applyFill="1" applyBorder="1" applyAlignment="1">
      <alignment horizontal="center" vertical="center"/>
    </xf>
    <xf numFmtId="0" fontId="3" fillId="0" borderId="0" xfId="0" applyFont="1" applyAlignment="1">
      <alignment vertical="center"/>
    </xf>
    <xf numFmtId="0" fontId="0" fillId="7" borderId="14" xfId="0" applyFill="1" applyBorder="1" applyAlignment="1">
      <alignment horizontal="center" vertical="center"/>
    </xf>
    <xf numFmtId="0" fontId="12" fillId="7" borderId="14" xfId="0" applyFont="1" applyFill="1" applyBorder="1" applyAlignment="1">
      <alignment horizontal="center" vertical="center"/>
    </xf>
    <xf numFmtId="9" fontId="5" fillId="8" borderId="1" xfId="0" applyNumberFormat="1" applyFont="1" applyFill="1" applyBorder="1" applyAlignment="1">
      <alignment horizontal="center" vertical="center"/>
    </xf>
    <xf numFmtId="9" fontId="10" fillId="5" borderId="1" xfId="0" applyNumberFormat="1" applyFont="1" applyFill="1" applyBorder="1" applyAlignment="1">
      <alignment horizontal="center" vertical="center"/>
    </xf>
    <xf numFmtId="9" fontId="5" fillId="5" borderId="1" xfId="0" applyNumberFormat="1" applyFont="1" applyFill="1" applyBorder="1" applyAlignment="1">
      <alignment horizontal="center" vertical="center"/>
    </xf>
    <xf numFmtId="9" fontId="5" fillId="0" borderId="1" xfId="0" applyNumberFormat="1" applyFont="1" applyBorder="1" applyAlignment="1">
      <alignment horizontal="center" vertical="center"/>
    </xf>
    <xf numFmtId="9" fontId="5" fillId="4" borderId="1" xfId="0" applyNumberFormat="1" applyFont="1" applyFill="1" applyBorder="1" applyAlignment="1">
      <alignment horizontal="center" vertical="center"/>
    </xf>
    <xf numFmtId="2" fontId="5" fillId="0" borderId="1" xfId="0" applyNumberFormat="1" applyFont="1" applyBorder="1" applyAlignment="1">
      <alignment horizontal="center" vertical="center"/>
    </xf>
    <xf numFmtId="0" fontId="12" fillId="9" borderId="14" xfId="0" applyFont="1" applyFill="1" applyBorder="1" applyAlignment="1">
      <alignment horizontal="center" vertical="center" wrapText="1"/>
    </xf>
    <xf numFmtId="0" fontId="0" fillId="0" borderId="0" xfId="0" applyProtection="1">
      <protection locked="0"/>
    </xf>
    <xf numFmtId="2" fontId="0" fillId="0" borderId="0" xfId="0" applyNumberFormat="1" applyProtection="1">
      <protection locked="0"/>
    </xf>
    <xf numFmtId="165" fontId="0" fillId="0" borderId="0" xfId="0" applyNumberFormat="1" applyProtection="1">
      <protection locked="0"/>
    </xf>
    <xf numFmtId="14" fontId="0" fillId="0" borderId="0" xfId="0" applyNumberFormat="1" applyProtection="1">
      <protection locked="0"/>
    </xf>
    <xf numFmtId="166" fontId="0" fillId="0" borderId="0" xfId="1" applyNumberFormat="1" applyFont="1" applyProtection="1">
      <protection locked="0"/>
    </xf>
    <xf numFmtId="0" fontId="17" fillId="0" borderId="0" xfId="0" applyFont="1"/>
    <xf numFmtId="0" fontId="0" fillId="11" borderId="0" xfId="0" applyFill="1"/>
    <xf numFmtId="0" fontId="0" fillId="11" borderId="0" xfId="0" applyFill="1" applyAlignment="1">
      <alignment vertical="center" wrapText="1"/>
    </xf>
    <xf numFmtId="0" fontId="21" fillId="11" borderId="0" xfId="2" applyFill="1"/>
    <xf numFmtId="0" fontId="0" fillId="11" borderId="0" xfId="0" applyFill="1" applyAlignment="1">
      <alignment wrapText="1"/>
    </xf>
    <xf numFmtId="0" fontId="19" fillId="11" borderId="0" xfId="0" applyFont="1" applyFill="1" applyAlignment="1">
      <alignment horizontal="left" vertical="center" wrapText="1" indent="2"/>
    </xf>
    <xf numFmtId="0" fontId="2" fillId="11" borderId="0" xfId="0" applyFont="1" applyFill="1" applyAlignment="1">
      <alignment vertical="center"/>
    </xf>
    <xf numFmtId="0" fontId="22" fillId="11" borderId="0" xfId="0" applyFont="1" applyFill="1" applyAlignment="1">
      <alignment vertical="center"/>
    </xf>
    <xf numFmtId="0" fontId="23" fillId="11" borderId="0" xfId="2" applyFont="1" applyFill="1"/>
    <xf numFmtId="0" fontId="0" fillId="11" borderId="0" xfId="0" applyFill="1" applyAlignment="1">
      <alignment horizontal="left" vertical="center" wrapText="1" indent="2"/>
    </xf>
    <xf numFmtId="0" fontId="24" fillId="11" borderId="0" xfId="2" applyFont="1" applyFill="1" applyAlignment="1">
      <alignment horizontal="left" indent="2"/>
    </xf>
    <xf numFmtId="0" fontId="2" fillId="2" borderId="0" xfId="0" applyFont="1" applyFill="1" applyAlignment="1">
      <alignment wrapText="1"/>
    </xf>
    <xf numFmtId="165" fontId="2" fillId="2" borderId="0" xfId="0" applyNumberFormat="1" applyFont="1" applyFill="1" applyAlignment="1">
      <alignment wrapText="1"/>
    </xf>
    <xf numFmtId="0" fontId="2" fillId="12" borderId="0" xfId="0" applyFont="1" applyFill="1" applyAlignment="1">
      <alignment wrapText="1"/>
    </xf>
    <xf numFmtId="0" fontId="2" fillId="3" borderId="0" xfId="0" applyFont="1" applyFill="1" applyProtection="1">
      <protection locked="0"/>
    </xf>
    <xf numFmtId="0" fontId="1" fillId="3" borderId="0" xfId="0" applyFont="1" applyFill="1" applyProtection="1">
      <protection locked="0"/>
    </xf>
    <xf numFmtId="0" fontId="2" fillId="6" borderId="20" xfId="0" applyFont="1" applyFill="1" applyBorder="1" applyProtection="1">
      <protection locked="0"/>
    </xf>
    <xf numFmtId="0" fontId="2" fillId="6" borderId="0" xfId="0" applyFont="1" applyFill="1" applyProtection="1">
      <protection locked="0"/>
    </xf>
    <xf numFmtId="0" fontId="1" fillId="6" borderId="0" xfId="0" applyFont="1" applyFill="1" applyProtection="1">
      <protection locked="0"/>
    </xf>
    <xf numFmtId="2" fontId="1" fillId="3" borderId="0" xfId="0" applyNumberFormat="1" applyFont="1" applyFill="1" applyAlignment="1" applyProtection="1">
      <alignment horizontal="center"/>
      <protection locked="0"/>
    </xf>
    <xf numFmtId="2" fontId="2" fillId="14" borderId="0" xfId="0" applyNumberFormat="1" applyFont="1" applyFill="1" applyAlignment="1" applyProtection="1">
      <alignment horizontal="left"/>
      <protection locked="0"/>
    </xf>
    <xf numFmtId="2" fontId="1" fillId="14" borderId="0" xfId="0" applyNumberFormat="1" applyFont="1" applyFill="1" applyAlignment="1" applyProtection="1">
      <alignment horizontal="center"/>
      <protection locked="0"/>
    </xf>
    <xf numFmtId="9" fontId="29" fillId="0" borderId="19" xfId="0" applyNumberFormat="1" applyFont="1" applyBorder="1" applyProtection="1">
      <protection locked="0"/>
    </xf>
    <xf numFmtId="0" fontId="0" fillId="0" borderId="18" xfId="0" applyBorder="1" applyProtection="1">
      <protection locked="0"/>
    </xf>
    <xf numFmtId="0" fontId="0" fillId="0" borderId="22" xfId="0" applyBorder="1" applyProtection="1">
      <protection locked="0"/>
    </xf>
    <xf numFmtId="165" fontId="0" fillId="0" borderId="22" xfId="0" applyNumberFormat="1" applyBorder="1" applyProtection="1">
      <protection locked="0"/>
    </xf>
    <xf numFmtId="14" fontId="0" fillId="0" borderId="22" xfId="0" applyNumberFormat="1" applyBorder="1" applyProtection="1">
      <protection locked="0"/>
    </xf>
    <xf numFmtId="49" fontId="0" fillId="0" borderId="22" xfId="0" applyNumberFormat="1" applyBorder="1" applyProtection="1">
      <protection locked="0"/>
    </xf>
    <xf numFmtId="0" fontId="0" fillId="0" borderId="23" xfId="0" applyBorder="1" applyProtection="1">
      <protection locked="0"/>
    </xf>
    <xf numFmtId="165" fontId="0" fillId="0" borderId="23" xfId="0" applyNumberFormat="1" applyBorder="1" applyProtection="1">
      <protection locked="0"/>
    </xf>
    <xf numFmtId="164" fontId="0" fillId="0" borderId="23" xfId="0" applyNumberFormat="1" applyBorder="1" applyProtection="1">
      <protection locked="0"/>
    </xf>
    <xf numFmtId="0" fontId="0" fillId="0" borderId="23" xfId="0" applyBorder="1"/>
    <xf numFmtId="0" fontId="2" fillId="2" borderId="0" xfId="0" applyFont="1" applyFill="1"/>
    <xf numFmtId="0" fontId="21" fillId="0" borderId="0" xfId="2" applyAlignment="1">
      <alignment horizontal="left" vertical="top" indent="2"/>
    </xf>
    <xf numFmtId="0" fontId="21" fillId="11" borderId="0" xfId="2" applyFill="1" applyAlignment="1">
      <alignment horizontal="left" indent="2"/>
    </xf>
    <xf numFmtId="0" fontId="2" fillId="3" borderId="0" xfId="0" applyFont="1" applyFill="1" applyAlignment="1" applyProtection="1">
      <alignment horizontal="left"/>
      <protection locked="0"/>
    </xf>
    <xf numFmtId="2" fontId="2" fillId="6" borderId="0" xfId="0" applyNumberFormat="1" applyFont="1" applyFill="1" applyAlignment="1" applyProtection="1">
      <alignment horizontal="center"/>
      <protection locked="0"/>
    </xf>
    <xf numFmtId="10" fontId="2" fillId="6" borderId="0" xfId="0" applyNumberFormat="1" applyFont="1" applyFill="1" applyAlignment="1" applyProtection="1">
      <alignment horizontal="center"/>
      <protection locked="0"/>
    </xf>
    <xf numFmtId="2" fontId="2" fillId="6" borderId="21" xfId="0" applyNumberFormat="1" applyFont="1" applyFill="1" applyBorder="1" applyAlignment="1" applyProtection="1">
      <alignment horizontal="center"/>
      <protection locked="0"/>
    </xf>
    <xf numFmtId="0" fontId="1" fillId="2" borderId="20" xfId="0" applyFont="1" applyFill="1" applyBorder="1" applyProtection="1">
      <protection locked="0"/>
    </xf>
    <xf numFmtId="0" fontId="1" fillId="2" borderId="0" xfId="0" applyFont="1" applyFill="1" applyAlignment="1" applyProtection="1">
      <alignment wrapText="1"/>
      <protection locked="0"/>
    </xf>
    <xf numFmtId="165" fontId="1" fillId="2" borderId="0" xfId="0" applyNumberFormat="1" applyFont="1" applyFill="1" applyAlignment="1" applyProtection="1">
      <alignment wrapText="1"/>
      <protection locked="0"/>
    </xf>
    <xf numFmtId="0" fontId="1" fillId="12" borderId="0" xfId="0" applyFont="1" applyFill="1" applyAlignment="1" applyProtection="1">
      <alignment wrapText="1"/>
      <protection locked="0"/>
    </xf>
    <xf numFmtId="0" fontId="1" fillId="13" borderId="0" xfId="0" applyFont="1" applyFill="1" applyAlignment="1" applyProtection="1">
      <alignment wrapText="1"/>
      <protection locked="0"/>
    </xf>
    <xf numFmtId="2" fontId="1" fillId="12" borderId="0" xfId="0" applyNumberFormat="1" applyFont="1" applyFill="1" applyAlignment="1" applyProtection="1">
      <alignment wrapText="1"/>
      <protection locked="0"/>
    </xf>
    <xf numFmtId="2" fontId="1" fillId="2" borderId="0" xfId="0" applyNumberFormat="1" applyFont="1" applyFill="1" applyAlignment="1" applyProtection="1">
      <alignment wrapText="1"/>
      <protection locked="0"/>
    </xf>
    <xf numFmtId="10" fontId="1" fillId="2" borderId="0" xfId="0" applyNumberFormat="1" applyFont="1" applyFill="1" applyAlignment="1" applyProtection="1">
      <alignment wrapText="1"/>
      <protection locked="0"/>
    </xf>
    <xf numFmtId="0" fontId="1" fillId="2" borderId="21" xfId="0" applyFont="1" applyFill="1" applyBorder="1" applyAlignment="1" applyProtection="1">
      <alignment wrapText="1"/>
      <protection locked="0"/>
    </xf>
    <xf numFmtId="0" fontId="16" fillId="0" borderId="0" xfId="0" applyFont="1" applyProtection="1">
      <protection locked="0"/>
    </xf>
    <xf numFmtId="0" fontId="0" fillId="0" borderId="19" xfId="0" applyBorder="1" applyProtection="1">
      <protection locked="0"/>
    </xf>
    <xf numFmtId="2" fontId="0" fillId="0" borderId="19" xfId="0" applyNumberFormat="1" applyBorder="1" applyProtection="1">
      <protection locked="0"/>
    </xf>
    <xf numFmtId="3" fontId="0" fillId="0" borderId="19" xfId="0" applyNumberFormat="1" applyBorder="1" applyProtection="1">
      <protection locked="0"/>
    </xf>
    <xf numFmtId="165" fontId="0" fillId="0" borderId="18" xfId="0" applyNumberFormat="1" applyBorder="1" applyProtection="1">
      <protection locked="0"/>
    </xf>
    <xf numFmtId="164" fontId="0" fillId="0" borderId="18" xfId="0" applyNumberFormat="1" applyBorder="1" applyProtection="1">
      <protection locked="0"/>
    </xf>
    <xf numFmtId="166" fontId="0" fillId="0" borderId="18" xfId="1" applyNumberFormat="1" applyFont="1" applyFill="1" applyBorder="1" applyProtection="1">
      <protection locked="0"/>
    </xf>
    <xf numFmtId="2" fontId="0" fillId="0" borderId="18" xfId="0" applyNumberFormat="1" applyBorder="1" applyProtection="1">
      <protection locked="0"/>
    </xf>
    <xf numFmtId="3" fontId="0" fillId="0" borderId="18" xfId="0" applyNumberFormat="1" applyBorder="1" applyProtection="1">
      <protection locked="0"/>
    </xf>
    <xf numFmtId="10" fontId="0" fillId="0" borderId="0" xfId="0" applyNumberFormat="1" applyProtection="1">
      <protection locked="0"/>
    </xf>
    <xf numFmtId="2" fontId="0" fillId="0" borderId="19" xfId="0" applyNumberFormat="1" applyBorder="1"/>
    <xf numFmtId="10" fontId="0" fillId="0" borderId="19" xfId="0" applyNumberFormat="1" applyBorder="1"/>
    <xf numFmtId="2" fontId="0" fillId="0" borderId="18" xfId="0" applyNumberFormat="1" applyBorder="1"/>
    <xf numFmtId="10" fontId="0" fillId="0" borderId="18" xfId="0" applyNumberFormat="1" applyBorder="1"/>
    <xf numFmtId="0" fontId="30" fillId="11" borderId="0" xfId="0" applyFont="1" applyFill="1" applyAlignment="1">
      <alignment horizontal="center"/>
    </xf>
    <xf numFmtId="0" fontId="31" fillId="11" borderId="0" xfId="0" applyFont="1" applyFill="1" applyAlignment="1">
      <alignment vertical="center"/>
    </xf>
    <xf numFmtId="0" fontId="1" fillId="2" borderId="0" xfId="1" applyNumberFormat="1" applyFont="1" applyFill="1" applyBorder="1" applyAlignment="1" applyProtection="1">
      <alignment horizontal="left" wrapText="1"/>
      <protection locked="0"/>
    </xf>
    <xf numFmtId="0" fontId="32" fillId="0" borderId="18" xfId="0" applyFont="1" applyBorder="1" applyProtection="1">
      <protection locked="0"/>
    </xf>
    <xf numFmtId="0" fontId="33" fillId="0" borderId="18" xfId="0" applyFont="1" applyBorder="1" applyProtection="1">
      <protection locked="0"/>
    </xf>
    <xf numFmtId="2" fontId="32" fillId="0" borderId="18" xfId="0" applyNumberFormat="1" applyFont="1" applyBorder="1"/>
    <xf numFmtId="10" fontId="32" fillId="0" borderId="18" xfId="0" applyNumberFormat="1" applyFont="1" applyBorder="1"/>
    <xf numFmtId="2" fontId="32" fillId="0" borderId="18" xfId="0" applyNumberFormat="1" applyFont="1" applyBorder="1" applyProtection="1">
      <protection locked="0"/>
    </xf>
    <xf numFmtId="3" fontId="32" fillId="0" borderId="18" xfId="0" applyNumberFormat="1" applyFont="1" applyBorder="1" applyProtection="1">
      <protection locked="0"/>
    </xf>
    <xf numFmtId="2" fontId="32" fillId="0" borderId="0" xfId="0" applyNumberFormat="1" applyFont="1" applyProtection="1">
      <protection locked="0"/>
    </xf>
    <xf numFmtId="0" fontId="32" fillId="0" borderId="0" xfId="0" applyFont="1" applyProtection="1">
      <protection locked="0"/>
    </xf>
    <xf numFmtId="2" fontId="33" fillId="0" borderId="18" xfId="0" applyNumberFormat="1" applyFont="1" applyBorder="1"/>
    <xf numFmtId="10" fontId="33" fillId="0" borderId="18" xfId="0" applyNumberFormat="1" applyFont="1" applyBorder="1"/>
    <xf numFmtId="2" fontId="33" fillId="0" borderId="18" xfId="0" applyNumberFormat="1" applyFont="1" applyBorder="1" applyProtection="1">
      <protection locked="0"/>
    </xf>
    <xf numFmtId="3" fontId="33" fillId="0" borderId="18" xfId="0" applyNumberFormat="1" applyFont="1" applyBorder="1" applyProtection="1">
      <protection locked="0"/>
    </xf>
    <xf numFmtId="2" fontId="33" fillId="0" borderId="0" xfId="0" applyNumberFormat="1" applyFont="1" applyProtection="1">
      <protection locked="0"/>
    </xf>
    <xf numFmtId="0" fontId="33" fillId="0" borderId="0" xfId="0" applyFont="1" applyProtection="1">
      <protection locked="0"/>
    </xf>
    <xf numFmtId="0" fontId="0" fillId="0" borderId="18" xfId="0" applyBorder="1" applyAlignment="1" applyProtection="1">
      <alignment vertical="center"/>
      <protection locked="0"/>
    </xf>
    <xf numFmtId="2" fontId="0" fillId="0" borderId="18" xfId="0" applyNumberFormat="1" applyBorder="1" applyAlignment="1">
      <alignment vertical="center"/>
    </xf>
    <xf numFmtId="10" fontId="0" fillId="0" borderId="18" xfId="0" applyNumberFormat="1" applyBorder="1" applyAlignment="1">
      <alignment vertical="center"/>
    </xf>
    <xf numFmtId="2" fontId="0" fillId="0" borderId="18" xfId="0" applyNumberFormat="1" applyBorder="1" applyAlignment="1" applyProtection="1">
      <alignment vertical="center"/>
      <protection locked="0"/>
    </xf>
    <xf numFmtId="3" fontId="0" fillId="0" borderId="18" xfId="0" applyNumberFormat="1" applyBorder="1" applyAlignment="1" applyProtection="1">
      <alignment vertical="center"/>
      <protection locked="0"/>
    </xf>
    <xf numFmtId="0" fontId="0" fillId="0" borderId="0" xfId="0" applyAlignment="1" applyProtection="1">
      <alignment wrapText="1"/>
      <protection locked="0"/>
    </xf>
    <xf numFmtId="9" fontId="0" fillId="15" borderId="0" xfId="3" applyFont="1" applyFill="1" applyProtection="1">
      <protection locked="0"/>
    </xf>
    <xf numFmtId="9" fontId="0" fillId="0" borderId="0" xfId="3" applyFont="1" applyProtection="1">
      <protection locked="0"/>
    </xf>
    <xf numFmtId="9" fontId="0" fillId="0" borderId="0" xfId="3" applyFont="1" applyFill="1" applyProtection="1">
      <protection locked="0"/>
    </xf>
    <xf numFmtId="9" fontId="33" fillId="0" borderId="0" xfId="3" applyFont="1" applyFill="1" applyProtection="1">
      <protection locked="0"/>
    </xf>
    <xf numFmtId="9" fontId="32" fillId="0" borderId="0" xfId="3" applyFont="1" applyProtection="1">
      <protection locked="0"/>
    </xf>
    <xf numFmtId="0" fontId="0" fillId="0" borderId="0" xfId="0" applyAlignment="1" applyProtection="1">
      <alignment vertical="center"/>
      <protection locked="0"/>
    </xf>
    <xf numFmtId="2" fontId="0" fillId="0" borderId="0" xfId="0" applyNumberFormat="1" applyAlignment="1" applyProtection="1">
      <alignment vertical="center"/>
      <protection locked="0"/>
    </xf>
    <xf numFmtId="9" fontId="33" fillId="15" borderId="0" xfId="3" applyFont="1" applyFill="1" applyProtection="1">
      <protection locked="0"/>
    </xf>
    <xf numFmtId="167" fontId="0" fillId="0" borderId="0" xfId="0" applyNumberFormat="1"/>
    <xf numFmtId="0" fontId="34" fillId="0" borderId="1" xfId="0" applyFont="1" applyBorder="1" applyAlignment="1">
      <alignment horizontal="center" vertical="center"/>
    </xf>
    <xf numFmtId="2" fontId="34" fillId="0" borderId="1" xfId="0" applyNumberFormat="1" applyFont="1" applyBorder="1" applyAlignment="1">
      <alignment horizontal="center" vertical="center" wrapText="1"/>
    </xf>
    <xf numFmtId="9" fontId="34" fillId="0" borderId="1" xfId="0" applyNumberFormat="1" applyFont="1" applyBorder="1" applyAlignment="1">
      <alignment horizontal="center" vertical="center"/>
    </xf>
    <xf numFmtId="9" fontId="0" fillId="0" borderId="0" xfId="0" applyNumberFormat="1"/>
    <xf numFmtId="0" fontId="0" fillId="0" borderId="0" xfId="0" applyAlignment="1">
      <alignment wrapText="1"/>
    </xf>
    <xf numFmtId="2" fontId="33" fillId="0" borderId="18" xfId="0" applyNumberFormat="1" applyFont="1" applyBorder="1" applyAlignment="1">
      <alignment vertical="center"/>
    </xf>
    <xf numFmtId="10" fontId="33" fillId="0" borderId="18" xfId="0" applyNumberFormat="1" applyFont="1" applyBorder="1" applyAlignment="1">
      <alignment vertical="center"/>
    </xf>
    <xf numFmtId="2" fontId="33" fillId="0" borderId="18" xfId="0" applyNumberFormat="1" applyFont="1" applyBorder="1" applyAlignment="1" applyProtection="1">
      <alignment vertical="center"/>
      <protection locked="0"/>
    </xf>
    <xf numFmtId="0" fontId="33" fillId="0" borderId="18" xfId="0" applyFont="1" applyBorder="1" applyAlignment="1" applyProtection="1">
      <alignment vertical="center"/>
      <protection locked="0"/>
    </xf>
    <xf numFmtId="3" fontId="33" fillId="0" borderId="18" xfId="0" applyNumberFormat="1" applyFont="1" applyBorder="1" applyAlignment="1" applyProtection="1">
      <alignment vertical="center"/>
      <protection locked="0"/>
    </xf>
    <xf numFmtId="2" fontId="33" fillId="0" borderId="19" xfId="0" applyNumberFormat="1" applyFont="1" applyBorder="1" applyAlignment="1" applyProtection="1">
      <alignment vertical="center"/>
      <protection locked="0"/>
    </xf>
    <xf numFmtId="2" fontId="33" fillId="0" borderId="0" xfId="0" applyNumberFormat="1" applyFont="1" applyAlignment="1" applyProtection="1">
      <alignment vertical="center"/>
      <protection locked="0"/>
    </xf>
    <xf numFmtId="0" fontId="33" fillId="0" borderId="0" xfId="0" applyFont="1" applyAlignment="1" applyProtection="1">
      <alignment vertical="center"/>
      <protection locked="0"/>
    </xf>
    <xf numFmtId="0" fontId="35" fillId="0" borderId="18" xfId="0" applyFont="1" applyBorder="1" applyProtection="1">
      <protection locked="0"/>
    </xf>
    <xf numFmtId="0" fontId="34" fillId="16" borderId="1" xfId="0" applyFont="1" applyFill="1" applyBorder="1" applyAlignment="1">
      <alignment horizontal="center" vertical="center"/>
    </xf>
    <xf numFmtId="9" fontId="34" fillId="16" borderId="1" xfId="0" applyNumberFormat="1" applyFont="1" applyFill="1" applyBorder="1" applyAlignment="1">
      <alignment horizontal="center" vertical="center"/>
    </xf>
    <xf numFmtId="0" fontId="36" fillId="0" borderId="1" xfId="0" applyFont="1" applyBorder="1" applyProtection="1">
      <protection locked="0"/>
    </xf>
    <xf numFmtId="0" fontId="37" fillId="0" borderId="1" xfId="0" applyFont="1" applyBorder="1" applyProtection="1">
      <protection locked="0"/>
    </xf>
    <xf numFmtId="2" fontId="37" fillId="0" borderId="1" xfId="0" applyNumberFormat="1" applyFont="1" applyBorder="1" applyProtection="1">
      <protection locked="0"/>
    </xf>
    <xf numFmtId="0" fontId="6" fillId="0" borderId="1" xfId="0" applyFont="1" applyBorder="1" applyProtection="1">
      <protection locked="0"/>
    </xf>
    <xf numFmtId="2" fontId="6" fillId="0" borderId="1" xfId="0" applyNumberFormat="1" applyFont="1" applyBorder="1" applyProtection="1">
      <protection locked="0"/>
    </xf>
    <xf numFmtId="0" fontId="38" fillId="0" borderId="18" xfId="0" applyFont="1" applyBorder="1" applyProtection="1">
      <protection locked="0"/>
    </xf>
    <xf numFmtId="2" fontId="38" fillId="0" borderId="18" xfId="0" applyNumberFormat="1" applyFont="1" applyBorder="1" applyProtection="1">
      <protection locked="0"/>
    </xf>
    <xf numFmtId="2" fontId="38" fillId="0" borderId="18" xfId="0" applyNumberFormat="1" applyFont="1" applyBorder="1"/>
    <xf numFmtId="10" fontId="38" fillId="0" borderId="18" xfId="0" applyNumberFormat="1" applyFont="1" applyBorder="1"/>
    <xf numFmtId="3" fontId="38" fillId="0" borderId="18" xfId="0" applyNumberFormat="1" applyFont="1" applyBorder="1" applyProtection="1">
      <protection locked="0"/>
    </xf>
    <xf numFmtId="2" fontId="38" fillId="0" borderId="0" xfId="0" applyNumberFormat="1" applyFont="1" applyProtection="1">
      <protection locked="0"/>
    </xf>
    <xf numFmtId="0" fontId="38" fillId="0" borderId="0" xfId="0" applyFont="1" applyProtection="1">
      <protection locked="0"/>
    </xf>
    <xf numFmtId="9" fontId="38" fillId="15" borderId="0" xfId="3" applyFont="1" applyFill="1" applyProtection="1">
      <protection locked="0"/>
    </xf>
    <xf numFmtId="9" fontId="0" fillId="15" borderId="0" xfId="3" applyFont="1" applyFill="1" applyAlignment="1" applyProtection="1">
      <alignment vertical="center"/>
      <protection locked="0"/>
    </xf>
    <xf numFmtId="0" fontId="1" fillId="16" borderId="0" xfId="0" applyFont="1" applyFill="1" applyAlignment="1" applyProtection="1">
      <alignment wrapText="1"/>
      <protection locked="0"/>
    </xf>
    <xf numFmtId="0" fontId="36" fillId="0" borderId="18" xfId="0" applyFont="1" applyBorder="1" applyProtection="1">
      <protection locked="0"/>
    </xf>
    <xf numFmtId="0" fontId="2" fillId="0" borderId="0" xfId="0" applyFont="1" applyAlignment="1" applyProtection="1">
      <alignment wrapText="1"/>
      <protection locked="0"/>
    </xf>
    <xf numFmtId="0" fontId="6" fillId="0" borderId="0" xfId="0" applyFont="1" applyProtection="1">
      <protection locked="0"/>
    </xf>
    <xf numFmtId="0" fontId="6" fillId="0" borderId="18" xfId="0" applyFont="1" applyBorder="1" applyProtection="1">
      <protection locked="0"/>
    </xf>
    <xf numFmtId="165" fontId="6" fillId="0" borderId="18" xfId="0" applyNumberFormat="1" applyFont="1" applyBorder="1" applyProtection="1">
      <protection locked="0"/>
    </xf>
    <xf numFmtId="164" fontId="6" fillId="0" borderId="18" xfId="0" applyNumberFormat="1" applyFont="1" applyBorder="1" applyProtection="1">
      <protection locked="0"/>
    </xf>
    <xf numFmtId="14" fontId="6" fillId="0" borderId="18" xfId="0" applyNumberFormat="1" applyFont="1" applyBorder="1" applyProtection="1">
      <protection locked="0"/>
    </xf>
    <xf numFmtId="2" fontId="6" fillId="0" borderId="18" xfId="0" applyNumberFormat="1" applyFont="1" applyBorder="1" applyProtection="1">
      <protection locked="0"/>
    </xf>
    <xf numFmtId="166" fontId="6" fillId="0" borderId="18" xfId="1" applyNumberFormat="1" applyFont="1" applyFill="1" applyBorder="1" applyProtection="1">
      <protection locked="0"/>
    </xf>
    <xf numFmtId="2" fontId="6" fillId="0" borderId="18" xfId="0" applyNumberFormat="1" applyFont="1" applyBorder="1"/>
    <xf numFmtId="10" fontId="6" fillId="0" borderId="18" xfId="0" applyNumberFormat="1" applyFont="1" applyBorder="1"/>
    <xf numFmtId="9" fontId="6" fillId="0" borderId="19" xfId="0" applyNumberFormat="1" applyFont="1" applyBorder="1" applyProtection="1">
      <protection locked="0"/>
    </xf>
    <xf numFmtId="2" fontId="6" fillId="0" borderId="19" xfId="0" applyNumberFormat="1" applyFont="1" applyBorder="1"/>
    <xf numFmtId="3" fontId="6" fillId="0" borderId="18" xfId="0" applyNumberFormat="1" applyFont="1" applyBorder="1" applyProtection="1">
      <protection locked="0"/>
    </xf>
    <xf numFmtId="2" fontId="6" fillId="0" borderId="0" xfId="0" applyNumberFormat="1" applyFont="1" applyProtection="1">
      <protection locked="0"/>
    </xf>
    <xf numFmtId="9" fontId="6" fillId="15" borderId="0" xfId="3" applyFont="1" applyFill="1" applyProtection="1">
      <protection locked="0"/>
    </xf>
    <xf numFmtId="9" fontId="15" fillId="0" borderId="0" xfId="3" applyFont="1" applyFill="1" applyProtection="1">
      <protection locked="0"/>
    </xf>
    <xf numFmtId="9" fontId="32" fillId="0" borderId="0" xfId="3" applyFont="1" applyFill="1" applyProtection="1">
      <protection locked="0"/>
    </xf>
    <xf numFmtId="49" fontId="6" fillId="0" borderId="18" xfId="0" applyNumberFormat="1" applyFont="1" applyBorder="1" applyProtection="1">
      <protection locked="0"/>
    </xf>
    <xf numFmtId="9" fontId="6" fillId="0" borderId="0" xfId="3" applyFont="1" applyFill="1" applyProtection="1">
      <protection locked="0"/>
    </xf>
    <xf numFmtId="0" fontId="6" fillId="0" borderId="19" xfId="0" applyFont="1" applyBorder="1" applyProtection="1">
      <protection locked="0"/>
    </xf>
    <xf numFmtId="165" fontId="6" fillId="0" borderId="19" xfId="0" applyNumberFormat="1" applyFont="1" applyBorder="1" applyProtection="1">
      <protection locked="0"/>
    </xf>
    <xf numFmtId="164" fontId="6" fillId="0" borderId="19" xfId="0" applyNumberFormat="1" applyFont="1" applyBorder="1" applyProtection="1">
      <protection locked="0"/>
    </xf>
    <xf numFmtId="14" fontId="6" fillId="0" borderId="19" xfId="0" applyNumberFormat="1" applyFont="1" applyBorder="1" applyProtection="1">
      <protection locked="0"/>
    </xf>
    <xf numFmtId="166" fontId="6" fillId="0" borderId="19" xfId="1" applyNumberFormat="1" applyFont="1" applyFill="1" applyBorder="1" applyProtection="1">
      <protection locked="0"/>
    </xf>
    <xf numFmtId="10" fontId="6" fillId="0" borderId="19" xfId="0" applyNumberFormat="1" applyFont="1" applyBorder="1"/>
    <xf numFmtId="2" fontId="6" fillId="0" borderId="19" xfId="0" applyNumberFormat="1" applyFont="1" applyBorder="1" applyProtection="1">
      <protection locked="0"/>
    </xf>
    <xf numFmtId="2" fontId="6" fillId="0" borderId="18" xfId="0" applyNumberFormat="1" applyFont="1" applyBorder="1" applyAlignment="1">
      <alignment vertical="center"/>
    </xf>
    <xf numFmtId="10" fontId="6" fillId="0" borderId="18" xfId="0" applyNumberFormat="1" applyFont="1" applyBorder="1" applyAlignment="1">
      <alignment vertical="center"/>
    </xf>
    <xf numFmtId="2" fontId="6" fillId="0" borderId="18" xfId="0" applyNumberFormat="1" applyFont="1" applyBorder="1" applyAlignment="1" applyProtection="1">
      <alignment vertical="center"/>
      <protection locked="0"/>
    </xf>
    <xf numFmtId="0" fontId="6" fillId="0" borderId="18" xfId="0" applyFont="1" applyBorder="1" applyAlignment="1" applyProtection="1">
      <alignment horizontal="right"/>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vertical="center" wrapText="1"/>
      <protection locked="0"/>
    </xf>
    <xf numFmtId="165" fontId="6" fillId="0" borderId="18" xfId="0" applyNumberFormat="1" applyFont="1" applyBorder="1" applyAlignment="1" applyProtection="1">
      <alignment vertical="center"/>
      <protection locked="0"/>
    </xf>
    <xf numFmtId="164" fontId="6" fillId="0" borderId="18" xfId="0" applyNumberFormat="1" applyFont="1" applyBorder="1" applyAlignment="1" applyProtection="1">
      <alignment vertical="center"/>
      <protection locked="0"/>
    </xf>
    <xf numFmtId="14" fontId="6" fillId="0" borderId="18" xfId="0" applyNumberFormat="1" applyFont="1" applyBorder="1" applyAlignment="1" applyProtection="1">
      <alignment vertical="center"/>
      <protection locked="0"/>
    </xf>
    <xf numFmtId="166" fontId="6" fillId="0" borderId="18" xfId="1" applyNumberFormat="1" applyFont="1" applyFill="1" applyBorder="1" applyAlignment="1" applyProtection="1">
      <alignment vertical="center"/>
      <protection locked="0"/>
    </xf>
    <xf numFmtId="9" fontId="6" fillId="0" borderId="19" xfId="0" applyNumberFormat="1" applyFont="1" applyBorder="1" applyAlignment="1" applyProtection="1">
      <alignment vertical="center"/>
      <protection locked="0"/>
    </xf>
    <xf numFmtId="2" fontId="6" fillId="0" borderId="19" xfId="0" applyNumberFormat="1" applyFont="1" applyBorder="1" applyAlignment="1">
      <alignment vertical="center"/>
    </xf>
    <xf numFmtId="2" fontId="6" fillId="16" borderId="18" xfId="0" applyNumberFormat="1" applyFont="1" applyFill="1" applyBorder="1" applyProtection="1">
      <protection locked="0"/>
    </xf>
    <xf numFmtId="0" fontId="37" fillId="0" borderId="18" xfId="0" applyFont="1" applyBorder="1" applyProtection="1">
      <protection locked="0"/>
    </xf>
    <xf numFmtId="0" fontId="7" fillId="0" borderId="18" xfId="0" applyFont="1" applyBorder="1" applyProtection="1">
      <protection locked="0"/>
    </xf>
    <xf numFmtId="0" fontId="32" fillId="0" borderId="0" xfId="3" applyNumberFormat="1" applyFont="1" applyProtection="1">
      <protection locked="0"/>
    </xf>
    <xf numFmtId="17" fontId="6" fillId="0" borderId="18" xfId="0" applyNumberFormat="1" applyFont="1" applyBorder="1" applyProtection="1">
      <protection locked="0"/>
    </xf>
    <xf numFmtId="0" fontId="35" fillId="0" borderId="19" xfId="0" applyFont="1" applyBorder="1" applyProtection="1">
      <protection locked="0"/>
    </xf>
    <xf numFmtId="2" fontId="36" fillId="0" borderId="1" xfId="0" applyNumberFormat="1" applyFont="1" applyBorder="1" applyProtection="1">
      <protection locked="0"/>
    </xf>
    <xf numFmtId="0" fontId="6" fillId="17" borderId="18" xfId="0" applyFont="1" applyFill="1" applyBorder="1" applyProtection="1">
      <protection locked="0"/>
    </xf>
    <xf numFmtId="0" fontId="2" fillId="6" borderId="0" xfId="0" applyFont="1" applyFill="1" applyAlignment="1" applyProtection="1">
      <alignment horizontal="left"/>
      <protection locked="0"/>
    </xf>
    <xf numFmtId="0" fontId="2" fillId="14" borderId="0" xfId="0" applyFont="1" applyFill="1" applyAlignment="1" applyProtection="1">
      <alignment horizontal="left"/>
      <protection locked="0"/>
    </xf>
    <xf numFmtId="0" fontId="1" fillId="6" borderId="0" xfId="0" applyFont="1" applyFill="1" applyAlignment="1" applyProtection="1">
      <alignment horizontal="left"/>
      <protection locked="0"/>
    </xf>
    <xf numFmtId="0" fontId="34" fillId="0" borderId="1" xfId="0" applyFont="1" applyBorder="1" applyAlignment="1">
      <alignment horizontal="center" vertical="center" wrapText="1"/>
    </xf>
    <xf numFmtId="0" fontId="11" fillId="9" borderId="10" xfId="0" applyFont="1" applyFill="1" applyBorder="1" applyAlignment="1">
      <alignment horizontal="center" vertical="center"/>
    </xf>
    <xf numFmtId="0" fontId="11" fillId="9" borderId="11" xfId="0" applyFont="1" applyFill="1" applyBorder="1" applyAlignment="1">
      <alignment horizontal="center" vertical="center"/>
    </xf>
    <xf numFmtId="0" fontId="11" fillId="9" borderId="12" xfId="0" applyFont="1" applyFill="1" applyBorder="1" applyAlignment="1">
      <alignment horizontal="center" vertical="center"/>
    </xf>
    <xf numFmtId="0" fontId="12" fillId="10" borderId="15" xfId="0" applyFont="1" applyFill="1" applyBorder="1" applyAlignment="1">
      <alignment horizontal="center" vertical="center"/>
    </xf>
    <xf numFmtId="0" fontId="12" fillId="10" borderId="16" xfId="0" applyFont="1" applyFill="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11" fillId="9" borderId="6"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4" xfId="0" applyFont="1" applyBorder="1" applyAlignment="1">
      <alignment horizontal="left" vertical="center"/>
    </xf>
  </cellXfs>
  <cellStyles count="4">
    <cellStyle name="Comma" xfId="1" builtinId="3"/>
    <cellStyle name="Hyperlink" xfId="2" builtinId="8"/>
    <cellStyle name="Normal" xfId="0" builtinId="0"/>
    <cellStyle name="Percent" xfId="3" builtinId="5"/>
  </cellStyles>
  <dxfs count="21">
    <dxf>
      <font>
        <color theme="6" tint="-0.24994659260841701"/>
      </font>
      <fill>
        <patternFill>
          <bgColor theme="6"/>
        </patternFill>
      </fill>
    </dxf>
    <dxf>
      <fill>
        <patternFill>
          <bgColor theme="0" tint="-4.9989318521683403E-2"/>
        </patternFill>
      </fill>
    </dxf>
    <dxf>
      <font>
        <color theme="6" tint="-0.24994659260841701"/>
      </font>
      <fill>
        <patternFill>
          <bgColor theme="6"/>
        </patternFill>
      </fill>
    </dxf>
    <dxf>
      <font>
        <color theme="0" tint="-0.499984740745262"/>
      </font>
      <fill>
        <patternFill>
          <bgColor theme="0" tint="-0.34998626667073579"/>
        </patternFill>
      </fill>
    </dxf>
    <dxf>
      <font>
        <color theme="0" tint="-0.499984740745262"/>
      </font>
      <fill>
        <patternFill>
          <bgColor theme="0" tint="-0.34998626667073579"/>
        </patternFill>
      </fill>
    </dxf>
    <dxf>
      <font>
        <color theme="0" tint="-0.499984740745262"/>
      </font>
      <fill>
        <patternFill>
          <bgColor theme="6"/>
        </patternFill>
      </fill>
    </dxf>
    <dxf>
      <font>
        <color theme="0" tint="-0.499984740745262"/>
      </font>
      <fill>
        <patternFill>
          <bgColor theme="0" tint="-0.34998626667073579"/>
        </patternFill>
      </fill>
    </dxf>
    <dxf>
      <font>
        <color theme="6" tint="-0.24994659260841701"/>
      </font>
      <fill>
        <patternFill>
          <bgColor theme="6"/>
        </patternFill>
      </fill>
    </dxf>
    <dxf>
      <font>
        <color theme="6" tint="-0.24994659260841701"/>
      </font>
      <fill>
        <patternFill>
          <fgColor theme="6"/>
          <bgColor theme="6"/>
        </patternFill>
      </fill>
    </dxf>
    <dxf>
      <font>
        <color theme="6" tint="-0.24994659260841701"/>
      </font>
      <fill>
        <patternFill>
          <bgColor theme="6"/>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6" tint="-0.24994659260841701"/>
      </font>
      <fill>
        <patternFill>
          <bgColor theme="6"/>
        </patternFill>
      </fill>
    </dxf>
    <dxf>
      <font>
        <color theme="6" tint="-0.24994659260841701"/>
      </font>
      <fill>
        <patternFill>
          <bgColor theme="6"/>
        </patternFill>
      </fill>
    </dxf>
    <dxf>
      <font>
        <color theme="0" tint="-0.499984740745262"/>
      </font>
      <fill>
        <patternFill>
          <bgColor theme="0" tint="-0.34998626667073579"/>
        </patternFill>
      </fill>
    </dxf>
    <dxf>
      <font>
        <color theme="0" tint="-0.499984740745262"/>
      </font>
      <fill>
        <patternFill>
          <bgColor theme="0" tint="-0.3499862666707357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microsoft.com/office/2017/10/relationships/person" Target="persons/pers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20" Type="http://schemas.microsoft.com/office/2017/10/relationships/person" Target="persons/person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microsoft.com/office/2017/10/relationships/person" Target="persons/pers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4.5825974440110877E-2"/>
                  <c:y val="-0.2409237386993292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Disconnection!$B$23:$B$29</c:f>
              <c:numCache>
                <c:formatCode>0.00</c:formatCode>
                <c:ptCount val="7"/>
                <c:pt idx="0">
                  <c:v>8</c:v>
                </c:pt>
                <c:pt idx="1">
                  <c:v>6</c:v>
                </c:pt>
                <c:pt idx="2">
                  <c:v>4</c:v>
                </c:pt>
                <c:pt idx="3">
                  <c:v>2</c:v>
                </c:pt>
                <c:pt idx="4">
                  <c:v>1</c:v>
                </c:pt>
                <c:pt idx="5">
                  <c:v>0.5</c:v>
                </c:pt>
                <c:pt idx="6">
                  <c:v>0.25</c:v>
                </c:pt>
              </c:numCache>
            </c:numRef>
          </c:xVal>
          <c:yVal>
            <c:numRef>
              <c:f>Disconnection!$C$23:$C$29</c:f>
              <c:numCache>
                <c:formatCode>0%</c:formatCode>
                <c:ptCount val="7"/>
                <c:pt idx="0">
                  <c:v>0.3</c:v>
                </c:pt>
                <c:pt idx="1">
                  <c:v>0.37</c:v>
                </c:pt>
                <c:pt idx="2">
                  <c:v>0.48</c:v>
                </c:pt>
                <c:pt idx="3">
                  <c:v>0.64</c:v>
                </c:pt>
                <c:pt idx="4">
                  <c:v>0.74</c:v>
                </c:pt>
                <c:pt idx="5">
                  <c:v>0.82</c:v>
                </c:pt>
                <c:pt idx="6">
                  <c:v>0.85</c:v>
                </c:pt>
              </c:numCache>
            </c:numRef>
          </c:yVal>
          <c:smooth val="0"/>
          <c:extLst>
            <c:ext xmlns:c16="http://schemas.microsoft.com/office/drawing/2014/chart" uri="{C3380CC4-5D6E-409C-BE32-E72D297353CC}">
              <c16:uniqueId val="{00000000-2CC1-4134-8F7A-F0931D44973A}"/>
            </c:ext>
          </c:extLst>
        </c:ser>
        <c:dLbls>
          <c:showLegendKey val="0"/>
          <c:showVal val="0"/>
          <c:showCatName val="0"/>
          <c:showSerName val="0"/>
          <c:showPercent val="0"/>
          <c:showBubbleSize val="0"/>
        </c:dLbls>
        <c:axId val="898216776"/>
        <c:axId val="898217104"/>
      </c:scatterChart>
      <c:valAx>
        <c:axId val="89821677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217104"/>
        <c:crosses val="autoZero"/>
        <c:crossBetween val="midCat"/>
      </c:valAx>
      <c:valAx>
        <c:axId val="898217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82167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1724025</xdr:colOff>
      <xdr:row>6</xdr:row>
      <xdr:rowOff>609600</xdr:rowOff>
    </xdr:from>
    <xdr:to>
      <xdr:col>0</xdr:col>
      <xdr:colOff>3368675</xdr:colOff>
      <xdr:row>9</xdr:row>
      <xdr:rowOff>53975</xdr:rowOff>
    </xdr:to>
    <xdr:pic>
      <xdr:nvPicPr>
        <xdr:cNvPr id="2" name="Picture 1">
          <a:extLst>
            <a:ext uri="{FF2B5EF4-FFF2-40B4-BE49-F238E27FC236}">
              <a16:creationId xmlns:a16="http://schemas.microsoft.com/office/drawing/2014/main" id="{42F64E46-11C7-4C06-A7E4-F4D553699371}"/>
            </a:ext>
          </a:extLst>
        </xdr:cNvPr>
        <xdr:cNvPicPr/>
      </xdr:nvPicPr>
      <xdr:blipFill rotWithShape="1">
        <a:blip xmlns:r="http://schemas.openxmlformats.org/officeDocument/2006/relationships" r:embed="rId1"/>
        <a:srcRect r="27731"/>
        <a:stretch/>
      </xdr:blipFill>
      <xdr:spPr bwMode="auto">
        <a:xfrm>
          <a:off x="1724025" y="2143125"/>
          <a:ext cx="1638300" cy="466725"/>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xdr:colOff>
      <xdr:row>25</xdr:row>
      <xdr:rowOff>0</xdr:rowOff>
    </xdr:from>
    <xdr:to>
      <xdr:col>1</xdr:col>
      <xdr:colOff>70186</xdr:colOff>
      <xdr:row>36</xdr:row>
      <xdr:rowOff>164465</xdr:rowOff>
    </xdr:to>
    <xdr:grpSp>
      <xdr:nvGrpSpPr>
        <xdr:cNvPr id="4" name="Canvas 5">
          <a:extLst>
            <a:ext uri="{FF2B5EF4-FFF2-40B4-BE49-F238E27FC236}">
              <a16:creationId xmlns:a16="http://schemas.microsoft.com/office/drawing/2014/main" id="{759AEAB2-0C66-4650-8290-1C324715ECAA}"/>
            </a:ext>
          </a:extLst>
        </xdr:cNvPr>
        <xdr:cNvGrpSpPr/>
      </xdr:nvGrpSpPr>
      <xdr:grpSpPr>
        <a:xfrm>
          <a:off x="1" y="7879080"/>
          <a:ext cx="7103445" cy="2176145"/>
          <a:chOff x="0" y="0"/>
          <a:chExt cx="5928256" cy="2259965"/>
        </a:xfrm>
      </xdr:grpSpPr>
      <xdr:sp macro="" textlink="">
        <xdr:nvSpPr>
          <xdr:cNvPr id="5" name="Rectangle 4">
            <a:extLst>
              <a:ext uri="{FF2B5EF4-FFF2-40B4-BE49-F238E27FC236}">
                <a16:creationId xmlns:a16="http://schemas.microsoft.com/office/drawing/2014/main" id="{41F3DA3A-D475-4AB4-B343-4802D177D806}"/>
              </a:ext>
            </a:extLst>
          </xdr:cNvPr>
          <xdr:cNvSpPr/>
        </xdr:nvSpPr>
        <xdr:spPr>
          <a:xfrm>
            <a:off x="0" y="0"/>
            <a:ext cx="5868035" cy="2259965"/>
          </a:xfrm>
          <a:prstGeom prst="rect">
            <a:avLst/>
          </a:prstGeom>
          <a:solidFill>
            <a:prstClr val="white"/>
          </a:solidFill>
        </xdr:spPr>
      </xdr:sp>
      <xdr:grpSp>
        <xdr:nvGrpSpPr>
          <xdr:cNvPr id="6" name="Group 5">
            <a:extLst>
              <a:ext uri="{FF2B5EF4-FFF2-40B4-BE49-F238E27FC236}">
                <a16:creationId xmlns:a16="http://schemas.microsoft.com/office/drawing/2014/main" id="{DBA97ADC-9C96-4C74-8E05-80EC9FFCFFEC}"/>
              </a:ext>
            </a:extLst>
          </xdr:cNvPr>
          <xdr:cNvGrpSpPr/>
        </xdr:nvGrpSpPr>
        <xdr:grpSpPr>
          <a:xfrm>
            <a:off x="109181" y="28557"/>
            <a:ext cx="5819075" cy="2073109"/>
            <a:chOff x="109181" y="28557"/>
            <a:chExt cx="5819075" cy="2073109"/>
          </a:xfrm>
        </xdr:grpSpPr>
        <xdr:sp macro="" textlink="">
          <xdr:nvSpPr>
            <xdr:cNvPr id="7" name="Trapezoid 6">
              <a:extLst>
                <a:ext uri="{FF2B5EF4-FFF2-40B4-BE49-F238E27FC236}">
                  <a16:creationId xmlns:a16="http://schemas.microsoft.com/office/drawing/2014/main" id="{04E313BE-1DA1-4475-90B5-FB47EF32E859}"/>
                </a:ext>
              </a:extLst>
            </xdr:cNvPr>
            <xdr:cNvSpPr/>
          </xdr:nvSpPr>
          <xdr:spPr>
            <a:xfrm rot="10800000">
              <a:off x="818864" y="422747"/>
              <a:ext cx="4305865" cy="1678674"/>
            </a:xfrm>
            <a:prstGeom prst="trapezoid">
              <a:avLst>
                <a:gd name="adj" fmla="val 47127"/>
              </a:avLst>
            </a:prstGeom>
            <a:ln>
              <a:solidFill>
                <a:schemeClr val="accent1">
                  <a:lumMod val="75000"/>
                </a:schemeClr>
              </a:solidFill>
            </a:ln>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 name="Trapezoid 7">
              <a:extLst>
                <a:ext uri="{FF2B5EF4-FFF2-40B4-BE49-F238E27FC236}">
                  <a16:creationId xmlns:a16="http://schemas.microsoft.com/office/drawing/2014/main" id="{9BE2B637-5ABE-424D-ABDC-E996463AE6F9}"/>
                </a:ext>
              </a:extLst>
            </xdr:cNvPr>
            <xdr:cNvSpPr/>
          </xdr:nvSpPr>
          <xdr:spPr>
            <a:xfrm rot="10800000">
              <a:off x="1192959" y="1319839"/>
              <a:ext cx="3466106" cy="771097"/>
            </a:xfrm>
            <a:prstGeom prst="trapezoid">
              <a:avLst>
                <a:gd name="adj" fmla="val 48041"/>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 name="Trapezoid 8">
              <a:extLst>
                <a:ext uri="{FF2B5EF4-FFF2-40B4-BE49-F238E27FC236}">
                  <a16:creationId xmlns:a16="http://schemas.microsoft.com/office/drawing/2014/main" id="{CFD3B4F2-52A0-418A-8070-65012C83E62E}"/>
                </a:ext>
              </a:extLst>
            </xdr:cNvPr>
            <xdr:cNvSpPr/>
          </xdr:nvSpPr>
          <xdr:spPr>
            <a:xfrm rot="10800000">
              <a:off x="976892" y="832032"/>
              <a:ext cx="3936243" cy="498138"/>
            </a:xfrm>
            <a:prstGeom prst="trapezoid">
              <a:avLst>
                <a:gd name="adj" fmla="val 4871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 name="Rectangle 9">
              <a:extLst>
                <a:ext uri="{FF2B5EF4-FFF2-40B4-BE49-F238E27FC236}">
                  <a16:creationId xmlns:a16="http://schemas.microsoft.com/office/drawing/2014/main" id="{E86293B4-8D7B-42D7-BE67-6752EDAAB9C0}"/>
                </a:ext>
              </a:extLst>
            </xdr:cNvPr>
            <xdr:cNvSpPr/>
          </xdr:nvSpPr>
          <xdr:spPr>
            <a:xfrm>
              <a:off x="4349655" y="586764"/>
              <a:ext cx="574770" cy="1514902"/>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 name="Oval 10">
              <a:extLst>
                <a:ext uri="{FF2B5EF4-FFF2-40B4-BE49-F238E27FC236}">
                  <a16:creationId xmlns:a16="http://schemas.microsoft.com/office/drawing/2014/main" id="{49584C62-9294-415C-9A4A-CF2F5ED787D3}"/>
                </a:ext>
              </a:extLst>
            </xdr:cNvPr>
            <xdr:cNvSpPr/>
          </xdr:nvSpPr>
          <xdr:spPr>
            <a:xfrm>
              <a:off x="4353418" y="1262415"/>
              <a:ext cx="98946" cy="88708"/>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2" name="Rectangle 11">
              <a:extLst>
                <a:ext uri="{FF2B5EF4-FFF2-40B4-BE49-F238E27FC236}">
                  <a16:creationId xmlns:a16="http://schemas.microsoft.com/office/drawing/2014/main" id="{0C9FCFF0-5B8A-47C0-8EBE-93A3F1B4C2DA}"/>
                </a:ext>
              </a:extLst>
            </xdr:cNvPr>
            <xdr:cNvSpPr/>
          </xdr:nvSpPr>
          <xdr:spPr>
            <a:xfrm>
              <a:off x="4353844" y="716518"/>
              <a:ext cx="307075" cy="11599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 name="Text Box 12">
              <a:extLst>
                <a:ext uri="{FF2B5EF4-FFF2-40B4-BE49-F238E27FC236}">
                  <a16:creationId xmlns:a16="http://schemas.microsoft.com/office/drawing/2014/main" id="{41BC2AED-284C-4679-9F71-5F2DADEDEA46}"/>
                </a:ext>
              </a:extLst>
            </xdr:cNvPr>
            <xdr:cNvSpPr txBox="1"/>
          </xdr:nvSpPr>
          <xdr:spPr>
            <a:xfrm>
              <a:off x="2135874" y="1501254"/>
              <a:ext cx="1535373" cy="32754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Permanent Pool </a:t>
              </a:r>
            </a:p>
          </xdr:txBody>
        </xdr:sp>
        <xdr:sp macro="" textlink="">
          <xdr:nvSpPr>
            <xdr:cNvPr id="14" name="Text Box 12">
              <a:extLst>
                <a:ext uri="{FF2B5EF4-FFF2-40B4-BE49-F238E27FC236}">
                  <a16:creationId xmlns:a16="http://schemas.microsoft.com/office/drawing/2014/main" id="{FD7447C5-5D58-4EC9-A685-B4107BA6D740}"/>
                </a:ext>
              </a:extLst>
            </xdr:cNvPr>
            <xdr:cNvSpPr txBox="1"/>
          </xdr:nvSpPr>
          <xdr:spPr>
            <a:xfrm>
              <a:off x="1350017" y="841885"/>
              <a:ext cx="2975211" cy="44354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06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Extended Detention 12-24 hours, typically controlled by a small orifice</a:t>
              </a:r>
            </a:p>
          </xdr:txBody>
        </xdr:sp>
        <xdr:sp macro="" textlink="">
          <xdr:nvSpPr>
            <xdr:cNvPr id="15" name="Text Box 14">
              <a:extLst>
                <a:ext uri="{FF2B5EF4-FFF2-40B4-BE49-F238E27FC236}">
                  <a16:creationId xmlns:a16="http://schemas.microsoft.com/office/drawing/2014/main" id="{8A33F28F-B8B1-407D-8C7A-6508ED48F086}"/>
                </a:ext>
              </a:extLst>
            </xdr:cNvPr>
            <xdr:cNvSpPr txBox="1"/>
          </xdr:nvSpPr>
          <xdr:spPr>
            <a:xfrm>
              <a:off x="1187353" y="470757"/>
              <a:ext cx="3060797" cy="307074"/>
            </a:xfrm>
            <a:prstGeom prst="rect">
              <a:avLst/>
            </a:prstGeom>
            <a:solidFill>
              <a:schemeClr val="bg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Flood Storage – Typically short detention times.</a:t>
              </a:r>
            </a:p>
          </xdr:txBody>
        </xdr:sp>
        <xdr:sp macro="" textlink="">
          <xdr:nvSpPr>
            <xdr:cNvPr id="16" name="Left Brace 15">
              <a:extLst>
                <a:ext uri="{FF2B5EF4-FFF2-40B4-BE49-F238E27FC236}">
                  <a16:creationId xmlns:a16="http://schemas.microsoft.com/office/drawing/2014/main" id="{E04F970C-E9F1-4DEB-8C3F-85F2A8D8D9E3}"/>
                </a:ext>
              </a:extLst>
            </xdr:cNvPr>
            <xdr:cNvSpPr/>
          </xdr:nvSpPr>
          <xdr:spPr>
            <a:xfrm>
              <a:off x="818865" y="832195"/>
              <a:ext cx="307075" cy="1268117"/>
            </a:xfrm>
            <a:prstGeom prst="leftBrace">
              <a:avLst>
                <a:gd name="adj1" fmla="val 40492"/>
                <a:gd name="adj2" fmla="val 50000"/>
              </a:avLst>
            </a:prstGeom>
            <a:ln w="19050"/>
          </xdr:spPr>
          <xdr:style>
            <a:lnRef idx="2">
              <a:schemeClr val="accent2"/>
            </a:lnRef>
            <a:fillRef idx="0">
              <a:schemeClr val="accent2"/>
            </a:fillRef>
            <a:effectRef idx="1">
              <a:schemeClr val="accent2"/>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 name="Text Box 18">
              <a:extLst>
                <a:ext uri="{FF2B5EF4-FFF2-40B4-BE49-F238E27FC236}">
                  <a16:creationId xmlns:a16="http://schemas.microsoft.com/office/drawing/2014/main" id="{1E9F17ED-446E-4FA5-BC8D-9C4A80D4CD80}"/>
                </a:ext>
              </a:extLst>
            </xdr:cNvPr>
            <xdr:cNvSpPr txBox="1"/>
          </xdr:nvSpPr>
          <xdr:spPr>
            <a:xfrm>
              <a:off x="109181" y="948519"/>
              <a:ext cx="771099" cy="10903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Storage Volume for Credit</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Calcs</a:t>
              </a:r>
            </a:p>
          </xdr:txBody>
        </xdr:sp>
        <xdr:sp macro="" textlink="">
          <xdr:nvSpPr>
            <xdr:cNvPr id="18" name="Text Box 19">
              <a:extLst>
                <a:ext uri="{FF2B5EF4-FFF2-40B4-BE49-F238E27FC236}">
                  <a16:creationId xmlns:a16="http://schemas.microsoft.com/office/drawing/2014/main" id="{B3F8F745-DAD9-4007-8798-143721ED91C5}"/>
                </a:ext>
              </a:extLst>
            </xdr:cNvPr>
            <xdr:cNvSpPr txBox="1"/>
          </xdr:nvSpPr>
          <xdr:spPr>
            <a:xfrm>
              <a:off x="4762567" y="28557"/>
              <a:ext cx="885758" cy="27624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Outlet Riser</a:t>
              </a:r>
            </a:p>
          </xdr:txBody>
        </xdr:sp>
        <xdr:cxnSp macro="">
          <xdr:nvCxnSpPr>
            <xdr:cNvPr id="19" name="Connector: Curved 21">
              <a:extLst>
                <a:ext uri="{FF2B5EF4-FFF2-40B4-BE49-F238E27FC236}">
                  <a16:creationId xmlns:a16="http://schemas.microsoft.com/office/drawing/2014/main" id="{128A9530-F682-4A2E-A813-A8DC68C12C56}"/>
                </a:ext>
              </a:extLst>
            </xdr:cNvPr>
            <xdr:cNvCxnSpPr>
              <a:stCxn id="18" idx="2"/>
              <a:endCxn id="10" idx="0"/>
            </xdr:cNvCxnSpPr>
          </xdr:nvCxnSpPr>
          <xdr:spPr>
            <a:xfrm flipH="1">
              <a:off x="4637040" y="304800"/>
              <a:ext cx="568406" cy="28196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0" name="Text Box 19">
              <a:extLst>
                <a:ext uri="{FF2B5EF4-FFF2-40B4-BE49-F238E27FC236}">
                  <a16:creationId xmlns:a16="http://schemas.microsoft.com/office/drawing/2014/main" id="{6179E006-E18D-40AB-914C-AEC97E4F38A5}"/>
                </a:ext>
              </a:extLst>
            </xdr:cNvPr>
            <xdr:cNvSpPr txBox="1"/>
          </xdr:nvSpPr>
          <xdr:spPr>
            <a:xfrm>
              <a:off x="4959880" y="577255"/>
              <a:ext cx="968376" cy="41306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6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Overflow for large storms</a:t>
              </a:r>
            </a:p>
          </xdr:txBody>
        </xdr:sp>
        <xdr:sp macro="" textlink="">
          <xdr:nvSpPr>
            <xdr:cNvPr id="21" name="Text Box 19">
              <a:extLst>
                <a:ext uri="{FF2B5EF4-FFF2-40B4-BE49-F238E27FC236}">
                  <a16:creationId xmlns:a16="http://schemas.microsoft.com/office/drawing/2014/main" id="{30E84109-C1F7-4713-8541-F839B4B15EBA}"/>
                </a:ext>
              </a:extLst>
            </xdr:cNvPr>
            <xdr:cNvSpPr txBox="1"/>
          </xdr:nvSpPr>
          <xdr:spPr>
            <a:xfrm>
              <a:off x="4935362" y="1009650"/>
              <a:ext cx="968376" cy="69143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Small outlet for extended detention</a:t>
              </a:r>
            </a:p>
          </xdr:txBody>
        </xdr:sp>
        <xdr:cxnSp macro="">
          <xdr:nvCxnSpPr>
            <xdr:cNvPr id="22" name="Straight Arrow Connector 21">
              <a:extLst>
                <a:ext uri="{FF2B5EF4-FFF2-40B4-BE49-F238E27FC236}">
                  <a16:creationId xmlns:a16="http://schemas.microsoft.com/office/drawing/2014/main" id="{68F9104D-AE77-4FB6-9CED-1F973E37C7C9}"/>
                </a:ext>
              </a:extLst>
            </xdr:cNvPr>
            <xdr:cNvCxnSpPr>
              <a:stCxn id="20" idx="1"/>
              <a:endCxn id="12" idx="3"/>
            </xdr:cNvCxnSpPr>
          </xdr:nvCxnSpPr>
          <xdr:spPr>
            <a:xfrm flipH="1" flipV="1">
              <a:off x="4660919" y="774518"/>
              <a:ext cx="298961" cy="927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3" name="Straight Arrow Connector 22">
              <a:extLst>
                <a:ext uri="{FF2B5EF4-FFF2-40B4-BE49-F238E27FC236}">
                  <a16:creationId xmlns:a16="http://schemas.microsoft.com/office/drawing/2014/main" id="{77D9314F-8413-46FD-A626-CB1751F51671}"/>
                </a:ext>
              </a:extLst>
            </xdr:cNvPr>
            <xdr:cNvCxnSpPr>
              <a:stCxn id="21" idx="1"/>
              <a:endCxn id="11" idx="5"/>
            </xdr:cNvCxnSpPr>
          </xdr:nvCxnSpPr>
          <xdr:spPr>
            <a:xfrm flipH="1" flipV="1">
              <a:off x="4437873" y="1338132"/>
              <a:ext cx="497488" cy="1723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grpSp>
    </xdr:grpSp>
    <xdr:clientData/>
  </xdr:twoCellAnchor>
  <xdr:twoCellAnchor>
    <xdr:from>
      <xdr:col>0</xdr:col>
      <xdr:colOff>1</xdr:colOff>
      <xdr:row>42</xdr:row>
      <xdr:rowOff>0</xdr:rowOff>
    </xdr:from>
    <xdr:to>
      <xdr:col>0</xdr:col>
      <xdr:colOff>6438900</xdr:colOff>
      <xdr:row>56</xdr:row>
      <xdr:rowOff>94615</xdr:rowOff>
    </xdr:to>
    <xdr:grpSp>
      <xdr:nvGrpSpPr>
        <xdr:cNvPr id="25" name="Group 24">
          <a:extLst>
            <a:ext uri="{FF2B5EF4-FFF2-40B4-BE49-F238E27FC236}">
              <a16:creationId xmlns:a16="http://schemas.microsoft.com/office/drawing/2014/main" id="{E9E0B42B-297E-413A-9558-7BAEC49262F7}"/>
            </a:ext>
          </a:extLst>
        </xdr:cNvPr>
        <xdr:cNvGrpSpPr/>
      </xdr:nvGrpSpPr>
      <xdr:grpSpPr>
        <a:xfrm>
          <a:off x="1" y="11170920"/>
          <a:ext cx="6438899" cy="2654935"/>
          <a:chOff x="0" y="0"/>
          <a:chExt cx="5771515" cy="2762250"/>
        </a:xfrm>
      </xdr:grpSpPr>
      <xdr:pic>
        <xdr:nvPicPr>
          <xdr:cNvPr id="26" name="Picture 25">
            <a:extLst>
              <a:ext uri="{FF2B5EF4-FFF2-40B4-BE49-F238E27FC236}">
                <a16:creationId xmlns:a16="http://schemas.microsoft.com/office/drawing/2014/main" id="{E5A1E862-5216-45BE-96B0-881857ADE048}"/>
              </a:ext>
            </a:extLst>
          </xdr:cNvPr>
          <xdr:cNvPicPr>
            <a:picLocks noChangeAspect="1"/>
          </xdr:cNvPicPr>
        </xdr:nvPicPr>
        <xdr:blipFill>
          <a:blip xmlns:r="http://schemas.openxmlformats.org/officeDocument/2006/relationships" r:embed="rId2"/>
          <a:stretch>
            <a:fillRect/>
          </a:stretch>
        </xdr:blipFill>
        <xdr:spPr>
          <a:xfrm>
            <a:off x="0" y="0"/>
            <a:ext cx="5552495" cy="2762250"/>
          </a:xfrm>
          <a:prstGeom prst="rect">
            <a:avLst/>
          </a:prstGeom>
        </xdr:spPr>
      </xdr:pic>
      <xdr:sp macro="" textlink="">
        <xdr:nvSpPr>
          <xdr:cNvPr id="27" name="Text Box 3">
            <a:extLst>
              <a:ext uri="{FF2B5EF4-FFF2-40B4-BE49-F238E27FC236}">
                <a16:creationId xmlns:a16="http://schemas.microsoft.com/office/drawing/2014/main" id="{26BD9608-22DE-4394-B3FD-5150F17CD991}"/>
              </a:ext>
            </a:extLst>
          </xdr:cNvPr>
          <xdr:cNvSpPr txBox="1"/>
        </xdr:nvSpPr>
        <xdr:spPr>
          <a:xfrm>
            <a:off x="4353419" y="2095500"/>
            <a:ext cx="1252248" cy="361950"/>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b="1">
                <a:solidFill>
                  <a:srgbClr val="2F5496"/>
                </a:solidFill>
                <a:effectLst/>
                <a:ea typeface="Calibri" panose="020F0502020204030204" pitchFamily="34" charset="0"/>
                <a:cs typeface="Times New Roman" panose="02020603050405020304" pitchFamily="18" charset="0"/>
              </a:rPr>
              <a:t>Overflow Orifice</a:t>
            </a:r>
            <a:endParaRPr lang="en-US" sz="1100">
              <a:effectLst/>
              <a:ea typeface="Calibri" panose="020F0502020204030204" pitchFamily="34" charset="0"/>
              <a:cs typeface="Times New Roman" panose="02020603050405020304" pitchFamily="18" charset="0"/>
            </a:endParaRPr>
          </a:p>
        </xdr:txBody>
      </xdr:sp>
      <xdr:sp macro="" textlink="">
        <xdr:nvSpPr>
          <xdr:cNvPr id="28" name="Rectangle: Rounded Corners 27">
            <a:extLst>
              <a:ext uri="{FF2B5EF4-FFF2-40B4-BE49-F238E27FC236}">
                <a16:creationId xmlns:a16="http://schemas.microsoft.com/office/drawing/2014/main" id="{94AD35CA-1BB2-41DB-88C9-9B130975D77D}"/>
              </a:ext>
            </a:extLst>
          </xdr:cNvPr>
          <xdr:cNvSpPr/>
        </xdr:nvSpPr>
        <xdr:spPr>
          <a:xfrm>
            <a:off x="109181" y="2143125"/>
            <a:ext cx="5662334" cy="314325"/>
          </a:xfrm>
          <a:prstGeom prst="roundRect">
            <a:avLst/>
          </a:prstGeom>
          <a:noFill/>
          <a:ln w="19050"/>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xnSp macro="">
        <xdr:nvCxnSpPr>
          <xdr:cNvPr id="29" name="Straight Arrow Connector 28">
            <a:extLst>
              <a:ext uri="{FF2B5EF4-FFF2-40B4-BE49-F238E27FC236}">
                <a16:creationId xmlns:a16="http://schemas.microsoft.com/office/drawing/2014/main" id="{CD90C1CA-1935-4A3B-A344-357820BC869A}"/>
              </a:ext>
            </a:extLst>
          </xdr:cNvPr>
          <xdr:cNvCxnSpPr/>
        </xdr:nvCxnSpPr>
        <xdr:spPr>
          <a:xfrm flipH="1">
            <a:off x="3305177" y="952500"/>
            <a:ext cx="571499" cy="0"/>
          </a:xfrm>
          <a:prstGeom prst="straightConnector1">
            <a:avLst/>
          </a:prstGeom>
          <a:ln w="28575">
            <a:solidFill>
              <a:schemeClr val="accent2"/>
            </a:solidFill>
            <a:tailEnd type="triangle"/>
          </a:ln>
        </xdr:spPr>
        <xdr:style>
          <a:lnRef idx="2">
            <a:schemeClr val="accent2"/>
          </a:lnRef>
          <a:fillRef idx="0">
            <a:schemeClr val="accent2"/>
          </a:fillRef>
          <a:effectRef idx="1">
            <a:schemeClr val="accent2"/>
          </a:effectRef>
          <a:fontRef idx="minor">
            <a:schemeClr val="tx1"/>
          </a:fontRef>
        </xdr:style>
      </xdr:cxnSp>
      <xdr:sp macro="" textlink="">
        <xdr:nvSpPr>
          <xdr:cNvPr id="30" name="Text Box 6">
            <a:extLst>
              <a:ext uri="{FF2B5EF4-FFF2-40B4-BE49-F238E27FC236}">
                <a16:creationId xmlns:a16="http://schemas.microsoft.com/office/drawing/2014/main" id="{51C49B1E-8D1F-4C68-BAA4-F64827D782D4}"/>
              </a:ext>
            </a:extLst>
          </xdr:cNvPr>
          <xdr:cNvSpPr txBox="1"/>
        </xdr:nvSpPr>
        <xdr:spPr>
          <a:xfrm>
            <a:off x="3876675" y="657225"/>
            <a:ext cx="1328716" cy="685800"/>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b="1">
                <a:solidFill>
                  <a:srgbClr val="2F5496"/>
                </a:solidFill>
                <a:effectLst/>
                <a:latin typeface="Calibri" panose="020F0502020204030204" pitchFamily="34" charset="0"/>
                <a:ea typeface="Calibri" panose="020F0502020204030204" pitchFamily="34" charset="0"/>
                <a:cs typeface="Times New Roman" panose="02020603050405020304" pitchFamily="18" charset="0"/>
              </a:rPr>
              <a:t>Storage volume @ 370’ = 26,389 ft</a:t>
            </a:r>
            <a:r>
              <a:rPr lang="en-US" sz="1100" b="1" baseline="30000">
                <a:solidFill>
                  <a:srgbClr val="2F5496"/>
                </a:solidFill>
                <a:effectLst/>
                <a:latin typeface="Calibri" panose="020F0502020204030204" pitchFamily="34" charset="0"/>
                <a:ea typeface="Calibri" panose="020F0502020204030204" pitchFamily="34" charset="0"/>
                <a:cs typeface="Times New Roman" panose="02020603050405020304" pitchFamily="18" charset="0"/>
              </a:rPr>
              <a:t>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2</xdr:colOff>
      <xdr:row>63</xdr:row>
      <xdr:rowOff>123825</xdr:rowOff>
    </xdr:from>
    <xdr:to>
      <xdr:col>0</xdr:col>
      <xdr:colOff>6276975</xdr:colOff>
      <xdr:row>82</xdr:row>
      <xdr:rowOff>38100</xdr:rowOff>
    </xdr:to>
    <xdr:grpSp>
      <xdr:nvGrpSpPr>
        <xdr:cNvPr id="31" name="Group 30">
          <a:extLst>
            <a:ext uri="{FF2B5EF4-FFF2-40B4-BE49-F238E27FC236}">
              <a16:creationId xmlns:a16="http://schemas.microsoft.com/office/drawing/2014/main" id="{9BD44A01-6789-4DC6-8193-C0EA3950C576}"/>
            </a:ext>
          </a:extLst>
        </xdr:cNvPr>
        <xdr:cNvGrpSpPr/>
      </xdr:nvGrpSpPr>
      <xdr:grpSpPr>
        <a:xfrm>
          <a:off x="2" y="16064865"/>
          <a:ext cx="6276973" cy="3388995"/>
          <a:chOff x="215122" y="5"/>
          <a:chExt cx="5814203" cy="3652833"/>
        </a:xfrm>
      </xdr:grpSpPr>
      <xdr:pic>
        <xdr:nvPicPr>
          <xdr:cNvPr id="32" name="Picture 31">
            <a:extLst>
              <a:ext uri="{FF2B5EF4-FFF2-40B4-BE49-F238E27FC236}">
                <a16:creationId xmlns:a16="http://schemas.microsoft.com/office/drawing/2014/main" id="{F5A187C1-8BCA-4B1A-ADEF-22D501DEBE7D}"/>
              </a:ext>
            </a:extLst>
          </xdr:cNvPr>
          <xdr:cNvPicPr>
            <a:picLocks noChangeAspect="1"/>
          </xdr:cNvPicPr>
        </xdr:nvPicPr>
        <xdr:blipFill rotWithShape="1">
          <a:blip xmlns:r="http://schemas.openxmlformats.org/officeDocument/2006/relationships" r:embed="rId3"/>
          <a:srcRect t="1797" r="2178" b="4"/>
          <a:stretch/>
        </xdr:blipFill>
        <xdr:spPr>
          <a:xfrm>
            <a:off x="215122" y="5"/>
            <a:ext cx="5814203" cy="3652833"/>
          </a:xfrm>
          <a:prstGeom prst="rect">
            <a:avLst/>
          </a:prstGeom>
        </xdr:spPr>
      </xdr:pic>
      <xdr:sp macro="" textlink="">
        <xdr:nvSpPr>
          <xdr:cNvPr id="33" name="Rectangle: Rounded Corners 32">
            <a:extLst>
              <a:ext uri="{FF2B5EF4-FFF2-40B4-BE49-F238E27FC236}">
                <a16:creationId xmlns:a16="http://schemas.microsoft.com/office/drawing/2014/main" id="{0A723731-038F-4F73-BC5D-8B3D0900D924}"/>
              </a:ext>
            </a:extLst>
          </xdr:cNvPr>
          <xdr:cNvSpPr/>
        </xdr:nvSpPr>
        <xdr:spPr>
          <a:xfrm>
            <a:off x="215123" y="1542557"/>
            <a:ext cx="1251728" cy="145635"/>
          </a:xfrm>
          <a:prstGeom prst="roundRect">
            <a:avLst/>
          </a:prstGeom>
          <a:noFill/>
          <a:ln w="19050"/>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6000"/>
              </a:lnSpc>
              <a:spcBef>
                <a:spcPts val="0"/>
              </a:spcBef>
              <a:spcAft>
                <a:spcPts val="800"/>
              </a:spcAft>
            </a:pPr>
            <a:r>
              <a:rPr lang="en-US" sz="1100">
                <a:effectLst/>
                <a:ea typeface="Calibri" panose="020F0502020204030204" pitchFamily="34" charset="0"/>
                <a:cs typeface="Times New Roman" panose="02020603050405020304" pitchFamily="18" charset="0"/>
              </a:rPr>
              <a:t> </a:t>
            </a:r>
          </a:p>
        </xdr:txBody>
      </xdr:sp>
    </xdr:grpSp>
    <xdr:clientData/>
  </xdr:twoCellAnchor>
  <xdr:twoCellAnchor>
    <xdr:from>
      <xdr:col>0</xdr:col>
      <xdr:colOff>3114675</xdr:colOff>
      <xdr:row>10</xdr:row>
      <xdr:rowOff>28575</xdr:rowOff>
    </xdr:from>
    <xdr:to>
      <xdr:col>0</xdr:col>
      <xdr:colOff>3286125</xdr:colOff>
      <xdr:row>10</xdr:row>
      <xdr:rowOff>180975</xdr:rowOff>
    </xdr:to>
    <xdr:sp macro="" textlink="">
      <xdr:nvSpPr>
        <xdr:cNvPr id="34" name="Rectangle 33">
          <a:extLst>
            <a:ext uri="{FF2B5EF4-FFF2-40B4-BE49-F238E27FC236}">
              <a16:creationId xmlns:a16="http://schemas.microsoft.com/office/drawing/2014/main" id="{7032C46C-5F69-45F8-8C45-5DB2C535A1D2}"/>
            </a:ext>
          </a:extLst>
        </xdr:cNvPr>
        <xdr:cNvSpPr/>
      </xdr:nvSpPr>
      <xdr:spPr>
        <a:xfrm>
          <a:off x="3114675" y="3019425"/>
          <a:ext cx="171450" cy="15240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xdr:colOff>
      <xdr:row>18</xdr:row>
      <xdr:rowOff>160020</xdr:rowOff>
    </xdr:from>
    <xdr:to>
      <xdr:col>11</xdr:col>
      <xdr:colOff>266700</xdr:colOff>
      <xdr:row>33</xdr:row>
      <xdr:rowOff>160020</xdr:rowOff>
    </xdr:to>
    <xdr:graphicFrame macro="">
      <xdr:nvGraphicFramePr>
        <xdr:cNvPr id="2" name="Chart 1">
          <a:extLst>
            <a:ext uri="{FF2B5EF4-FFF2-40B4-BE49-F238E27FC236}">
              <a16:creationId xmlns:a16="http://schemas.microsoft.com/office/drawing/2014/main" id="{8846BA65-E7BA-4F4A-8B96-BC5CE5C4BA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nrmaps.vermont.gov/websites/anra5/" TargetMode="External"/><Relationship Id="rId1" Type="http://schemas.openxmlformats.org/officeDocument/2006/relationships/hyperlink" Target="mailto:emily.schelley@vermont.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D9DA4-6394-4945-A11B-A01C65371BA8}">
  <dimension ref="A1:A87"/>
  <sheetViews>
    <sheetView topLeftCell="A44" workbookViewId="0">
      <selection activeCell="A58" sqref="A58"/>
    </sheetView>
  </sheetViews>
  <sheetFormatPr defaultRowHeight="14.4" x14ac:dyDescent="0.3"/>
  <cols>
    <col min="1" max="1" width="102.5546875" customWidth="1"/>
  </cols>
  <sheetData>
    <row r="1" spans="1:1" ht="18" x14ac:dyDescent="0.3">
      <c r="A1" s="48" t="s">
        <v>235</v>
      </c>
    </row>
    <row r="2" spans="1:1" ht="15.6" x14ac:dyDescent="0.3">
      <c r="A2" s="104" t="s">
        <v>268</v>
      </c>
    </row>
    <row r="3" spans="1:1" x14ac:dyDescent="0.3">
      <c r="A3" s="42"/>
    </row>
    <row r="4" spans="1:1" x14ac:dyDescent="0.3">
      <c r="A4" s="43" t="s">
        <v>249</v>
      </c>
    </row>
    <row r="5" spans="1:1" ht="34.5" customHeight="1" x14ac:dyDescent="0.3">
      <c r="A5" s="46" t="s">
        <v>236</v>
      </c>
    </row>
    <row r="6" spans="1:1" ht="41.25" customHeight="1" x14ac:dyDescent="0.3">
      <c r="A6" s="46" t="s">
        <v>237</v>
      </c>
    </row>
    <row r="7" spans="1:1" ht="51" customHeight="1" x14ac:dyDescent="0.3">
      <c r="A7" s="43" t="s">
        <v>238</v>
      </c>
    </row>
    <row r="8" spans="1:1" x14ac:dyDescent="0.3">
      <c r="A8" s="42"/>
    </row>
    <row r="9" spans="1:1" x14ac:dyDescent="0.3">
      <c r="A9" s="42"/>
    </row>
    <row r="10" spans="1:1" x14ac:dyDescent="0.3">
      <c r="A10" s="42"/>
    </row>
    <row r="11" spans="1:1" x14ac:dyDescent="0.3">
      <c r="A11" s="42" t="s">
        <v>262</v>
      </c>
    </row>
    <row r="12" spans="1:1" ht="66.75" customHeight="1" x14ac:dyDescent="0.3">
      <c r="A12" s="45" t="s">
        <v>264</v>
      </c>
    </row>
    <row r="13" spans="1:1" ht="22.5" customHeight="1" x14ac:dyDescent="0.3">
      <c r="A13" s="74" t="s">
        <v>261</v>
      </c>
    </row>
    <row r="14" spans="1:1" ht="29.25" customHeight="1" x14ac:dyDescent="0.3">
      <c r="A14" s="45" t="s">
        <v>278</v>
      </c>
    </row>
    <row r="15" spans="1:1" x14ac:dyDescent="0.3">
      <c r="A15" s="75" t="s">
        <v>247</v>
      </c>
    </row>
    <row r="16" spans="1:1" x14ac:dyDescent="0.3">
      <c r="A16" s="44"/>
    </row>
    <row r="17" spans="1:1" ht="15.6" x14ac:dyDescent="0.3">
      <c r="A17" s="49" t="s">
        <v>255</v>
      </c>
    </row>
    <row r="18" spans="1:1" ht="18.75" customHeight="1" x14ac:dyDescent="0.3">
      <c r="A18" s="51" t="s">
        <v>256</v>
      </c>
    </row>
    <row r="19" spans="1:1" ht="18.75" customHeight="1" x14ac:dyDescent="0.3">
      <c r="A19" s="50" t="s">
        <v>267</v>
      </c>
    </row>
    <row r="20" spans="1:1" x14ac:dyDescent="0.3">
      <c r="A20" s="44"/>
    </row>
    <row r="21" spans="1:1" ht="15.6" x14ac:dyDescent="0.3">
      <c r="A21" s="47" t="s">
        <v>239</v>
      </c>
    </row>
    <row r="22" spans="1:1" ht="72" x14ac:dyDescent="0.3">
      <c r="A22" s="43" t="s">
        <v>240</v>
      </c>
    </row>
    <row r="23" spans="1:1" x14ac:dyDescent="0.3">
      <c r="A23" s="42"/>
    </row>
    <row r="24" spans="1:1" ht="15.6" x14ac:dyDescent="0.3">
      <c r="A24" s="47" t="s">
        <v>241</v>
      </c>
    </row>
    <row r="25" spans="1:1" ht="43.2" x14ac:dyDescent="0.3">
      <c r="A25" s="43" t="s">
        <v>242</v>
      </c>
    </row>
    <row r="26" spans="1:1" x14ac:dyDescent="0.3">
      <c r="A26" s="42"/>
    </row>
    <row r="27" spans="1:1" x14ac:dyDescent="0.3">
      <c r="A27" s="42"/>
    </row>
    <row r="28" spans="1:1" x14ac:dyDescent="0.3">
      <c r="A28" s="42"/>
    </row>
    <row r="29" spans="1:1" x14ac:dyDescent="0.3">
      <c r="A29" s="42"/>
    </row>
    <row r="30" spans="1:1" x14ac:dyDescent="0.3">
      <c r="A30" s="42"/>
    </row>
    <row r="31" spans="1:1" x14ac:dyDescent="0.3">
      <c r="A31" s="42"/>
    </row>
    <row r="32" spans="1:1" x14ac:dyDescent="0.3">
      <c r="A32" s="42"/>
    </row>
    <row r="33" spans="1:1" x14ac:dyDescent="0.3">
      <c r="A33" s="42"/>
    </row>
    <row r="34" spans="1:1" x14ac:dyDescent="0.3">
      <c r="A34" s="42"/>
    </row>
    <row r="35" spans="1:1" x14ac:dyDescent="0.3">
      <c r="A35" s="42"/>
    </row>
    <row r="36" spans="1:1" x14ac:dyDescent="0.3">
      <c r="A36" s="42"/>
    </row>
    <row r="37" spans="1:1" x14ac:dyDescent="0.3">
      <c r="A37" s="42"/>
    </row>
    <row r="38" spans="1:1" x14ac:dyDescent="0.3">
      <c r="A38" s="103" t="s">
        <v>263</v>
      </c>
    </row>
    <row r="39" spans="1:1" x14ac:dyDescent="0.3">
      <c r="A39" s="103"/>
    </row>
    <row r="40" spans="1:1" ht="28.8" x14ac:dyDescent="0.3">
      <c r="A40" s="43" t="s">
        <v>243</v>
      </c>
    </row>
    <row r="41" spans="1:1" x14ac:dyDescent="0.3">
      <c r="A41" s="42"/>
    </row>
    <row r="42" spans="1:1" x14ac:dyDescent="0.3">
      <c r="A42" s="42"/>
    </row>
    <row r="43" spans="1:1" x14ac:dyDescent="0.3">
      <c r="A43" s="42"/>
    </row>
    <row r="44" spans="1:1" x14ac:dyDescent="0.3">
      <c r="A44" s="42"/>
    </row>
    <row r="45" spans="1:1" x14ac:dyDescent="0.3">
      <c r="A45" s="42"/>
    </row>
    <row r="46" spans="1:1" x14ac:dyDescent="0.3">
      <c r="A46" s="42"/>
    </row>
    <row r="47" spans="1:1" x14ac:dyDescent="0.3">
      <c r="A47" s="42"/>
    </row>
    <row r="48" spans="1:1" x14ac:dyDescent="0.3">
      <c r="A48" s="42"/>
    </row>
    <row r="49" spans="1:1" x14ac:dyDescent="0.3">
      <c r="A49" s="42"/>
    </row>
    <row r="50" spans="1:1" x14ac:dyDescent="0.3">
      <c r="A50" s="42"/>
    </row>
    <row r="51" spans="1:1" x14ac:dyDescent="0.3">
      <c r="A51" s="42"/>
    </row>
    <row r="52" spans="1:1" x14ac:dyDescent="0.3">
      <c r="A52" s="42"/>
    </row>
    <row r="53" spans="1:1" x14ac:dyDescent="0.3">
      <c r="A53" s="42"/>
    </row>
    <row r="54" spans="1:1" x14ac:dyDescent="0.3">
      <c r="A54" s="42"/>
    </row>
    <row r="55" spans="1:1" x14ac:dyDescent="0.3">
      <c r="A55" s="42"/>
    </row>
    <row r="56" spans="1:1" x14ac:dyDescent="0.3">
      <c r="A56" s="42"/>
    </row>
    <row r="57" spans="1:1" x14ac:dyDescent="0.3">
      <c r="A57" s="42"/>
    </row>
    <row r="58" spans="1:1" x14ac:dyDescent="0.3">
      <c r="A58" s="103" t="s">
        <v>266</v>
      </c>
    </row>
    <row r="59" spans="1:1" x14ac:dyDescent="0.3">
      <c r="A59" s="42"/>
    </row>
    <row r="60" spans="1:1" ht="43.2" x14ac:dyDescent="0.3">
      <c r="A60" s="45" t="s">
        <v>244</v>
      </c>
    </row>
    <row r="61" spans="1:1" x14ac:dyDescent="0.3">
      <c r="A61" s="42"/>
    </row>
    <row r="62" spans="1:1" ht="15.6" x14ac:dyDescent="0.3">
      <c r="A62" s="47" t="s">
        <v>245</v>
      </c>
    </row>
    <row r="63" spans="1:1" ht="57.6" x14ac:dyDescent="0.3">
      <c r="A63" s="43" t="s">
        <v>246</v>
      </c>
    </row>
    <row r="64" spans="1:1" x14ac:dyDescent="0.3">
      <c r="A64" s="42"/>
    </row>
    <row r="65" spans="1:1" x14ac:dyDescent="0.3">
      <c r="A65" s="42"/>
    </row>
    <row r="66" spans="1:1" x14ac:dyDescent="0.3">
      <c r="A66" s="42"/>
    </row>
    <row r="67" spans="1:1" x14ac:dyDescent="0.3">
      <c r="A67" s="42"/>
    </row>
    <row r="68" spans="1:1" x14ac:dyDescent="0.3">
      <c r="A68" s="42"/>
    </row>
    <row r="69" spans="1:1" x14ac:dyDescent="0.3">
      <c r="A69" s="42"/>
    </row>
    <row r="70" spans="1:1" x14ac:dyDescent="0.3">
      <c r="A70" s="42"/>
    </row>
    <row r="71" spans="1:1" x14ac:dyDescent="0.3">
      <c r="A71" s="42"/>
    </row>
    <row r="72" spans="1:1" x14ac:dyDescent="0.3">
      <c r="A72" s="42"/>
    </row>
    <row r="73" spans="1:1" x14ac:dyDescent="0.3">
      <c r="A73" s="42"/>
    </row>
    <row r="74" spans="1:1" x14ac:dyDescent="0.3">
      <c r="A74" s="42"/>
    </row>
    <row r="75" spans="1:1" x14ac:dyDescent="0.3">
      <c r="A75" s="42"/>
    </row>
    <row r="76" spans="1:1" x14ac:dyDescent="0.3">
      <c r="A76" s="42"/>
    </row>
    <row r="77" spans="1:1" x14ac:dyDescent="0.3">
      <c r="A77" s="42"/>
    </row>
    <row r="78" spans="1:1" x14ac:dyDescent="0.3">
      <c r="A78" s="42"/>
    </row>
    <row r="79" spans="1:1" x14ac:dyDescent="0.3">
      <c r="A79" s="42"/>
    </row>
    <row r="80" spans="1:1" x14ac:dyDescent="0.3">
      <c r="A80" s="42"/>
    </row>
    <row r="81" spans="1:1" x14ac:dyDescent="0.3">
      <c r="A81" s="42"/>
    </row>
    <row r="82" spans="1:1" x14ac:dyDescent="0.3">
      <c r="A82" s="42"/>
    </row>
    <row r="83" spans="1:1" x14ac:dyDescent="0.3">
      <c r="A83" s="42"/>
    </row>
    <row r="84" spans="1:1" x14ac:dyDescent="0.3">
      <c r="A84" s="103" t="s">
        <v>265</v>
      </c>
    </row>
    <row r="85" spans="1:1" x14ac:dyDescent="0.3">
      <c r="A85" s="103"/>
    </row>
    <row r="86" spans="1:1" ht="15.6" x14ac:dyDescent="0.3">
      <c r="A86" s="47" t="s">
        <v>248</v>
      </c>
    </row>
    <row r="87" spans="1:1" ht="28.8" x14ac:dyDescent="0.3">
      <c r="A87" s="43" t="s">
        <v>254</v>
      </c>
    </row>
  </sheetData>
  <hyperlinks>
    <hyperlink ref="A15" r:id="rId1" xr:uid="{AB6D58C5-D78F-4EC6-822F-0AB4D5BB3D86}"/>
    <hyperlink ref="A13" r:id="rId2" xr:uid="{4DEEC706-72A5-4370-BCA6-D266E0CAC3F7}"/>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37D7-CCA9-44C3-884A-65F117AE4550}">
  <dimension ref="B1:D10"/>
  <sheetViews>
    <sheetView workbookViewId="0">
      <selection activeCell="D7" sqref="D7"/>
    </sheetView>
  </sheetViews>
  <sheetFormatPr defaultRowHeight="14.4" x14ac:dyDescent="0.3"/>
  <cols>
    <col min="2" max="2" width="36" customWidth="1"/>
    <col min="3" max="4" width="17.33203125" customWidth="1"/>
  </cols>
  <sheetData>
    <row r="1" spans="2:4" x14ac:dyDescent="0.3">
      <c r="B1" t="s">
        <v>421</v>
      </c>
    </row>
    <row r="3" spans="2:4" x14ac:dyDescent="0.3">
      <c r="B3" s="36" t="s">
        <v>330</v>
      </c>
      <c r="C3" s="36"/>
      <c r="D3" s="36"/>
    </row>
    <row r="4" spans="2:4" x14ac:dyDescent="0.3">
      <c r="B4" s="151" t="s">
        <v>331</v>
      </c>
      <c r="C4" s="151" t="s">
        <v>130</v>
      </c>
      <c r="D4" s="151" t="s">
        <v>129</v>
      </c>
    </row>
    <row r="5" spans="2:4" x14ac:dyDescent="0.3">
      <c r="B5" s="152" t="s">
        <v>332</v>
      </c>
      <c r="C5" s="153">
        <v>23.5</v>
      </c>
      <c r="D5" s="153">
        <v>51.6</v>
      </c>
    </row>
    <row r="6" spans="2:4" x14ac:dyDescent="0.3">
      <c r="B6" s="154" t="s">
        <v>111</v>
      </c>
      <c r="C6" s="155">
        <f>SUM('BMP P Tracking Table'!AN4:AN23)</f>
        <v>15.182884254882746</v>
      </c>
      <c r="D6" s="155">
        <f>SUM('BMP P Tracking Table'!AN27:AN55)</f>
        <v>71.861496626925273</v>
      </c>
    </row>
    <row r="7" spans="2:4" x14ac:dyDescent="0.3">
      <c r="B7" s="154" t="s">
        <v>334</v>
      </c>
      <c r="C7" s="155">
        <f>'BMP P Tracking Table'!AN60</f>
        <v>0.8</v>
      </c>
      <c r="D7" s="155">
        <f>'BMP P Tracking Table'!AN59+'BMP P Tracking Table'!AN61</f>
        <v>9.1999999999999993</v>
      </c>
    </row>
    <row r="8" spans="2:4" x14ac:dyDescent="0.3">
      <c r="B8" s="154" t="s">
        <v>364</v>
      </c>
      <c r="C8" s="155">
        <f>SUM('BMP P Tracking Table'!AN63:AN64,'BMP P Tracking Table'!AN66,'BMP P Tracking Table'!AN71:AN72)</f>
        <v>17.845537155059787</v>
      </c>
      <c r="D8" s="155">
        <f>SUM('BMP P Tracking Table'!AN65,'BMP P Tracking Table'!AN67:AN70)</f>
        <v>22.682906172442323</v>
      </c>
    </row>
    <row r="9" spans="2:4" x14ac:dyDescent="0.3">
      <c r="B9" s="154"/>
      <c r="C9" s="155"/>
      <c r="D9" s="155"/>
    </row>
    <row r="10" spans="2:4" x14ac:dyDescent="0.3">
      <c r="B10" s="151" t="s">
        <v>333</v>
      </c>
      <c r="C10" s="211">
        <f>SUM(C6:C8)</f>
        <v>33.828421409942536</v>
      </c>
      <c r="D10" s="211">
        <f>SUM(D6:D8)</f>
        <v>103.74440279936761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523"/>
  <sheetViews>
    <sheetView tabSelected="1" zoomScale="90" zoomScaleNormal="90" workbookViewId="0">
      <pane xSplit="2" ySplit="2" topLeftCell="C3" activePane="bottomRight" state="frozen"/>
      <selection pane="topRight" activeCell="C1" sqref="C1"/>
      <selection pane="bottomLeft" activeCell="A4" sqref="A4"/>
      <selection pane="bottomRight" activeCell="AN72" sqref="A1:AN72"/>
    </sheetView>
  </sheetViews>
  <sheetFormatPr defaultColWidth="9.109375" defaultRowHeight="14.4" x14ac:dyDescent="0.3"/>
  <cols>
    <col min="1" max="1" width="40.21875" style="36" bestFit="1" customWidth="1"/>
    <col min="2" max="2" width="34.6640625" style="36" customWidth="1"/>
    <col min="3" max="3" width="31.5546875" style="36" customWidth="1"/>
    <col min="4" max="4" width="27.5546875" style="36" customWidth="1"/>
    <col min="5" max="5" width="11.6640625" style="38" customWidth="1"/>
    <col min="6" max="6" width="12.33203125" style="38" customWidth="1"/>
    <col min="7" max="7" width="16.6640625" style="36" customWidth="1"/>
    <col min="8" max="8" width="18.5546875" style="36" customWidth="1"/>
    <col min="9" max="9" width="14.109375" style="36" customWidth="1"/>
    <col min="10" max="10" width="14.44140625" style="36" customWidth="1"/>
    <col min="11" max="11" width="19" style="36" customWidth="1"/>
    <col min="12" max="12" width="14.33203125" style="36" customWidth="1"/>
    <col min="13" max="13" width="25.109375" style="36" customWidth="1"/>
    <col min="14" max="14" width="11.6640625" style="36" bestFit="1" customWidth="1"/>
    <col min="15" max="15" width="12.109375" style="36" customWidth="1"/>
    <col min="16" max="16" width="17.109375" style="36" customWidth="1"/>
    <col min="17" max="17" width="34.6640625" style="36" customWidth="1"/>
    <col min="18" max="18" width="15.6640625" style="36" bestFit="1" customWidth="1"/>
    <col min="19" max="19" width="13.5546875" style="36" customWidth="1"/>
    <col min="20" max="20" width="26.44140625" style="36" customWidth="1"/>
    <col min="21" max="21" width="13.33203125" style="36" customWidth="1"/>
    <col min="22" max="22" width="13.44140625" style="36" customWidth="1"/>
    <col min="23" max="23" width="10.33203125" style="36" customWidth="1"/>
    <col min="24" max="24" width="10.44140625" style="36" customWidth="1"/>
    <col min="25" max="26" width="10" style="36" customWidth="1"/>
    <col min="27" max="27" width="12.5546875" style="36" customWidth="1"/>
    <col min="28" max="28" width="12.33203125" style="36" customWidth="1"/>
    <col min="29" max="29" width="12.6640625" style="36" customWidth="1"/>
    <col min="30" max="30" width="13.109375" style="40" customWidth="1"/>
    <col min="31" max="32" width="14.6640625" style="36" customWidth="1"/>
    <col min="33" max="33" width="10.6640625" style="36" customWidth="1"/>
    <col min="34" max="34" width="10.88671875" style="37" customWidth="1"/>
    <col min="35" max="35" width="13" style="37" customWidth="1"/>
    <col min="36" max="36" width="13.88671875" style="37" customWidth="1"/>
    <col min="37" max="37" width="13" style="37" customWidth="1"/>
    <col min="38" max="38" width="9.5546875" style="37" customWidth="1"/>
    <col min="39" max="40" width="13.88671875" style="37" customWidth="1"/>
    <col min="41" max="41" width="17" style="36" hidden="1" customWidth="1"/>
    <col min="42" max="42" width="14.33203125" style="36" hidden="1" customWidth="1"/>
    <col min="43" max="46" width="11.33203125" style="37" hidden="1" customWidth="1"/>
    <col min="47" max="47" width="14.33203125" style="37" hidden="1" customWidth="1"/>
    <col min="48" max="48" width="28.44140625" style="37" hidden="1" customWidth="1"/>
    <col min="49" max="49" width="12.5546875" style="37" hidden="1" customWidth="1"/>
    <col min="50" max="50" width="16.33203125" style="37" hidden="1" customWidth="1"/>
    <col min="51" max="51" width="16.33203125" style="36" hidden="1" customWidth="1"/>
    <col min="52" max="52" width="14.6640625" style="36" hidden="1" customWidth="1"/>
    <col min="53" max="54" width="16.5546875" style="37" hidden="1" customWidth="1"/>
    <col min="55" max="55" width="14.44140625" style="37" hidden="1" customWidth="1"/>
    <col min="56" max="56" width="16.5546875" style="37" hidden="1" customWidth="1"/>
    <col min="57" max="57" width="16.5546875" style="98" hidden="1" customWidth="1"/>
    <col min="58" max="58" width="16.5546875" style="36" hidden="1" customWidth="1"/>
    <col min="59" max="59" width="2.33203125" style="36" customWidth="1"/>
    <col min="60" max="60" width="11.33203125" style="36" customWidth="1"/>
    <col min="61" max="64" width="9.109375" style="36"/>
    <col min="65" max="65" width="5.6640625" style="36" customWidth="1"/>
    <col min="66" max="66" width="15.5546875" style="36" customWidth="1"/>
    <col min="67" max="67" width="39.6640625" style="36" customWidth="1"/>
    <col min="68" max="16384" width="9.109375" style="36"/>
  </cols>
  <sheetData>
    <row r="1" spans="1:66" ht="15.6" x14ac:dyDescent="0.3">
      <c r="A1" s="57"/>
      <c r="B1" s="58" t="s">
        <v>115</v>
      </c>
      <c r="C1" s="59"/>
      <c r="D1" s="59"/>
      <c r="E1" s="59"/>
      <c r="F1" s="59"/>
      <c r="G1" s="59"/>
      <c r="H1" s="59"/>
      <c r="I1" s="59"/>
      <c r="J1" s="55" t="s">
        <v>112</v>
      </c>
      <c r="K1" s="56"/>
      <c r="L1" s="56"/>
      <c r="M1" s="56"/>
      <c r="N1" s="56"/>
      <c r="O1" s="56"/>
      <c r="P1" s="214" t="s">
        <v>257</v>
      </c>
      <c r="Q1" s="214"/>
      <c r="R1" s="214"/>
      <c r="S1" s="215" t="s">
        <v>114</v>
      </c>
      <c r="T1" s="215"/>
      <c r="U1" s="215"/>
      <c r="V1" s="215"/>
      <c r="W1" s="215"/>
      <c r="X1" s="215"/>
      <c r="Y1" s="215"/>
      <c r="Z1" s="215"/>
      <c r="AA1" s="215"/>
      <c r="AB1" s="215"/>
      <c r="AC1" s="215"/>
      <c r="AD1" s="76" t="s">
        <v>252</v>
      </c>
      <c r="AE1" s="60"/>
      <c r="AF1" s="60"/>
      <c r="AG1" s="60"/>
      <c r="AH1" s="60"/>
      <c r="AI1" s="60"/>
      <c r="AJ1" s="60"/>
      <c r="AK1" s="56"/>
      <c r="AL1" s="60"/>
      <c r="AM1" s="60"/>
      <c r="AN1" s="60"/>
      <c r="AO1" s="61" t="s">
        <v>250</v>
      </c>
      <c r="AP1" s="62"/>
      <c r="AQ1" s="62"/>
      <c r="AR1" s="62"/>
      <c r="AS1" s="62"/>
      <c r="AT1" s="62"/>
      <c r="AU1" s="62"/>
      <c r="AV1" s="213" t="s">
        <v>177</v>
      </c>
      <c r="AW1" s="213"/>
      <c r="AX1" s="213"/>
      <c r="AY1" s="77"/>
      <c r="AZ1" s="77"/>
      <c r="BA1" s="77"/>
      <c r="BB1" s="77"/>
      <c r="BC1" s="78"/>
      <c r="BD1" s="78"/>
      <c r="BE1" s="79"/>
    </row>
    <row r="2" spans="1:66" s="89" customFormat="1" ht="100.8" x14ac:dyDescent="0.3">
      <c r="A2" s="80" t="s">
        <v>171</v>
      </c>
      <c r="B2" s="81" t="s">
        <v>455</v>
      </c>
      <c r="C2" s="81" t="s">
        <v>52</v>
      </c>
      <c r="D2" s="81" t="s">
        <v>51</v>
      </c>
      <c r="E2" s="82" t="s">
        <v>157</v>
      </c>
      <c r="F2" s="82" t="s">
        <v>158</v>
      </c>
      <c r="G2" s="81" t="s">
        <v>117</v>
      </c>
      <c r="H2" s="81" t="s">
        <v>170</v>
      </c>
      <c r="I2" s="81" t="s">
        <v>174</v>
      </c>
      <c r="J2" s="83" t="s">
        <v>234</v>
      </c>
      <c r="K2" s="83" t="s">
        <v>176</v>
      </c>
      <c r="L2" s="83" t="s">
        <v>173</v>
      </c>
      <c r="M2" s="83" t="s">
        <v>175</v>
      </c>
      <c r="N2" s="165" t="s">
        <v>54</v>
      </c>
      <c r="O2" s="83" t="s">
        <v>109</v>
      </c>
      <c r="P2" s="84" t="s">
        <v>53</v>
      </c>
      <c r="Q2" s="84" t="s">
        <v>121</v>
      </c>
      <c r="R2" s="84" t="s">
        <v>122</v>
      </c>
      <c r="S2" s="81" t="s">
        <v>182</v>
      </c>
      <c r="T2" s="81" t="s">
        <v>216</v>
      </c>
      <c r="U2" s="81" t="s">
        <v>181</v>
      </c>
      <c r="V2" s="81" t="s">
        <v>217</v>
      </c>
      <c r="W2" s="81" t="s">
        <v>183</v>
      </c>
      <c r="X2" s="81" t="s">
        <v>184</v>
      </c>
      <c r="Y2" s="81" t="s">
        <v>185</v>
      </c>
      <c r="Z2" s="81" t="s">
        <v>186</v>
      </c>
      <c r="AA2" s="81" t="s">
        <v>221</v>
      </c>
      <c r="AB2" s="105" t="s">
        <v>258</v>
      </c>
      <c r="AC2" s="81" t="s">
        <v>50</v>
      </c>
      <c r="AD2" s="83" t="s">
        <v>277</v>
      </c>
      <c r="AE2" s="85" t="s">
        <v>276</v>
      </c>
      <c r="AF2" s="85" t="s">
        <v>213</v>
      </c>
      <c r="AG2" s="85" t="s">
        <v>214</v>
      </c>
      <c r="AH2" s="85" t="s">
        <v>275</v>
      </c>
      <c r="AI2" s="85" t="s">
        <v>274</v>
      </c>
      <c r="AJ2" s="83" t="s">
        <v>251</v>
      </c>
      <c r="AK2" s="83" t="s">
        <v>118</v>
      </c>
      <c r="AL2" s="85" t="s">
        <v>230</v>
      </c>
      <c r="AM2" s="83" t="s">
        <v>253</v>
      </c>
      <c r="AN2" s="83" t="s">
        <v>273</v>
      </c>
      <c r="AO2" s="84" t="s">
        <v>231</v>
      </c>
      <c r="AP2" s="84" t="s">
        <v>229</v>
      </c>
      <c r="AQ2" s="84" t="s">
        <v>224</v>
      </c>
      <c r="AR2" s="84" t="s">
        <v>225</v>
      </c>
      <c r="AS2" s="84" t="s">
        <v>195</v>
      </c>
      <c r="AT2" s="84" t="s">
        <v>196</v>
      </c>
      <c r="AU2" s="84" t="s">
        <v>226</v>
      </c>
      <c r="AV2" s="81" t="s">
        <v>159</v>
      </c>
      <c r="AW2" s="81" t="s">
        <v>259</v>
      </c>
      <c r="AX2" s="81" t="s">
        <v>172</v>
      </c>
      <c r="AY2" s="86" t="s">
        <v>269</v>
      </c>
      <c r="AZ2" s="86" t="s">
        <v>270</v>
      </c>
      <c r="BA2" s="86" t="s">
        <v>227</v>
      </c>
      <c r="BB2" s="86" t="s">
        <v>228</v>
      </c>
      <c r="BC2" s="87" t="s">
        <v>271</v>
      </c>
      <c r="BD2" s="87" t="s">
        <v>272</v>
      </c>
      <c r="BE2" s="88" t="s">
        <v>260</v>
      </c>
      <c r="BH2" s="125" t="s">
        <v>378</v>
      </c>
      <c r="BN2" s="167" t="s">
        <v>420</v>
      </c>
    </row>
    <row r="3" spans="1:66" x14ac:dyDescent="0.3">
      <c r="A3" s="210" t="s">
        <v>416</v>
      </c>
      <c r="B3" s="186"/>
      <c r="C3" s="186"/>
      <c r="D3" s="186"/>
      <c r="E3" s="187"/>
      <c r="F3" s="187"/>
      <c r="G3" s="186"/>
      <c r="H3" s="186"/>
      <c r="I3" s="186"/>
      <c r="J3" s="188"/>
      <c r="K3" s="186"/>
      <c r="L3" s="186"/>
      <c r="M3" s="189"/>
      <c r="N3" s="189"/>
      <c r="O3" s="186"/>
      <c r="P3" s="186"/>
      <c r="Q3" s="186"/>
      <c r="R3" s="186"/>
      <c r="S3" s="186"/>
      <c r="T3" s="186"/>
      <c r="U3" s="186"/>
      <c r="V3" s="186"/>
      <c r="W3" s="186"/>
      <c r="X3" s="186"/>
      <c r="Y3" s="186"/>
      <c r="Z3" s="186"/>
      <c r="AA3" s="186"/>
      <c r="AB3" s="190"/>
      <c r="AC3" s="186"/>
      <c r="AD3" s="178"/>
      <c r="AE3" s="178"/>
      <c r="AF3" s="175"/>
      <c r="AG3" s="175"/>
      <c r="AH3" s="191"/>
      <c r="AI3" s="178"/>
      <c r="AJ3" s="186"/>
      <c r="AK3" s="186"/>
      <c r="AL3" s="192"/>
      <c r="AM3" s="177"/>
      <c r="AN3" s="178"/>
      <c r="AO3" s="91"/>
      <c r="AP3" s="91"/>
      <c r="AQ3" s="91"/>
      <c r="AR3" s="91"/>
      <c r="AS3" s="91"/>
      <c r="AT3" s="91"/>
      <c r="AU3" s="91"/>
      <c r="AV3" s="90"/>
      <c r="AW3" s="92"/>
      <c r="AX3" s="92"/>
      <c r="AY3" s="99"/>
      <c r="AZ3" s="99"/>
      <c r="BA3" s="99"/>
      <c r="BB3" s="99"/>
      <c r="BC3" s="100"/>
      <c r="BD3" s="99"/>
      <c r="BE3" s="91"/>
      <c r="BF3" s="37"/>
      <c r="BH3" s="37">
        <f>SUM(AN4:AN20)</f>
        <v>15.182884254882746</v>
      </c>
      <c r="BI3" s="36" t="s">
        <v>431</v>
      </c>
    </row>
    <row r="4" spans="1:66" s="168" customFormat="1" ht="17.399999999999999" customHeight="1" x14ac:dyDescent="0.3">
      <c r="A4" s="169" t="s">
        <v>371</v>
      </c>
      <c r="B4" s="169" t="s">
        <v>367</v>
      </c>
      <c r="C4" s="169" t="s">
        <v>312</v>
      </c>
      <c r="D4" s="169" t="s">
        <v>6</v>
      </c>
      <c r="E4" s="170">
        <v>44.467500000000001</v>
      </c>
      <c r="F4" s="170">
        <v>-73.147220000000004</v>
      </c>
      <c r="G4" s="169" t="s">
        <v>316</v>
      </c>
      <c r="H4" s="169" t="s">
        <v>316</v>
      </c>
      <c r="I4" s="169" t="s">
        <v>66</v>
      </c>
      <c r="J4" s="171"/>
      <c r="K4" s="169" t="s">
        <v>111</v>
      </c>
      <c r="L4" s="169"/>
      <c r="M4" s="172" t="s">
        <v>379</v>
      </c>
      <c r="N4" s="172"/>
      <c r="O4" s="169" t="s">
        <v>62</v>
      </c>
      <c r="P4" s="169" t="s">
        <v>34</v>
      </c>
      <c r="Q4" s="169" t="str">
        <f>IFERROR(VLOOKUP('BMP P Tracking Table'!$P4,Dropdowns!$C$2:$E$15,3,FALSE),"")</f>
        <v>Laplatte River</v>
      </c>
      <c r="R4" s="169" t="str">
        <f>IFERROR(VLOOKUP('BMP P Tracking Table'!$Q4,Dropdowns!$P$3:$Q$23,2,FALSE),"")</f>
        <v>Shelburne Bay</v>
      </c>
      <c r="S4" s="169" t="s">
        <v>66</v>
      </c>
      <c r="T4" s="169" t="s">
        <v>232</v>
      </c>
      <c r="U4" s="173">
        <v>1.5046602387511478</v>
      </c>
      <c r="V4" s="169" t="s">
        <v>219</v>
      </c>
      <c r="W4" s="169"/>
      <c r="X4" s="169"/>
      <c r="Y4" s="169"/>
      <c r="Z4" s="169"/>
      <c r="AA4" s="169">
        <v>1.57</v>
      </c>
      <c r="AB4" s="174">
        <v>8295</v>
      </c>
      <c r="AC4" s="169" t="s">
        <v>205</v>
      </c>
      <c r="AD4" s="175">
        <f>IFERROR('BMP P Tracking Table'!$U4*VLOOKUP('BMP P Tracking Table'!$Q4,'Loading Rates'!$B$1:$L$24,4,FALSE)+IF('BMP P Tracking Table'!$V4="By HSG",'BMP P Tracking Table'!$W4*VLOOKUP('BMP P Tracking Table'!$Q4,'Loading Rates'!$B$1:$L$24,6,FALSE)+'BMP P Tracking Table'!$X4*VLOOKUP('BMP P Tracking Table'!$Q4,'Loading Rates'!$B$1:$L$24,7,FALSE)+'BMP P Tracking Table'!$Y4*VLOOKUP('BMP P Tracking Table'!$Q4,'Loading Rates'!$B$1:$L$24,8,FALSE)+'BMP P Tracking Table'!$Z4*VLOOKUP('BMP P Tracking Table'!$Q4,'Loading Rates'!$B$1:$L$24,9,FALSE),'BMP P Tracking Table'!$AA4*VLOOKUP('BMP P Tracking Table'!$Q4,'Loading Rates'!$B$1:$L$24,10,FALSE)),"")</f>
        <v>1.7024765472910928</v>
      </c>
      <c r="AE4" s="175">
        <f>IFERROR(MIN(2,IF('BMP P Tracking Table'!$V4="Total Pervious",(-(3630*'BMP P Tracking Table'!$U4+20.691*'BMP P Tracking Table'!$AA4)+SQRT((3630*'BMP P Tracking Table'!$U4+20.691*'BMP P Tracking Table'!$AA4)^2-(4*(996.798*'BMP P Tracking Table'!$AA4)*-'BMP P Tracking Table'!$AB4)))/(2*(996.798*'BMP P Tracking Table'!$AA4)),IF(SUM('BMP P Tracking Table'!$W4:$Z4)=0,'BMP P Tracking Table'!$AB4/(-3630*'BMP P Tracking Table'!$U4),(-(3630*'BMP P Tracking Table'!$U4+20.691*'BMP P Tracking Table'!$Z4-216.711*'BMP P Tracking Table'!$Y4-83.853*'BMP P Tracking Table'!$X4-42.834*'BMP P Tracking Table'!$W4)+SQRT((3630*'BMP P Tracking Table'!$U4+20.691*'BMP P Tracking Table'!$Z4-216.711*'BMP P Tracking Table'!$Y4-83.853*'BMP P Tracking Table'!$X4-42.834*'BMP P Tracking Table'!$W4)^2-(4*(149.919*'BMP P Tracking Table'!$W4+236.676*'BMP P Tracking Table'!$X4+726*'BMP P Tracking Table'!$Y4+996.798*'BMP P Tracking Table'!$Z4)*-'BMP P Tracking Table'!$AB4)))/(2*(149.919*'BMP P Tracking Table'!$W4+236.676*'BMP P Tracking Table'!$X4+726*'BMP P Tracking Table'!$Y4+996.798*'BMP P Tracking Table'!$Z4))))),"")</f>
        <v>1.1397289285627843</v>
      </c>
      <c r="AF4" s="175" t="str">
        <f>IFERROR((VLOOKUP(CONCATENATE('BMP P Tracking Table'!$T4," ",'BMP P Tracking Table'!$AC4),'Performance Curves'!$C$1:$L$45,MATCH('BMP P Tracking Table'!$AE4,'Performance Curves'!$E$1:$L$1,1)+2,FALSE)-VLOOKUP(CONCATENATE('BMP P Tracking Table'!$T4," ",'BMP P Tracking Table'!$AC4),'Performance Curves'!$C$1:$L$45,MATCH('BMP P Tracking Table'!$AE4,'Performance Curves'!$E$1:$L$1,1)+1,FALSE)),"")</f>
        <v/>
      </c>
      <c r="AG4" s="175">
        <f>IFERROR(('BMP P Tracking Table'!$AE4-INDEX('Performance Curves'!$E$1:$L$1,1,MATCH('BMP P Tracking Table'!$AE4,'Performance Curves'!$E$1:$L$1,1)))/(INDEX('Performance Curves'!$E$1:$L$1,1,MATCH('BMP P Tracking Table'!$AE4,'Performance Curves'!$E$1:$L$1,1)+1)-INDEX('Performance Curves'!$E$1:$L$1,1,MATCH('BMP P Tracking Table'!$AE4,'Performance Curves'!$E$1:$L$1,1))),"")</f>
        <v>0.27945785712556859</v>
      </c>
      <c r="AH4" s="176" t="str">
        <f>IFERROR(IF('BMP P Tracking Table'!$AE4=2,VLOOKUP(CONCATENATE('BMP P Tracking Table'!$T4," ",'BMP P Tracking Table'!$AC4),'Performance Curves'!$C$1:$L$45,MATCH('BMP P Tracking Table'!$AE4,'Performance Curves'!$E$1:$L$1,1)+1,FALSE),'BMP P Tracking Table'!$AF4*'BMP P Tracking Table'!$AG4+VLOOKUP(CONCATENATE('BMP P Tracking Table'!$T4," ",'BMP P Tracking Table'!$AC4),'Performance Curves'!$C$1:$L$45,MATCH('BMP P Tracking Table'!$AE4,'Performance Curves'!$E$1:$L$1,1)+1,FALSE)),"")</f>
        <v/>
      </c>
      <c r="AI4" s="175" t="str">
        <f>IFERROR('BMP P Tracking Table'!$AH4*'BMP P Tracking Table'!$AD4,"")</f>
        <v/>
      </c>
      <c r="AJ4" s="173">
        <f t="shared" ref="AJ4:AJ13" si="0">BI4</f>
        <v>0.28193011623140496</v>
      </c>
      <c r="AK4" s="169"/>
      <c r="AL4" s="173"/>
      <c r="AM4" s="177">
        <v>1</v>
      </c>
      <c r="AN4" s="178">
        <f t="shared" ref="AN4:AN20" si="1">IF(AK4="Yes",IF(BF4&gt;0,IF(ISBLANK(AJ4),AI4,AJ4)-IF(ISBLANK(BE4),BD4,BE4),"Enter Info --&gt;"),IF(ISBLANK(AJ4),AI4,AJ4))</f>
        <v>0.28193011623140496</v>
      </c>
      <c r="AO4" s="173"/>
      <c r="AP4" s="173"/>
      <c r="AQ4" s="173"/>
      <c r="AR4" s="173"/>
      <c r="AS4" s="173"/>
      <c r="AT4" s="173"/>
      <c r="AU4" s="173"/>
      <c r="AV4" s="169"/>
      <c r="AW4" s="179"/>
      <c r="AX4" s="179"/>
      <c r="AY4" s="175" t="str">
        <f>IF('BMP P Tracking Table'!$AK4="Yes",IF('BMP P Tracking Table'!$AL4="No",'BMP P Tracking Table'!$U4*VLOOKUP('BMP P Tracking Table'!$Q4,'Loading Rates'!$B$1:$L$24,4,FALSE)+IF('BMP P Tracking Table'!$V4="By HSG",'BMP P Tracking Table'!$W4*VLOOKUP('BMP P Tracking Table'!$Q4,'Loading Rates'!$B$1:$L$24,6,FALSE)+'BMP P Tracking Table'!$X4*VLOOKUP('BMP P Tracking Table'!$Q4,'Loading Rates'!$B$1:$L$24,7,FALSE)+'BMP P Tracking Table'!$Y4*VLOOKUP('BMP P Tracking Table'!$Q4,'Loading Rates'!$B$1:$L$24,8,FALSE)+'BMP P Tracking Table'!$Z4*VLOOKUP('BMP P Tracking Table'!$Q4,'Loading Rates'!$B$1:$L$24,9,FALSE),'BMP P Tracking Table'!$AA4*VLOOKUP('BMP P Tracking Table'!$Q4,'Loading Rates'!$B$1:$L$24,10,FALSE)),'BMP P Tracking Table'!$AO4*VLOOKUP('BMP P Tracking Table'!$Q4,'Loading Rates'!$B$1:$L$24,4,FALSE)+IF('BMP P Tracking Table'!$AP4="By HSG",'BMP P Tracking Table'!$AQ4*VLOOKUP('BMP P Tracking Table'!$Q4,'Loading Rates'!$B$1:$L$24,6,FALSE)+'BMP P Tracking Table'!$AR4*VLOOKUP('BMP P Tracking Table'!$Q4,'Loading Rates'!$B$1:$L$24,7,FALSE)+'BMP P Tracking Table'!$AS4*VLOOKUP('BMP P Tracking Table'!$Q4,'Loading Rates'!$B$1:$L$24,8,FALSE)+'BMP P Tracking Table'!$AT4*VLOOKUP('BMP P Tracking Table'!$Q4,'Loading Rates'!$B$1:$L$24,9,FALSE),'BMP P Tracking Table'!$AU4*VLOOKUP('BMP P Tracking Table'!$Q4,'Loading Rates'!$B$1:$L$24,10,FALSE))),"")</f>
        <v/>
      </c>
      <c r="AZ4" s="175">
        <f>IFERROR(IF('BMP P Tracking Table'!$AL4="Yes",MIN(2,IF('BMP P Tracking Table'!$AP4="Total Pervious",(-(3630*'BMP P Tracking Table'!$AO4+20.691*'BMP P Tracking Table'!$AU4)+SQRT((3630*'BMP P Tracking Table'!$AO4+20.691*'BMP P Tracking Table'!$AU4)^2-(4*(996.798*'BMP P Tracking Table'!$AU4)*-'BMP P Tracking Table'!$AW4)))/(2*(996.798*'BMP P Tracking Table'!$AU4)),IF(SUM('BMP P Tracking Table'!$AQ4:$AT4)=0,'BMP P Tracking Table'!$AU4/(-3630*'BMP P Tracking Table'!$AO4),(-(3630*'BMP P Tracking Table'!$AO4+20.691*'BMP P Tracking Table'!$AT4-216.711*'BMP P Tracking Table'!$AS4-83.853*'BMP P Tracking Table'!$AR4-42.834*'BMP P Tracking Table'!$AQ4)+SQRT((3630*'BMP P Tracking Table'!$AO4+20.691*'BMP P Tracking Table'!$AT4-216.711*'BMP P Tracking Table'!$AS4-83.853*'BMP P Tracking Table'!$AR4-42.834*'BMP P Tracking Table'!$AQ4)^2-(4*(149.919*'BMP P Tracking Table'!$AQ4+236.676*'BMP P Tracking Table'!$AR4+726*'BMP P Tracking Table'!$AS4+996.798*'BMP P Tracking Table'!$AT4)*-'BMP P Tracking Table'!$AW4)))/(2*(149.919*'BMP P Tracking Table'!$AQ4+236.676*'BMP P Tracking Table'!$AR4+726*'BMP P Tracking Table'!$AS4+996.798*'BMP P Tracking Table'!$AT4))))),MIN(2,IF('BMP P Tracking Table'!$AP4="Total Pervious",(-(3630*'BMP P Tracking Table'!$U4+20.691*'BMP P Tracking Table'!$AA4)+SQRT((3630*'BMP P Tracking Table'!$U4+20.691*'BMP P Tracking Table'!$AA4)^2-(4*(996.798*'BMP P Tracking Table'!$AA4)*-'BMP P Tracking Table'!$AW4)))/(2*(996.798*'BMP P Tracking Table'!$AA4)),IF(SUM('BMP P Tracking Table'!$W4:$Z4)=0,'BMP P Tracking Table'!$AW4/(-3630*'BMP P Tracking Table'!$U4),(-(3630*'BMP P Tracking Table'!$U4+20.691*'BMP P Tracking Table'!$Z4-216.711*'BMP P Tracking Table'!$Y4-83.853*'BMP P Tracking Table'!$X4-42.834*'BMP P Tracking Table'!$W4)+SQRT((3630*'BMP P Tracking Table'!$U4+20.691*'BMP P Tracking Table'!$Z4-216.711*'BMP P Tracking Table'!$Y4-83.853*'BMP P Tracking Table'!$X4-42.834*'BMP P Tracking Table'!$W4)^2-(4*(149.919*'BMP P Tracking Table'!$W4+236.676*'BMP P Tracking Table'!$X4+726*'BMP P Tracking Table'!$Y4+996.798*'BMP P Tracking Table'!$Z4)*-'BMP P Tracking Table'!$AW4)))/(2*(149.919*'BMP P Tracking Table'!$W4+236.676*'BMP P Tracking Table'!$X4+726*'BMP P Tracking Table'!$Y4+996.798*'BMP P Tracking Table'!$Z4)))))),"")</f>
        <v>0</v>
      </c>
      <c r="BA4" s="175" t="str">
        <f>IFERROR((VLOOKUP(CONCATENATE('BMP P Tracking Table'!$AV4," ",'BMP P Tracking Table'!$AX4),'Performance Curves'!$C$1:$L$45,MATCH('BMP P Tracking Table'!$AZ4,'Performance Curves'!$E$1:$L$1,1)+2,FALSE)-VLOOKUP(CONCATENATE('BMP P Tracking Table'!$AV4," ",'BMP P Tracking Table'!$AX4),'Performance Curves'!$C$1:$L$45,MATCH('BMP P Tracking Table'!$AZ4,'Performance Curves'!$E$1:$L$1,1)+1,FALSE)),"")</f>
        <v/>
      </c>
      <c r="BB4" s="175" t="str">
        <f>IFERROR(('BMP P Tracking Table'!$AZ4-INDEX('Performance Curves'!$E$1:$L$1,1,MATCH('BMP P Tracking Table'!$AZ4,'Performance Curves'!$E$1:$L$1,1)))/(INDEX('Performance Curves'!$E$1:$L$1,1,MATCH('BMP P Tracking Table'!$AZ4,'Performance Curves'!$E$1:$L$1,1)+1)-INDEX('Performance Curves'!$E$1:$L$1,1,MATCH('BMP P Tracking Table'!$AZ4,'Performance Curves'!$E$1:$L$1,1))),"")</f>
        <v/>
      </c>
      <c r="BC4" s="176" t="str">
        <f>IFERROR(IF('BMP P Tracking Table'!$AZ4=2,VLOOKUP(CONCATENATE('BMP P Tracking Table'!$AV4," ",'BMP P Tracking Table'!$AX4),'Performance Curves'!$C$1:$L$44,MATCH('BMP P Tracking Table'!$AZ4,'Performance Curves'!$E$1:$L$1,1)+1,FALSE),'BMP P Tracking Table'!$BA4*'BMP P Tracking Table'!$BB4+VLOOKUP(CONCATENATE('BMP P Tracking Table'!$AV4," ",'BMP P Tracking Table'!$AX4),'Performance Curves'!$C$1:$L$44,MATCH('BMP P Tracking Table'!$AZ4,'Performance Curves'!$E$1:$L$1,1)+1,FALSE)),"")</f>
        <v/>
      </c>
      <c r="BD4" s="175" t="str">
        <f>IFERROR('BMP P Tracking Table'!$BC4*'BMP P Tracking Table'!$AY4,"")</f>
        <v/>
      </c>
      <c r="BE4" s="173"/>
      <c r="BF4" s="180">
        <f t="shared" ref="BF4:BF12" si="2">IFERROR(BD4+BE4,0)</f>
        <v>0</v>
      </c>
      <c r="BH4" s="181">
        <v>0.1656</v>
      </c>
      <c r="BI4" s="180">
        <f t="shared" ref="BI4:BI12" si="3">AD4*BH4</f>
        <v>0.28193011623140496</v>
      </c>
      <c r="BK4" s="168" t="str">
        <f t="shared" ref="BK4:BK18" si="4">Q4</f>
        <v>Laplatte River</v>
      </c>
      <c r="BN4" s="168" t="s">
        <v>391</v>
      </c>
    </row>
    <row r="5" spans="1:66" s="168" customFormat="1" ht="17.399999999999999" customHeight="1" x14ac:dyDescent="0.3">
      <c r="A5" s="169" t="s">
        <v>372</v>
      </c>
      <c r="B5" s="169" t="s">
        <v>368</v>
      </c>
      <c r="C5" s="169" t="s">
        <v>312</v>
      </c>
      <c r="D5" s="169" t="s">
        <v>6</v>
      </c>
      <c r="E5" s="170">
        <v>44.467500000000001</v>
      </c>
      <c r="F5" s="170">
        <v>-73.147220000000004</v>
      </c>
      <c r="G5" s="169" t="s">
        <v>316</v>
      </c>
      <c r="H5" s="169" t="s">
        <v>316</v>
      </c>
      <c r="I5" s="169" t="s">
        <v>66</v>
      </c>
      <c r="J5" s="171"/>
      <c r="K5" s="169" t="s">
        <v>111</v>
      </c>
      <c r="L5" s="169"/>
      <c r="M5" s="172" t="s">
        <v>379</v>
      </c>
      <c r="N5" s="172"/>
      <c r="O5" s="169" t="s">
        <v>62</v>
      </c>
      <c r="P5" s="169" t="s">
        <v>34</v>
      </c>
      <c r="Q5" s="169" t="str">
        <f>IFERROR(VLOOKUP('BMP P Tracking Table'!$P5,Dropdowns!$C$2:$E$15,3,FALSE),"")</f>
        <v>Laplatte River</v>
      </c>
      <c r="R5" s="169" t="str">
        <f>IFERROR(VLOOKUP('BMP P Tracking Table'!$Q5,Dropdowns!$P$3:$Q$23,2,FALSE),"")</f>
        <v>Shelburne Bay</v>
      </c>
      <c r="S5" s="169" t="s">
        <v>66</v>
      </c>
      <c r="T5" s="169" t="s">
        <v>232</v>
      </c>
      <c r="U5" s="173">
        <v>1.1465105601469239</v>
      </c>
      <c r="V5" s="169" t="s">
        <v>219</v>
      </c>
      <c r="W5" s="169"/>
      <c r="X5" s="169"/>
      <c r="Y5" s="169"/>
      <c r="Z5" s="169"/>
      <c r="AA5" s="169">
        <v>2.19</v>
      </c>
      <c r="AB5" s="174">
        <v>4920</v>
      </c>
      <c r="AC5" s="169" t="s">
        <v>205</v>
      </c>
      <c r="AD5" s="175">
        <f>IFERROR('BMP P Tracking Table'!$U5*VLOOKUP('BMP P Tracking Table'!$Q5,'Loading Rates'!$B$1:$L$24,4,FALSE)+IF('BMP P Tracking Table'!$V5="By HSG",'BMP P Tracking Table'!$W5*VLOOKUP('BMP P Tracking Table'!$Q5,'Loading Rates'!$B$1:$L$24,6,FALSE)+'BMP P Tracking Table'!$X5*VLOOKUP('BMP P Tracking Table'!$Q5,'Loading Rates'!$B$1:$L$24,7,FALSE)+'BMP P Tracking Table'!$Y5*VLOOKUP('BMP P Tracking Table'!$Q5,'Loading Rates'!$B$1:$L$24,8,FALSE)+'BMP P Tracking Table'!$Z5*VLOOKUP('BMP P Tracking Table'!$Q5,'Loading Rates'!$B$1:$L$24,9,FALSE),'BMP P Tracking Table'!$AA5*VLOOKUP('BMP P Tracking Table'!$Q5,'Loading Rates'!$B$1:$L$24,10,FALSE)),"")</f>
        <v>1.4681580532598715</v>
      </c>
      <c r="AE5" s="175">
        <f>IFERROR(MIN(2,IF('BMP P Tracking Table'!$V5="Total Pervious",(-(3630*'BMP P Tracking Table'!$U5+20.691*'BMP P Tracking Table'!$AA5)+SQRT((3630*'BMP P Tracking Table'!$U5+20.691*'BMP P Tracking Table'!$AA5)^2-(4*(996.798*'BMP P Tracking Table'!$AA5)*-'BMP P Tracking Table'!$AB5)))/(2*(996.798*'BMP P Tracking Table'!$AA5)),IF(SUM('BMP P Tracking Table'!$W5:$Z5)=0,'BMP P Tracking Table'!$AB5/(-3630*'BMP P Tracking Table'!$U5),(-(3630*'BMP P Tracking Table'!$U5+20.691*'BMP P Tracking Table'!$Z5-216.711*'BMP P Tracking Table'!$Y5-83.853*'BMP P Tracking Table'!$X5-42.834*'BMP P Tracking Table'!$W5)+SQRT((3630*'BMP P Tracking Table'!$U5+20.691*'BMP P Tracking Table'!$Z5-216.711*'BMP P Tracking Table'!$Y5-83.853*'BMP P Tracking Table'!$X5-42.834*'BMP P Tracking Table'!$W5)^2-(4*(149.919*'BMP P Tracking Table'!$W5+236.676*'BMP P Tracking Table'!$X5+726*'BMP P Tracking Table'!$Y5+996.798*'BMP P Tracking Table'!$Z5)*-'BMP P Tracking Table'!$AB5)))/(2*(149.919*'BMP P Tracking Table'!$W5+236.676*'BMP P Tracking Table'!$X5+726*'BMP P Tracking Table'!$Y5+996.798*'BMP P Tracking Table'!$Z5))))),"")</f>
        <v>0.82029518816629665</v>
      </c>
      <c r="AF5" s="175" t="str">
        <f>IFERROR((VLOOKUP(CONCATENATE('BMP P Tracking Table'!$T5," ",'BMP P Tracking Table'!$AC5),'Performance Curves'!$C$1:$L$45,MATCH('BMP P Tracking Table'!$AE5,'Performance Curves'!$E$1:$L$1,1)+2,FALSE)-VLOOKUP(CONCATENATE('BMP P Tracking Table'!$T5," ",'BMP P Tracking Table'!$AC5),'Performance Curves'!$C$1:$L$45,MATCH('BMP P Tracking Table'!$AE5,'Performance Curves'!$E$1:$L$1,1)+1,FALSE)),"")</f>
        <v/>
      </c>
      <c r="AG5" s="175">
        <f>IFERROR(('BMP P Tracking Table'!$AE5-INDEX('Performance Curves'!$E$1:$L$1,1,MATCH('BMP P Tracking Table'!$AE5,'Performance Curves'!$E$1:$L$1,1)))/(INDEX('Performance Curves'!$E$1:$L$1,1,MATCH('BMP P Tracking Table'!$AE5,'Performance Curves'!$E$1:$L$1,1)+1)-INDEX('Performance Curves'!$E$1:$L$1,1,MATCH('BMP P Tracking Table'!$AE5,'Performance Curves'!$E$1:$L$1,1))),"")</f>
        <v>0.10147594083148306</v>
      </c>
      <c r="AH5" s="176" t="str">
        <f>IFERROR(IF('BMP P Tracking Table'!$AE5=2,VLOOKUP(CONCATENATE('BMP P Tracking Table'!$T5," ",'BMP P Tracking Table'!$AC5),'Performance Curves'!$C$1:$L$45,MATCH('BMP P Tracking Table'!$AE5,'Performance Curves'!$E$1:$L$1,1)+1,FALSE),'BMP P Tracking Table'!$AF5*'BMP P Tracking Table'!$AG5+VLOOKUP(CONCATENATE('BMP P Tracking Table'!$T5," ",'BMP P Tracking Table'!$AC5),'Performance Curves'!$C$1:$L$45,MATCH('BMP P Tracking Table'!$AE5,'Performance Curves'!$E$1:$L$1,1)+1,FALSE)),"")</f>
        <v/>
      </c>
      <c r="AI5" s="175" t="str">
        <f>IFERROR('BMP P Tracking Table'!$AH5*'BMP P Tracking Table'!$AD5,"")</f>
        <v/>
      </c>
      <c r="AJ5" s="173">
        <f t="shared" si="0"/>
        <v>0.2227195766795225</v>
      </c>
      <c r="AK5" s="169"/>
      <c r="AL5" s="173"/>
      <c r="AM5" s="177">
        <v>1</v>
      </c>
      <c r="AN5" s="178">
        <f t="shared" si="1"/>
        <v>0.2227195766795225</v>
      </c>
      <c r="AO5" s="173"/>
      <c r="AP5" s="173"/>
      <c r="AQ5" s="173"/>
      <c r="AR5" s="173"/>
      <c r="AS5" s="173"/>
      <c r="AT5" s="173"/>
      <c r="AU5" s="173"/>
      <c r="AV5" s="169"/>
      <c r="AW5" s="179"/>
      <c r="AX5" s="179"/>
      <c r="AY5" s="175" t="str">
        <f>IF('BMP P Tracking Table'!$AK5="Yes",IF('BMP P Tracking Table'!$AL5="No",'BMP P Tracking Table'!$U5*VLOOKUP('BMP P Tracking Table'!$Q5,'Loading Rates'!$B$1:$L$24,4,FALSE)+IF('BMP P Tracking Table'!$V5="By HSG",'BMP P Tracking Table'!$W5*VLOOKUP('BMP P Tracking Table'!$Q5,'Loading Rates'!$B$1:$L$24,6,FALSE)+'BMP P Tracking Table'!$X5*VLOOKUP('BMP P Tracking Table'!$Q5,'Loading Rates'!$B$1:$L$24,7,FALSE)+'BMP P Tracking Table'!$Y5*VLOOKUP('BMP P Tracking Table'!$Q5,'Loading Rates'!$B$1:$L$24,8,FALSE)+'BMP P Tracking Table'!$Z5*VLOOKUP('BMP P Tracking Table'!$Q5,'Loading Rates'!$B$1:$L$24,9,FALSE),'BMP P Tracking Table'!$AA5*VLOOKUP('BMP P Tracking Table'!$Q5,'Loading Rates'!$B$1:$L$24,10,FALSE)),'BMP P Tracking Table'!$AO5*VLOOKUP('BMP P Tracking Table'!$Q5,'Loading Rates'!$B$1:$L$24,4,FALSE)+IF('BMP P Tracking Table'!$AP5="By HSG",'BMP P Tracking Table'!$AQ5*VLOOKUP('BMP P Tracking Table'!$Q5,'Loading Rates'!$B$1:$L$24,6,FALSE)+'BMP P Tracking Table'!$AR5*VLOOKUP('BMP P Tracking Table'!$Q5,'Loading Rates'!$B$1:$L$24,7,FALSE)+'BMP P Tracking Table'!$AS5*VLOOKUP('BMP P Tracking Table'!$Q5,'Loading Rates'!$B$1:$L$24,8,FALSE)+'BMP P Tracking Table'!$AT5*VLOOKUP('BMP P Tracking Table'!$Q5,'Loading Rates'!$B$1:$L$24,9,FALSE),'BMP P Tracking Table'!$AU5*VLOOKUP('BMP P Tracking Table'!$Q5,'Loading Rates'!$B$1:$L$24,10,FALSE))),"")</f>
        <v/>
      </c>
      <c r="AZ5" s="175">
        <f>IFERROR(IF('BMP P Tracking Table'!$AL5="Yes",MIN(2,IF('BMP P Tracking Table'!$AP5="Total Pervious",(-(3630*'BMP P Tracking Table'!$AO5+20.691*'BMP P Tracking Table'!$AU5)+SQRT((3630*'BMP P Tracking Table'!$AO5+20.691*'BMP P Tracking Table'!$AU5)^2-(4*(996.798*'BMP P Tracking Table'!$AU5)*-'BMP P Tracking Table'!$AW5)))/(2*(996.798*'BMP P Tracking Table'!$AU5)),IF(SUM('BMP P Tracking Table'!$AQ5:$AT5)=0,'BMP P Tracking Table'!$AU5/(-3630*'BMP P Tracking Table'!$AO5),(-(3630*'BMP P Tracking Table'!$AO5+20.691*'BMP P Tracking Table'!$AT5-216.711*'BMP P Tracking Table'!$AS5-83.853*'BMP P Tracking Table'!$AR5-42.834*'BMP P Tracking Table'!$AQ5)+SQRT((3630*'BMP P Tracking Table'!$AO5+20.691*'BMP P Tracking Table'!$AT5-216.711*'BMP P Tracking Table'!$AS5-83.853*'BMP P Tracking Table'!$AR5-42.834*'BMP P Tracking Table'!$AQ5)^2-(4*(149.919*'BMP P Tracking Table'!$AQ5+236.676*'BMP P Tracking Table'!$AR5+726*'BMP P Tracking Table'!$AS5+996.798*'BMP P Tracking Table'!$AT5)*-'BMP P Tracking Table'!$AW5)))/(2*(149.919*'BMP P Tracking Table'!$AQ5+236.676*'BMP P Tracking Table'!$AR5+726*'BMP P Tracking Table'!$AS5+996.798*'BMP P Tracking Table'!$AT5))))),MIN(2,IF('BMP P Tracking Table'!$AP5="Total Pervious",(-(3630*'BMP P Tracking Table'!$U5+20.691*'BMP P Tracking Table'!$AA5)+SQRT((3630*'BMP P Tracking Table'!$U5+20.691*'BMP P Tracking Table'!$AA5)^2-(4*(996.798*'BMP P Tracking Table'!$AA5)*-'BMP P Tracking Table'!$AW5)))/(2*(996.798*'BMP P Tracking Table'!$AA5)),IF(SUM('BMP P Tracking Table'!$W5:$Z5)=0,'BMP P Tracking Table'!$AW5/(-3630*'BMP P Tracking Table'!$U5),(-(3630*'BMP P Tracking Table'!$U5+20.691*'BMP P Tracking Table'!$Z5-216.711*'BMP P Tracking Table'!$Y5-83.853*'BMP P Tracking Table'!$X5-42.834*'BMP P Tracking Table'!$W5)+SQRT((3630*'BMP P Tracking Table'!$U5+20.691*'BMP P Tracking Table'!$Z5-216.711*'BMP P Tracking Table'!$Y5-83.853*'BMP P Tracking Table'!$X5-42.834*'BMP P Tracking Table'!$W5)^2-(4*(149.919*'BMP P Tracking Table'!$W5+236.676*'BMP P Tracking Table'!$X5+726*'BMP P Tracking Table'!$Y5+996.798*'BMP P Tracking Table'!$Z5)*-'BMP P Tracking Table'!$AW5)))/(2*(149.919*'BMP P Tracking Table'!$W5+236.676*'BMP P Tracking Table'!$X5+726*'BMP P Tracking Table'!$Y5+996.798*'BMP P Tracking Table'!$Z5)))))),"")</f>
        <v>0</v>
      </c>
      <c r="BA5" s="175" t="str">
        <f>IFERROR((VLOOKUP(CONCATENATE('BMP P Tracking Table'!$AV5," ",'BMP P Tracking Table'!$AX5),'Performance Curves'!$C$1:$L$45,MATCH('BMP P Tracking Table'!$AZ5,'Performance Curves'!$E$1:$L$1,1)+2,FALSE)-VLOOKUP(CONCATENATE('BMP P Tracking Table'!$AV5," ",'BMP P Tracking Table'!$AX5),'Performance Curves'!$C$1:$L$45,MATCH('BMP P Tracking Table'!$AZ5,'Performance Curves'!$E$1:$L$1,1)+1,FALSE)),"")</f>
        <v/>
      </c>
      <c r="BB5" s="175" t="str">
        <f>IFERROR(('BMP P Tracking Table'!$AZ5-INDEX('Performance Curves'!$E$1:$L$1,1,MATCH('BMP P Tracking Table'!$AZ5,'Performance Curves'!$E$1:$L$1,1)))/(INDEX('Performance Curves'!$E$1:$L$1,1,MATCH('BMP P Tracking Table'!$AZ5,'Performance Curves'!$E$1:$L$1,1)+1)-INDEX('Performance Curves'!$E$1:$L$1,1,MATCH('BMP P Tracking Table'!$AZ5,'Performance Curves'!$E$1:$L$1,1))),"")</f>
        <v/>
      </c>
      <c r="BC5" s="176" t="str">
        <f>IFERROR(IF('BMP P Tracking Table'!$AZ5=2,VLOOKUP(CONCATENATE('BMP P Tracking Table'!$AV5," ",'BMP P Tracking Table'!$AX5),'Performance Curves'!$C$1:$L$44,MATCH('BMP P Tracking Table'!$AZ5,'Performance Curves'!$E$1:$L$1,1)+1,FALSE),'BMP P Tracking Table'!$BA5*'BMP P Tracking Table'!$BB5+VLOOKUP(CONCATENATE('BMP P Tracking Table'!$AV5," ",'BMP P Tracking Table'!$AX5),'Performance Curves'!$C$1:$L$44,MATCH('BMP P Tracking Table'!$AZ5,'Performance Curves'!$E$1:$L$1,1)+1,FALSE)),"")</f>
        <v/>
      </c>
      <c r="BD5" s="175" t="str">
        <f>IFERROR('BMP P Tracking Table'!$BC5*'BMP P Tracking Table'!$AY5,"")</f>
        <v/>
      </c>
      <c r="BE5" s="173"/>
      <c r="BF5" s="180">
        <f t="shared" si="2"/>
        <v>0</v>
      </c>
      <c r="BH5" s="181">
        <v>0.1517</v>
      </c>
      <c r="BI5" s="180">
        <f t="shared" si="3"/>
        <v>0.2227195766795225</v>
      </c>
      <c r="BK5" s="168" t="str">
        <f t="shared" si="4"/>
        <v>Laplatte River</v>
      </c>
      <c r="BN5" s="168" t="s">
        <v>391</v>
      </c>
    </row>
    <row r="6" spans="1:66" s="168" customFormat="1" ht="17.399999999999999" customHeight="1" x14ac:dyDescent="0.3">
      <c r="A6" s="169" t="s">
        <v>373</v>
      </c>
      <c r="B6" s="169" t="s">
        <v>369</v>
      </c>
      <c r="C6" s="169" t="s">
        <v>312</v>
      </c>
      <c r="D6" s="169" t="s">
        <v>6</v>
      </c>
      <c r="E6" s="170">
        <v>44.467500000000001</v>
      </c>
      <c r="F6" s="170">
        <v>-73.147220000000004</v>
      </c>
      <c r="G6" s="169" t="s">
        <v>316</v>
      </c>
      <c r="H6" s="169" t="s">
        <v>316</v>
      </c>
      <c r="I6" s="169" t="s">
        <v>66</v>
      </c>
      <c r="J6" s="171"/>
      <c r="K6" s="169" t="s">
        <v>111</v>
      </c>
      <c r="L6" s="169"/>
      <c r="M6" s="172" t="s">
        <v>379</v>
      </c>
      <c r="N6" s="172"/>
      <c r="O6" s="169" t="s">
        <v>62</v>
      </c>
      <c r="P6" s="169" t="s">
        <v>34</v>
      </c>
      <c r="Q6" s="169" t="str">
        <f>IFERROR(VLOOKUP('BMP P Tracking Table'!$P6,Dropdowns!$C$2:$E$15,3,FALSE),"")</f>
        <v>Laplatte River</v>
      </c>
      <c r="R6" s="169" t="str">
        <f>IFERROR(VLOOKUP('BMP P Tracking Table'!$Q6,Dropdowns!$P$3:$Q$23,2,FALSE),"")</f>
        <v>Shelburne Bay</v>
      </c>
      <c r="S6" s="169" t="s">
        <v>66</v>
      </c>
      <c r="T6" s="169" t="s">
        <v>232</v>
      </c>
      <c r="U6" s="173">
        <v>1.2125803489439853</v>
      </c>
      <c r="V6" s="169" t="s">
        <v>219</v>
      </c>
      <c r="W6" s="169"/>
      <c r="X6" s="169"/>
      <c r="Y6" s="169"/>
      <c r="Z6" s="169"/>
      <c r="AA6" s="169">
        <v>2.81</v>
      </c>
      <c r="AB6" s="174">
        <v>7722</v>
      </c>
      <c r="AC6" s="169" t="s">
        <v>205</v>
      </c>
      <c r="AD6" s="175">
        <f>IFERROR('BMP P Tracking Table'!$U6*VLOOKUP('BMP P Tracking Table'!$Q6,'Loading Rates'!$B$1:$L$24,4,FALSE)+IF('BMP P Tracking Table'!$V6="By HSG",'BMP P Tracking Table'!$W6*VLOOKUP('BMP P Tracking Table'!$Q6,'Loading Rates'!$B$1:$L$24,6,FALSE)+'BMP P Tracking Table'!$X6*VLOOKUP('BMP P Tracking Table'!$Q6,'Loading Rates'!$B$1:$L$24,7,FALSE)+'BMP P Tracking Table'!$Y6*VLOOKUP('BMP P Tracking Table'!$Q6,'Loading Rates'!$B$1:$L$24,8,FALSE)+'BMP P Tracking Table'!$Z6*VLOOKUP('BMP P Tracking Table'!$Q6,'Loading Rates'!$B$1:$L$24,9,FALSE),'BMP P Tracking Table'!$AA6*VLOOKUP('BMP P Tracking Table'!$Q6,'Loading Rates'!$B$1:$L$24,10,FALSE)),"")</f>
        <v>1.6376964921946739</v>
      </c>
      <c r="AE6" s="175">
        <f>IFERROR(MIN(2,IF('BMP P Tracking Table'!$V6="Total Pervious",(-(3630*'BMP P Tracking Table'!$U6+20.691*'BMP P Tracking Table'!$AA6)+SQRT((3630*'BMP P Tracking Table'!$U6+20.691*'BMP P Tracking Table'!$AA6)^2-(4*(996.798*'BMP P Tracking Table'!$AA6)*-'BMP P Tracking Table'!$AB6)))/(2*(996.798*'BMP P Tracking Table'!$AA6)),IF(SUM('BMP P Tracking Table'!$W6:$Z6)=0,'BMP P Tracking Table'!$AB6/(-3630*'BMP P Tracking Table'!$U6),(-(3630*'BMP P Tracking Table'!$U6+20.691*'BMP P Tracking Table'!$Z6-216.711*'BMP P Tracking Table'!$Y6-83.853*'BMP P Tracking Table'!$X6-42.834*'BMP P Tracking Table'!$W6)+SQRT((3630*'BMP P Tracking Table'!$U6+20.691*'BMP P Tracking Table'!$Z6-216.711*'BMP P Tracking Table'!$Y6-83.853*'BMP P Tracking Table'!$X6-42.834*'BMP P Tracking Table'!$W6)^2-(4*(149.919*'BMP P Tracking Table'!$W6+236.676*'BMP P Tracking Table'!$X6+726*'BMP P Tracking Table'!$Y6+996.798*'BMP P Tracking Table'!$Z6)*-'BMP P Tracking Table'!$AB6)))/(2*(149.919*'BMP P Tracking Table'!$W6+236.676*'BMP P Tracking Table'!$X6+726*'BMP P Tracking Table'!$Y6+996.798*'BMP P Tracking Table'!$Z6))))),"")</f>
        <v>1.0452652172749446</v>
      </c>
      <c r="AF6" s="175" t="str">
        <f>IFERROR((VLOOKUP(CONCATENATE('BMP P Tracking Table'!$T6," ",'BMP P Tracking Table'!$AC6),'Performance Curves'!$C$1:$L$45,MATCH('BMP P Tracking Table'!$AE6,'Performance Curves'!$E$1:$L$1,1)+2,FALSE)-VLOOKUP(CONCATENATE('BMP P Tracking Table'!$T6," ",'BMP P Tracking Table'!$AC6),'Performance Curves'!$C$1:$L$45,MATCH('BMP P Tracking Table'!$AE6,'Performance Curves'!$E$1:$L$1,1)+1,FALSE)),"")</f>
        <v/>
      </c>
      <c r="AG6" s="175">
        <f>IFERROR(('BMP P Tracking Table'!$AE6-INDEX('Performance Curves'!$E$1:$L$1,1,MATCH('BMP P Tracking Table'!$AE6,'Performance Curves'!$E$1:$L$1,1)))/(INDEX('Performance Curves'!$E$1:$L$1,1,MATCH('BMP P Tracking Table'!$AE6,'Performance Curves'!$E$1:$L$1,1)+1)-INDEX('Performance Curves'!$E$1:$L$1,1,MATCH('BMP P Tracking Table'!$AE6,'Performance Curves'!$E$1:$L$1,1))),"")</f>
        <v>9.0530434549889183E-2</v>
      </c>
      <c r="AH6" s="176" t="str">
        <f>IFERROR(IF('BMP P Tracking Table'!$AE6=2,VLOOKUP(CONCATENATE('BMP P Tracking Table'!$T6," ",'BMP P Tracking Table'!$AC6),'Performance Curves'!$C$1:$L$45,MATCH('BMP P Tracking Table'!$AE6,'Performance Curves'!$E$1:$L$1,1)+1,FALSE),'BMP P Tracking Table'!$AF6*'BMP P Tracking Table'!$AG6+VLOOKUP(CONCATENATE('BMP P Tracking Table'!$T6," ",'BMP P Tracking Table'!$AC6),'Performance Curves'!$C$1:$L$45,MATCH('BMP P Tracking Table'!$AE6,'Performance Curves'!$E$1:$L$1,1)+1,FALSE)),"")</f>
        <v/>
      </c>
      <c r="AI6" s="175" t="str">
        <f>IFERROR('BMP P Tracking Table'!$AH6*'BMP P Tracking Table'!$AD6,"")</f>
        <v/>
      </c>
      <c r="AJ6" s="173">
        <f t="shared" si="0"/>
        <v>0.25482557418549123</v>
      </c>
      <c r="AK6" s="169"/>
      <c r="AL6" s="173"/>
      <c r="AM6" s="177">
        <v>1</v>
      </c>
      <c r="AN6" s="178">
        <f t="shared" si="1"/>
        <v>0.25482557418549123</v>
      </c>
      <c r="AO6" s="173"/>
      <c r="AP6" s="173"/>
      <c r="AQ6" s="173"/>
      <c r="AR6" s="173"/>
      <c r="AS6" s="173"/>
      <c r="AT6" s="173"/>
      <c r="AU6" s="173"/>
      <c r="AV6" s="169"/>
      <c r="AW6" s="179"/>
      <c r="AX6" s="179"/>
      <c r="AY6" s="175" t="str">
        <f>IF('BMP P Tracking Table'!$AK6="Yes",IF('BMP P Tracking Table'!$AL6="No",'BMP P Tracking Table'!$U6*VLOOKUP('BMP P Tracking Table'!$Q6,'Loading Rates'!$B$1:$L$24,4,FALSE)+IF('BMP P Tracking Table'!$V6="By HSG",'BMP P Tracking Table'!$W6*VLOOKUP('BMP P Tracking Table'!$Q6,'Loading Rates'!$B$1:$L$24,6,FALSE)+'BMP P Tracking Table'!$X6*VLOOKUP('BMP P Tracking Table'!$Q6,'Loading Rates'!$B$1:$L$24,7,FALSE)+'BMP P Tracking Table'!$Y6*VLOOKUP('BMP P Tracking Table'!$Q6,'Loading Rates'!$B$1:$L$24,8,FALSE)+'BMP P Tracking Table'!$Z6*VLOOKUP('BMP P Tracking Table'!$Q6,'Loading Rates'!$B$1:$L$24,9,FALSE),'BMP P Tracking Table'!$AA6*VLOOKUP('BMP P Tracking Table'!$Q6,'Loading Rates'!$B$1:$L$24,10,FALSE)),'BMP P Tracking Table'!$AO6*VLOOKUP('BMP P Tracking Table'!$Q6,'Loading Rates'!$B$1:$L$24,4,FALSE)+IF('BMP P Tracking Table'!$AP6="By HSG",'BMP P Tracking Table'!$AQ6*VLOOKUP('BMP P Tracking Table'!$Q6,'Loading Rates'!$B$1:$L$24,6,FALSE)+'BMP P Tracking Table'!$AR6*VLOOKUP('BMP P Tracking Table'!$Q6,'Loading Rates'!$B$1:$L$24,7,FALSE)+'BMP P Tracking Table'!$AS6*VLOOKUP('BMP P Tracking Table'!$Q6,'Loading Rates'!$B$1:$L$24,8,FALSE)+'BMP P Tracking Table'!$AT6*VLOOKUP('BMP P Tracking Table'!$Q6,'Loading Rates'!$B$1:$L$24,9,FALSE),'BMP P Tracking Table'!$AU6*VLOOKUP('BMP P Tracking Table'!$Q6,'Loading Rates'!$B$1:$L$24,10,FALSE))),"")</f>
        <v/>
      </c>
      <c r="AZ6" s="175">
        <f>IFERROR(IF('BMP P Tracking Table'!$AL6="Yes",MIN(2,IF('BMP P Tracking Table'!$AP6="Total Pervious",(-(3630*'BMP P Tracking Table'!$AO6+20.691*'BMP P Tracking Table'!$AU6)+SQRT((3630*'BMP P Tracking Table'!$AO6+20.691*'BMP P Tracking Table'!$AU6)^2-(4*(996.798*'BMP P Tracking Table'!$AU6)*-'BMP P Tracking Table'!$AW6)))/(2*(996.798*'BMP P Tracking Table'!$AU6)),IF(SUM('BMP P Tracking Table'!$AQ6:$AT6)=0,'BMP P Tracking Table'!$AU6/(-3630*'BMP P Tracking Table'!$AO6),(-(3630*'BMP P Tracking Table'!$AO6+20.691*'BMP P Tracking Table'!$AT6-216.711*'BMP P Tracking Table'!$AS6-83.853*'BMP P Tracking Table'!$AR6-42.834*'BMP P Tracking Table'!$AQ6)+SQRT((3630*'BMP P Tracking Table'!$AO6+20.691*'BMP P Tracking Table'!$AT6-216.711*'BMP P Tracking Table'!$AS6-83.853*'BMP P Tracking Table'!$AR6-42.834*'BMP P Tracking Table'!$AQ6)^2-(4*(149.919*'BMP P Tracking Table'!$AQ6+236.676*'BMP P Tracking Table'!$AR6+726*'BMP P Tracking Table'!$AS6+996.798*'BMP P Tracking Table'!$AT6)*-'BMP P Tracking Table'!$AW6)))/(2*(149.919*'BMP P Tracking Table'!$AQ6+236.676*'BMP P Tracking Table'!$AR6+726*'BMP P Tracking Table'!$AS6+996.798*'BMP P Tracking Table'!$AT6))))),MIN(2,IF('BMP P Tracking Table'!$AP6="Total Pervious",(-(3630*'BMP P Tracking Table'!$U6+20.691*'BMP P Tracking Table'!$AA6)+SQRT((3630*'BMP P Tracking Table'!$U6+20.691*'BMP P Tracking Table'!$AA6)^2-(4*(996.798*'BMP P Tracking Table'!$AA6)*-'BMP P Tracking Table'!$AW6)))/(2*(996.798*'BMP P Tracking Table'!$AA6)),IF(SUM('BMP P Tracking Table'!$W6:$Z6)=0,'BMP P Tracking Table'!$AW6/(-3630*'BMP P Tracking Table'!$U6),(-(3630*'BMP P Tracking Table'!$U6+20.691*'BMP P Tracking Table'!$Z6-216.711*'BMP P Tracking Table'!$Y6-83.853*'BMP P Tracking Table'!$X6-42.834*'BMP P Tracking Table'!$W6)+SQRT((3630*'BMP P Tracking Table'!$U6+20.691*'BMP P Tracking Table'!$Z6-216.711*'BMP P Tracking Table'!$Y6-83.853*'BMP P Tracking Table'!$X6-42.834*'BMP P Tracking Table'!$W6)^2-(4*(149.919*'BMP P Tracking Table'!$W6+236.676*'BMP P Tracking Table'!$X6+726*'BMP P Tracking Table'!$Y6+996.798*'BMP P Tracking Table'!$Z6)*-'BMP P Tracking Table'!$AW6)))/(2*(149.919*'BMP P Tracking Table'!$W6+236.676*'BMP P Tracking Table'!$X6+726*'BMP P Tracking Table'!$Y6+996.798*'BMP P Tracking Table'!$Z6)))))),"")</f>
        <v>0</v>
      </c>
      <c r="BA6" s="175" t="str">
        <f>IFERROR((VLOOKUP(CONCATENATE('BMP P Tracking Table'!$AV6," ",'BMP P Tracking Table'!$AX6),'Performance Curves'!$C$1:$L$45,MATCH('BMP P Tracking Table'!$AZ6,'Performance Curves'!$E$1:$L$1,1)+2,FALSE)-VLOOKUP(CONCATENATE('BMP P Tracking Table'!$AV6," ",'BMP P Tracking Table'!$AX6),'Performance Curves'!$C$1:$L$45,MATCH('BMP P Tracking Table'!$AZ6,'Performance Curves'!$E$1:$L$1,1)+1,FALSE)),"")</f>
        <v/>
      </c>
      <c r="BB6" s="175" t="str">
        <f>IFERROR(('BMP P Tracking Table'!$AZ6-INDEX('Performance Curves'!$E$1:$L$1,1,MATCH('BMP P Tracking Table'!$AZ6,'Performance Curves'!$E$1:$L$1,1)))/(INDEX('Performance Curves'!$E$1:$L$1,1,MATCH('BMP P Tracking Table'!$AZ6,'Performance Curves'!$E$1:$L$1,1)+1)-INDEX('Performance Curves'!$E$1:$L$1,1,MATCH('BMP P Tracking Table'!$AZ6,'Performance Curves'!$E$1:$L$1,1))),"")</f>
        <v/>
      </c>
      <c r="BC6" s="176" t="str">
        <f>IFERROR(IF('BMP P Tracking Table'!$AZ6=2,VLOOKUP(CONCATENATE('BMP P Tracking Table'!$AV6," ",'BMP P Tracking Table'!$AX6),'Performance Curves'!$C$1:$L$44,MATCH('BMP P Tracking Table'!$AZ6,'Performance Curves'!$E$1:$L$1,1)+1,FALSE),'BMP P Tracking Table'!$BA6*'BMP P Tracking Table'!$BB6+VLOOKUP(CONCATENATE('BMP P Tracking Table'!$AV6," ",'BMP P Tracking Table'!$AX6),'Performance Curves'!$C$1:$L$44,MATCH('BMP P Tracking Table'!$AZ6,'Performance Curves'!$E$1:$L$1,1)+1,FALSE)),"")</f>
        <v/>
      </c>
      <c r="BD6" s="175" t="str">
        <f>IFERROR('BMP P Tracking Table'!$BC6*'BMP P Tracking Table'!$AY6,"")</f>
        <v/>
      </c>
      <c r="BE6" s="173"/>
      <c r="BF6" s="180">
        <f t="shared" si="2"/>
        <v>0</v>
      </c>
      <c r="BH6" s="181">
        <v>0.15559999999999999</v>
      </c>
      <c r="BI6" s="180">
        <f t="shared" si="3"/>
        <v>0.25482557418549123</v>
      </c>
      <c r="BK6" s="168" t="str">
        <f t="shared" si="4"/>
        <v>Laplatte River</v>
      </c>
      <c r="BN6" s="168" t="s">
        <v>391</v>
      </c>
    </row>
    <row r="7" spans="1:66" s="168" customFormat="1" ht="17.399999999999999" customHeight="1" x14ac:dyDescent="0.3">
      <c r="A7" s="169" t="s">
        <v>374</v>
      </c>
      <c r="B7" s="169" t="s">
        <v>370</v>
      </c>
      <c r="C7" s="169" t="s">
        <v>312</v>
      </c>
      <c r="D7" s="169" t="s">
        <v>6</v>
      </c>
      <c r="E7" s="170">
        <v>44.467500000000001</v>
      </c>
      <c r="F7" s="170">
        <v>-73.147220000000004</v>
      </c>
      <c r="G7" s="169" t="s">
        <v>316</v>
      </c>
      <c r="H7" s="169" t="s">
        <v>316</v>
      </c>
      <c r="I7" s="169" t="s">
        <v>66</v>
      </c>
      <c r="J7" s="171"/>
      <c r="K7" s="169" t="s">
        <v>111</v>
      </c>
      <c r="L7" s="169"/>
      <c r="M7" s="172" t="s">
        <v>379</v>
      </c>
      <c r="N7" s="172"/>
      <c r="O7" s="169" t="s">
        <v>62</v>
      </c>
      <c r="P7" s="169" t="s">
        <v>34</v>
      </c>
      <c r="Q7" s="169" t="str">
        <f>IFERROR(VLOOKUP('BMP P Tracking Table'!$P7,Dropdowns!$C$2:$E$15,3,FALSE),"")</f>
        <v>Laplatte River</v>
      </c>
      <c r="R7" s="169" t="str">
        <f>IFERROR(VLOOKUP('BMP P Tracking Table'!$Q7,Dropdowns!$P$3:$Q$23,2,FALSE),"")</f>
        <v>Shelburne Bay</v>
      </c>
      <c r="S7" s="169" t="s">
        <v>66</v>
      </c>
      <c r="T7" s="169" t="s">
        <v>232</v>
      </c>
      <c r="U7" s="173">
        <v>0.20261707988980715</v>
      </c>
      <c r="V7" s="169" t="s">
        <v>219</v>
      </c>
      <c r="W7" s="169"/>
      <c r="X7" s="169"/>
      <c r="Y7" s="169"/>
      <c r="Z7" s="169"/>
      <c r="AA7" s="169">
        <v>0.57999999999999996</v>
      </c>
      <c r="AB7" s="174">
        <v>1398</v>
      </c>
      <c r="AC7" s="169" t="s">
        <v>205</v>
      </c>
      <c r="AD7" s="175">
        <f>IFERROR('BMP P Tracking Table'!$U7*VLOOKUP('BMP P Tracking Table'!$Q7,'Loading Rates'!$B$1:$L$24,4,FALSE)+IF('BMP P Tracking Table'!$V7="By HSG",'BMP P Tracking Table'!$W7*VLOOKUP('BMP P Tracking Table'!$Q7,'Loading Rates'!$B$1:$L$24,6,FALSE)+'BMP P Tracking Table'!$X7*VLOOKUP('BMP P Tracking Table'!$Q7,'Loading Rates'!$B$1:$L$24,7,FALSE)+'BMP P Tracking Table'!$Y7*VLOOKUP('BMP P Tracking Table'!$Q7,'Loading Rates'!$B$1:$L$24,8,FALSE)+'BMP P Tracking Table'!$Z7*VLOOKUP('BMP P Tracking Table'!$Q7,'Loading Rates'!$B$1:$L$24,9,FALSE),'BMP P Tracking Table'!$AA7*VLOOKUP('BMP P Tracking Table'!$Q7,'Loading Rates'!$B$1:$L$24,10,FALSE)),"")</f>
        <v>0.29265146005509635</v>
      </c>
      <c r="AE7" s="175">
        <f>IFERROR(MIN(2,IF('BMP P Tracking Table'!$V7="Total Pervious",(-(3630*'BMP P Tracking Table'!$U7+20.691*'BMP P Tracking Table'!$AA7)+SQRT((3630*'BMP P Tracking Table'!$U7+20.691*'BMP P Tracking Table'!$AA7)^2-(4*(996.798*'BMP P Tracking Table'!$AA7)*-'BMP P Tracking Table'!$AB7)))/(2*(996.798*'BMP P Tracking Table'!$AA7)),IF(SUM('BMP P Tracking Table'!$W7:$Z7)=0,'BMP P Tracking Table'!$AB7/(-3630*'BMP P Tracking Table'!$U7),(-(3630*'BMP P Tracking Table'!$U7+20.691*'BMP P Tracking Table'!$Z7-216.711*'BMP P Tracking Table'!$Y7-83.853*'BMP P Tracking Table'!$X7-42.834*'BMP P Tracking Table'!$W7)+SQRT((3630*'BMP P Tracking Table'!$U7+20.691*'BMP P Tracking Table'!$Z7-216.711*'BMP P Tracking Table'!$Y7-83.853*'BMP P Tracking Table'!$X7-42.834*'BMP P Tracking Table'!$W7)^2-(4*(149.919*'BMP P Tracking Table'!$W7+236.676*'BMP P Tracking Table'!$X7+726*'BMP P Tracking Table'!$Y7+996.798*'BMP P Tracking Table'!$Z7)*-'BMP P Tracking Table'!$AB7)))/(2*(149.919*'BMP P Tracking Table'!$W7+236.676*'BMP P Tracking Table'!$X7+726*'BMP P Tracking Table'!$Y7+996.798*'BMP P Tracking Table'!$Z7))))),"")</f>
        <v>1.03757773982848</v>
      </c>
      <c r="AF7" s="175" t="str">
        <f>IFERROR((VLOOKUP(CONCATENATE('BMP P Tracking Table'!$T7," ",'BMP P Tracking Table'!$AC7),'Performance Curves'!$C$1:$L$45,MATCH('BMP P Tracking Table'!$AE7,'Performance Curves'!$E$1:$L$1,1)+2,FALSE)-VLOOKUP(CONCATENATE('BMP P Tracking Table'!$T7," ",'BMP P Tracking Table'!$AC7),'Performance Curves'!$C$1:$L$45,MATCH('BMP P Tracking Table'!$AE7,'Performance Curves'!$E$1:$L$1,1)+1,FALSE)),"")</f>
        <v/>
      </c>
      <c r="AG7" s="175">
        <f>IFERROR(('BMP P Tracking Table'!$AE7-INDEX('Performance Curves'!$E$1:$L$1,1,MATCH('BMP P Tracking Table'!$AE7,'Performance Curves'!$E$1:$L$1,1)))/(INDEX('Performance Curves'!$E$1:$L$1,1,MATCH('BMP P Tracking Table'!$AE7,'Performance Curves'!$E$1:$L$1,1)+1)-INDEX('Performance Curves'!$E$1:$L$1,1,MATCH('BMP P Tracking Table'!$AE7,'Performance Curves'!$E$1:$L$1,1))),"")</f>
        <v>7.5155479656960011E-2</v>
      </c>
      <c r="AH7" s="176" t="str">
        <f>IFERROR(IF('BMP P Tracking Table'!$AE7=2,VLOOKUP(CONCATENATE('BMP P Tracking Table'!$T7," ",'BMP P Tracking Table'!$AC7),'Performance Curves'!$C$1:$L$45,MATCH('BMP P Tracking Table'!$AE7,'Performance Curves'!$E$1:$L$1,1)+1,FALSE),'BMP P Tracking Table'!$AF7*'BMP P Tracking Table'!$AG7+VLOOKUP(CONCATENATE('BMP P Tracking Table'!$T7," ",'BMP P Tracking Table'!$AC7),'Performance Curves'!$C$1:$L$45,MATCH('BMP P Tracking Table'!$AE7,'Performance Curves'!$E$1:$L$1,1)+1,FALSE)),"")</f>
        <v/>
      </c>
      <c r="AI7" s="175" t="str">
        <f>IFERROR('BMP P Tracking Table'!$AH7*'BMP P Tracking Table'!$AD7,"")</f>
        <v/>
      </c>
      <c r="AJ7" s="173">
        <f t="shared" si="0"/>
        <v>4.4804938534435255E-2</v>
      </c>
      <c r="AK7" s="169"/>
      <c r="AL7" s="173"/>
      <c r="AM7" s="177">
        <v>1</v>
      </c>
      <c r="AN7" s="178">
        <f t="shared" si="1"/>
        <v>4.4804938534435255E-2</v>
      </c>
      <c r="AO7" s="173"/>
      <c r="AP7" s="173"/>
      <c r="AQ7" s="173"/>
      <c r="AR7" s="173"/>
      <c r="AS7" s="173"/>
      <c r="AT7" s="173"/>
      <c r="AU7" s="173"/>
      <c r="AV7" s="169"/>
      <c r="AW7" s="179"/>
      <c r="AX7" s="179"/>
      <c r="AY7" s="175" t="str">
        <f>IF('BMP P Tracking Table'!$AK7="Yes",IF('BMP P Tracking Table'!$AL7="No",'BMP P Tracking Table'!$U7*VLOOKUP('BMP P Tracking Table'!$Q7,'Loading Rates'!$B$1:$L$24,4,FALSE)+IF('BMP P Tracking Table'!$V7="By HSG",'BMP P Tracking Table'!$W7*VLOOKUP('BMP P Tracking Table'!$Q7,'Loading Rates'!$B$1:$L$24,6,FALSE)+'BMP P Tracking Table'!$X7*VLOOKUP('BMP P Tracking Table'!$Q7,'Loading Rates'!$B$1:$L$24,7,FALSE)+'BMP P Tracking Table'!$Y7*VLOOKUP('BMP P Tracking Table'!$Q7,'Loading Rates'!$B$1:$L$24,8,FALSE)+'BMP P Tracking Table'!$Z7*VLOOKUP('BMP P Tracking Table'!$Q7,'Loading Rates'!$B$1:$L$24,9,FALSE),'BMP P Tracking Table'!$AA7*VLOOKUP('BMP P Tracking Table'!$Q7,'Loading Rates'!$B$1:$L$24,10,FALSE)),'BMP P Tracking Table'!$AO7*VLOOKUP('BMP P Tracking Table'!$Q7,'Loading Rates'!$B$1:$L$24,4,FALSE)+IF('BMP P Tracking Table'!$AP7="By HSG",'BMP P Tracking Table'!$AQ7*VLOOKUP('BMP P Tracking Table'!$Q7,'Loading Rates'!$B$1:$L$24,6,FALSE)+'BMP P Tracking Table'!$AR7*VLOOKUP('BMP P Tracking Table'!$Q7,'Loading Rates'!$B$1:$L$24,7,FALSE)+'BMP P Tracking Table'!$AS7*VLOOKUP('BMP P Tracking Table'!$Q7,'Loading Rates'!$B$1:$L$24,8,FALSE)+'BMP P Tracking Table'!$AT7*VLOOKUP('BMP P Tracking Table'!$Q7,'Loading Rates'!$B$1:$L$24,9,FALSE),'BMP P Tracking Table'!$AU7*VLOOKUP('BMP P Tracking Table'!$Q7,'Loading Rates'!$B$1:$L$24,10,FALSE))),"")</f>
        <v/>
      </c>
      <c r="AZ7" s="175">
        <f>IFERROR(IF('BMP P Tracking Table'!$AL7="Yes",MIN(2,IF('BMP P Tracking Table'!$AP7="Total Pervious",(-(3630*'BMP P Tracking Table'!$AO7+20.691*'BMP P Tracking Table'!$AU7)+SQRT((3630*'BMP P Tracking Table'!$AO7+20.691*'BMP P Tracking Table'!$AU7)^2-(4*(996.798*'BMP P Tracking Table'!$AU7)*-'BMP P Tracking Table'!$AW7)))/(2*(996.798*'BMP P Tracking Table'!$AU7)),IF(SUM('BMP P Tracking Table'!$AQ7:$AT7)=0,'BMP P Tracking Table'!$AU7/(-3630*'BMP P Tracking Table'!$AO7),(-(3630*'BMP P Tracking Table'!$AO7+20.691*'BMP P Tracking Table'!$AT7-216.711*'BMP P Tracking Table'!$AS7-83.853*'BMP P Tracking Table'!$AR7-42.834*'BMP P Tracking Table'!$AQ7)+SQRT((3630*'BMP P Tracking Table'!$AO7+20.691*'BMP P Tracking Table'!$AT7-216.711*'BMP P Tracking Table'!$AS7-83.853*'BMP P Tracking Table'!$AR7-42.834*'BMP P Tracking Table'!$AQ7)^2-(4*(149.919*'BMP P Tracking Table'!$AQ7+236.676*'BMP P Tracking Table'!$AR7+726*'BMP P Tracking Table'!$AS7+996.798*'BMP P Tracking Table'!$AT7)*-'BMP P Tracking Table'!$AW7)))/(2*(149.919*'BMP P Tracking Table'!$AQ7+236.676*'BMP P Tracking Table'!$AR7+726*'BMP P Tracking Table'!$AS7+996.798*'BMP P Tracking Table'!$AT7))))),MIN(2,IF('BMP P Tracking Table'!$AP7="Total Pervious",(-(3630*'BMP P Tracking Table'!$U7+20.691*'BMP P Tracking Table'!$AA7)+SQRT((3630*'BMP P Tracking Table'!$U7+20.691*'BMP P Tracking Table'!$AA7)^2-(4*(996.798*'BMP P Tracking Table'!$AA7)*-'BMP P Tracking Table'!$AW7)))/(2*(996.798*'BMP P Tracking Table'!$AA7)),IF(SUM('BMP P Tracking Table'!$W7:$Z7)=0,'BMP P Tracking Table'!$AW7/(-3630*'BMP P Tracking Table'!$U7),(-(3630*'BMP P Tracking Table'!$U7+20.691*'BMP P Tracking Table'!$Z7-216.711*'BMP P Tracking Table'!$Y7-83.853*'BMP P Tracking Table'!$X7-42.834*'BMP P Tracking Table'!$W7)+SQRT((3630*'BMP P Tracking Table'!$U7+20.691*'BMP P Tracking Table'!$Z7-216.711*'BMP P Tracking Table'!$Y7-83.853*'BMP P Tracking Table'!$X7-42.834*'BMP P Tracking Table'!$W7)^2-(4*(149.919*'BMP P Tracking Table'!$W7+236.676*'BMP P Tracking Table'!$X7+726*'BMP P Tracking Table'!$Y7+996.798*'BMP P Tracking Table'!$Z7)*-'BMP P Tracking Table'!$AW7)))/(2*(149.919*'BMP P Tracking Table'!$W7+236.676*'BMP P Tracking Table'!$X7+726*'BMP P Tracking Table'!$Y7+996.798*'BMP P Tracking Table'!$Z7)))))),"")</f>
        <v>0</v>
      </c>
      <c r="BA7" s="175" t="str">
        <f>IFERROR((VLOOKUP(CONCATENATE('BMP P Tracking Table'!$AV7," ",'BMP P Tracking Table'!$AX7),'Performance Curves'!$C$1:$L$45,MATCH('BMP P Tracking Table'!$AZ7,'Performance Curves'!$E$1:$L$1,1)+2,FALSE)-VLOOKUP(CONCATENATE('BMP P Tracking Table'!$AV7," ",'BMP P Tracking Table'!$AX7),'Performance Curves'!$C$1:$L$45,MATCH('BMP P Tracking Table'!$AZ7,'Performance Curves'!$E$1:$L$1,1)+1,FALSE)),"")</f>
        <v/>
      </c>
      <c r="BB7" s="175" t="str">
        <f>IFERROR(('BMP P Tracking Table'!$AZ7-INDEX('Performance Curves'!$E$1:$L$1,1,MATCH('BMP P Tracking Table'!$AZ7,'Performance Curves'!$E$1:$L$1,1)))/(INDEX('Performance Curves'!$E$1:$L$1,1,MATCH('BMP P Tracking Table'!$AZ7,'Performance Curves'!$E$1:$L$1,1)+1)-INDEX('Performance Curves'!$E$1:$L$1,1,MATCH('BMP P Tracking Table'!$AZ7,'Performance Curves'!$E$1:$L$1,1))),"")</f>
        <v/>
      </c>
      <c r="BC7" s="176" t="str">
        <f>IFERROR(IF('BMP P Tracking Table'!$AZ7=2,VLOOKUP(CONCATENATE('BMP P Tracking Table'!$AV7," ",'BMP P Tracking Table'!$AX7),'Performance Curves'!$C$1:$L$44,MATCH('BMP P Tracking Table'!$AZ7,'Performance Curves'!$E$1:$L$1,1)+1,FALSE),'BMP P Tracking Table'!$BA7*'BMP P Tracking Table'!$BB7+VLOOKUP(CONCATENATE('BMP P Tracking Table'!$AV7," ",'BMP P Tracking Table'!$AX7),'Performance Curves'!$C$1:$L$44,MATCH('BMP P Tracking Table'!$AZ7,'Performance Curves'!$E$1:$L$1,1)+1,FALSE)),"")</f>
        <v/>
      </c>
      <c r="BD7" s="175" t="str">
        <f>IFERROR('BMP P Tracking Table'!$BC7*'BMP P Tracking Table'!$AY7,"")</f>
        <v/>
      </c>
      <c r="BE7" s="173"/>
      <c r="BF7" s="180">
        <f t="shared" si="2"/>
        <v>0</v>
      </c>
      <c r="BH7" s="181">
        <v>0.15310000000000001</v>
      </c>
      <c r="BI7" s="180">
        <f t="shared" si="3"/>
        <v>4.4804938534435255E-2</v>
      </c>
      <c r="BK7" s="168" t="str">
        <f t="shared" si="4"/>
        <v>Laplatte River</v>
      </c>
      <c r="BN7" s="168" t="s">
        <v>391</v>
      </c>
    </row>
    <row r="8" spans="1:66" ht="17.399999999999999" customHeight="1" x14ac:dyDescent="0.3">
      <c r="A8" s="169" t="s">
        <v>286</v>
      </c>
      <c r="B8" s="169" t="s">
        <v>301</v>
      </c>
      <c r="C8" s="169" t="s">
        <v>312</v>
      </c>
      <c r="D8" s="169" t="s">
        <v>6</v>
      </c>
      <c r="E8" s="170">
        <v>44.463889999999999</v>
      </c>
      <c r="F8" s="170">
        <v>-73.147220000000004</v>
      </c>
      <c r="G8" s="169" t="s">
        <v>318</v>
      </c>
      <c r="H8" s="169" t="s">
        <v>318</v>
      </c>
      <c r="I8" s="169" t="s">
        <v>66</v>
      </c>
      <c r="J8" s="171"/>
      <c r="K8" s="169" t="s">
        <v>111</v>
      </c>
      <c r="L8" s="169"/>
      <c r="M8" s="169" t="s">
        <v>380</v>
      </c>
      <c r="N8" s="172"/>
      <c r="O8" s="169" t="s">
        <v>62</v>
      </c>
      <c r="P8" s="169" t="s">
        <v>34</v>
      </c>
      <c r="Q8" s="169" t="str">
        <f>IFERROR(VLOOKUP('BMP P Tracking Table'!$P8,Dropdowns!$C$2:$E$15,3,FALSE),"")</f>
        <v>Laplatte River</v>
      </c>
      <c r="R8" s="169" t="str">
        <f>IFERROR(VLOOKUP('BMP P Tracking Table'!$Q8,Dropdowns!$P$3:$Q$23,2,FALSE),"")</f>
        <v>Shelburne Bay</v>
      </c>
      <c r="S8" s="169" t="s">
        <v>66</v>
      </c>
      <c r="T8" s="169" t="s">
        <v>161</v>
      </c>
      <c r="U8" s="173">
        <v>0.78</v>
      </c>
      <c r="V8" s="169" t="s">
        <v>219</v>
      </c>
      <c r="W8" s="169"/>
      <c r="X8" s="169"/>
      <c r="Y8" s="169"/>
      <c r="Z8" s="169"/>
      <c r="AA8" s="169">
        <v>0.52</v>
      </c>
      <c r="AB8" s="174">
        <v>6382</v>
      </c>
      <c r="AC8" s="169" t="s">
        <v>205</v>
      </c>
      <c r="AD8" s="175">
        <f>IFERROR('BMP P Tracking Table'!$U8*VLOOKUP('BMP P Tracking Table'!$Q8,'Loading Rates'!$B$1:$L$24,4,FALSE)+IF('BMP P Tracking Table'!$V8="By HSG",'BMP P Tracking Table'!$W8*VLOOKUP('BMP P Tracking Table'!$Q8,'Loading Rates'!$B$1:$L$24,6,FALSE)+'BMP P Tracking Table'!$X8*VLOOKUP('BMP P Tracking Table'!$Q8,'Loading Rates'!$B$1:$L$24,7,FALSE)+'BMP P Tracking Table'!$Y8*VLOOKUP('BMP P Tracking Table'!$Q8,'Loading Rates'!$B$1:$L$24,8,FALSE)+'BMP P Tracking Table'!$Z8*VLOOKUP('BMP P Tracking Table'!$Q8,'Loading Rates'!$B$1:$L$24,9,FALSE),'BMP P Tracking Table'!$AA8*VLOOKUP('BMP P Tracking Table'!$Q8,'Loading Rates'!$B$1:$L$24,10,FALSE)),"")</f>
        <v>0.83199999999999996</v>
      </c>
      <c r="AE8" s="175">
        <f>IFERROR(MIN(2,IF('BMP P Tracking Table'!$V8="Total Pervious",(-(3630*'BMP P Tracking Table'!$U8+20.691*'BMP P Tracking Table'!$AA8)+SQRT((3630*'BMP P Tracking Table'!$U8+20.691*'BMP P Tracking Table'!$AA8)^2-(4*(996.798*'BMP P Tracking Table'!$AA8)*-'BMP P Tracking Table'!$AB8)))/(2*(996.798*'BMP P Tracking Table'!$AA8)),IF(SUM('BMP P Tracking Table'!$W8:$Z8)=0,'BMP P Tracking Table'!$AB8/(-3630*'BMP P Tracking Table'!$U8),(-(3630*'BMP P Tracking Table'!$U8+20.691*'BMP P Tracking Table'!$Z8-216.711*'BMP P Tracking Table'!$Y8-83.853*'BMP P Tracking Table'!$X8-42.834*'BMP P Tracking Table'!$W8)+SQRT((3630*'BMP P Tracking Table'!$U8+20.691*'BMP P Tracking Table'!$Z8-216.711*'BMP P Tracking Table'!$Y8-83.853*'BMP P Tracking Table'!$X8-42.834*'BMP P Tracking Table'!$W8)^2-(4*(149.919*'BMP P Tracking Table'!$W8+236.676*'BMP P Tracking Table'!$X8+726*'BMP P Tracking Table'!$Y8+996.798*'BMP P Tracking Table'!$Z8)*-'BMP P Tracking Table'!$AB8)))/(2*(149.919*'BMP P Tracking Table'!$W8+236.676*'BMP P Tracking Table'!$X8+726*'BMP P Tracking Table'!$Y8+996.798*'BMP P Tracking Table'!$Z8))))),"")</f>
        <v>1.7113528798181388</v>
      </c>
      <c r="AF8" s="175">
        <f>IFERROR((VLOOKUP(CONCATENATE('BMP P Tracking Table'!$T8," ",'BMP P Tracking Table'!$AC8),'Performance Curves'!$C$1:$L$45,MATCH('BMP P Tracking Table'!$AE8,'Performance Curves'!$E$1:$L$1,1)+2,FALSE)-VLOOKUP(CONCATENATE('BMP P Tracking Table'!$T8," ",'BMP P Tracking Table'!$AC8),'Performance Curves'!$C$1:$L$45,MATCH('BMP P Tracking Table'!$AE8,'Performance Curves'!$E$1:$L$1,1)+1,FALSE)),"")</f>
        <v>0</v>
      </c>
      <c r="AG8" s="175">
        <f>IFERROR(('BMP P Tracking Table'!$AE8-INDEX('Performance Curves'!$E$1:$L$1,1,MATCH('BMP P Tracking Table'!$AE8,'Performance Curves'!$E$1:$L$1,1)))/(INDEX('Performance Curves'!$E$1:$L$1,1,MATCH('BMP P Tracking Table'!$AE8,'Performance Curves'!$E$1:$L$1,1)+1)-INDEX('Performance Curves'!$E$1:$L$1,1,MATCH('BMP P Tracking Table'!$AE8,'Performance Curves'!$E$1:$L$1,1))),"")</f>
        <v>0.42270575963627754</v>
      </c>
      <c r="AH8" s="176">
        <f>IFERROR(IF('BMP P Tracking Table'!$AE8=2,VLOOKUP(CONCATENATE('BMP P Tracking Table'!$T8," ",'BMP P Tracking Table'!$AC8),'Performance Curves'!$C$1:$L$45,MATCH('BMP P Tracking Table'!$AE8,'Performance Curves'!$E$1:$L$1,1)+1,FALSE),'BMP P Tracking Table'!$AF8*'BMP P Tracking Table'!$AG8+VLOOKUP(CONCATENATE('BMP P Tracking Table'!$T8," ",'BMP P Tracking Table'!$AC8),'Performance Curves'!$C$1:$L$45,MATCH('BMP P Tracking Table'!$AE8,'Performance Curves'!$E$1:$L$1,1)+1,FALSE)),"")</f>
        <v>1</v>
      </c>
      <c r="AI8" s="175">
        <f>IFERROR('BMP P Tracking Table'!$AH8*'BMP P Tracking Table'!$AD8,"")</f>
        <v>0.83199999999999996</v>
      </c>
      <c r="AJ8" s="173">
        <f t="shared" si="0"/>
        <v>0.82442176339807827</v>
      </c>
      <c r="AK8" s="169"/>
      <c r="AL8" s="173"/>
      <c r="AM8" s="177">
        <v>1</v>
      </c>
      <c r="AN8" s="178">
        <f t="shared" si="1"/>
        <v>0.82442176339807827</v>
      </c>
      <c r="AO8" s="96"/>
      <c r="AP8" s="96"/>
      <c r="AQ8" s="96"/>
      <c r="AR8" s="96"/>
      <c r="AS8" s="96"/>
      <c r="AT8" s="96"/>
      <c r="AU8" s="96"/>
      <c r="AV8" s="64"/>
      <c r="AW8" s="97"/>
      <c r="AX8" s="97"/>
      <c r="AY8" s="101" t="str">
        <f>IF('BMP P Tracking Table'!$AK8="Yes",IF('BMP P Tracking Table'!$AL8="No",'BMP P Tracking Table'!$U8*VLOOKUP('BMP P Tracking Table'!$Q8,'Loading Rates'!$B$1:$L$24,4,FALSE)+IF('BMP P Tracking Table'!$V8="By HSG",'BMP P Tracking Table'!$W8*VLOOKUP('BMP P Tracking Table'!$Q8,'Loading Rates'!$B$1:$L$24,6,FALSE)+'BMP P Tracking Table'!$X8*VLOOKUP('BMP P Tracking Table'!$Q8,'Loading Rates'!$B$1:$L$24,7,FALSE)+'BMP P Tracking Table'!$Y8*VLOOKUP('BMP P Tracking Table'!$Q8,'Loading Rates'!$B$1:$L$24,8,FALSE)+'BMP P Tracking Table'!$Z8*VLOOKUP('BMP P Tracking Table'!$Q8,'Loading Rates'!$B$1:$L$24,9,FALSE),'BMP P Tracking Table'!$AA8*VLOOKUP('BMP P Tracking Table'!$Q8,'Loading Rates'!$B$1:$L$24,10,FALSE)),'BMP P Tracking Table'!$AO8*VLOOKUP('BMP P Tracking Table'!$Q8,'Loading Rates'!$B$1:$L$24,4,FALSE)+IF('BMP P Tracking Table'!$AP8="By HSG",'BMP P Tracking Table'!$AQ8*VLOOKUP('BMP P Tracking Table'!$Q8,'Loading Rates'!$B$1:$L$24,6,FALSE)+'BMP P Tracking Table'!$AR8*VLOOKUP('BMP P Tracking Table'!$Q8,'Loading Rates'!$B$1:$L$24,7,FALSE)+'BMP P Tracking Table'!$AS8*VLOOKUP('BMP P Tracking Table'!$Q8,'Loading Rates'!$B$1:$L$24,8,FALSE)+'BMP P Tracking Table'!$AT8*VLOOKUP('BMP P Tracking Table'!$Q8,'Loading Rates'!$B$1:$L$24,9,FALSE),'BMP P Tracking Table'!$AU8*VLOOKUP('BMP P Tracking Table'!$Q8,'Loading Rates'!$B$1:$L$24,10,FALSE))),"")</f>
        <v/>
      </c>
      <c r="AZ8" s="101">
        <f>IFERROR(IF('BMP P Tracking Table'!$AL8="Yes",MIN(2,IF('BMP P Tracking Table'!$AP8="Total Pervious",(-(3630*'BMP P Tracking Table'!$AO8+20.691*'BMP P Tracking Table'!$AU8)+SQRT((3630*'BMP P Tracking Table'!$AO8+20.691*'BMP P Tracking Table'!$AU8)^2-(4*(996.798*'BMP P Tracking Table'!$AU8)*-'BMP P Tracking Table'!$AW8)))/(2*(996.798*'BMP P Tracking Table'!$AU8)),IF(SUM('BMP P Tracking Table'!$AQ8:$AT8)=0,'BMP P Tracking Table'!$AU8/(-3630*'BMP P Tracking Table'!$AO8),(-(3630*'BMP P Tracking Table'!$AO8+20.691*'BMP P Tracking Table'!$AT8-216.711*'BMP P Tracking Table'!$AS8-83.853*'BMP P Tracking Table'!$AR8-42.834*'BMP P Tracking Table'!$AQ8)+SQRT((3630*'BMP P Tracking Table'!$AO8+20.691*'BMP P Tracking Table'!$AT8-216.711*'BMP P Tracking Table'!$AS8-83.853*'BMP P Tracking Table'!$AR8-42.834*'BMP P Tracking Table'!$AQ8)^2-(4*(149.919*'BMP P Tracking Table'!$AQ8+236.676*'BMP P Tracking Table'!$AR8+726*'BMP P Tracking Table'!$AS8+996.798*'BMP P Tracking Table'!$AT8)*-'BMP P Tracking Table'!$AW8)))/(2*(149.919*'BMP P Tracking Table'!$AQ8+236.676*'BMP P Tracking Table'!$AR8+726*'BMP P Tracking Table'!$AS8+996.798*'BMP P Tracking Table'!$AT8))))),MIN(2,IF('BMP P Tracking Table'!$AP8="Total Pervious",(-(3630*'BMP P Tracking Table'!$U8+20.691*'BMP P Tracking Table'!$AA8)+SQRT((3630*'BMP P Tracking Table'!$U8+20.691*'BMP P Tracking Table'!$AA8)^2-(4*(996.798*'BMP P Tracking Table'!$AA8)*-'BMP P Tracking Table'!$AW8)))/(2*(996.798*'BMP P Tracking Table'!$AA8)),IF(SUM('BMP P Tracking Table'!$W8:$Z8)=0,'BMP P Tracking Table'!$AW8/(-3630*'BMP P Tracking Table'!$U8),(-(3630*'BMP P Tracking Table'!$U8+20.691*'BMP P Tracking Table'!$Z8-216.711*'BMP P Tracking Table'!$Y8-83.853*'BMP P Tracking Table'!$X8-42.834*'BMP P Tracking Table'!$W8)+SQRT((3630*'BMP P Tracking Table'!$U8+20.691*'BMP P Tracking Table'!$Z8-216.711*'BMP P Tracking Table'!$Y8-83.853*'BMP P Tracking Table'!$X8-42.834*'BMP P Tracking Table'!$W8)^2-(4*(149.919*'BMP P Tracking Table'!$W8+236.676*'BMP P Tracking Table'!$X8+726*'BMP P Tracking Table'!$Y8+996.798*'BMP P Tracking Table'!$Z8)*-'BMP P Tracking Table'!$AW8)))/(2*(149.919*'BMP P Tracking Table'!$W8+236.676*'BMP P Tracking Table'!$X8+726*'BMP P Tracking Table'!$Y8+996.798*'BMP P Tracking Table'!$Z8)))))),"")</f>
        <v>0</v>
      </c>
      <c r="BA8" s="101" t="str">
        <f>IFERROR((VLOOKUP(CONCATENATE('BMP P Tracking Table'!$AV8," ",'BMP P Tracking Table'!$AX8),'Performance Curves'!$C$1:$L$45,MATCH('BMP P Tracking Table'!$AZ8,'Performance Curves'!$E$1:$L$1,1)+2,FALSE)-VLOOKUP(CONCATENATE('BMP P Tracking Table'!$AV8," ",'BMP P Tracking Table'!$AX8),'Performance Curves'!$C$1:$L$45,MATCH('BMP P Tracking Table'!$AZ8,'Performance Curves'!$E$1:$L$1,1)+1,FALSE)),"")</f>
        <v/>
      </c>
      <c r="BB8" s="101" t="str">
        <f>IFERROR(('BMP P Tracking Table'!$AZ8-INDEX('Performance Curves'!$E$1:$L$1,1,MATCH('BMP P Tracking Table'!$AZ8,'Performance Curves'!$E$1:$L$1,1)))/(INDEX('Performance Curves'!$E$1:$L$1,1,MATCH('BMP P Tracking Table'!$AZ8,'Performance Curves'!$E$1:$L$1,1)+1)-INDEX('Performance Curves'!$E$1:$L$1,1,MATCH('BMP P Tracking Table'!$AZ8,'Performance Curves'!$E$1:$L$1,1))),"")</f>
        <v/>
      </c>
      <c r="BC8" s="102" t="str">
        <f>IFERROR(IF('BMP P Tracking Table'!$AZ8=2,VLOOKUP(CONCATENATE('BMP P Tracking Table'!$AV8," ",'BMP P Tracking Table'!$AX8),'Performance Curves'!$C$1:$L$44,MATCH('BMP P Tracking Table'!$AZ8,'Performance Curves'!$E$1:$L$1,1)+1,FALSE),'BMP P Tracking Table'!$BA8*'BMP P Tracking Table'!$BB8+VLOOKUP(CONCATENATE('BMP P Tracking Table'!$AV8," ",'BMP P Tracking Table'!$AX8),'Performance Curves'!$C$1:$L$44,MATCH('BMP P Tracking Table'!$AZ8,'Performance Curves'!$E$1:$L$1,1)+1,FALSE)),"")</f>
        <v/>
      </c>
      <c r="BD8" s="101" t="str">
        <f>IFERROR('BMP P Tracking Table'!$BC8*'BMP P Tracking Table'!$AY8,"")</f>
        <v/>
      </c>
      <c r="BE8" s="96"/>
      <c r="BF8" s="37">
        <f t="shared" si="2"/>
        <v>0</v>
      </c>
      <c r="BH8" s="127">
        <v>0.99089154254576717</v>
      </c>
      <c r="BI8" s="37">
        <f t="shared" si="3"/>
        <v>0.82442176339807827</v>
      </c>
      <c r="BK8" s="36" t="str">
        <f t="shared" si="4"/>
        <v>Laplatte River</v>
      </c>
      <c r="BN8" s="36" t="s">
        <v>391</v>
      </c>
    </row>
    <row r="9" spans="1:66" ht="17.399999999999999" customHeight="1" x14ac:dyDescent="0.3">
      <c r="A9" s="169" t="s">
        <v>288</v>
      </c>
      <c r="B9" s="169" t="s">
        <v>302</v>
      </c>
      <c r="C9" s="169" t="s">
        <v>312</v>
      </c>
      <c r="D9" s="169" t="s">
        <v>6</v>
      </c>
      <c r="E9" s="170">
        <v>44.465802779999997</v>
      </c>
      <c r="F9" s="170">
        <v>-73.154722219999996</v>
      </c>
      <c r="G9" s="169" t="s">
        <v>320</v>
      </c>
      <c r="H9" s="169" t="s">
        <v>320</v>
      </c>
      <c r="I9" s="169" t="s">
        <v>66</v>
      </c>
      <c r="J9" s="171"/>
      <c r="K9" s="169" t="s">
        <v>111</v>
      </c>
      <c r="L9" s="169"/>
      <c r="M9" s="172">
        <v>42586</v>
      </c>
      <c r="N9" s="172"/>
      <c r="O9" s="169" t="s">
        <v>62</v>
      </c>
      <c r="P9" s="169" t="s">
        <v>34</v>
      </c>
      <c r="Q9" s="169" t="str">
        <f>IFERROR(VLOOKUP('BMP P Tracking Table'!$P9,Dropdowns!$C$2:$E$15,3,FALSE),"")</f>
        <v>Laplatte River</v>
      </c>
      <c r="R9" s="169" t="str">
        <f>IFERROR(VLOOKUP('BMP P Tracking Table'!$Q9,Dropdowns!$P$3:$Q$23,2,FALSE),"")</f>
        <v>Shelburne Bay</v>
      </c>
      <c r="S9" s="169" t="s">
        <v>66</v>
      </c>
      <c r="T9" s="169" t="s">
        <v>47</v>
      </c>
      <c r="U9" s="173">
        <v>0.24299999999999999</v>
      </c>
      <c r="V9" s="169" t="s">
        <v>219</v>
      </c>
      <c r="W9" s="169"/>
      <c r="X9" s="169"/>
      <c r="Y9" s="169"/>
      <c r="Z9" s="169"/>
      <c r="AA9" s="169">
        <v>0.17299999999999999</v>
      </c>
      <c r="AB9" s="174">
        <v>885</v>
      </c>
      <c r="AC9" s="169" t="s">
        <v>205</v>
      </c>
      <c r="AD9" s="175">
        <f>IFERROR('BMP P Tracking Table'!$U9*VLOOKUP('BMP P Tracking Table'!$Q9,'Loading Rates'!$B$1:$L$24,4,FALSE)+IF('BMP P Tracking Table'!$V9="By HSG",'BMP P Tracking Table'!$W9*VLOOKUP('BMP P Tracking Table'!$Q9,'Loading Rates'!$B$1:$L$24,6,FALSE)+'BMP P Tracking Table'!$X9*VLOOKUP('BMP P Tracking Table'!$Q9,'Loading Rates'!$B$1:$L$24,7,FALSE)+'BMP P Tracking Table'!$Y9*VLOOKUP('BMP P Tracking Table'!$Q9,'Loading Rates'!$B$1:$L$24,8,FALSE)+'BMP P Tracking Table'!$Z9*VLOOKUP('BMP P Tracking Table'!$Q9,'Loading Rates'!$B$1:$L$24,9,FALSE),'BMP P Tracking Table'!$AA9*VLOOKUP('BMP P Tracking Table'!$Q9,'Loading Rates'!$B$1:$L$24,10,FALSE)),"")</f>
        <v>0.26109199999999999</v>
      </c>
      <c r="AE9" s="175">
        <f>IFERROR(MIN(2,IF('BMP P Tracking Table'!$V9="Total Pervious",(-(3630*'BMP P Tracking Table'!$U9+20.691*'BMP P Tracking Table'!$AA9)+SQRT((3630*'BMP P Tracking Table'!$U9+20.691*'BMP P Tracking Table'!$AA9)^2-(4*(996.798*'BMP P Tracking Table'!$AA9)*-'BMP P Tracking Table'!$AB9)))/(2*(996.798*'BMP P Tracking Table'!$AA9)),IF(SUM('BMP P Tracking Table'!$W9:$Z9)=0,'BMP P Tracking Table'!$AB9/(-3630*'BMP P Tracking Table'!$U9),(-(3630*'BMP P Tracking Table'!$U9+20.691*'BMP P Tracking Table'!$Z9-216.711*'BMP P Tracking Table'!$Y9-83.853*'BMP P Tracking Table'!$X9-42.834*'BMP P Tracking Table'!$W9)+SQRT((3630*'BMP P Tracking Table'!$U9+20.691*'BMP P Tracking Table'!$Z9-216.711*'BMP P Tracking Table'!$Y9-83.853*'BMP P Tracking Table'!$X9-42.834*'BMP P Tracking Table'!$W9)^2-(4*(149.919*'BMP P Tracking Table'!$W9+236.676*'BMP P Tracking Table'!$X9+726*'BMP P Tracking Table'!$Y9+996.798*'BMP P Tracking Table'!$Z9)*-'BMP P Tracking Table'!$AB9)))/(2*(149.919*'BMP P Tracking Table'!$W9+236.676*'BMP P Tracking Table'!$X9+726*'BMP P Tracking Table'!$Y9+996.798*'BMP P Tracking Table'!$Z9))))),"")</f>
        <v>0.85643137309872108</v>
      </c>
      <c r="AF9" s="175">
        <f>IFERROR((VLOOKUP(CONCATENATE('BMP P Tracking Table'!$T9," ",'BMP P Tracking Table'!$AC9),'Performance Curves'!$C$1:$L$45,MATCH('BMP P Tracking Table'!$AE9,'Performance Curves'!$E$1:$L$1,1)+2,FALSE)-VLOOKUP(CONCATENATE('BMP P Tracking Table'!$T9," ",'BMP P Tracking Table'!$AC9),'Performance Curves'!$C$1:$L$45,MATCH('BMP P Tracking Table'!$AE9,'Performance Curves'!$E$1:$L$1,1)+1,FALSE)),"")</f>
        <v>1.0000000000000009E-2</v>
      </c>
      <c r="AG9" s="175">
        <f>IFERROR(('BMP P Tracking Table'!$AE9-INDEX('Performance Curves'!$E$1:$L$1,1,MATCH('BMP P Tracking Table'!$AE9,'Performance Curves'!$E$1:$L$1,1)))/(INDEX('Performance Curves'!$E$1:$L$1,1,MATCH('BMP P Tracking Table'!$AE9,'Performance Curves'!$E$1:$L$1,1)+1)-INDEX('Performance Curves'!$E$1:$L$1,1,MATCH('BMP P Tracking Table'!$AE9,'Performance Curves'!$E$1:$L$1,1))),"")</f>
        <v>0.28215686549360525</v>
      </c>
      <c r="AH9" s="176">
        <f>IFERROR(IF('BMP P Tracking Table'!$AE9=2,VLOOKUP(CONCATENATE('BMP P Tracking Table'!$T9," ",'BMP P Tracking Table'!$AC9),'Performance Curves'!$C$1:$L$45,MATCH('BMP P Tracking Table'!$AE9,'Performance Curves'!$E$1:$L$1,1)+1,FALSE),'BMP P Tracking Table'!$AF9*'BMP P Tracking Table'!$AG9+VLOOKUP(CONCATENATE('BMP P Tracking Table'!$T9," ",'BMP P Tracking Table'!$AC9),'Performance Curves'!$C$1:$L$45,MATCH('BMP P Tracking Table'!$AE9,'Performance Curves'!$E$1:$L$1,1)+1,FALSE)),"")</f>
        <v>0.98282156865493608</v>
      </c>
      <c r="AI9" s="175">
        <f>IFERROR('BMP P Tracking Table'!$AH9*'BMP P Tracking Table'!$AD9,"")</f>
        <v>0.25660684900325459</v>
      </c>
      <c r="AJ9" s="173">
        <f t="shared" si="0"/>
        <v>0.25465467153219062</v>
      </c>
      <c r="AK9" s="169"/>
      <c r="AL9" s="173"/>
      <c r="AM9" s="177">
        <v>1</v>
      </c>
      <c r="AN9" s="178">
        <f t="shared" si="1"/>
        <v>0.25465467153219062</v>
      </c>
      <c r="AO9" s="96"/>
      <c r="AP9" s="96"/>
      <c r="AQ9" s="96"/>
      <c r="AR9" s="96"/>
      <c r="AS9" s="96"/>
      <c r="AT9" s="96"/>
      <c r="AU9" s="96"/>
      <c r="AV9" s="64"/>
      <c r="AW9" s="97"/>
      <c r="AX9" s="97"/>
      <c r="AY9" s="101" t="str">
        <f>IF('BMP P Tracking Table'!$AK9="Yes",IF('BMP P Tracking Table'!$AL9="No",'BMP P Tracking Table'!$U9*VLOOKUP('BMP P Tracking Table'!$Q9,'Loading Rates'!$B$1:$L$24,4,FALSE)+IF('BMP P Tracking Table'!$V9="By HSG",'BMP P Tracking Table'!$W9*VLOOKUP('BMP P Tracking Table'!$Q9,'Loading Rates'!$B$1:$L$24,6,FALSE)+'BMP P Tracking Table'!$X9*VLOOKUP('BMP P Tracking Table'!$Q9,'Loading Rates'!$B$1:$L$24,7,FALSE)+'BMP P Tracking Table'!$Y9*VLOOKUP('BMP P Tracking Table'!$Q9,'Loading Rates'!$B$1:$L$24,8,FALSE)+'BMP P Tracking Table'!$Z9*VLOOKUP('BMP P Tracking Table'!$Q9,'Loading Rates'!$B$1:$L$24,9,FALSE),'BMP P Tracking Table'!$AA9*VLOOKUP('BMP P Tracking Table'!$Q9,'Loading Rates'!$B$1:$L$24,10,FALSE)),'BMP P Tracking Table'!$AO9*VLOOKUP('BMP P Tracking Table'!$Q9,'Loading Rates'!$B$1:$L$24,4,FALSE)+IF('BMP P Tracking Table'!$AP9="By HSG",'BMP P Tracking Table'!$AQ9*VLOOKUP('BMP P Tracking Table'!$Q9,'Loading Rates'!$B$1:$L$24,6,FALSE)+'BMP P Tracking Table'!$AR9*VLOOKUP('BMP P Tracking Table'!$Q9,'Loading Rates'!$B$1:$L$24,7,FALSE)+'BMP P Tracking Table'!$AS9*VLOOKUP('BMP P Tracking Table'!$Q9,'Loading Rates'!$B$1:$L$24,8,FALSE)+'BMP P Tracking Table'!$AT9*VLOOKUP('BMP P Tracking Table'!$Q9,'Loading Rates'!$B$1:$L$24,9,FALSE),'BMP P Tracking Table'!$AU9*VLOOKUP('BMP P Tracking Table'!$Q9,'Loading Rates'!$B$1:$L$24,10,FALSE))),"")</f>
        <v/>
      </c>
      <c r="AZ9" s="101">
        <f>IFERROR(IF('BMP P Tracking Table'!$AL9="Yes",MIN(2,IF('BMP P Tracking Table'!$AP9="Total Pervious",(-(3630*'BMP P Tracking Table'!$AO9+20.691*'BMP P Tracking Table'!$AU9)+SQRT((3630*'BMP P Tracking Table'!$AO9+20.691*'BMP P Tracking Table'!$AU9)^2-(4*(996.798*'BMP P Tracking Table'!$AU9)*-'BMP P Tracking Table'!$AW9)))/(2*(996.798*'BMP P Tracking Table'!$AU9)),IF(SUM('BMP P Tracking Table'!$AQ9:$AT9)=0,'BMP P Tracking Table'!$AU9/(-3630*'BMP P Tracking Table'!$AO9),(-(3630*'BMP P Tracking Table'!$AO9+20.691*'BMP P Tracking Table'!$AT9-216.711*'BMP P Tracking Table'!$AS9-83.853*'BMP P Tracking Table'!$AR9-42.834*'BMP P Tracking Table'!$AQ9)+SQRT((3630*'BMP P Tracking Table'!$AO9+20.691*'BMP P Tracking Table'!$AT9-216.711*'BMP P Tracking Table'!$AS9-83.853*'BMP P Tracking Table'!$AR9-42.834*'BMP P Tracking Table'!$AQ9)^2-(4*(149.919*'BMP P Tracking Table'!$AQ9+236.676*'BMP P Tracking Table'!$AR9+726*'BMP P Tracking Table'!$AS9+996.798*'BMP P Tracking Table'!$AT9)*-'BMP P Tracking Table'!$AW9)))/(2*(149.919*'BMP P Tracking Table'!$AQ9+236.676*'BMP P Tracking Table'!$AR9+726*'BMP P Tracking Table'!$AS9+996.798*'BMP P Tracking Table'!$AT9))))),MIN(2,IF('BMP P Tracking Table'!$AP9="Total Pervious",(-(3630*'BMP P Tracking Table'!$U9+20.691*'BMP P Tracking Table'!$AA9)+SQRT((3630*'BMP P Tracking Table'!$U9+20.691*'BMP P Tracking Table'!$AA9)^2-(4*(996.798*'BMP P Tracking Table'!$AA9)*-'BMP P Tracking Table'!$AW9)))/(2*(996.798*'BMP P Tracking Table'!$AA9)),IF(SUM('BMP P Tracking Table'!$W9:$Z9)=0,'BMP P Tracking Table'!$AW9/(-3630*'BMP P Tracking Table'!$U9),(-(3630*'BMP P Tracking Table'!$U9+20.691*'BMP P Tracking Table'!$Z9-216.711*'BMP P Tracking Table'!$Y9-83.853*'BMP P Tracking Table'!$X9-42.834*'BMP P Tracking Table'!$W9)+SQRT((3630*'BMP P Tracking Table'!$U9+20.691*'BMP P Tracking Table'!$Z9-216.711*'BMP P Tracking Table'!$Y9-83.853*'BMP P Tracking Table'!$X9-42.834*'BMP P Tracking Table'!$W9)^2-(4*(149.919*'BMP P Tracking Table'!$W9+236.676*'BMP P Tracking Table'!$X9+726*'BMP P Tracking Table'!$Y9+996.798*'BMP P Tracking Table'!$Z9)*-'BMP P Tracking Table'!$AW9)))/(2*(149.919*'BMP P Tracking Table'!$W9+236.676*'BMP P Tracking Table'!$X9+726*'BMP P Tracking Table'!$Y9+996.798*'BMP P Tracking Table'!$Z9)))))),"")</f>
        <v>0</v>
      </c>
      <c r="BA9" s="101" t="str">
        <f>IFERROR((VLOOKUP(CONCATENATE('BMP P Tracking Table'!$AV9," ",'BMP P Tracking Table'!$AX9),'Performance Curves'!$C$1:$L$45,MATCH('BMP P Tracking Table'!$AZ9,'Performance Curves'!$E$1:$L$1,1)+2,FALSE)-VLOOKUP(CONCATENATE('BMP P Tracking Table'!$AV9," ",'BMP P Tracking Table'!$AX9),'Performance Curves'!$C$1:$L$45,MATCH('BMP P Tracking Table'!$AZ9,'Performance Curves'!$E$1:$L$1,1)+1,FALSE)),"")</f>
        <v/>
      </c>
      <c r="BB9" s="101" t="str">
        <f>IFERROR(('BMP P Tracking Table'!$AZ9-INDEX('Performance Curves'!$E$1:$L$1,1,MATCH('BMP P Tracking Table'!$AZ9,'Performance Curves'!$E$1:$L$1,1)))/(INDEX('Performance Curves'!$E$1:$L$1,1,MATCH('BMP P Tracking Table'!$AZ9,'Performance Curves'!$E$1:$L$1,1)+1)-INDEX('Performance Curves'!$E$1:$L$1,1,MATCH('BMP P Tracking Table'!$AZ9,'Performance Curves'!$E$1:$L$1,1))),"")</f>
        <v/>
      </c>
      <c r="BC9" s="102" t="str">
        <f>IFERROR(IF('BMP P Tracking Table'!$AZ9=2,VLOOKUP(CONCATENATE('BMP P Tracking Table'!$AV9," ",'BMP P Tracking Table'!$AX9),'Performance Curves'!$C$1:$L$44,MATCH('BMP P Tracking Table'!$AZ9,'Performance Curves'!$E$1:$L$1,1)+1,FALSE),'BMP P Tracking Table'!$BA9*'BMP P Tracking Table'!$BB9+VLOOKUP(CONCATENATE('BMP P Tracking Table'!$AV9," ",'BMP P Tracking Table'!$AX9),'Performance Curves'!$C$1:$L$44,MATCH('BMP P Tracking Table'!$AZ9,'Performance Curves'!$E$1:$L$1,1)+1,FALSE)),"")</f>
        <v/>
      </c>
      <c r="BD9" s="101" t="str">
        <f>IFERROR('BMP P Tracking Table'!$BC9*'BMP P Tracking Table'!$AY9,"")</f>
        <v/>
      </c>
      <c r="BE9" s="96"/>
      <c r="BF9" s="37">
        <f t="shared" si="2"/>
        <v>0</v>
      </c>
      <c r="BH9" s="127">
        <v>0.97534459704698195</v>
      </c>
      <c r="BI9" s="37">
        <f t="shared" si="3"/>
        <v>0.25465467153219062</v>
      </c>
      <c r="BK9" s="36" t="str">
        <f t="shared" si="4"/>
        <v>Laplatte River</v>
      </c>
      <c r="BN9" s="36" t="s">
        <v>391</v>
      </c>
    </row>
    <row r="10" spans="1:66" ht="17.399999999999999" customHeight="1" x14ac:dyDescent="0.3">
      <c r="A10" s="169" t="s">
        <v>290</v>
      </c>
      <c r="B10" s="169" t="s">
        <v>304</v>
      </c>
      <c r="C10" s="169" t="s">
        <v>312</v>
      </c>
      <c r="D10" s="169" t="s">
        <v>6</v>
      </c>
      <c r="E10" s="170">
        <v>44.463889999999999</v>
      </c>
      <c r="F10" s="170">
        <v>-73.147220000000004</v>
      </c>
      <c r="G10" s="169" t="s">
        <v>322</v>
      </c>
      <c r="H10" s="169" t="s">
        <v>322</v>
      </c>
      <c r="I10" s="169" t="s">
        <v>66</v>
      </c>
      <c r="J10" s="171"/>
      <c r="K10" s="169" t="s">
        <v>111</v>
      </c>
      <c r="L10" s="169"/>
      <c r="M10" s="172" t="s">
        <v>381</v>
      </c>
      <c r="N10" s="172"/>
      <c r="O10" s="169" t="s">
        <v>62</v>
      </c>
      <c r="P10" s="169" t="s">
        <v>34</v>
      </c>
      <c r="Q10" s="169" t="str">
        <f>IFERROR(VLOOKUP('BMP P Tracking Table'!$P10,Dropdowns!$C$2:$E$15,3,FALSE),"")</f>
        <v>Laplatte River</v>
      </c>
      <c r="R10" s="169" t="str">
        <f>IFERROR(VLOOKUP('BMP P Tracking Table'!$Q10,Dropdowns!$P$3:$Q$23,2,FALSE),"")</f>
        <v>Shelburne Bay</v>
      </c>
      <c r="S10" s="169" t="s">
        <v>66</v>
      </c>
      <c r="T10" s="169" t="s">
        <v>47</v>
      </c>
      <c r="U10" s="173">
        <v>0</v>
      </c>
      <c r="V10" s="169" t="s">
        <v>219</v>
      </c>
      <c r="W10" s="169"/>
      <c r="X10" s="169"/>
      <c r="Y10" s="169"/>
      <c r="Z10" s="169"/>
      <c r="AA10" s="169">
        <v>1.0000000000000001E-5</v>
      </c>
      <c r="AB10" s="174">
        <v>1455</v>
      </c>
      <c r="AC10" s="169" t="s">
        <v>205</v>
      </c>
      <c r="AD10" s="175">
        <f>IFERROR('BMP P Tracking Table'!$U10*VLOOKUP('BMP P Tracking Table'!$Q10,'Loading Rates'!$B$1:$L$24,4,FALSE)+IF('BMP P Tracking Table'!$V10="By HSG",'BMP P Tracking Table'!$W10*VLOOKUP('BMP P Tracking Table'!$Q10,'Loading Rates'!$B$1:$L$24,6,FALSE)+'BMP P Tracking Table'!$X10*VLOOKUP('BMP P Tracking Table'!$Q10,'Loading Rates'!$B$1:$L$24,7,FALSE)+'BMP P Tracking Table'!$Y10*VLOOKUP('BMP P Tracking Table'!$Q10,'Loading Rates'!$B$1:$L$24,8,FALSE)+'BMP P Tracking Table'!$Z10*VLOOKUP('BMP P Tracking Table'!$Q10,'Loading Rates'!$B$1:$L$24,9,FALSE),'BMP P Tracking Table'!$AA10*VLOOKUP('BMP P Tracking Table'!$Q10,'Loading Rates'!$B$1:$L$24,10,FALSE)),"")</f>
        <v>1.72E-6</v>
      </c>
      <c r="AE10" s="175">
        <f>IFERROR(MIN(2,IF('BMP P Tracking Table'!$V10="Total Pervious",(-(3630*'BMP P Tracking Table'!$U10+20.691*'BMP P Tracking Table'!$AA10)+SQRT((3630*'BMP P Tracking Table'!$U10+20.691*'BMP P Tracking Table'!$AA10)^2-(4*(996.798*'BMP P Tracking Table'!$AA10)*-'BMP P Tracking Table'!$AB10)))/(2*(996.798*'BMP P Tracking Table'!$AA10)),IF(SUM('BMP P Tracking Table'!$W10:$Z10)=0,'BMP P Tracking Table'!$AB10/(-3630*'BMP P Tracking Table'!$U10),(-(3630*'BMP P Tracking Table'!$U10+20.691*'BMP P Tracking Table'!$Z10-216.711*'BMP P Tracking Table'!$Y10-83.853*'BMP P Tracking Table'!$X10-42.834*'BMP P Tracking Table'!$W10)+SQRT((3630*'BMP P Tracking Table'!$U10+20.691*'BMP P Tracking Table'!$Z10-216.711*'BMP P Tracking Table'!$Y10-83.853*'BMP P Tracking Table'!$X10-42.834*'BMP P Tracking Table'!$W10)^2-(4*(149.919*'BMP P Tracking Table'!$W10+236.676*'BMP P Tracking Table'!$X10+726*'BMP P Tracking Table'!$Y10+996.798*'BMP P Tracking Table'!$Z10)*-'BMP P Tracking Table'!$AB10)))/(2*(149.919*'BMP P Tracking Table'!$W10+236.676*'BMP P Tracking Table'!$X10+726*'BMP P Tracking Table'!$Y10+996.798*'BMP P Tracking Table'!$Z10))))),"")</f>
        <v>2</v>
      </c>
      <c r="AF10" s="175">
        <f>IFERROR((VLOOKUP(CONCATENATE('BMP P Tracking Table'!$T10," ",'BMP P Tracking Table'!$AC10),'Performance Curves'!$C$1:$L$45,MATCH('BMP P Tracking Table'!$AE10,'Performance Curves'!$E$1:$L$1,1)+2,FALSE)-VLOOKUP(CONCATENATE('BMP P Tracking Table'!$T10," ",'BMP P Tracking Table'!$AC10),'Performance Curves'!$C$1:$L$45,MATCH('BMP P Tracking Table'!$AE10,'Performance Curves'!$E$1:$L$1,1)+1,FALSE)),"")</f>
        <v>0</v>
      </c>
      <c r="AG10" s="175" t="str">
        <f>IFERROR(('BMP P Tracking Table'!$AE10-INDEX('Performance Curves'!$E$1:$L$1,1,MATCH('BMP P Tracking Table'!$AE10,'Performance Curves'!$E$1:$L$1,1)))/(INDEX('Performance Curves'!$E$1:$L$1,1,MATCH('BMP P Tracking Table'!$AE10,'Performance Curves'!$E$1:$L$1,1)+1)-INDEX('Performance Curves'!$E$1:$L$1,1,MATCH('BMP P Tracking Table'!$AE10,'Performance Curves'!$E$1:$L$1,1))),"")</f>
        <v/>
      </c>
      <c r="AH10" s="176">
        <f>IFERROR(IF('BMP P Tracking Table'!$AE10=2,VLOOKUP(CONCATENATE('BMP P Tracking Table'!$T10," ",'BMP P Tracking Table'!$AC10),'Performance Curves'!$C$1:$L$45,MATCH('BMP P Tracking Table'!$AE10,'Performance Curves'!$E$1:$L$1,1)+1,FALSE),'BMP P Tracking Table'!$AF10*'BMP P Tracking Table'!$AG10+VLOOKUP(CONCATENATE('BMP P Tracking Table'!$T10," ",'BMP P Tracking Table'!$AC10),'Performance Curves'!$C$1:$L$45,MATCH('BMP P Tracking Table'!$AE10,'Performance Curves'!$E$1:$L$1,1)+1,FALSE)),"")</f>
        <v>1</v>
      </c>
      <c r="AI10" s="175">
        <f>IFERROR('BMP P Tracking Table'!$AH10*'BMP P Tracking Table'!$AD10,"")</f>
        <v>1.72E-6</v>
      </c>
      <c r="AJ10" s="173">
        <f t="shared" si="0"/>
        <v>1.6901423371144408E-6</v>
      </c>
      <c r="AK10" s="169"/>
      <c r="AL10" s="173"/>
      <c r="AM10" s="177">
        <v>1</v>
      </c>
      <c r="AN10" s="178">
        <f t="shared" si="1"/>
        <v>1.6901423371144408E-6</v>
      </c>
      <c r="AO10" s="96"/>
      <c r="AP10" s="96"/>
      <c r="AQ10" s="96"/>
      <c r="AR10" s="96"/>
      <c r="AS10" s="96"/>
      <c r="AT10" s="96"/>
      <c r="AU10" s="96"/>
      <c r="AV10" s="64"/>
      <c r="AW10" s="97"/>
      <c r="AX10" s="97"/>
      <c r="AY10" s="101" t="str">
        <f>IF('BMP P Tracking Table'!$AK10="Yes",IF('BMP P Tracking Table'!$AL10="No",'BMP P Tracking Table'!$U10*VLOOKUP('BMP P Tracking Table'!$Q10,'Loading Rates'!$B$1:$L$24,4,FALSE)+IF('BMP P Tracking Table'!$V10="By HSG",'BMP P Tracking Table'!$W10*VLOOKUP('BMP P Tracking Table'!$Q10,'Loading Rates'!$B$1:$L$24,6,FALSE)+'BMP P Tracking Table'!$X10*VLOOKUP('BMP P Tracking Table'!$Q10,'Loading Rates'!$B$1:$L$24,7,FALSE)+'BMP P Tracking Table'!$Y10*VLOOKUP('BMP P Tracking Table'!$Q10,'Loading Rates'!$B$1:$L$24,8,FALSE)+'BMP P Tracking Table'!$Z10*VLOOKUP('BMP P Tracking Table'!$Q10,'Loading Rates'!$B$1:$L$24,9,FALSE),'BMP P Tracking Table'!$AA10*VLOOKUP('BMP P Tracking Table'!$Q10,'Loading Rates'!$B$1:$L$24,10,FALSE)),'BMP P Tracking Table'!$AO10*VLOOKUP('BMP P Tracking Table'!$Q10,'Loading Rates'!$B$1:$L$24,4,FALSE)+IF('BMP P Tracking Table'!$AP10="By HSG",'BMP P Tracking Table'!$AQ10*VLOOKUP('BMP P Tracking Table'!$Q10,'Loading Rates'!$B$1:$L$24,6,FALSE)+'BMP P Tracking Table'!$AR10*VLOOKUP('BMP P Tracking Table'!$Q10,'Loading Rates'!$B$1:$L$24,7,FALSE)+'BMP P Tracking Table'!$AS10*VLOOKUP('BMP P Tracking Table'!$Q10,'Loading Rates'!$B$1:$L$24,8,FALSE)+'BMP P Tracking Table'!$AT10*VLOOKUP('BMP P Tracking Table'!$Q10,'Loading Rates'!$B$1:$L$24,9,FALSE),'BMP P Tracking Table'!$AU10*VLOOKUP('BMP P Tracking Table'!$Q10,'Loading Rates'!$B$1:$L$24,10,FALSE))),"")</f>
        <v/>
      </c>
      <c r="AZ10" s="101" t="str">
        <f>IFERROR(IF('BMP P Tracking Table'!$AL10="Yes",MIN(2,IF('BMP P Tracking Table'!$AP10="Total Pervious",(-(3630*'BMP P Tracking Table'!$AO10+20.691*'BMP P Tracking Table'!$AU10)+SQRT((3630*'BMP P Tracking Table'!$AO10+20.691*'BMP P Tracking Table'!$AU10)^2-(4*(996.798*'BMP P Tracking Table'!$AU10)*-'BMP P Tracking Table'!$AW10)))/(2*(996.798*'BMP P Tracking Table'!$AU10)),IF(SUM('BMP P Tracking Table'!$AQ10:$AT10)=0,'BMP P Tracking Table'!$AU10/(-3630*'BMP P Tracking Table'!$AO10),(-(3630*'BMP P Tracking Table'!$AO10+20.691*'BMP P Tracking Table'!$AT10-216.711*'BMP P Tracking Table'!$AS10-83.853*'BMP P Tracking Table'!$AR10-42.834*'BMP P Tracking Table'!$AQ10)+SQRT((3630*'BMP P Tracking Table'!$AO10+20.691*'BMP P Tracking Table'!$AT10-216.711*'BMP P Tracking Table'!$AS10-83.853*'BMP P Tracking Table'!$AR10-42.834*'BMP P Tracking Table'!$AQ10)^2-(4*(149.919*'BMP P Tracking Table'!$AQ10+236.676*'BMP P Tracking Table'!$AR10+726*'BMP P Tracking Table'!$AS10+996.798*'BMP P Tracking Table'!$AT10)*-'BMP P Tracking Table'!$AW10)))/(2*(149.919*'BMP P Tracking Table'!$AQ10+236.676*'BMP P Tracking Table'!$AR10+726*'BMP P Tracking Table'!$AS10+996.798*'BMP P Tracking Table'!$AT10))))),MIN(2,IF('BMP P Tracking Table'!$AP10="Total Pervious",(-(3630*'BMP P Tracking Table'!$U10+20.691*'BMP P Tracking Table'!$AA10)+SQRT((3630*'BMP P Tracking Table'!$U10+20.691*'BMP P Tracking Table'!$AA10)^2-(4*(996.798*'BMP P Tracking Table'!$AA10)*-'BMP P Tracking Table'!$AW10)))/(2*(996.798*'BMP P Tracking Table'!$AA10)),IF(SUM('BMP P Tracking Table'!$W10:$Z10)=0,'BMP P Tracking Table'!$AW10/(-3630*'BMP P Tracking Table'!$U10),(-(3630*'BMP P Tracking Table'!$U10+20.691*'BMP P Tracking Table'!$Z10-216.711*'BMP P Tracking Table'!$Y10-83.853*'BMP P Tracking Table'!$X10-42.834*'BMP P Tracking Table'!$W10)+SQRT((3630*'BMP P Tracking Table'!$U10+20.691*'BMP P Tracking Table'!$Z10-216.711*'BMP P Tracking Table'!$Y10-83.853*'BMP P Tracking Table'!$X10-42.834*'BMP P Tracking Table'!$W10)^2-(4*(149.919*'BMP P Tracking Table'!$W10+236.676*'BMP P Tracking Table'!$X10+726*'BMP P Tracking Table'!$Y10+996.798*'BMP P Tracking Table'!$Z10)*-'BMP P Tracking Table'!$AW10)))/(2*(149.919*'BMP P Tracking Table'!$W10+236.676*'BMP P Tracking Table'!$X10+726*'BMP P Tracking Table'!$Y10+996.798*'BMP P Tracking Table'!$Z10)))))),"")</f>
        <v/>
      </c>
      <c r="BA10" s="101" t="str">
        <f>IFERROR((VLOOKUP(CONCATENATE('BMP P Tracking Table'!$AV10," ",'BMP P Tracking Table'!$AX10),'Performance Curves'!$C$1:$L$45,MATCH('BMP P Tracking Table'!$AZ10,'Performance Curves'!$E$1:$L$1,1)+2,FALSE)-VLOOKUP(CONCATENATE('BMP P Tracking Table'!$AV10," ",'BMP P Tracking Table'!$AX10),'Performance Curves'!$C$1:$L$45,MATCH('BMP P Tracking Table'!$AZ10,'Performance Curves'!$E$1:$L$1,1)+1,FALSE)),"")</f>
        <v/>
      </c>
      <c r="BB10" s="101" t="str">
        <f>IFERROR(('BMP P Tracking Table'!$AZ10-INDEX('Performance Curves'!$E$1:$L$1,1,MATCH('BMP P Tracking Table'!$AZ10,'Performance Curves'!$E$1:$L$1,1)))/(INDEX('Performance Curves'!$E$1:$L$1,1,MATCH('BMP P Tracking Table'!$AZ10,'Performance Curves'!$E$1:$L$1,1)+1)-INDEX('Performance Curves'!$E$1:$L$1,1,MATCH('BMP P Tracking Table'!$AZ10,'Performance Curves'!$E$1:$L$1,1))),"")</f>
        <v/>
      </c>
      <c r="BC10" s="102" t="str">
        <f>IFERROR(IF('BMP P Tracking Table'!$AZ10=2,VLOOKUP(CONCATENATE('BMP P Tracking Table'!$AV10," ",'BMP P Tracking Table'!$AX10),'Performance Curves'!$C$1:$L$44,MATCH('BMP P Tracking Table'!$AZ10,'Performance Curves'!$E$1:$L$1,1)+1,FALSE),'BMP P Tracking Table'!$BA10*'BMP P Tracking Table'!$BB10+VLOOKUP(CONCATENATE('BMP P Tracking Table'!$AV10," ",'BMP P Tracking Table'!$AX10),'Performance Curves'!$C$1:$L$44,MATCH('BMP P Tracking Table'!$AZ10,'Performance Curves'!$E$1:$L$1,1)+1,FALSE)),"")</f>
        <v/>
      </c>
      <c r="BD10" s="101" t="str">
        <f>IFERROR('BMP P Tracking Table'!$BC10*'BMP P Tracking Table'!$AY10,"")</f>
        <v/>
      </c>
      <c r="BE10" s="96"/>
      <c r="BF10" s="37">
        <f t="shared" si="2"/>
        <v>0</v>
      </c>
      <c r="BH10" s="128">
        <v>0.98264089367118646</v>
      </c>
      <c r="BI10" s="37">
        <f t="shared" si="3"/>
        <v>1.6901423371144408E-6</v>
      </c>
      <c r="BK10" s="36" t="str">
        <f t="shared" si="4"/>
        <v>Laplatte River</v>
      </c>
      <c r="BN10" s="36" t="s">
        <v>391</v>
      </c>
    </row>
    <row r="11" spans="1:66" ht="17.399999999999999" customHeight="1" x14ac:dyDescent="0.3">
      <c r="A11" s="169" t="s">
        <v>291</v>
      </c>
      <c r="B11" s="169" t="s">
        <v>305</v>
      </c>
      <c r="C11" s="169" t="s">
        <v>312</v>
      </c>
      <c r="D11" s="169" t="s">
        <v>6</v>
      </c>
      <c r="E11" s="170">
        <v>44.463889999999999</v>
      </c>
      <c r="F11" s="170">
        <v>-73.147220000000004</v>
      </c>
      <c r="G11" s="169" t="s">
        <v>322</v>
      </c>
      <c r="H11" s="169" t="s">
        <v>322</v>
      </c>
      <c r="I11" s="169" t="s">
        <v>66</v>
      </c>
      <c r="J11" s="171"/>
      <c r="K11" s="169" t="s">
        <v>111</v>
      </c>
      <c r="L11" s="169"/>
      <c r="M11" s="172" t="s">
        <v>381</v>
      </c>
      <c r="N11" s="172"/>
      <c r="O11" s="169" t="s">
        <v>62</v>
      </c>
      <c r="P11" s="169" t="s">
        <v>34</v>
      </c>
      <c r="Q11" s="169" t="str">
        <f>IFERROR(VLOOKUP('BMP P Tracking Table'!$P11,Dropdowns!$C$2:$E$15,3,FALSE),"")</f>
        <v>Laplatte River</v>
      </c>
      <c r="R11" s="169" t="str">
        <f>IFERROR(VLOOKUP('BMP P Tracking Table'!$Q11,Dropdowns!$P$3:$Q$23,2,FALSE),"")</f>
        <v>Shelburne Bay</v>
      </c>
      <c r="S11" s="169" t="s">
        <v>66</v>
      </c>
      <c r="T11" s="169" t="s">
        <v>47</v>
      </c>
      <c r="U11" s="173">
        <v>0</v>
      </c>
      <c r="V11" s="169" t="s">
        <v>219</v>
      </c>
      <c r="W11" s="169"/>
      <c r="X11" s="169"/>
      <c r="Y11" s="169"/>
      <c r="Z11" s="169"/>
      <c r="AA11" s="169">
        <v>1.0000000000000001E-5</v>
      </c>
      <c r="AB11" s="174">
        <v>2173</v>
      </c>
      <c r="AC11" s="169" t="s">
        <v>205</v>
      </c>
      <c r="AD11" s="175">
        <f>IFERROR('BMP P Tracking Table'!$U11*VLOOKUP('BMP P Tracking Table'!$Q11,'Loading Rates'!$B$1:$L$24,4,FALSE)+IF('BMP P Tracking Table'!$V11="By HSG",'BMP P Tracking Table'!$W11*VLOOKUP('BMP P Tracking Table'!$Q11,'Loading Rates'!$B$1:$L$24,6,FALSE)+'BMP P Tracking Table'!$X11*VLOOKUP('BMP P Tracking Table'!$Q11,'Loading Rates'!$B$1:$L$24,7,FALSE)+'BMP P Tracking Table'!$Y11*VLOOKUP('BMP P Tracking Table'!$Q11,'Loading Rates'!$B$1:$L$24,8,FALSE)+'BMP P Tracking Table'!$Z11*VLOOKUP('BMP P Tracking Table'!$Q11,'Loading Rates'!$B$1:$L$24,9,FALSE),'BMP P Tracking Table'!$AA11*VLOOKUP('BMP P Tracking Table'!$Q11,'Loading Rates'!$B$1:$L$24,10,FALSE)),"")</f>
        <v>1.72E-6</v>
      </c>
      <c r="AE11" s="175">
        <f>IFERROR(MIN(2,IF('BMP P Tracking Table'!$V11="Total Pervious",(-(3630*'BMP P Tracking Table'!$U11+20.691*'BMP P Tracking Table'!$AA11)+SQRT((3630*'BMP P Tracking Table'!$U11+20.691*'BMP P Tracking Table'!$AA11)^2-(4*(996.798*'BMP P Tracking Table'!$AA11)*-'BMP P Tracking Table'!$AB11)))/(2*(996.798*'BMP P Tracking Table'!$AA11)),IF(SUM('BMP P Tracking Table'!$W11:$Z11)=0,'BMP P Tracking Table'!$AB11/(-3630*'BMP P Tracking Table'!$U11),(-(3630*'BMP P Tracking Table'!$U11+20.691*'BMP P Tracking Table'!$Z11-216.711*'BMP P Tracking Table'!$Y11-83.853*'BMP P Tracking Table'!$X11-42.834*'BMP P Tracking Table'!$W11)+SQRT((3630*'BMP P Tracking Table'!$U11+20.691*'BMP P Tracking Table'!$Z11-216.711*'BMP P Tracking Table'!$Y11-83.853*'BMP P Tracking Table'!$X11-42.834*'BMP P Tracking Table'!$W11)^2-(4*(149.919*'BMP P Tracking Table'!$W11+236.676*'BMP P Tracking Table'!$X11+726*'BMP P Tracking Table'!$Y11+996.798*'BMP P Tracking Table'!$Z11)*-'BMP P Tracking Table'!$AB11)))/(2*(149.919*'BMP P Tracking Table'!$W11+236.676*'BMP P Tracking Table'!$X11+726*'BMP P Tracking Table'!$Y11+996.798*'BMP P Tracking Table'!$Z11))))),"")</f>
        <v>2</v>
      </c>
      <c r="AF11" s="175">
        <f>IFERROR((VLOOKUP(CONCATENATE('BMP P Tracking Table'!$T11," ",'BMP P Tracking Table'!$AC11),'Performance Curves'!$C$1:$L$45,MATCH('BMP P Tracking Table'!$AE11,'Performance Curves'!$E$1:$L$1,1)+2,FALSE)-VLOOKUP(CONCATENATE('BMP P Tracking Table'!$T11," ",'BMP P Tracking Table'!$AC11),'Performance Curves'!$C$1:$L$45,MATCH('BMP P Tracking Table'!$AE11,'Performance Curves'!$E$1:$L$1,1)+1,FALSE)),"")</f>
        <v>0</v>
      </c>
      <c r="AG11" s="175" t="str">
        <f>IFERROR(('BMP P Tracking Table'!$AE11-INDEX('Performance Curves'!$E$1:$L$1,1,MATCH('BMP P Tracking Table'!$AE11,'Performance Curves'!$E$1:$L$1,1)))/(INDEX('Performance Curves'!$E$1:$L$1,1,MATCH('BMP P Tracking Table'!$AE11,'Performance Curves'!$E$1:$L$1,1)+1)-INDEX('Performance Curves'!$E$1:$L$1,1,MATCH('BMP P Tracking Table'!$AE11,'Performance Curves'!$E$1:$L$1,1))),"")</f>
        <v/>
      </c>
      <c r="AH11" s="176">
        <f>IFERROR(IF('BMP P Tracking Table'!$AE11=2,VLOOKUP(CONCATENATE('BMP P Tracking Table'!$T11," ",'BMP P Tracking Table'!$AC11),'Performance Curves'!$C$1:$L$45,MATCH('BMP P Tracking Table'!$AE11,'Performance Curves'!$E$1:$L$1,1)+1,FALSE),'BMP P Tracking Table'!$AF11*'BMP P Tracking Table'!$AG11+VLOOKUP(CONCATENATE('BMP P Tracking Table'!$T11," ",'BMP P Tracking Table'!$AC11),'Performance Curves'!$C$1:$L$45,MATCH('BMP P Tracking Table'!$AE11,'Performance Curves'!$E$1:$L$1,1)+1,FALSE)),"")</f>
        <v>1</v>
      </c>
      <c r="AI11" s="175">
        <f>IFERROR('BMP P Tracking Table'!$AH11*'BMP P Tracking Table'!$AD11,"")</f>
        <v>1.72E-6</v>
      </c>
      <c r="AJ11" s="173">
        <f t="shared" si="0"/>
        <v>1.6903448082883028E-6</v>
      </c>
      <c r="AK11" s="169"/>
      <c r="AL11" s="173"/>
      <c r="AM11" s="177">
        <v>1</v>
      </c>
      <c r="AN11" s="178">
        <f t="shared" si="1"/>
        <v>1.6903448082883028E-6</v>
      </c>
      <c r="AO11" s="96"/>
      <c r="AP11" s="96"/>
      <c r="AQ11" s="96"/>
      <c r="AR11" s="96"/>
      <c r="AS11" s="96"/>
      <c r="AT11" s="96"/>
      <c r="AU11" s="96"/>
      <c r="AV11" s="64"/>
      <c r="AW11" s="97"/>
      <c r="AX11" s="97"/>
      <c r="AY11" s="101" t="str">
        <f>IF('BMP P Tracking Table'!$AK11="Yes",IF('BMP P Tracking Table'!$AL11="No",'BMP P Tracking Table'!$U11*VLOOKUP('BMP P Tracking Table'!$Q11,'Loading Rates'!$B$1:$L$24,4,FALSE)+IF('BMP P Tracking Table'!$V11="By HSG",'BMP P Tracking Table'!$W11*VLOOKUP('BMP P Tracking Table'!$Q11,'Loading Rates'!$B$1:$L$24,6,FALSE)+'BMP P Tracking Table'!$X11*VLOOKUP('BMP P Tracking Table'!$Q11,'Loading Rates'!$B$1:$L$24,7,FALSE)+'BMP P Tracking Table'!$Y11*VLOOKUP('BMP P Tracking Table'!$Q11,'Loading Rates'!$B$1:$L$24,8,FALSE)+'BMP P Tracking Table'!$Z11*VLOOKUP('BMP P Tracking Table'!$Q11,'Loading Rates'!$B$1:$L$24,9,FALSE),'BMP P Tracking Table'!$AA11*VLOOKUP('BMP P Tracking Table'!$Q11,'Loading Rates'!$B$1:$L$24,10,FALSE)),'BMP P Tracking Table'!$AO11*VLOOKUP('BMP P Tracking Table'!$Q11,'Loading Rates'!$B$1:$L$24,4,FALSE)+IF('BMP P Tracking Table'!$AP11="By HSG",'BMP P Tracking Table'!$AQ11*VLOOKUP('BMP P Tracking Table'!$Q11,'Loading Rates'!$B$1:$L$24,6,FALSE)+'BMP P Tracking Table'!$AR11*VLOOKUP('BMP P Tracking Table'!$Q11,'Loading Rates'!$B$1:$L$24,7,FALSE)+'BMP P Tracking Table'!$AS11*VLOOKUP('BMP P Tracking Table'!$Q11,'Loading Rates'!$B$1:$L$24,8,FALSE)+'BMP P Tracking Table'!$AT11*VLOOKUP('BMP P Tracking Table'!$Q11,'Loading Rates'!$B$1:$L$24,9,FALSE),'BMP P Tracking Table'!$AU11*VLOOKUP('BMP P Tracking Table'!$Q11,'Loading Rates'!$B$1:$L$24,10,FALSE))),"")</f>
        <v/>
      </c>
      <c r="AZ11" s="101" t="str">
        <f>IFERROR(IF('BMP P Tracking Table'!$AL11="Yes",MIN(2,IF('BMP P Tracking Table'!$AP11="Total Pervious",(-(3630*'BMP P Tracking Table'!$AO11+20.691*'BMP P Tracking Table'!$AU11)+SQRT((3630*'BMP P Tracking Table'!$AO11+20.691*'BMP P Tracking Table'!$AU11)^2-(4*(996.798*'BMP P Tracking Table'!$AU11)*-'BMP P Tracking Table'!$AW11)))/(2*(996.798*'BMP P Tracking Table'!$AU11)),IF(SUM('BMP P Tracking Table'!$AQ11:$AT11)=0,'BMP P Tracking Table'!$AU11/(-3630*'BMP P Tracking Table'!$AO11),(-(3630*'BMP P Tracking Table'!$AO11+20.691*'BMP P Tracking Table'!$AT11-216.711*'BMP P Tracking Table'!$AS11-83.853*'BMP P Tracking Table'!$AR11-42.834*'BMP P Tracking Table'!$AQ11)+SQRT((3630*'BMP P Tracking Table'!$AO11+20.691*'BMP P Tracking Table'!$AT11-216.711*'BMP P Tracking Table'!$AS11-83.853*'BMP P Tracking Table'!$AR11-42.834*'BMP P Tracking Table'!$AQ11)^2-(4*(149.919*'BMP P Tracking Table'!$AQ11+236.676*'BMP P Tracking Table'!$AR11+726*'BMP P Tracking Table'!$AS11+996.798*'BMP P Tracking Table'!$AT11)*-'BMP P Tracking Table'!$AW11)))/(2*(149.919*'BMP P Tracking Table'!$AQ11+236.676*'BMP P Tracking Table'!$AR11+726*'BMP P Tracking Table'!$AS11+996.798*'BMP P Tracking Table'!$AT11))))),MIN(2,IF('BMP P Tracking Table'!$AP11="Total Pervious",(-(3630*'BMP P Tracking Table'!$U11+20.691*'BMP P Tracking Table'!$AA11)+SQRT((3630*'BMP P Tracking Table'!$U11+20.691*'BMP P Tracking Table'!$AA11)^2-(4*(996.798*'BMP P Tracking Table'!$AA11)*-'BMP P Tracking Table'!$AW11)))/(2*(996.798*'BMP P Tracking Table'!$AA11)),IF(SUM('BMP P Tracking Table'!$W11:$Z11)=0,'BMP P Tracking Table'!$AW11/(-3630*'BMP P Tracking Table'!$U11),(-(3630*'BMP P Tracking Table'!$U11+20.691*'BMP P Tracking Table'!$Z11-216.711*'BMP P Tracking Table'!$Y11-83.853*'BMP P Tracking Table'!$X11-42.834*'BMP P Tracking Table'!$W11)+SQRT((3630*'BMP P Tracking Table'!$U11+20.691*'BMP P Tracking Table'!$Z11-216.711*'BMP P Tracking Table'!$Y11-83.853*'BMP P Tracking Table'!$X11-42.834*'BMP P Tracking Table'!$W11)^2-(4*(149.919*'BMP P Tracking Table'!$W11+236.676*'BMP P Tracking Table'!$X11+726*'BMP P Tracking Table'!$Y11+996.798*'BMP P Tracking Table'!$Z11)*-'BMP P Tracking Table'!$AW11)))/(2*(149.919*'BMP P Tracking Table'!$W11+236.676*'BMP P Tracking Table'!$X11+726*'BMP P Tracking Table'!$Y11+996.798*'BMP P Tracking Table'!$Z11)))))),"")</f>
        <v/>
      </c>
      <c r="BA11" s="101" t="str">
        <f>IFERROR((VLOOKUP(CONCATENATE('BMP P Tracking Table'!$AV11," ",'BMP P Tracking Table'!$AX11),'Performance Curves'!$C$1:$L$45,MATCH('BMP P Tracking Table'!$AZ11,'Performance Curves'!$E$1:$L$1,1)+2,FALSE)-VLOOKUP(CONCATENATE('BMP P Tracking Table'!$AV11," ",'BMP P Tracking Table'!$AX11),'Performance Curves'!$C$1:$L$45,MATCH('BMP P Tracking Table'!$AZ11,'Performance Curves'!$E$1:$L$1,1)+1,FALSE)),"")</f>
        <v/>
      </c>
      <c r="BB11" s="101" t="str">
        <f>IFERROR(('BMP P Tracking Table'!$AZ11-INDEX('Performance Curves'!$E$1:$L$1,1,MATCH('BMP P Tracking Table'!$AZ11,'Performance Curves'!$E$1:$L$1,1)))/(INDEX('Performance Curves'!$E$1:$L$1,1,MATCH('BMP P Tracking Table'!$AZ11,'Performance Curves'!$E$1:$L$1,1)+1)-INDEX('Performance Curves'!$E$1:$L$1,1,MATCH('BMP P Tracking Table'!$AZ11,'Performance Curves'!$E$1:$L$1,1))),"")</f>
        <v/>
      </c>
      <c r="BC11" s="102" t="str">
        <f>IFERROR(IF('BMP P Tracking Table'!$AZ11=2,VLOOKUP(CONCATENATE('BMP P Tracking Table'!$AV11," ",'BMP P Tracking Table'!$AX11),'Performance Curves'!$C$1:$L$44,MATCH('BMP P Tracking Table'!$AZ11,'Performance Curves'!$E$1:$L$1,1)+1,FALSE),'BMP P Tracking Table'!$BA11*'BMP P Tracking Table'!$BB11+VLOOKUP(CONCATENATE('BMP P Tracking Table'!$AV11," ",'BMP P Tracking Table'!$AX11),'Performance Curves'!$C$1:$L$44,MATCH('BMP P Tracking Table'!$AZ11,'Performance Curves'!$E$1:$L$1,1)+1,FALSE)),"")</f>
        <v/>
      </c>
      <c r="BD11" s="101" t="str">
        <f>IFERROR('BMP P Tracking Table'!$BC11*'BMP P Tracking Table'!$AY11,"")</f>
        <v/>
      </c>
      <c r="BE11" s="96"/>
      <c r="BF11" s="37">
        <f t="shared" si="2"/>
        <v>0</v>
      </c>
      <c r="BH11" s="128">
        <v>0.98275860946994342</v>
      </c>
      <c r="BI11" s="37">
        <f t="shared" si="3"/>
        <v>1.6903448082883028E-6</v>
      </c>
      <c r="BK11" s="36" t="str">
        <f t="shared" si="4"/>
        <v>Laplatte River</v>
      </c>
      <c r="BN11" s="36" t="s">
        <v>391</v>
      </c>
    </row>
    <row r="12" spans="1:66" ht="17.399999999999999" customHeight="1" x14ac:dyDescent="0.3">
      <c r="A12" s="169" t="s">
        <v>336</v>
      </c>
      <c r="B12" s="169" t="s">
        <v>306</v>
      </c>
      <c r="C12" s="169" t="s">
        <v>312</v>
      </c>
      <c r="D12" s="169" t="s">
        <v>6</v>
      </c>
      <c r="E12" s="170"/>
      <c r="F12" s="170"/>
      <c r="G12" s="169" t="s">
        <v>323</v>
      </c>
      <c r="H12" s="169" t="s">
        <v>323</v>
      </c>
      <c r="I12" s="169" t="s">
        <v>66</v>
      </c>
      <c r="J12" s="171"/>
      <c r="K12" s="169" t="s">
        <v>111</v>
      </c>
      <c r="L12" s="169"/>
      <c r="M12" s="172">
        <v>41356</v>
      </c>
      <c r="N12" s="172"/>
      <c r="O12" s="169" t="s">
        <v>62</v>
      </c>
      <c r="P12" s="169" t="s">
        <v>34</v>
      </c>
      <c r="Q12" s="169" t="str">
        <f>IFERROR(VLOOKUP('BMP P Tracking Table'!$P12,Dropdowns!$C$2:$E$15,3,FALSE),"")</f>
        <v>Laplatte River</v>
      </c>
      <c r="R12" s="169" t="str">
        <f>IFERROR(VLOOKUP('BMP P Tracking Table'!$Q12,Dropdowns!$P$3:$Q$23,2,FALSE),"")</f>
        <v>Shelburne Bay</v>
      </c>
      <c r="S12" s="169" t="s">
        <v>66</v>
      </c>
      <c r="T12" s="169" t="s">
        <v>47</v>
      </c>
      <c r="U12" s="173">
        <v>10.97</v>
      </c>
      <c r="V12" s="169" t="s">
        <v>219</v>
      </c>
      <c r="W12" s="169"/>
      <c r="X12" s="169"/>
      <c r="Y12" s="169"/>
      <c r="Z12" s="169"/>
      <c r="AA12" s="169">
        <v>0.54</v>
      </c>
      <c r="AB12" s="174">
        <v>21600</v>
      </c>
      <c r="AC12" s="169" t="s">
        <v>205</v>
      </c>
      <c r="AD12" s="175">
        <f>IFERROR('BMP P Tracking Table'!$U12*VLOOKUP('BMP P Tracking Table'!$Q12,'Loading Rates'!$B$1:$L$24,4,FALSE)+IF('BMP P Tracking Table'!$V12="By HSG",'BMP P Tracking Table'!$W12*VLOOKUP('BMP P Tracking Table'!$Q12,'Loading Rates'!$B$1:$L$24,6,FALSE)+'BMP P Tracking Table'!$X12*VLOOKUP('BMP P Tracking Table'!$Q12,'Loading Rates'!$B$1:$L$24,7,FALSE)+'BMP P Tracking Table'!$Y12*VLOOKUP('BMP P Tracking Table'!$Q12,'Loading Rates'!$B$1:$L$24,8,FALSE)+'BMP P Tracking Table'!$Z12*VLOOKUP('BMP P Tracking Table'!$Q12,'Loading Rates'!$B$1:$L$24,9,FALSE),'BMP P Tracking Table'!$AA12*VLOOKUP('BMP P Tracking Table'!$Q12,'Loading Rates'!$B$1:$L$24,10,FALSE)),"")</f>
        <v>10.53632</v>
      </c>
      <c r="AE12" s="175">
        <f>IFERROR(MIN(2,IF('BMP P Tracking Table'!$V12="Total Pervious",(-(3630*'BMP P Tracking Table'!$U12+20.691*'BMP P Tracking Table'!$AA12)+SQRT((3630*'BMP P Tracking Table'!$U12+20.691*'BMP P Tracking Table'!$AA12)^2-(4*(996.798*'BMP P Tracking Table'!$AA12)*-'BMP P Tracking Table'!$AB12)))/(2*(996.798*'BMP P Tracking Table'!$AA12)),IF(SUM('BMP P Tracking Table'!$W12:$Z12)=0,'BMP P Tracking Table'!$AB12/(-3630*'BMP P Tracking Table'!$U12),(-(3630*'BMP P Tracking Table'!$U12+20.691*'BMP P Tracking Table'!$Z12-216.711*'BMP P Tracking Table'!$Y12-83.853*'BMP P Tracking Table'!$X12-42.834*'BMP P Tracking Table'!$W12)+SQRT((3630*'BMP P Tracking Table'!$U12+20.691*'BMP P Tracking Table'!$Z12-216.711*'BMP P Tracking Table'!$Y12-83.853*'BMP P Tracking Table'!$X12-42.834*'BMP P Tracking Table'!$W12)^2-(4*(149.919*'BMP P Tracking Table'!$W12+236.676*'BMP P Tracking Table'!$X12+726*'BMP P Tracking Table'!$Y12+996.798*'BMP P Tracking Table'!$Z12)*-'BMP P Tracking Table'!$AB12)))/(2*(149.919*'BMP P Tracking Table'!$W12+236.676*'BMP P Tracking Table'!$X12+726*'BMP P Tracking Table'!$Y12+996.798*'BMP P Tracking Table'!$Z12))))),"")</f>
        <v>0.53835726737990719</v>
      </c>
      <c r="AF12" s="175">
        <f>IFERROR((VLOOKUP(CONCATENATE('BMP P Tracking Table'!$T12," ",'BMP P Tracking Table'!$AC12),'Performance Curves'!$C$1:$L$45,MATCH('BMP P Tracking Table'!$AE12,'Performance Curves'!$E$1:$L$1,1)+2,FALSE)-VLOOKUP(CONCATENATE('BMP P Tracking Table'!$T12," ",'BMP P Tracking Table'!$AC12),'Performance Curves'!$C$1:$L$45,MATCH('BMP P Tracking Table'!$AE12,'Performance Curves'!$E$1:$L$1,1)+1,FALSE)),"")</f>
        <v>0.18999999999999995</v>
      </c>
      <c r="AG12" s="175">
        <f>IFERROR(('BMP P Tracking Table'!$AE12-INDEX('Performance Curves'!$E$1:$L$1,1,MATCH('BMP P Tracking Table'!$AE12,'Performance Curves'!$E$1:$L$1,1)))/(INDEX('Performance Curves'!$E$1:$L$1,1,MATCH('BMP P Tracking Table'!$AE12,'Performance Curves'!$E$1:$L$1,1)+1)-INDEX('Performance Curves'!$E$1:$L$1,1,MATCH('BMP P Tracking Table'!$AE12,'Performance Curves'!$E$1:$L$1,1))),"")</f>
        <v>0.69178633689953595</v>
      </c>
      <c r="AH12" s="176">
        <f>IFERROR(IF('BMP P Tracking Table'!$AE12=2,VLOOKUP(CONCATENATE('BMP P Tracking Table'!$T12," ",'BMP P Tracking Table'!$AC12),'Performance Curves'!$C$1:$L$45,MATCH('BMP P Tracking Table'!$AE12,'Performance Curves'!$E$1:$L$1,1)+1,FALSE),'BMP P Tracking Table'!$AF12*'BMP P Tracking Table'!$AG12+VLOOKUP(CONCATENATE('BMP P Tracking Table'!$T12," ",'BMP P Tracking Table'!$AC12),'Performance Curves'!$C$1:$L$45,MATCH('BMP P Tracking Table'!$AE12,'Performance Curves'!$E$1:$L$1,1)+1,FALSE)),"")</f>
        <v>0.88143940401091181</v>
      </c>
      <c r="AI12" s="175">
        <f>IFERROR('BMP P Tracking Table'!$AH12*'BMP P Tracking Table'!$AD12,"")</f>
        <v>9.287127621268251</v>
      </c>
      <c r="AJ12" s="173">
        <f t="shared" si="0"/>
        <v>9.561728505659973</v>
      </c>
      <c r="AK12" s="169"/>
      <c r="AL12" s="173"/>
      <c r="AM12" s="177">
        <v>1</v>
      </c>
      <c r="AN12" s="178">
        <f t="shared" si="1"/>
        <v>9.561728505659973</v>
      </c>
      <c r="AO12" s="96"/>
      <c r="AP12" s="96"/>
      <c r="AQ12" s="96"/>
      <c r="AR12" s="96"/>
      <c r="AS12" s="96"/>
      <c r="AT12" s="96"/>
      <c r="AU12" s="96"/>
      <c r="AV12" s="64"/>
      <c r="AW12" s="97"/>
      <c r="AX12" s="97"/>
      <c r="AY12" s="101" t="str">
        <f>IF('BMP P Tracking Table'!$AK12="Yes",IF('BMP P Tracking Table'!$AL12="No",'BMP P Tracking Table'!$U12*VLOOKUP('BMP P Tracking Table'!$Q12,'Loading Rates'!$B$1:$L$24,4,FALSE)+IF('BMP P Tracking Table'!$V12="By HSG",'BMP P Tracking Table'!$W12*VLOOKUP('BMP P Tracking Table'!$Q12,'Loading Rates'!$B$1:$L$24,6,FALSE)+'BMP P Tracking Table'!$X12*VLOOKUP('BMP P Tracking Table'!$Q12,'Loading Rates'!$B$1:$L$24,7,FALSE)+'BMP P Tracking Table'!$Y12*VLOOKUP('BMP P Tracking Table'!$Q12,'Loading Rates'!$B$1:$L$24,8,FALSE)+'BMP P Tracking Table'!$Z12*VLOOKUP('BMP P Tracking Table'!$Q12,'Loading Rates'!$B$1:$L$24,9,FALSE),'BMP P Tracking Table'!$AA12*VLOOKUP('BMP P Tracking Table'!$Q12,'Loading Rates'!$B$1:$L$24,10,FALSE)),'BMP P Tracking Table'!$AO12*VLOOKUP('BMP P Tracking Table'!$Q12,'Loading Rates'!$B$1:$L$24,4,FALSE)+IF('BMP P Tracking Table'!$AP12="By HSG",'BMP P Tracking Table'!$AQ12*VLOOKUP('BMP P Tracking Table'!$Q12,'Loading Rates'!$B$1:$L$24,6,FALSE)+'BMP P Tracking Table'!$AR12*VLOOKUP('BMP P Tracking Table'!$Q12,'Loading Rates'!$B$1:$L$24,7,FALSE)+'BMP P Tracking Table'!$AS12*VLOOKUP('BMP P Tracking Table'!$Q12,'Loading Rates'!$B$1:$L$24,8,FALSE)+'BMP P Tracking Table'!$AT12*VLOOKUP('BMP P Tracking Table'!$Q12,'Loading Rates'!$B$1:$L$24,9,FALSE),'BMP P Tracking Table'!$AU12*VLOOKUP('BMP P Tracking Table'!$Q12,'Loading Rates'!$B$1:$L$24,10,FALSE))),"")</f>
        <v/>
      </c>
      <c r="AZ12" s="101">
        <f>IFERROR(IF('BMP P Tracking Table'!$AL12="Yes",MIN(2,IF('BMP P Tracking Table'!$AP12="Total Pervious",(-(3630*'BMP P Tracking Table'!$AO12+20.691*'BMP P Tracking Table'!$AU12)+SQRT((3630*'BMP P Tracking Table'!$AO12+20.691*'BMP P Tracking Table'!$AU12)^2-(4*(996.798*'BMP P Tracking Table'!$AU12)*-'BMP P Tracking Table'!$AW12)))/(2*(996.798*'BMP P Tracking Table'!$AU12)),IF(SUM('BMP P Tracking Table'!$AQ12:$AT12)=0,'BMP P Tracking Table'!$AU12/(-3630*'BMP P Tracking Table'!$AO12),(-(3630*'BMP P Tracking Table'!$AO12+20.691*'BMP P Tracking Table'!$AT12-216.711*'BMP P Tracking Table'!$AS12-83.853*'BMP P Tracking Table'!$AR12-42.834*'BMP P Tracking Table'!$AQ12)+SQRT((3630*'BMP P Tracking Table'!$AO12+20.691*'BMP P Tracking Table'!$AT12-216.711*'BMP P Tracking Table'!$AS12-83.853*'BMP P Tracking Table'!$AR12-42.834*'BMP P Tracking Table'!$AQ12)^2-(4*(149.919*'BMP P Tracking Table'!$AQ12+236.676*'BMP P Tracking Table'!$AR12+726*'BMP P Tracking Table'!$AS12+996.798*'BMP P Tracking Table'!$AT12)*-'BMP P Tracking Table'!$AW12)))/(2*(149.919*'BMP P Tracking Table'!$AQ12+236.676*'BMP P Tracking Table'!$AR12+726*'BMP P Tracking Table'!$AS12+996.798*'BMP P Tracking Table'!$AT12))))),MIN(2,IF('BMP P Tracking Table'!$AP12="Total Pervious",(-(3630*'BMP P Tracking Table'!$U12+20.691*'BMP P Tracking Table'!$AA12)+SQRT((3630*'BMP P Tracking Table'!$U12+20.691*'BMP P Tracking Table'!$AA12)^2-(4*(996.798*'BMP P Tracking Table'!$AA12)*-'BMP P Tracking Table'!$AW12)))/(2*(996.798*'BMP P Tracking Table'!$AA12)),IF(SUM('BMP P Tracking Table'!$W12:$Z12)=0,'BMP P Tracking Table'!$AW12/(-3630*'BMP P Tracking Table'!$U12),(-(3630*'BMP P Tracking Table'!$U12+20.691*'BMP P Tracking Table'!$Z12-216.711*'BMP P Tracking Table'!$Y12-83.853*'BMP P Tracking Table'!$X12-42.834*'BMP P Tracking Table'!$W12)+SQRT((3630*'BMP P Tracking Table'!$U12+20.691*'BMP P Tracking Table'!$Z12-216.711*'BMP P Tracking Table'!$Y12-83.853*'BMP P Tracking Table'!$X12-42.834*'BMP P Tracking Table'!$W12)^2-(4*(149.919*'BMP P Tracking Table'!$W12+236.676*'BMP P Tracking Table'!$X12+726*'BMP P Tracking Table'!$Y12+996.798*'BMP P Tracking Table'!$Z12)*-'BMP P Tracking Table'!$AW12)))/(2*(149.919*'BMP P Tracking Table'!$W12+236.676*'BMP P Tracking Table'!$X12+726*'BMP P Tracking Table'!$Y12+996.798*'BMP P Tracking Table'!$Z12)))))),"")</f>
        <v>0</v>
      </c>
      <c r="BA12" s="101" t="str">
        <f>IFERROR((VLOOKUP(CONCATENATE('BMP P Tracking Table'!$AV12," ",'BMP P Tracking Table'!$AX12),'Performance Curves'!$C$1:$L$45,MATCH('BMP P Tracking Table'!$AZ12,'Performance Curves'!$E$1:$L$1,1)+2,FALSE)-VLOOKUP(CONCATENATE('BMP P Tracking Table'!$AV12," ",'BMP P Tracking Table'!$AX12),'Performance Curves'!$C$1:$L$45,MATCH('BMP P Tracking Table'!$AZ12,'Performance Curves'!$E$1:$L$1,1)+1,FALSE)),"")</f>
        <v/>
      </c>
      <c r="BB12" s="101" t="str">
        <f>IFERROR(('BMP P Tracking Table'!$AZ12-INDEX('Performance Curves'!$E$1:$L$1,1,MATCH('BMP P Tracking Table'!$AZ12,'Performance Curves'!$E$1:$L$1,1)))/(INDEX('Performance Curves'!$E$1:$L$1,1,MATCH('BMP P Tracking Table'!$AZ12,'Performance Curves'!$E$1:$L$1,1)+1)-INDEX('Performance Curves'!$E$1:$L$1,1,MATCH('BMP P Tracking Table'!$AZ12,'Performance Curves'!$E$1:$L$1,1))),"")</f>
        <v/>
      </c>
      <c r="BC12" s="102" t="str">
        <f>IFERROR(IF('BMP P Tracking Table'!$AZ12=2,VLOOKUP(CONCATENATE('BMP P Tracking Table'!$AV12," ",'BMP P Tracking Table'!$AX12),'Performance Curves'!$C$1:$L$44,MATCH('BMP P Tracking Table'!$AZ12,'Performance Curves'!$E$1:$L$1,1)+1,FALSE),'BMP P Tracking Table'!$BA12*'BMP P Tracking Table'!$BB12+VLOOKUP(CONCATENATE('BMP P Tracking Table'!$AV12," ",'BMP P Tracking Table'!$AX12),'Performance Curves'!$C$1:$L$44,MATCH('BMP P Tracking Table'!$AZ12,'Performance Curves'!$E$1:$L$1,1)+1,FALSE)),"")</f>
        <v/>
      </c>
      <c r="BD12" s="101" t="str">
        <f>IFERROR('BMP P Tracking Table'!$BC12*'BMP P Tracking Table'!$AY12,"")</f>
        <v/>
      </c>
      <c r="BE12" s="96"/>
      <c r="BF12" s="37">
        <f t="shared" si="2"/>
        <v>0</v>
      </c>
      <c r="BH12" s="127">
        <v>0.90750171840452576</v>
      </c>
      <c r="BI12" s="37">
        <f t="shared" si="3"/>
        <v>9.561728505659973</v>
      </c>
      <c r="BK12" s="36" t="str">
        <f t="shared" si="4"/>
        <v>Laplatte River</v>
      </c>
      <c r="BN12" s="36" t="s">
        <v>391</v>
      </c>
    </row>
    <row r="13" spans="1:66" s="113" customFormat="1" ht="17.399999999999999" customHeight="1" x14ac:dyDescent="0.3">
      <c r="A13" s="169" t="s">
        <v>342</v>
      </c>
      <c r="B13" s="169" t="s">
        <v>341</v>
      </c>
      <c r="C13" s="169" t="s">
        <v>312</v>
      </c>
      <c r="D13" s="169" t="s">
        <v>6</v>
      </c>
      <c r="E13" s="170" t="s">
        <v>313</v>
      </c>
      <c r="F13" s="170" t="s">
        <v>313</v>
      </c>
      <c r="G13" s="169" t="s">
        <v>119</v>
      </c>
      <c r="H13" s="169" t="s">
        <v>313</v>
      </c>
      <c r="I13" s="169" t="s">
        <v>66</v>
      </c>
      <c r="J13" s="171"/>
      <c r="K13" s="169" t="s">
        <v>49</v>
      </c>
      <c r="L13" s="169" t="s">
        <v>399</v>
      </c>
      <c r="M13" s="169"/>
      <c r="N13" s="169"/>
      <c r="O13" s="169"/>
      <c r="P13" s="169" t="s">
        <v>34</v>
      </c>
      <c r="Q13" s="169" t="s">
        <v>147</v>
      </c>
      <c r="R13" s="169" t="s">
        <v>130</v>
      </c>
      <c r="S13" s="169" t="s">
        <v>66</v>
      </c>
      <c r="T13" s="169"/>
      <c r="U13" s="173" t="s">
        <v>119</v>
      </c>
      <c r="V13" s="169" t="s">
        <v>219</v>
      </c>
      <c r="W13" s="169"/>
      <c r="X13" s="169"/>
      <c r="Y13" s="169"/>
      <c r="Z13" s="169"/>
      <c r="AA13" s="169" t="s">
        <v>119</v>
      </c>
      <c r="AB13" s="174" t="s">
        <v>119</v>
      </c>
      <c r="AC13" s="169"/>
      <c r="AD13" s="193" t="str">
        <f>IFERROR('BMP P Tracking Table'!$U13*VLOOKUP('BMP P Tracking Table'!$Q13,'Loading Rates'!$B$1:$L$24,4,FALSE)+IF('BMP P Tracking Table'!$V13="By HSG",'BMP P Tracking Table'!$W13*VLOOKUP('BMP P Tracking Table'!$Q13,'Loading Rates'!$B$1:$L$24,6,FALSE)+'BMP P Tracking Table'!$X13*VLOOKUP('BMP P Tracking Table'!$Q13,'Loading Rates'!$B$1:$L$24,7,FALSE)+'BMP P Tracking Table'!$Y13*VLOOKUP('BMP P Tracking Table'!$Q13,'Loading Rates'!$B$1:$L$24,8,FALSE)+'BMP P Tracking Table'!$Z13*VLOOKUP('BMP P Tracking Table'!$Q13,'Loading Rates'!$B$1:$L$24,9,FALSE),'BMP P Tracking Table'!$AA13*VLOOKUP('BMP P Tracking Table'!$Q13,'Loading Rates'!$B$1:$L$24,10,FALSE)),"")</f>
        <v/>
      </c>
      <c r="AE13" s="193" t="str">
        <f>IFERROR(MIN(2,IF('BMP P Tracking Table'!$V13="Total Pervious",(-(3630*'BMP P Tracking Table'!$U13+20.691*'BMP P Tracking Table'!$AA13)+SQRT((3630*'BMP P Tracking Table'!$U13+20.691*'BMP P Tracking Table'!$AA13)^2-(4*(996.798*'BMP P Tracking Table'!$AA13)*-'BMP P Tracking Table'!$AB13)))/(2*(996.798*'BMP P Tracking Table'!$AA13)),IF(SUM('BMP P Tracking Table'!$W13:$Z13)=0,'BMP P Tracking Table'!$AB13/(-3630*'BMP P Tracking Table'!$U13),(-(3630*'BMP P Tracking Table'!$U13+20.691*'BMP P Tracking Table'!$Z13-216.711*'BMP P Tracking Table'!$Y13-83.853*'BMP P Tracking Table'!$X13-42.834*'BMP P Tracking Table'!$W13)+SQRT((3630*'BMP P Tracking Table'!$U13+20.691*'BMP P Tracking Table'!$Z13-216.711*'BMP P Tracking Table'!$Y13-83.853*'BMP P Tracking Table'!$X13-42.834*'BMP P Tracking Table'!$W13)^2-(4*(149.919*'BMP P Tracking Table'!$W13+236.676*'BMP P Tracking Table'!$X13+726*'BMP P Tracking Table'!$Y13+996.798*'BMP P Tracking Table'!$Z13)*-'BMP P Tracking Table'!$AB13)))/(2*(149.919*'BMP P Tracking Table'!$W13+236.676*'BMP P Tracking Table'!$X13+726*'BMP P Tracking Table'!$Y13+996.798*'BMP P Tracking Table'!$Z13))))),"")</f>
        <v/>
      </c>
      <c r="AF13" s="193" t="str">
        <f>IFERROR((VLOOKUP(CONCATENATE('BMP P Tracking Table'!$T13," ",'BMP P Tracking Table'!$AC13),'Performance Curves'!$C$1:$L$45,MATCH('BMP P Tracking Table'!$AE13,'Performance Curves'!$E$1:$L$1,1)+2,FALSE)-VLOOKUP(CONCATENATE('BMP P Tracking Table'!$T13," ",'BMP P Tracking Table'!$AC13),'Performance Curves'!$C$1:$L$45,MATCH('BMP P Tracking Table'!$AE13,'Performance Curves'!$E$1:$L$1,1)+1,FALSE)),"")</f>
        <v/>
      </c>
      <c r="AG13" s="193" t="str">
        <f>IFERROR(('BMP P Tracking Table'!$AE13-INDEX('Performance Curves'!$E$1:$L$1,1,MATCH('BMP P Tracking Table'!$AE13,'Performance Curves'!$E$1:$L$1,1)))/(INDEX('Performance Curves'!$E$1:$L$1,1,MATCH('BMP P Tracking Table'!$AE13,'Performance Curves'!$E$1:$L$1,1)+1)-INDEX('Performance Curves'!$E$1:$L$1,1,MATCH('BMP P Tracking Table'!$AE13,'Performance Curves'!$E$1:$L$1,1))),"")</f>
        <v/>
      </c>
      <c r="AH13" s="176" t="str">
        <f>IFERROR(IF('BMP P Tracking Table'!$AE13=2,VLOOKUP(CONCATENATE('BMP P Tracking Table'!$T13," ",'BMP P Tracking Table'!$AC13),'Performance Curves'!$C$1:$L$45,MATCH('BMP P Tracking Table'!$AE13,'Performance Curves'!$E$1:$L$1,1)+1,FALSE),'BMP P Tracking Table'!$AF13*'BMP P Tracking Table'!$AG13+VLOOKUP(CONCATENATE('BMP P Tracking Table'!$T13," ",'BMP P Tracking Table'!$AC13),'Performance Curves'!$C$1:$L$45,MATCH('BMP P Tracking Table'!$AE13,'Performance Curves'!$E$1:$L$1,1)+1,FALSE)),"")</f>
        <v/>
      </c>
      <c r="AI13" s="193" t="str">
        <f>IFERROR('BMP P Tracking Table'!$AH13*'BMP P Tracking Table'!$AD13,"")</f>
        <v/>
      </c>
      <c r="AJ13" s="195">
        <f t="shared" si="0"/>
        <v>0</v>
      </c>
      <c r="AK13" s="169"/>
      <c r="AL13" s="173"/>
      <c r="AM13" s="177">
        <v>1</v>
      </c>
      <c r="AN13" s="178">
        <f t="shared" si="1"/>
        <v>0</v>
      </c>
      <c r="AO13" s="110"/>
      <c r="AP13" s="110"/>
      <c r="AQ13" s="110"/>
      <c r="AR13" s="110"/>
      <c r="AS13" s="110"/>
      <c r="AT13" s="110"/>
      <c r="AU13" s="110"/>
      <c r="AV13" s="106"/>
      <c r="AW13" s="111"/>
      <c r="AX13" s="111"/>
      <c r="AY13" s="108"/>
      <c r="AZ13" s="108"/>
      <c r="BA13" s="108"/>
      <c r="BB13" s="108"/>
      <c r="BC13" s="109"/>
      <c r="BD13" s="108"/>
      <c r="BE13" s="110"/>
      <c r="BF13" s="112"/>
      <c r="BH13" s="130"/>
      <c r="BI13" s="112"/>
      <c r="BK13" s="113" t="str">
        <f t="shared" si="4"/>
        <v>Laplatte River</v>
      </c>
      <c r="BN13" s="36" t="s">
        <v>391</v>
      </c>
    </row>
    <row r="14" spans="1:66" s="113" customFormat="1" ht="17.399999999999999" customHeight="1" x14ac:dyDescent="0.3">
      <c r="A14" s="169" t="s">
        <v>403</v>
      </c>
      <c r="B14" s="169" t="s">
        <v>404</v>
      </c>
      <c r="C14" s="169" t="s">
        <v>312</v>
      </c>
      <c r="D14" s="169" t="s">
        <v>6</v>
      </c>
      <c r="E14" s="170">
        <v>44.466740000000001</v>
      </c>
      <c r="F14" s="170">
        <v>-73.15504</v>
      </c>
      <c r="G14" s="169" t="s">
        <v>397</v>
      </c>
      <c r="H14" s="169" t="s">
        <v>313</v>
      </c>
      <c r="I14" s="169" t="s">
        <v>62</v>
      </c>
      <c r="J14" s="171"/>
      <c r="K14" s="169" t="s">
        <v>111</v>
      </c>
      <c r="L14" s="106"/>
      <c r="M14" s="207"/>
      <c r="N14" s="169"/>
      <c r="O14" s="169"/>
      <c r="P14" s="169" t="s">
        <v>34</v>
      </c>
      <c r="Q14" s="169" t="s">
        <v>147</v>
      </c>
      <c r="R14" s="169" t="s">
        <v>130</v>
      </c>
      <c r="S14" s="169" t="s">
        <v>66</v>
      </c>
      <c r="T14" s="169" t="s">
        <v>212</v>
      </c>
      <c r="U14" s="173">
        <v>0.52</v>
      </c>
      <c r="V14" s="169" t="s">
        <v>219</v>
      </c>
      <c r="W14" s="169"/>
      <c r="X14" s="169"/>
      <c r="Y14" s="169"/>
      <c r="Z14" s="169"/>
      <c r="AA14" s="169">
        <v>0.4</v>
      </c>
      <c r="AB14" s="174">
        <v>1611.72</v>
      </c>
      <c r="AC14" s="169" t="s">
        <v>205</v>
      </c>
      <c r="AD14" s="175">
        <f>IFERROR('BMP P Tracking Table'!$U14*VLOOKUP('BMP P Tracking Table'!$Q14,'Loading Rates'!$B$1:$L$24,4,FALSE)+IF('BMP P Tracking Table'!$V14="By HSG",'BMP P Tracking Table'!$W14*VLOOKUP('BMP P Tracking Table'!$Q14,'Loading Rates'!$B$1:$L$24,6,FALSE)+'BMP P Tracking Table'!$X14*VLOOKUP('BMP P Tracking Table'!$Q14,'Loading Rates'!$B$1:$L$24,7,FALSE)+'BMP P Tracking Table'!$Y14*VLOOKUP('BMP P Tracking Table'!$Q14,'Loading Rates'!$B$1:$L$24,8,FALSE)+'BMP P Tracking Table'!$Z14*VLOOKUP('BMP P Tracking Table'!$Q14,'Loading Rates'!$B$1:$L$24,9,FALSE),'BMP P Tracking Table'!$AA14*VLOOKUP('BMP P Tracking Table'!$Q14,'Loading Rates'!$B$1:$L$24,10,FALSE)),"")</f>
        <v>0.56384000000000001</v>
      </c>
      <c r="AE14" s="175">
        <f>IFERROR(MIN(2,IF('BMP P Tracking Table'!$V14="Total Pervious",(-(3630*'BMP P Tracking Table'!$U14+20.691*'BMP P Tracking Table'!$AA14)+SQRT((3630*'BMP P Tracking Table'!$U14+20.691*'BMP P Tracking Table'!$AA14)^2-(4*(996.798*'BMP P Tracking Table'!$AA14)*-'BMP P Tracking Table'!$AB14)))/(2*(996.798*'BMP P Tracking Table'!$AA14)),IF(SUM('BMP P Tracking Table'!$W14:$Z14)=0,'BMP P Tracking Table'!$AB14/(-3630*'BMP P Tracking Table'!$U14),(-(3630*'BMP P Tracking Table'!$U14+20.691*'BMP P Tracking Table'!$Z14-216.711*'BMP P Tracking Table'!$Y14-83.853*'BMP P Tracking Table'!$X14-42.834*'BMP P Tracking Table'!$W14)+SQRT((3630*'BMP P Tracking Table'!$U14+20.691*'BMP P Tracking Table'!$Z14-216.711*'BMP P Tracking Table'!$Y14-83.853*'BMP P Tracking Table'!$X14-42.834*'BMP P Tracking Table'!$W14)^2-(4*(149.919*'BMP P Tracking Table'!$W14+236.676*'BMP P Tracking Table'!$X14+726*'BMP P Tracking Table'!$Y14+996.798*'BMP P Tracking Table'!$Z14)*-'BMP P Tracking Table'!$AB14)))/(2*(149.919*'BMP P Tracking Table'!$W14+236.676*'BMP P Tracking Table'!$X14+726*'BMP P Tracking Table'!$Y14+996.798*'BMP P Tracking Table'!$Z14))))),"")</f>
        <v>0.7361491728280708</v>
      </c>
      <c r="AF14" s="175">
        <f>IFERROR((VLOOKUP(CONCATENATE('BMP P Tracking Table'!$T14," ",'BMP P Tracking Table'!$AC14),'Performance Curves'!$C$1:$L$45,MATCH('BMP P Tracking Table'!$AE14,'Performance Curves'!$E$1:$L$1,1)+2,FALSE)-VLOOKUP(CONCATENATE('BMP P Tracking Table'!$T14," ",'BMP P Tracking Table'!$AC14),'Performance Curves'!$C$1:$L$45,MATCH('BMP P Tracking Table'!$AE14,'Performance Curves'!$E$1:$L$1,1)+1,FALSE)),"")</f>
        <v>3.0000000000000027E-2</v>
      </c>
      <c r="AG14" s="175">
        <f>IFERROR(('BMP P Tracking Table'!$AE14-INDEX('Performance Curves'!$E$1:$L$1,1,MATCH('BMP P Tracking Table'!$AE14,'Performance Curves'!$E$1:$L$1,1)))/(INDEX('Performance Curves'!$E$1:$L$1,1,MATCH('BMP P Tracking Table'!$AE14,'Performance Curves'!$E$1:$L$1,1)+1)-INDEX('Performance Curves'!$E$1:$L$1,1,MATCH('BMP P Tracking Table'!$AE14,'Performance Curves'!$E$1:$L$1,1))),"")</f>
        <v>0.68074586414035387</v>
      </c>
      <c r="AH14" s="176">
        <f>IFERROR(IF('BMP P Tracking Table'!$AE14=2,VLOOKUP(CONCATENATE('BMP P Tracking Table'!$T14," ",'BMP P Tracking Table'!$AC14),'Performance Curves'!$C$1:$L$45,MATCH('BMP P Tracking Table'!$AE14,'Performance Curves'!$E$1:$L$1,1)+1,FALSE),'BMP P Tracking Table'!$AF14*'BMP P Tracking Table'!$AG14+VLOOKUP(CONCATENATE('BMP P Tracking Table'!$T14," ",'BMP P Tracking Table'!$AC14),'Performance Curves'!$C$1:$L$45,MATCH('BMP P Tracking Table'!$AE14,'Performance Curves'!$E$1:$L$1,1)+1,FALSE)),"")</f>
        <v>0.98042237592421055</v>
      </c>
      <c r="AI14" s="175">
        <f>IFERROR('BMP P Tracking Table'!$AH14*'BMP P Tracking Table'!$AD14,"")</f>
        <v>0.55280135244110684</v>
      </c>
      <c r="AJ14" s="173">
        <f t="shared" ref="AJ14:AJ17" si="5">BI14</f>
        <v>0</v>
      </c>
      <c r="AK14" s="169"/>
      <c r="AL14" s="173"/>
      <c r="AM14" s="177">
        <v>1</v>
      </c>
      <c r="AN14" s="178">
        <f t="shared" si="1"/>
        <v>0</v>
      </c>
      <c r="AO14" s="110"/>
      <c r="AP14" s="110"/>
      <c r="AQ14" s="110"/>
      <c r="AR14" s="110"/>
      <c r="AS14" s="110"/>
      <c r="AT14" s="110"/>
      <c r="AU14" s="110"/>
      <c r="AV14" s="106"/>
      <c r="AW14" s="111"/>
      <c r="AX14" s="111"/>
      <c r="AY14" s="108"/>
      <c r="AZ14" s="108"/>
      <c r="BA14" s="108"/>
      <c r="BB14" s="108"/>
      <c r="BC14" s="109"/>
      <c r="BD14" s="108"/>
      <c r="BE14" s="110"/>
      <c r="BF14" s="112"/>
      <c r="BH14" s="130"/>
      <c r="BI14" s="112"/>
      <c r="BK14" s="113" t="str">
        <f t="shared" si="4"/>
        <v>Laplatte River</v>
      </c>
      <c r="BM14" s="113" t="s">
        <v>408</v>
      </c>
      <c r="BN14" s="168" t="s">
        <v>392</v>
      </c>
    </row>
    <row r="15" spans="1:66" s="113" customFormat="1" ht="17.399999999999999" customHeight="1" x14ac:dyDescent="0.3">
      <c r="A15" s="169" t="s">
        <v>400</v>
      </c>
      <c r="B15" s="169" t="s">
        <v>405</v>
      </c>
      <c r="C15" s="169" t="s">
        <v>312</v>
      </c>
      <c r="D15" s="169" t="s">
        <v>6</v>
      </c>
      <c r="E15" s="170">
        <v>44.46555</v>
      </c>
      <c r="F15" s="170">
        <v>-73.154420000000002</v>
      </c>
      <c r="G15" s="169" t="s">
        <v>397</v>
      </c>
      <c r="H15" s="169" t="s">
        <v>313</v>
      </c>
      <c r="I15" s="169" t="s">
        <v>62</v>
      </c>
      <c r="J15" s="171"/>
      <c r="K15" s="169" t="s">
        <v>111</v>
      </c>
      <c r="L15" s="106"/>
      <c r="M15" s="207"/>
      <c r="N15" s="169"/>
      <c r="O15" s="169"/>
      <c r="P15" s="169" t="s">
        <v>34</v>
      </c>
      <c r="Q15" s="169" t="s">
        <v>147</v>
      </c>
      <c r="R15" s="169" t="s">
        <v>130</v>
      </c>
      <c r="S15" s="169" t="s">
        <v>66</v>
      </c>
      <c r="T15" s="169" t="s">
        <v>164</v>
      </c>
      <c r="U15" s="173">
        <v>0.25</v>
      </c>
      <c r="V15" s="169" t="s">
        <v>219</v>
      </c>
      <c r="W15" s="169"/>
      <c r="X15" s="169"/>
      <c r="Y15" s="169"/>
      <c r="Z15" s="169"/>
      <c r="AA15" s="169">
        <v>0.107</v>
      </c>
      <c r="AB15" s="174">
        <v>3092.76</v>
      </c>
      <c r="AC15" s="169" t="s">
        <v>205</v>
      </c>
      <c r="AD15" s="175">
        <f>IFERROR('BMP P Tracking Table'!$U15*VLOOKUP('BMP P Tracking Table'!$Q15,'Loading Rates'!$B$1:$L$24,4,FALSE)+IF('BMP P Tracking Table'!$V15="By HSG",'BMP P Tracking Table'!$W15*VLOOKUP('BMP P Tracking Table'!$Q15,'Loading Rates'!$B$1:$L$24,6,FALSE)+'BMP P Tracking Table'!$X15*VLOOKUP('BMP P Tracking Table'!$Q15,'Loading Rates'!$B$1:$L$24,7,FALSE)+'BMP P Tracking Table'!$Y15*VLOOKUP('BMP P Tracking Table'!$Q15,'Loading Rates'!$B$1:$L$24,8,FALSE)+'BMP P Tracking Table'!$Z15*VLOOKUP('BMP P Tracking Table'!$Q15,'Loading Rates'!$B$1:$L$24,9,FALSE),'BMP P Tracking Table'!$AA15*VLOOKUP('BMP P Tracking Table'!$Q15,'Loading Rates'!$B$1:$L$24,10,FALSE)),"")</f>
        <v>0.25640399999999997</v>
      </c>
      <c r="AE15" s="175">
        <f>IFERROR(MIN(2,IF('BMP P Tracking Table'!$V15="Total Pervious",(-(3630*'BMP P Tracking Table'!$U15+20.691*'BMP P Tracking Table'!$AA15)+SQRT((3630*'BMP P Tracking Table'!$U15+20.691*'BMP P Tracking Table'!$AA15)^2-(4*(996.798*'BMP P Tracking Table'!$AA15)*-'BMP P Tracking Table'!$AB15)))/(2*(996.798*'BMP P Tracking Table'!$AA15)),IF(SUM('BMP P Tracking Table'!$W15:$Z15)=0,'BMP P Tracking Table'!$AB15/(-3630*'BMP P Tracking Table'!$U15),(-(3630*'BMP P Tracking Table'!$U15+20.691*'BMP P Tracking Table'!$Z15-216.711*'BMP P Tracking Table'!$Y15-83.853*'BMP P Tracking Table'!$X15-42.834*'BMP P Tracking Table'!$W15)+SQRT((3630*'BMP P Tracking Table'!$U15+20.691*'BMP P Tracking Table'!$Z15-216.711*'BMP P Tracking Table'!$Y15-83.853*'BMP P Tracking Table'!$X15-42.834*'BMP P Tracking Table'!$W15)^2-(4*(149.919*'BMP P Tracking Table'!$W15+236.676*'BMP P Tracking Table'!$X15+726*'BMP P Tracking Table'!$Y15+996.798*'BMP P Tracking Table'!$Z15)*-'BMP P Tracking Table'!$AB15)))/(2*(149.919*'BMP P Tracking Table'!$W15+236.676*'BMP P Tracking Table'!$X15+726*'BMP P Tracking Table'!$Y15+996.798*'BMP P Tracking Table'!$Z15))))),"")</f>
        <v>2</v>
      </c>
      <c r="AF15" s="175">
        <f>IFERROR((VLOOKUP(CONCATENATE('BMP P Tracking Table'!$T15," ",'BMP P Tracking Table'!$AC15),'Performance Curves'!$C$1:$L$45,MATCH('BMP P Tracking Table'!$AE15,'Performance Curves'!$E$1:$L$1,1)+2,FALSE)-VLOOKUP(CONCATENATE('BMP P Tracking Table'!$T15," ",'BMP P Tracking Table'!$AC15),'Performance Curves'!$C$1:$L$45,MATCH('BMP P Tracking Table'!$AE15,'Performance Curves'!$E$1:$L$1,1)+1,FALSE)),"")</f>
        <v>0</v>
      </c>
      <c r="AG15" s="175" t="str">
        <f>IFERROR(('BMP P Tracking Table'!$AE15-INDEX('Performance Curves'!$E$1:$L$1,1,MATCH('BMP P Tracking Table'!$AE15,'Performance Curves'!$E$1:$L$1,1)))/(INDEX('Performance Curves'!$E$1:$L$1,1,MATCH('BMP P Tracking Table'!$AE15,'Performance Curves'!$E$1:$L$1,1)+1)-INDEX('Performance Curves'!$E$1:$L$1,1,MATCH('BMP P Tracking Table'!$AE15,'Performance Curves'!$E$1:$L$1,1))),"")</f>
        <v/>
      </c>
      <c r="AH15" s="176">
        <f>IFERROR(IF('BMP P Tracking Table'!$AE15=2,VLOOKUP(CONCATENATE('BMP P Tracking Table'!$T15," ",'BMP P Tracking Table'!$AC15),'Performance Curves'!$C$1:$L$45,MATCH('BMP P Tracking Table'!$AE15,'Performance Curves'!$E$1:$L$1,1)+1,FALSE),'BMP P Tracking Table'!$AF15*'BMP P Tracking Table'!$AG15+VLOOKUP(CONCATENATE('BMP P Tracking Table'!$T15," ",'BMP P Tracking Table'!$AC15),'Performance Curves'!$C$1:$L$45,MATCH('BMP P Tracking Table'!$AE15,'Performance Curves'!$E$1:$L$1,1)+1,FALSE)),"")</f>
        <v>1</v>
      </c>
      <c r="AI15" s="175">
        <f>IFERROR('BMP P Tracking Table'!$AH15*'BMP P Tracking Table'!$AD15,"")</f>
        <v>0.25640399999999997</v>
      </c>
      <c r="AJ15" s="173">
        <f t="shared" si="5"/>
        <v>0</v>
      </c>
      <c r="AK15" s="169"/>
      <c r="AL15" s="173"/>
      <c r="AM15" s="177">
        <v>1</v>
      </c>
      <c r="AN15" s="178">
        <f t="shared" si="1"/>
        <v>0</v>
      </c>
      <c r="AO15" s="110"/>
      <c r="AP15" s="110"/>
      <c r="AQ15" s="110"/>
      <c r="AR15" s="110"/>
      <c r="AS15" s="110"/>
      <c r="AT15" s="110"/>
      <c r="AU15" s="110"/>
      <c r="AV15" s="106"/>
      <c r="AW15" s="111"/>
      <c r="AX15" s="111"/>
      <c r="AY15" s="108"/>
      <c r="AZ15" s="108"/>
      <c r="BA15" s="108"/>
      <c r="BB15" s="108"/>
      <c r="BC15" s="109"/>
      <c r="BD15" s="108"/>
      <c r="BE15" s="110"/>
      <c r="BF15" s="112"/>
      <c r="BH15" s="130"/>
      <c r="BI15" s="112"/>
      <c r="BK15" s="113" t="str">
        <f t="shared" si="4"/>
        <v>Laplatte River</v>
      </c>
      <c r="BN15" s="168" t="s">
        <v>392</v>
      </c>
    </row>
    <row r="16" spans="1:66" s="113" customFormat="1" ht="17.399999999999999" customHeight="1" x14ac:dyDescent="0.3">
      <c r="A16" s="169" t="s">
        <v>401</v>
      </c>
      <c r="B16" s="169" t="s">
        <v>406</v>
      </c>
      <c r="C16" s="169" t="s">
        <v>312</v>
      </c>
      <c r="D16" s="169" t="s">
        <v>6</v>
      </c>
      <c r="E16" s="170">
        <v>44.465949999999999</v>
      </c>
      <c r="F16" s="170">
        <v>-73.155249999999995</v>
      </c>
      <c r="G16" s="169" t="s">
        <v>397</v>
      </c>
      <c r="H16" s="169" t="s">
        <v>313</v>
      </c>
      <c r="I16" s="169" t="s">
        <v>62</v>
      </c>
      <c r="J16" s="171"/>
      <c r="K16" s="169" t="s">
        <v>111</v>
      </c>
      <c r="L16" s="106"/>
      <c r="M16" s="207"/>
      <c r="N16" s="169"/>
      <c r="O16" s="169"/>
      <c r="P16" s="169" t="s">
        <v>34</v>
      </c>
      <c r="Q16" s="169" t="s">
        <v>147</v>
      </c>
      <c r="R16" s="169" t="s">
        <v>130</v>
      </c>
      <c r="S16" s="169" t="s">
        <v>66</v>
      </c>
      <c r="T16" s="169" t="s">
        <v>212</v>
      </c>
      <c r="U16" s="173">
        <v>0.05</v>
      </c>
      <c r="V16" s="169"/>
      <c r="W16" s="169"/>
      <c r="X16" s="169"/>
      <c r="Y16" s="169"/>
      <c r="Z16" s="169"/>
      <c r="AA16" s="169" t="s">
        <v>119</v>
      </c>
      <c r="AB16" s="174" t="s">
        <v>119</v>
      </c>
      <c r="AC16" s="169"/>
      <c r="AD16" s="175" t="str">
        <f>IFERROR('BMP P Tracking Table'!$U16*VLOOKUP('BMP P Tracking Table'!$Q16,'Loading Rates'!$B$1:$L$24,4,FALSE)+IF('BMP P Tracking Table'!$V16="By HSG",'BMP P Tracking Table'!$W16*VLOOKUP('BMP P Tracking Table'!$Q16,'Loading Rates'!$B$1:$L$24,6,FALSE)+'BMP P Tracking Table'!$X16*VLOOKUP('BMP P Tracking Table'!$Q16,'Loading Rates'!$B$1:$L$24,7,FALSE)+'BMP P Tracking Table'!$Y16*VLOOKUP('BMP P Tracking Table'!$Q16,'Loading Rates'!$B$1:$L$24,8,FALSE)+'BMP P Tracking Table'!$Z16*VLOOKUP('BMP P Tracking Table'!$Q16,'Loading Rates'!$B$1:$L$24,9,FALSE),'BMP P Tracking Table'!$AA16*VLOOKUP('BMP P Tracking Table'!$Q16,'Loading Rates'!$B$1:$L$24,10,FALSE)),"")</f>
        <v/>
      </c>
      <c r="AE16" s="175" t="str">
        <f>IFERROR(MIN(2,IF('BMP P Tracking Table'!$V16="Total Pervious",(-(3630*'BMP P Tracking Table'!$U16+20.691*'BMP P Tracking Table'!$AA16)+SQRT((3630*'BMP P Tracking Table'!$U16+20.691*'BMP P Tracking Table'!$AA16)^2-(4*(996.798*'BMP P Tracking Table'!$AA16)*-'BMP P Tracking Table'!$AB16)))/(2*(996.798*'BMP P Tracking Table'!$AA16)),IF(SUM('BMP P Tracking Table'!$W16:$Z16)=0,'BMP P Tracking Table'!$AB16/(-3630*'BMP P Tracking Table'!$U16),(-(3630*'BMP P Tracking Table'!$U16+20.691*'BMP P Tracking Table'!$Z16-216.711*'BMP P Tracking Table'!$Y16-83.853*'BMP P Tracking Table'!$X16-42.834*'BMP P Tracking Table'!$W16)+SQRT((3630*'BMP P Tracking Table'!$U16+20.691*'BMP P Tracking Table'!$Z16-216.711*'BMP P Tracking Table'!$Y16-83.853*'BMP P Tracking Table'!$X16-42.834*'BMP P Tracking Table'!$W16)^2-(4*(149.919*'BMP P Tracking Table'!$W16+236.676*'BMP P Tracking Table'!$X16+726*'BMP P Tracking Table'!$Y16+996.798*'BMP P Tracking Table'!$Z16)*-'BMP P Tracking Table'!$AB16)))/(2*(149.919*'BMP P Tracking Table'!$W16+236.676*'BMP P Tracking Table'!$X16+726*'BMP P Tracking Table'!$Y16+996.798*'BMP P Tracking Table'!$Z16))))),"")</f>
        <v/>
      </c>
      <c r="AF16" s="175" t="str">
        <f>IFERROR((VLOOKUP(CONCATENATE('BMP P Tracking Table'!$T16," ",'BMP P Tracking Table'!$AC16),'Performance Curves'!$C$1:$L$45,MATCH('BMP P Tracking Table'!$AE16,'Performance Curves'!$E$1:$L$1,1)+2,FALSE)-VLOOKUP(CONCATENATE('BMP P Tracking Table'!$T16," ",'BMP P Tracking Table'!$AC16),'Performance Curves'!$C$1:$L$45,MATCH('BMP P Tracking Table'!$AE16,'Performance Curves'!$E$1:$L$1,1)+1,FALSE)),"")</f>
        <v/>
      </c>
      <c r="AG16" s="175" t="str">
        <f>IFERROR(('BMP P Tracking Table'!$AE16-INDEX('Performance Curves'!$E$1:$L$1,1,MATCH('BMP P Tracking Table'!$AE16,'Performance Curves'!$E$1:$L$1,1)))/(INDEX('Performance Curves'!$E$1:$L$1,1,MATCH('BMP P Tracking Table'!$AE16,'Performance Curves'!$E$1:$L$1,1)+1)-INDEX('Performance Curves'!$E$1:$L$1,1,MATCH('BMP P Tracking Table'!$AE16,'Performance Curves'!$E$1:$L$1,1))),"")</f>
        <v/>
      </c>
      <c r="AH16" s="176" t="str">
        <f>IFERROR(IF('BMP P Tracking Table'!$AE16=2,VLOOKUP(CONCATENATE('BMP P Tracking Table'!$T16," ",'BMP P Tracking Table'!$AC16),'Performance Curves'!$C$1:$L$45,MATCH('BMP P Tracking Table'!$AE16,'Performance Curves'!$E$1:$L$1,1)+1,FALSE),'BMP P Tracking Table'!$AF16*'BMP P Tracking Table'!$AG16+VLOOKUP(CONCATENATE('BMP P Tracking Table'!$T16," ",'BMP P Tracking Table'!$AC16),'Performance Curves'!$C$1:$L$45,MATCH('BMP P Tracking Table'!$AE16,'Performance Curves'!$E$1:$L$1,1)+1,FALSE)),"")</f>
        <v/>
      </c>
      <c r="AI16" s="175" t="str">
        <f>IFERROR('BMP P Tracking Table'!$AH16*'BMP P Tracking Table'!$AD16,"")</f>
        <v/>
      </c>
      <c r="AJ16" s="173">
        <f t="shared" si="5"/>
        <v>0</v>
      </c>
      <c r="AK16" s="169"/>
      <c r="AL16" s="173"/>
      <c r="AM16" s="177">
        <v>1</v>
      </c>
      <c r="AN16" s="178">
        <f t="shared" si="1"/>
        <v>0</v>
      </c>
      <c r="AO16" s="110"/>
      <c r="AP16" s="110"/>
      <c r="AQ16" s="110"/>
      <c r="AR16" s="110"/>
      <c r="AS16" s="110"/>
      <c r="AT16" s="110"/>
      <c r="AU16" s="110"/>
      <c r="AV16" s="106"/>
      <c r="AW16" s="111"/>
      <c r="AX16" s="111"/>
      <c r="AY16" s="108"/>
      <c r="AZ16" s="108"/>
      <c r="BA16" s="108"/>
      <c r="BB16" s="108"/>
      <c r="BC16" s="109"/>
      <c r="BD16" s="108"/>
      <c r="BE16" s="110"/>
      <c r="BF16" s="112"/>
      <c r="BH16" s="130"/>
      <c r="BI16" s="112"/>
      <c r="BK16" s="113" t="str">
        <f t="shared" si="4"/>
        <v>Laplatte River</v>
      </c>
      <c r="BN16" s="168" t="s">
        <v>392</v>
      </c>
    </row>
    <row r="17" spans="1:77" s="113" customFormat="1" ht="17.399999999999999" customHeight="1" x14ac:dyDescent="0.3">
      <c r="A17" s="169" t="s">
        <v>402</v>
      </c>
      <c r="B17" s="169" t="s">
        <v>407</v>
      </c>
      <c r="C17" s="169" t="s">
        <v>312</v>
      </c>
      <c r="D17" s="169" t="s">
        <v>6</v>
      </c>
      <c r="E17" s="170">
        <v>44.466030000000003</v>
      </c>
      <c r="F17" s="170">
        <v>-73.154660000000007</v>
      </c>
      <c r="G17" s="169" t="s">
        <v>397</v>
      </c>
      <c r="H17" s="169" t="s">
        <v>313</v>
      </c>
      <c r="I17" s="169" t="s">
        <v>62</v>
      </c>
      <c r="J17" s="171"/>
      <c r="K17" s="169" t="s">
        <v>111</v>
      </c>
      <c r="L17" s="207"/>
      <c r="M17" s="207"/>
      <c r="N17" s="169"/>
      <c r="O17" s="169"/>
      <c r="P17" s="169" t="s">
        <v>34</v>
      </c>
      <c r="Q17" s="169" t="s">
        <v>147</v>
      </c>
      <c r="R17" s="169" t="s">
        <v>130</v>
      </c>
      <c r="S17" s="169" t="s">
        <v>66</v>
      </c>
      <c r="T17" s="169" t="s">
        <v>212</v>
      </c>
      <c r="U17" s="173">
        <v>0.02</v>
      </c>
      <c r="V17" s="169"/>
      <c r="W17" s="169"/>
      <c r="X17" s="169"/>
      <c r="Y17" s="169"/>
      <c r="Z17" s="169"/>
      <c r="AA17" s="169" t="s">
        <v>119</v>
      </c>
      <c r="AB17" s="174" t="s">
        <v>119</v>
      </c>
      <c r="AC17" s="169"/>
      <c r="AD17" s="175" t="str">
        <f>IFERROR('BMP P Tracking Table'!$U17*VLOOKUP('BMP P Tracking Table'!$Q17,'Loading Rates'!$B$1:$L$24,4,FALSE)+IF('BMP P Tracking Table'!$V17="By HSG",'BMP P Tracking Table'!$W17*VLOOKUP('BMP P Tracking Table'!$Q17,'Loading Rates'!$B$1:$L$24,6,FALSE)+'BMP P Tracking Table'!$X17*VLOOKUP('BMP P Tracking Table'!$Q17,'Loading Rates'!$B$1:$L$24,7,FALSE)+'BMP P Tracking Table'!$Y17*VLOOKUP('BMP P Tracking Table'!$Q17,'Loading Rates'!$B$1:$L$24,8,FALSE)+'BMP P Tracking Table'!$Z17*VLOOKUP('BMP P Tracking Table'!$Q17,'Loading Rates'!$B$1:$L$24,9,FALSE),'BMP P Tracking Table'!$AA17*VLOOKUP('BMP P Tracking Table'!$Q17,'Loading Rates'!$B$1:$L$24,10,FALSE)),"")</f>
        <v/>
      </c>
      <c r="AE17" s="175" t="str">
        <f>IFERROR(MIN(2,IF('BMP P Tracking Table'!$V17="Total Pervious",(-(3630*'BMP P Tracking Table'!$U17+20.691*'BMP P Tracking Table'!$AA17)+SQRT((3630*'BMP P Tracking Table'!$U17+20.691*'BMP P Tracking Table'!$AA17)^2-(4*(996.798*'BMP P Tracking Table'!$AA17)*-'BMP P Tracking Table'!$AB17)))/(2*(996.798*'BMP P Tracking Table'!$AA17)),IF(SUM('BMP P Tracking Table'!$W17:$Z17)=0,'BMP P Tracking Table'!$AB17/(-3630*'BMP P Tracking Table'!$U17),(-(3630*'BMP P Tracking Table'!$U17+20.691*'BMP P Tracking Table'!$Z17-216.711*'BMP P Tracking Table'!$Y17-83.853*'BMP P Tracking Table'!$X17-42.834*'BMP P Tracking Table'!$W17)+SQRT((3630*'BMP P Tracking Table'!$U17+20.691*'BMP P Tracking Table'!$Z17-216.711*'BMP P Tracking Table'!$Y17-83.853*'BMP P Tracking Table'!$X17-42.834*'BMP P Tracking Table'!$W17)^2-(4*(149.919*'BMP P Tracking Table'!$W17+236.676*'BMP P Tracking Table'!$X17+726*'BMP P Tracking Table'!$Y17+996.798*'BMP P Tracking Table'!$Z17)*-'BMP P Tracking Table'!$AB17)))/(2*(149.919*'BMP P Tracking Table'!$W17+236.676*'BMP P Tracking Table'!$X17+726*'BMP P Tracking Table'!$Y17+996.798*'BMP P Tracking Table'!$Z17))))),"")</f>
        <v/>
      </c>
      <c r="AF17" s="175" t="str">
        <f>IFERROR((VLOOKUP(CONCATENATE('BMP P Tracking Table'!$T17," ",'BMP P Tracking Table'!$AC17),'Performance Curves'!$C$1:$L$45,MATCH('BMP P Tracking Table'!$AE17,'Performance Curves'!$E$1:$L$1,1)+2,FALSE)-VLOOKUP(CONCATENATE('BMP P Tracking Table'!$T17," ",'BMP P Tracking Table'!$AC17),'Performance Curves'!$C$1:$L$45,MATCH('BMP P Tracking Table'!$AE17,'Performance Curves'!$E$1:$L$1,1)+1,FALSE)),"")</f>
        <v/>
      </c>
      <c r="AG17" s="175" t="str">
        <f>IFERROR(('BMP P Tracking Table'!$AE17-INDEX('Performance Curves'!$E$1:$L$1,1,MATCH('BMP P Tracking Table'!$AE17,'Performance Curves'!$E$1:$L$1,1)))/(INDEX('Performance Curves'!$E$1:$L$1,1,MATCH('BMP P Tracking Table'!$AE17,'Performance Curves'!$E$1:$L$1,1)+1)-INDEX('Performance Curves'!$E$1:$L$1,1,MATCH('BMP P Tracking Table'!$AE17,'Performance Curves'!$E$1:$L$1,1))),"")</f>
        <v/>
      </c>
      <c r="AH17" s="176" t="str">
        <f>IFERROR(IF('BMP P Tracking Table'!$AE17=2,VLOOKUP(CONCATENATE('BMP P Tracking Table'!$T17," ",'BMP P Tracking Table'!$AC17),'Performance Curves'!$C$1:$L$45,MATCH('BMP P Tracking Table'!$AE17,'Performance Curves'!$E$1:$L$1,1)+1,FALSE),'BMP P Tracking Table'!$AF17*'BMP P Tracking Table'!$AG17+VLOOKUP(CONCATENATE('BMP P Tracking Table'!$T17," ",'BMP P Tracking Table'!$AC17),'Performance Curves'!$C$1:$L$45,MATCH('BMP P Tracking Table'!$AE17,'Performance Curves'!$E$1:$L$1,1)+1,FALSE)),"")</f>
        <v/>
      </c>
      <c r="AI17" s="175" t="str">
        <f>IFERROR('BMP P Tracking Table'!$AH17*'BMP P Tracking Table'!$AD17,"")</f>
        <v/>
      </c>
      <c r="AJ17" s="173">
        <f t="shared" si="5"/>
        <v>0</v>
      </c>
      <c r="AK17" s="169"/>
      <c r="AL17" s="173"/>
      <c r="AM17" s="177">
        <v>1</v>
      </c>
      <c r="AN17" s="178">
        <f t="shared" si="1"/>
        <v>0</v>
      </c>
      <c r="AO17" s="110"/>
      <c r="AP17" s="110"/>
      <c r="AQ17" s="110"/>
      <c r="AR17" s="110"/>
      <c r="AS17" s="110"/>
      <c r="AT17" s="110"/>
      <c r="AU17" s="110"/>
      <c r="AV17" s="106"/>
      <c r="AW17" s="111"/>
      <c r="AX17" s="111"/>
      <c r="AY17" s="108"/>
      <c r="AZ17" s="108"/>
      <c r="BA17" s="108"/>
      <c r="BB17" s="108"/>
      <c r="BC17" s="109"/>
      <c r="BD17" s="108"/>
      <c r="BE17" s="110"/>
      <c r="BF17" s="112"/>
      <c r="BH17" s="130"/>
      <c r="BI17" s="112"/>
      <c r="BK17" s="113" t="str">
        <f t="shared" si="4"/>
        <v>Laplatte River</v>
      </c>
      <c r="BN17" s="168" t="s">
        <v>392</v>
      </c>
    </row>
    <row r="18" spans="1:77" s="113" customFormat="1" ht="17.399999999999999" customHeight="1" x14ac:dyDescent="0.3">
      <c r="A18" s="169" t="s">
        <v>293</v>
      </c>
      <c r="B18" s="169" t="s">
        <v>311</v>
      </c>
      <c r="C18" s="169" t="s">
        <v>312</v>
      </c>
      <c r="D18" s="169" t="s">
        <v>6</v>
      </c>
      <c r="E18" s="170" t="s">
        <v>313</v>
      </c>
      <c r="F18" s="170" t="s">
        <v>313</v>
      </c>
      <c r="G18" s="169" t="s">
        <v>119</v>
      </c>
      <c r="H18" s="169" t="s">
        <v>313</v>
      </c>
      <c r="I18" s="169" t="s">
        <v>66</v>
      </c>
      <c r="J18" s="171">
        <v>439000</v>
      </c>
      <c r="K18" s="169" t="s">
        <v>49</v>
      </c>
      <c r="L18" s="196" t="s">
        <v>452</v>
      </c>
      <c r="M18" s="169"/>
      <c r="N18" s="169"/>
      <c r="O18" s="169"/>
      <c r="P18" s="169" t="s">
        <v>34</v>
      </c>
      <c r="Q18" s="169" t="str">
        <f>IFERROR(VLOOKUP('BMP P Tracking Table'!$P18,Dropdowns!$C$2:$E$15,3,FALSE),"")</f>
        <v>Laplatte River</v>
      </c>
      <c r="R18" s="169" t="str">
        <f>IFERROR(VLOOKUP('BMP P Tracking Table'!$Q18,Dropdowns!$P$3:$Q$23,2,FALSE),"")</f>
        <v>Shelburne Bay</v>
      </c>
      <c r="S18" s="169" t="s">
        <v>66</v>
      </c>
      <c r="T18" s="169" t="s">
        <v>47</v>
      </c>
      <c r="U18" s="173">
        <v>2.7</v>
      </c>
      <c r="V18" s="169" t="s">
        <v>219</v>
      </c>
      <c r="W18" s="169"/>
      <c r="X18" s="169"/>
      <c r="Y18" s="169"/>
      <c r="Z18" s="169"/>
      <c r="AA18" s="169">
        <v>6.95</v>
      </c>
      <c r="AB18" s="174">
        <v>20037</v>
      </c>
      <c r="AC18" s="169" t="s">
        <v>205</v>
      </c>
      <c r="AD18" s="175">
        <f>IFERROR('BMP P Tracking Table'!$U18*VLOOKUP('BMP P Tracking Table'!$Q18,'Loading Rates'!$B$1:$L$24,4,FALSE)+IF('BMP P Tracking Table'!$V18="By HSG",'BMP P Tracking Table'!$W18*VLOOKUP('BMP P Tracking Table'!$Q18,'Loading Rates'!$B$1:$L$24,6,FALSE)+'BMP P Tracking Table'!$X18*VLOOKUP('BMP P Tracking Table'!$Q18,'Loading Rates'!$B$1:$L$24,7,FALSE)+'BMP P Tracking Table'!$Y18*VLOOKUP('BMP P Tracking Table'!$Q18,'Loading Rates'!$B$1:$L$24,8,FALSE)+'BMP P Tracking Table'!$Z18*VLOOKUP('BMP P Tracking Table'!$Q18,'Loading Rates'!$B$1:$L$24,9,FALSE),'BMP P Tracking Table'!$AA18*VLOOKUP('BMP P Tracking Table'!$Q18,'Loading Rates'!$B$1:$L$24,10,FALSE)),"")</f>
        <v>3.7658000000000005</v>
      </c>
      <c r="AE18" s="175">
        <f>IFERROR(MIN(2,IF('BMP P Tracking Table'!$V18="Total Pervious",(-(3630*'BMP P Tracking Table'!$U18+20.691*'BMP P Tracking Table'!$AA18)+SQRT((3630*'BMP P Tracking Table'!$U18+20.691*'BMP P Tracking Table'!$AA18)^2-(4*(996.798*'BMP P Tracking Table'!$AA18)*-'BMP P Tracking Table'!$AB18)))/(2*(996.798*'BMP P Tracking Table'!$AA18)),IF(SUM('BMP P Tracking Table'!$W18:$Z18)=0,'BMP P Tracking Table'!$AB18/(-3630*'BMP P Tracking Table'!$U18),(-(3630*'BMP P Tracking Table'!$U18+20.691*'BMP P Tracking Table'!$Z18-216.711*'BMP P Tracking Table'!$Y18-83.853*'BMP P Tracking Table'!$X18-42.834*'BMP P Tracking Table'!$W18)+SQRT((3630*'BMP P Tracking Table'!$U18+20.691*'BMP P Tracking Table'!$Z18-216.711*'BMP P Tracking Table'!$Y18-83.853*'BMP P Tracking Table'!$X18-42.834*'BMP P Tracking Table'!$W18)^2-(4*(149.919*'BMP P Tracking Table'!$W18+236.676*'BMP P Tracking Table'!$X18+726*'BMP P Tracking Table'!$Y18+996.798*'BMP P Tracking Table'!$Z18)*-'BMP P Tracking Table'!$AB18)))/(2*(149.919*'BMP P Tracking Table'!$W18+236.676*'BMP P Tracking Table'!$X18+726*'BMP P Tracking Table'!$Y18+996.798*'BMP P Tracking Table'!$Z18))))),"")</f>
        <v>1.1281763260728532</v>
      </c>
      <c r="AF18" s="175">
        <f>IFERROR((VLOOKUP(CONCATENATE('BMP P Tracking Table'!$T18," ",'BMP P Tracking Table'!$AC18),'Performance Curves'!$C$1:$L$45,MATCH('BMP P Tracking Table'!$AE18,'Performance Curves'!$E$1:$L$1,1)+2,FALSE)-VLOOKUP(CONCATENATE('BMP P Tracking Table'!$T18," ",'BMP P Tracking Table'!$AC18),'Performance Curves'!$C$1:$L$45,MATCH('BMP P Tracking Table'!$AE18,'Performance Curves'!$E$1:$L$1,1)+1,FALSE)),"")</f>
        <v>1.0000000000000009E-2</v>
      </c>
      <c r="AG18" s="175">
        <f>IFERROR(('BMP P Tracking Table'!$AE18-INDEX('Performance Curves'!$E$1:$L$1,1,MATCH('BMP P Tracking Table'!$AE18,'Performance Curves'!$E$1:$L$1,1)))/(INDEX('Performance Curves'!$E$1:$L$1,1,MATCH('BMP P Tracking Table'!$AE18,'Performance Curves'!$E$1:$L$1,1)+1)-INDEX('Performance Curves'!$E$1:$L$1,1,MATCH('BMP P Tracking Table'!$AE18,'Performance Curves'!$E$1:$L$1,1))),"")</f>
        <v>0.25635265214570646</v>
      </c>
      <c r="AH18" s="176">
        <f>IFERROR(IF('BMP P Tracking Table'!$AE18=2,VLOOKUP(CONCATENATE('BMP P Tracking Table'!$T18," ",'BMP P Tracking Table'!$AC18),'Performance Curves'!$C$1:$L$45,MATCH('BMP P Tracking Table'!$AE18,'Performance Curves'!$E$1:$L$1,1)+1,FALSE),'BMP P Tracking Table'!$AF18*'BMP P Tracking Table'!$AG18+VLOOKUP(CONCATENATE('BMP P Tracking Table'!$T18," ",'BMP P Tracking Table'!$AC18),'Performance Curves'!$C$1:$L$45,MATCH('BMP P Tracking Table'!$AE18,'Performance Curves'!$E$1:$L$1,1)+1,FALSE)),"")</f>
        <v>0.99256352652145707</v>
      </c>
      <c r="AI18" s="175">
        <f>IFERROR('BMP P Tracking Table'!$AH18*'BMP P Tracking Table'!$AD18,"")</f>
        <v>3.7377957281745036</v>
      </c>
      <c r="AJ18" s="173">
        <f>BI18</f>
        <v>3.7377957281745036</v>
      </c>
      <c r="AK18" s="169" t="s">
        <v>62</v>
      </c>
      <c r="AL18" s="173"/>
      <c r="AM18" s="177">
        <v>1</v>
      </c>
      <c r="AN18" s="178">
        <f t="shared" si="1"/>
        <v>3.7377957281745036</v>
      </c>
      <c r="AO18" s="110"/>
      <c r="AP18" s="110"/>
      <c r="AQ18" s="110"/>
      <c r="AR18" s="110"/>
      <c r="AS18" s="110"/>
      <c r="AT18" s="110"/>
      <c r="AU18" s="110"/>
      <c r="AV18" s="106"/>
      <c r="AW18" s="111"/>
      <c r="AX18" s="111"/>
      <c r="AY18" s="108" t="str">
        <f>IF('BMP P Tracking Table'!$AK18="Yes",IF('BMP P Tracking Table'!$AL18="No",'BMP P Tracking Table'!$U18*VLOOKUP('BMP P Tracking Table'!$Q18,'Loading Rates'!$B$1:$L$24,4,FALSE)+IF('BMP P Tracking Table'!$V18="By HSG",'BMP P Tracking Table'!$W18*VLOOKUP('BMP P Tracking Table'!$Q18,'Loading Rates'!$B$1:$L$24,6,FALSE)+'BMP P Tracking Table'!$X18*VLOOKUP('BMP P Tracking Table'!$Q18,'Loading Rates'!$B$1:$L$24,7,FALSE)+'BMP P Tracking Table'!$Y18*VLOOKUP('BMP P Tracking Table'!$Q18,'Loading Rates'!$B$1:$L$24,8,FALSE)+'BMP P Tracking Table'!$Z18*VLOOKUP('BMP P Tracking Table'!$Q18,'Loading Rates'!$B$1:$L$24,9,FALSE),'BMP P Tracking Table'!$AA18*VLOOKUP('BMP P Tracking Table'!$Q18,'Loading Rates'!$B$1:$L$24,10,FALSE)),'BMP P Tracking Table'!$AO18*VLOOKUP('BMP P Tracking Table'!$Q18,'Loading Rates'!$B$1:$L$24,4,FALSE)+IF('BMP P Tracking Table'!$AP18="By HSG",'BMP P Tracking Table'!$AQ18*VLOOKUP('BMP P Tracking Table'!$Q18,'Loading Rates'!$B$1:$L$24,6,FALSE)+'BMP P Tracking Table'!$AR18*VLOOKUP('BMP P Tracking Table'!$Q18,'Loading Rates'!$B$1:$L$24,7,FALSE)+'BMP P Tracking Table'!$AS18*VLOOKUP('BMP P Tracking Table'!$Q18,'Loading Rates'!$B$1:$L$24,8,FALSE)+'BMP P Tracking Table'!$AT18*VLOOKUP('BMP P Tracking Table'!$Q18,'Loading Rates'!$B$1:$L$24,9,FALSE),'BMP P Tracking Table'!$AU18*VLOOKUP('BMP P Tracking Table'!$Q18,'Loading Rates'!$B$1:$L$24,10,FALSE))),"")</f>
        <v/>
      </c>
      <c r="AZ18" s="108">
        <f>IFERROR(IF('BMP P Tracking Table'!$AL18="Yes",MIN(2,IF('BMP P Tracking Table'!$AP18="Total Pervious",(-(3630*'BMP P Tracking Table'!$AO18+20.691*'BMP P Tracking Table'!$AU18)+SQRT((3630*'BMP P Tracking Table'!$AO18+20.691*'BMP P Tracking Table'!$AU18)^2-(4*(996.798*'BMP P Tracking Table'!$AU18)*-'BMP P Tracking Table'!$AW18)))/(2*(996.798*'BMP P Tracking Table'!$AU18)),IF(SUM('BMP P Tracking Table'!$AQ18:$AT18)=0,'BMP P Tracking Table'!$AU18/(-3630*'BMP P Tracking Table'!$AO18),(-(3630*'BMP P Tracking Table'!$AO18+20.691*'BMP P Tracking Table'!$AT18-216.711*'BMP P Tracking Table'!$AS18-83.853*'BMP P Tracking Table'!$AR18-42.834*'BMP P Tracking Table'!$AQ18)+SQRT((3630*'BMP P Tracking Table'!$AO18+20.691*'BMP P Tracking Table'!$AT18-216.711*'BMP P Tracking Table'!$AS18-83.853*'BMP P Tracking Table'!$AR18-42.834*'BMP P Tracking Table'!$AQ18)^2-(4*(149.919*'BMP P Tracking Table'!$AQ18+236.676*'BMP P Tracking Table'!$AR18+726*'BMP P Tracking Table'!$AS18+996.798*'BMP P Tracking Table'!$AT18)*-'BMP P Tracking Table'!$AW18)))/(2*(149.919*'BMP P Tracking Table'!$AQ18+236.676*'BMP P Tracking Table'!$AR18+726*'BMP P Tracking Table'!$AS18+996.798*'BMP P Tracking Table'!$AT18))))),MIN(2,IF('BMP P Tracking Table'!$AP18="Total Pervious",(-(3630*'BMP P Tracking Table'!$U18+20.691*'BMP P Tracking Table'!$AA18)+SQRT((3630*'BMP P Tracking Table'!$U18+20.691*'BMP P Tracking Table'!$AA18)^2-(4*(996.798*'BMP P Tracking Table'!$AA18)*-'BMP P Tracking Table'!$AW18)))/(2*(996.798*'BMP P Tracking Table'!$AA18)),IF(SUM('BMP P Tracking Table'!$W18:$Z18)=0,'BMP P Tracking Table'!$AW18/(-3630*'BMP P Tracking Table'!$U18),(-(3630*'BMP P Tracking Table'!$U18+20.691*'BMP P Tracking Table'!$Z18-216.711*'BMP P Tracking Table'!$Y18-83.853*'BMP P Tracking Table'!$X18-42.834*'BMP P Tracking Table'!$W18)+SQRT((3630*'BMP P Tracking Table'!$U18+20.691*'BMP P Tracking Table'!$Z18-216.711*'BMP P Tracking Table'!$Y18-83.853*'BMP P Tracking Table'!$X18-42.834*'BMP P Tracking Table'!$W18)^2-(4*(149.919*'BMP P Tracking Table'!$W18+236.676*'BMP P Tracking Table'!$X18+726*'BMP P Tracking Table'!$Y18+996.798*'BMP P Tracking Table'!$Z18)*-'BMP P Tracking Table'!$AW18)))/(2*(149.919*'BMP P Tracking Table'!$W18+236.676*'BMP P Tracking Table'!$X18+726*'BMP P Tracking Table'!$Y18+996.798*'BMP P Tracking Table'!$Z18)))))),"")</f>
        <v>0</v>
      </c>
      <c r="BA18" s="108" t="str">
        <f>IFERROR((VLOOKUP(CONCATENATE('BMP P Tracking Table'!$AV18," ",'BMP P Tracking Table'!$AX18),'Performance Curves'!$C$1:$L$45,MATCH('BMP P Tracking Table'!$AZ18,'Performance Curves'!$E$1:$L$1,1)+2,FALSE)-VLOOKUP(CONCATENATE('BMP P Tracking Table'!$AV18," ",'BMP P Tracking Table'!$AX18),'Performance Curves'!$C$1:$L$45,MATCH('BMP P Tracking Table'!$AZ18,'Performance Curves'!$E$1:$L$1,1)+1,FALSE)),"")</f>
        <v/>
      </c>
      <c r="BB18" s="108" t="str">
        <f>IFERROR(('BMP P Tracking Table'!$AZ18-INDEX('Performance Curves'!$E$1:$L$1,1,MATCH('BMP P Tracking Table'!$AZ18,'Performance Curves'!$E$1:$L$1,1)))/(INDEX('Performance Curves'!$E$1:$L$1,1,MATCH('BMP P Tracking Table'!$AZ18,'Performance Curves'!$E$1:$L$1,1)+1)-INDEX('Performance Curves'!$E$1:$L$1,1,MATCH('BMP P Tracking Table'!$AZ18,'Performance Curves'!$E$1:$L$1,1))),"")</f>
        <v/>
      </c>
      <c r="BC18" s="109" t="str">
        <f>IFERROR(IF('BMP P Tracking Table'!$AZ18=2,VLOOKUP(CONCATENATE('BMP P Tracking Table'!$AV18," ",'BMP P Tracking Table'!$AX18),'Performance Curves'!$C$1:$L$44,MATCH('BMP P Tracking Table'!$AZ18,'Performance Curves'!$E$1:$L$1,1)+1,FALSE),'BMP P Tracking Table'!$BA18*'BMP P Tracking Table'!$BB18+VLOOKUP(CONCATENATE('BMP P Tracking Table'!$AV18," ",'BMP P Tracking Table'!$AX18),'Performance Curves'!$C$1:$L$44,MATCH('BMP P Tracking Table'!$AZ18,'Performance Curves'!$E$1:$L$1,1)+1,FALSE)),"")</f>
        <v/>
      </c>
      <c r="BD18" s="108" t="str">
        <f>IFERROR('BMP P Tracking Table'!$BC18*'BMP P Tracking Table'!$AY18,"")</f>
        <v/>
      </c>
      <c r="BE18" s="110"/>
      <c r="BF18" s="112">
        <f>IFERROR(BD18+BE18,0)</f>
        <v>0</v>
      </c>
      <c r="BH18" s="183">
        <v>0.99256352652145707</v>
      </c>
      <c r="BI18" s="112">
        <f>AD18*BH18</f>
        <v>3.7377957281745036</v>
      </c>
      <c r="BK18" s="113" t="str">
        <f t="shared" si="4"/>
        <v>Laplatte River</v>
      </c>
      <c r="BM18" s="113" t="s">
        <v>390</v>
      </c>
      <c r="BN18" s="168" t="s">
        <v>392</v>
      </c>
    </row>
    <row r="19" spans="1:77" s="113" customFormat="1" ht="17.399999999999999" customHeight="1" x14ac:dyDescent="0.3">
      <c r="A19" s="169" t="s">
        <v>393</v>
      </c>
      <c r="B19" s="169" t="s">
        <v>415</v>
      </c>
      <c r="C19" s="169" t="s">
        <v>312</v>
      </c>
      <c r="D19" s="169" t="s">
        <v>6</v>
      </c>
      <c r="E19" s="170">
        <v>44.462060000000001</v>
      </c>
      <c r="F19" s="170">
        <v>-73.154679999999999</v>
      </c>
      <c r="G19" s="169" t="s">
        <v>394</v>
      </c>
      <c r="H19" s="169" t="s">
        <v>313</v>
      </c>
      <c r="I19" s="169" t="s">
        <v>62</v>
      </c>
      <c r="J19" s="171"/>
      <c r="K19" s="169" t="s">
        <v>111</v>
      </c>
      <c r="L19" s="196" t="s">
        <v>63</v>
      </c>
      <c r="M19" s="172"/>
      <c r="N19" s="169"/>
      <c r="O19" s="169"/>
      <c r="P19" s="169" t="s">
        <v>34</v>
      </c>
      <c r="Q19" s="169" t="s">
        <v>147</v>
      </c>
      <c r="R19" s="169" t="s">
        <v>130</v>
      </c>
      <c r="S19" s="169" t="s">
        <v>66</v>
      </c>
      <c r="T19" s="169" t="s">
        <v>164</v>
      </c>
      <c r="U19" s="173">
        <v>0.57299999999999995</v>
      </c>
      <c r="V19" s="169" t="s">
        <v>219</v>
      </c>
      <c r="W19" s="169"/>
      <c r="X19" s="169"/>
      <c r="Y19" s="169"/>
      <c r="Z19" s="169"/>
      <c r="AA19" s="169">
        <v>0.40500000000000003</v>
      </c>
      <c r="AB19" s="174">
        <v>3223.44</v>
      </c>
      <c r="AC19" s="169" t="s">
        <v>205</v>
      </c>
      <c r="AD19" s="175">
        <f>IFERROR('BMP P Tracking Table'!$U19*VLOOKUP('BMP P Tracking Table'!$Q19,'Loading Rates'!$B$1:$L$24,4,FALSE)+IF('BMP P Tracking Table'!$V19="By HSG",'BMP P Tracking Table'!$W19*VLOOKUP('BMP P Tracking Table'!$Q19,'Loading Rates'!$B$1:$L$24,6,FALSE)+'BMP P Tracking Table'!$X19*VLOOKUP('BMP P Tracking Table'!$Q19,'Loading Rates'!$B$1:$L$24,7,FALSE)+'BMP P Tracking Table'!$Y19*VLOOKUP('BMP P Tracking Table'!$Q19,'Loading Rates'!$B$1:$L$24,8,FALSE)+'BMP P Tracking Table'!$Z19*VLOOKUP('BMP P Tracking Table'!$Q19,'Loading Rates'!$B$1:$L$24,9,FALSE),'BMP P Tracking Table'!$AA19*VLOOKUP('BMP P Tracking Table'!$Q19,'Loading Rates'!$B$1:$L$24,10,FALSE)),"")</f>
        <v>0.61515600000000004</v>
      </c>
      <c r="AE19" s="175">
        <f>IFERROR(MIN(2,IF('BMP P Tracking Table'!$V19="Total Pervious",(-(3630*'BMP P Tracking Table'!$U19+20.691*'BMP P Tracking Table'!$AA19)+SQRT((3630*'BMP P Tracking Table'!$U19+20.691*'BMP P Tracking Table'!$AA19)^2-(4*(996.798*'BMP P Tracking Table'!$AA19)*-'BMP P Tracking Table'!$AB19)))/(2*(996.798*'BMP P Tracking Table'!$AA19)),IF(SUM('BMP P Tracking Table'!$W19:$Z19)=0,'BMP P Tracking Table'!$AB19/(-3630*'BMP P Tracking Table'!$U19),(-(3630*'BMP P Tracking Table'!$U19+20.691*'BMP P Tracking Table'!$Z19-216.711*'BMP P Tracking Table'!$Y19-83.853*'BMP P Tracking Table'!$X19-42.834*'BMP P Tracking Table'!$W19)+SQRT((3630*'BMP P Tracking Table'!$U19+20.691*'BMP P Tracking Table'!$Z19-216.711*'BMP P Tracking Table'!$Y19-83.853*'BMP P Tracking Table'!$X19-42.834*'BMP P Tracking Table'!$W19)^2-(4*(149.919*'BMP P Tracking Table'!$W19+236.676*'BMP P Tracking Table'!$X19+726*'BMP P Tracking Table'!$Y19+996.798*'BMP P Tracking Table'!$Z19)*-'BMP P Tracking Table'!$AB19)))/(2*(149.919*'BMP P Tracking Table'!$W19+236.676*'BMP P Tracking Table'!$X19+726*'BMP P Tracking Table'!$Y19+996.798*'BMP P Tracking Table'!$Z19))))),"")</f>
        <v>1.2442465921130954</v>
      </c>
      <c r="AF19" s="175">
        <f>IFERROR((VLOOKUP(CONCATENATE('BMP P Tracking Table'!$T19," ",'BMP P Tracking Table'!$AC19),'Performance Curves'!$C$1:$L$45,MATCH('BMP P Tracking Table'!$AE19,'Performance Curves'!$E$1:$L$1,1)+2,FALSE)-VLOOKUP(CONCATENATE('BMP P Tracking Table'!$T19," ",'BMP P Tracking Table'!$AC19),'Performance Curves'!$C$1:$L$45,MATCH('BMP P Tracking Table'!$AE19,'Performance Curves'!$E$1:$L$1,1)+1,FALSE)),"")</f>
        <v>1.0000000000000009E-2</v>
      </c>
      <c r="AG19" s="175">
        <f>IFERROR(('BMP P Tracking Table'!$AE19-INDEX('Performance Curves'!$E$1:$L$1,1,MATCH('BMP P Tracking Table'!$AE19,'Performance Curves'!$E$1:$L$1,1)))/(INDEX('Performance Curves'!$E$1:$L$1,1,MATCH('BMP P Tracking Table'!$AE19,'Performance Curves'!$E$1:$L$1,1)+1)-INDEX('Performance Curves'!$E$1:$L$1,1,MATCH('BMP P Tracking Table'!$AE19,'Performance Curves'!$E$1:$L$1,1))),"")</f>
        <v>0.48849318422619081</v>
      </c>
      <c r="AH19" s="176">
        <f>IFERROR(IF('BMP P Tracking Table'!$AE19=2,VLOOKUP(CONCATENATE('BMP P Tracking Table'!$T19," ",'BMP P Tracking Table'!$AC19),'Performance Curves'!$C$1:$L$45,MATCH('BMP P Tracking Table'!$AE19,'Performance Curves'!$E$1:$L$1,1)+1,FALSE),'BMP P Tracking Table'!$AF19*'BMP P Tracking Table'!$AG19+VLOOKUP(CONCATENATE('BMP P Tracking Table'!$T19," ",'BMP P Tracking Table'!$AC19),'Performance Curves'!$C$1:$L$45,MATCH('BMP P Tracking Table'!$AE19,'Performance Curves'!$E$1:$L$1,1)+1,FALSE)),"")</f>
        <v>0.9948849318422619</v>
      </c>
      <c r="AI19" s="175">
        <f>IFERROR('BMP P Tracking Table'!$AH19*'BMP P Tracking Table'!$AD19,"")</f>
        <v>0.6120094351323585</v>
      </c>
      <c r="AJ19" s="173">
        <f>BI19</f>
        <v>0</v>
      </c>
      <c r="AK19" s="169"/>
      <c r="AL19" s="173"/>
      <c r="AM19" s="177">
        <v>1</v>
      </c>
      <c r="AN19" s="178">
        <f t="shared" si="1"/>
        <v>0</v>
      </c>
      <c r="AO19" s="110"/>
      <c r="AP19" s="110"/>
      <c r="AQ19" s="110"/>
      <c r="AR19" s="110"/>
      <c r="AS19" s="110"/>
      <c r="AT19" s="110"/>
      <c r="AU19" s="110"/>
      <c r="AV19" s="106"/>
      <c r="AW19" s="111"/>
      <c r="AX19" s="111"/>
      <c r="AY19" s="108"/>
      <c r="AZ19" s="108"/>
      <c r="BA19" s="108"/>
      <c r="BB19" s="108"/>
      <c r="BC19" s="109"/>
      <c r="BD19" s="108"/>
      <c r="BE19" s="110"/>
      <c r="BF19" s="112"/>
      <c r="BH19" s="130"/>
      <c r="BI19" s="112"/>
      <c r="BN19" s="168" t="s">
        <v>392</v>
      </c>
      <c r="BP19" s="112"/>
      <c r="BQ19" s="112"/>
    </row>
    <row r="20" spans="1:77" s="113" customFormat="1" ht="17.399999999999999" customHeight="1" x14ac:dyDescent="0.3">
      <c r="A20" s="169" t="s">
        <v>398</v>
      </c>
      <c r="B20" s="169" t="s">
        <v>395</v>
      </c>
      <c r="C20" s="169" t="s">
        <v>312</v>
      </c>
      <c r="D20" s="169" t="s">
        <v>6</v>
      </c>
      <c r="E20" s="170" t="s">
        <v>313</v>
      </c>
      <c r="F20" s="170" t="s">
        <v>313</v>
      </c>
      <c r="G20" s="169" t="s">
        <v>396</v>
      </c>
      <c r="H20" s="169" t="s">
        <v>313</v>
      </c>
      <c r="I20" s="169" t="s">
        <v>66</v>
      </c>
      <c r="J20" s="171"/>
      <c r="K20" s="169" t="s">
        <v>111</v>
      </c>
      <c r="L20" s="196"/>
      <c r="M20" s="172"/>
      <c r="N20" s="169"/>
      <c r="O20" s="169"/>
      <c r="P20" s="169" t="s">
        <v>34</v>
      </c>
      <c r="Q20" s="169" t="s">
        <v>147</v>
      </c>
      <c r="R20" s="169" t="s">
        <v>130</v>
      </c>
      <c r="S20" s="169" t="s">
        <v>66</v>
      </c>
      <c r="T20" s="169" t="s">
        <v>164</v>
      </c>
      <c r="U20" s="173">
        <v>3.82</v>
      </c>
      <c r="V20" s="169" t="s">
        <v>219</v>
      </c>
      <c r="W20" s="169"/>
      <c r="X20" s="169"/>
      <c r="Y20" s="169"/>
      <c r="Z20" s="169"/>
      <c r="AA20" s="169">
        <v>1.44</v>
      </c>
      <c r="AB20" s="174">
        <v>8925.8799999999992</v>
      </c>
      <c r="AC20" s="169" t="s">
        <v>205</v>
      </c>
      <c r="AD20" s="175">
        <f>IFERROR('BMP P Tracking Table'!$U20*VLOOKUP('BMP P Tracking Table'!$Q20,'Loading Rates'!$B$1:$L$24,4,FALSE)+IF('BMP P Tracking Table'!$V20="By HSG",'BMP P Tracking Table'!$W20*VLOOKUP('BMP P Tracking Table'!$Q20,'Loading Rates'!$B$1:$L$24,6,FALSE)+'BMP P Tracking Table'!$X20*VLOOKUP('BMP P Tracking Table'!$Q20,'Loading Rates'!$B$1:$L$24,7,FALSE)+'BMP P Tracking Table'!$Y20*VLOOKUP('BMP P Tracking Table'!$Q20,'Loading Rates'!$B$1:$L$24,8,FALSE)+'BMP P Tracking Table'!$Z20*VLOOKUP('BMP P Tracking Table'!$Q20,'Loading Rates'!$B$1:$L$24,9,FALSE),'BMP P Tracking Table'!$AA20*VLOOKUP('BMP P Tracking Table'!$Q20,'Loading Rates'!$B$1:$L$24,10,FALSE)),"")</f>
        <v>3.8843199999999998</v>
      </c>
      <c r="AE20" s="175">
        <f>IFERROR(MIN(2,IF('BMP P Tracking Table'!$V20="Total Pervious",(-(3630*'BMP P Tracking Table'!$U20+20.691*'BMP P Tracking Table'!$AA20)+SQRT((3630*'BMP P Tracking Table'!$U20+20.691*'BMP P Tracking Table'!$AA20)^2-(4*(996.798*'BMP P Tracking Table'!$AA20)*-'BMP P Tracking Table'!$AB20)))/(2*(996.798*'BMP P Tracking Table'!$AA20)),IF(SUM('BMP P Tracking Table'!$W20:$Z20)=0,'BMP P Tracking Table'!$AB20/(-3630*'BMP P Tracking Table'!$U20),(-(3630*'BMP P Tracking Table'!$U20+20.691*'BMP P Tracking Table'!$Z20-216.711*'BMP P Tracking Table'!$Y20-83.853*'BMP P Tracking Table'!$X20-42.834*'BMP P Tracking Table'!$W20)+SQRT((3630*'BMP P Tracking Table'!$U20+20.691*'BMP P Tracking Table'!$Z20-216.711*'BMP P Tracking Table'!$Y20-83.853*'BMP P Tracking Table'!$X20-42.834*'BMP P Tracking Table'!$W20)^2-(4*(149.919*'BMP P Tracking Table'!$W20+236.676*'BMP P Tracking Table'!$X20+726*'BMP P Tracking Table'!$Y20+996.798*'BMP P Tracking Table'!$Z20)*-'BMP P Tracking Table'!$AB20)))/(2*(149.919*'BMP P Tracking Table'!$W20+236.676*'BMP P Tracking Table'!$X20+726*'BMP P Tracking Table'!$Y20+996.798*'BMP P Tracking Table'!$Z20))))),"")</f>
        <v>0.60456326480199452</v>
      </c>
      <c r="AF20" s="175">
        <f>IFERROR((VLOOKUP(CONCATENATE('BMP P Tracking Table'!$T20," ",'BMP P Tracking Table'!$AC20),'Performance Curves'!$C$1:$L$45,MATCH('BMP P Tracking Table'!$AE20,'Performance Curves'!$E$1:$L$1,1)+2,FALSE)-VLOOKUP(CONCATENATE('BMP P Tracking Table'!$T20," ",'BMP P Tracking Table'!$AC20),'Performance Curves'!$C$1:$L$45,MATCH('BMP P Tracking Table'!$AE20,'Performance Curves'!$E$1:$L$1,1)+1,FALSE)),"")</f>
        <v>4.0000000000000036E-2</v>
      </c>
      <c r="AG20" s="175">
        <f>IFERROR(('BMP P Tracking Table'!$AE20-INDEX('Performance Curves'!$E$1:$L$1,1,MATCH('BMP P Tracking Table'!$AE20,'Performance Curves'!$E$1:$L$1,1)))/(INDEX('Performance Curves'!$E$1:$L$1,1,MATCH('BMP P Tracking Table'!$AE20,'Performance Curves'!$E$1:$L$1,1)+1)-INDEX('Performance Curves'!$E$1:$L$1,1,MATCH('BMP P Tracking Table'!$AE20,'Performance Curves'!$E$1:$L$1,1))),"")</f>
        <v>2.2816324009972681E-2</v>
      </c>
      <c r="AH20" s="176">
        <f>IFERROR(IF('BMP P Tracking Table'!$AE20=2,VLOOKUP(CONCATENATE('BMP P Tracking Table'!$T20," ",'BMP P Tracking Table'!$AC20),'Performance Curves'!$C$1:$L$45,MATCH('BMP P Tracking Table'!$AE20,'Performance Curves'!$E$1:$L$1,1)+1,FALSE),'BMP P Tracking Table'!$AF20*'BMP P Tracking Table'!$AG20+VLOOKUP(CONCATENATE('BMP P Tracking Table'!$T20," ",'BMP P Tracking Table'!$AC20),'Performance Curves'!$C$1:$L$45,MATCH('BMP P Tracking Table'!$AE20,'Performance Curves'!$E$1:$L$1,1)+1,FALSE)),"")</f>
        <v>0.94091265296039883</v>
      </c>
      <c r="AI20" s="175">
        <f>IFERROR('BMP P Tracking Table'!$AH20*'BMP P Tracking Table'!$AD20,"")</f>
        <v>3.6548058361471361</v>
      </c>
      <c r="AJ20" s="173">
        <f>BI20</f>
        <v>0</v>
      </c>
      <c r="AK20" s="169"/>
      <c r="AL20" s="173"/>
      <c r="AM20" s="177">
        <v>1</v>
      </c>
      <c r="AN20" s="178">
        <f t="shared" si="1"/>
        <v>0</v>
      </c>
      <c r="AO20" s="110"/>
      <c r="AP20" s="110"/>
      <c r="AQ20" s="110"/>
      <c r="AR20" s="110"/>
      <c r="AS20" s="110"/>
      <c r="AT20" s="110"/>
      <c r="AU20" s="110"/>
      <c r="AV20" s="106"/>
      <c r="AW20" s="111"/>
      <c r="AX20" s="111"/>
      <c r="AY20" s="108"/>
      <c r="AZ20" s="108"/>
      <c r="BA20" s="108"/>
      <c r="BB20" s="108"/>
      <c r="BC20" s="109"/>
      <c r="BD20" s="108"/>
      <c r="BE20" s="110"/>
      <c r="BF20" s="112"/>
      <c r="BH20" s="130"/>
      <c r="BI20" s="112"/>
      <c r="BN20" s="168" t="s">
        <v>392</v>
      </c>
      <c r="BP20" s="112"/>
      <c r="BQ20" s="112"/>
    </row>
    <row r="21" spans="1:77" s="113" customFormat="1" ht="17.399999999999999" customHeight="1" x14ac:dyDescent="0.3">
      <c r="A21" s="169" t="s">
        <v>423</v>
      </c>
      <c r="B21" s="169" t="s">
        <v>424</v>
      </c>
      <c r="C21" s="169" t="s">
        <v>312</v>
      </c>
      <c r="D21" s="169" t="s">
        <v>6</v>
      </c>
      <c r="E21" s="170">
        <v>44.465833000000003</v>
      </c>
      <c r="F21" s="170">
        <v>-73.151388999999995</v>
      </c>
      <c r="G21" s="169" t="s">
        <v>425</v>
      </c>
      <c r="H21" s="169" t="s">
        <v>313</v>
      </c>
      <c r="I21" s="169" t="s">
        <v>66</v>
      </c>
      <c r="J21" s="171"/>
      <c r="K21" s="169" t="s">
        <v>111</v>
      </c>
      <c r="L21" s="196"/>
      <c r="M21" s="172"/>
      <c r="N21" s="169"/>
      <c r="O21" s="169"/>
      <c r="P21" s="169" t="s">
        <v>34</v>
      </c>
      <c r="Q21" s="169" t="s">
        <v>147</v>
      </c>
      <c r="R21" s="169" t="s">
        <v>130</v>
      </c>
      <c r="S21" s="169" t="s">
        <v>66</v>
      </c>
      <c r="T21" s="169" t="s">
        <v>232</v>
      </c>
      <c r="U21" s="173">
        <v>0.5</v>
      </c>
      <c r="V21" s="169" t="s">
        <v>219</v>
      </c>
      <c r="W21" s="169"/>
      <c r="X21" s="169"/>
      <c r="Y21" s="169"/>
      <c r="Z21" s="169"/>
      <c r="AA21" s="169">
        <v>7.3461890000000002E-2</v>
      </c>
      <c r="AB21" s="174">
        <v>5823.96</v>
      </c>
      <c r="AC21" s="169"/>
      <c r="AD21" s="175">
        <f>IFERROR('BMP P Tracking Table'!$U21*VLOOKUP('BMP P Tracking Table'!$Q21,'Loading Rates'!$B$1:$L$24,4,FALSE)+IF('BMP P Tracking Table'!$V21="By HSG",'BMP P Tracking Table'!$W21*VLOOKUP('BMP P Tracking Table'!$Q21,'Loading Rates'!$B$1:$L$24,6,FALSE)+'BMP P Tracking Table'!$X21*VLOOKUP('BMP P Tracking Table'!$Q21,'Loading Rates'!$B$1:$L$24,7,FALSE)+'BMP P Tracking Table'!$Y21*VLOOKUP('BMP P Tracking Table'!$Q21,'Loading Rates'!$B$1:$L$24,8,FALSE)+'BMP P Tracking Table'!$Z21*VLOOKUP('BMP P Tracking Table'!$Q21,'Loading Rates'!$B$1:$L$24,9,FALSE),'BMP P Tracking Table'!$AA21*VLOOKUP('BMP P Tracking Table'!$Q21,'Loading Rates'!$B$1:$L$24,10,FALSE)),"")</f>
        <v>0.48863544507999995</v>
      </c>
      <c r="AE21" s="175">
        <f>IFERROR(MIN(2,IF('BMP P Tracking Table'!$V21="Total Pervious",(-(3630*'BMP P Tracking Table'!$U21+20.691*'BMP P Tracking Table'!$AA21)+SQRT((3630*'BMP P Tracking Table'!$U21+20.691*'BMP P Tracking Table'!$AA21)^2-(4*(996.798*'BMP P Tracking Table'!$AA21)*-'BMP P Tracking Table'!$AB21)))/(2*(996.798*'BMP P Tracking Table'!$AA21)),IF(SUM('BMP P Tracking Table'!$W21:$Z21)=0,'BMP P Tracking Table'!$AB21/(-3630*'BMP P Tracking Table'!$U21),(-(3630*'BMP P Tracking Table'!$U21+20.691*'BMP P Tracking Table'!$Z21-216.711*'BMP P Tracking Table'!$Y21-83.853*'BMP P Tracking Table'!$X21-42.834*'BMP P Tracking Table'!$W21)+SQRT((3630*'BMP P Tracking Table'!$U21+20.691*'BMP P Tracking Table'!$Z21-216.711*'BMP P Tracking Table'!$Y21-83.853*'BMP P Tracking Table'!$X21-42.834*'BMP P Tracking Table'!$W21)^2-(4*(149.919*'BMP P Tracking Table'!$W21+236.676*'BMP P Tracking Table'!$X21+726*'BMP P Tracking Table'!$Y21+996.798*'BMP P Tracking Table'!$Z21)*-'BMP P Tracking Table'!$AB21)))/(2*(149.919*'BMP P Tracking Table'!$W21+236.676*'BMP P Tracking Table'!$X21+726*'BMP P Tracking Table'!$Y21+996.798*'BMP P Tracking Table'!$Z21))))),"")</f>
        <v>2</v>
      </c>
      <c r="AF21" s="175">
        <f>IFERROR((VLOOKUP(CONCATENATE('BMP P Tracking Table'!$T21," ",'BMP P Tracking Table'!$AC21),'Performance Curves'!$C$1:$L$45,MATCH('BMP P Tracking Table'!$AE21,'Performance Curves'!$E$1:$L$1,1)+2,FALSE)-VLOOKUP(CONCATENATE('BMP P Tracking Table'!$T21," ",'BMP P Tracking Table'!$AC21),'Performance Curves'!$C$1:$L$45,MATCH('BMP P Tracking Table'!$AE21,'Performance Curves'!$E$1:$L$1,1)+1,FALSE)),"")</f>
        <v>7.0000000000000007E-2</v>
      </c>
      <c r="AG21" s="175" t="str">
        <f>IFERROR(('BMP P Tracking Table'!$AE21-INDEX('Performance Curves'!$E$1:$L$1,1,MATCH('BMP P Tracking Table'!$AE21,'Performance Curves'!$E$1:$L$1,1)))/(INDEX('Performance Curves'!$E$1:$L$1,1,MATCH('BMP P Tracking Table'!$AE21,'Performance Curves'!$E$1:$L$1,1)+1)-INDEX('Performance Curves'!$E$1:$L$1,1,MATCH('BMP P Tracking Table'!$AE21,'Performance Curves'!$E$1:$L$1,1))),"")</f>
        <v/>
      </c>
      <c r="AH21" s="176">
        <f>IFERROR(IF('BMP P Tracking Table'!$AE21=2,VLOOKUP(CONCATENATE('BMP P Tracking Table'!$T21," ",'BMP P Tracking Table'!$AC21),'Performance Curves'!$C$1:$L$45,MATCH('BMP P Tracking Table'!$AE21,'Performance Curves'!$E$1:$L$1,1)+1,FALSE),'BMP P Tracking Table'!$AF21*'BMP P Tracking Table'!$AG21+VLOOKUP(CONCATENATE('BMP P Tracking Table'!$T21," ",'BMP P Tracking Table'!$AC21),'Performance Curves'!$C$1:$L$45,MATCH('BMP P Tracking Table'!$AE21,'Performance Curves'!$E$1:$L$1,1)+1,FALSE)),"")</f>
        <v>0.28999999999999998</v>
      </c>
      <c r="AI21" s="175">
        <f>IFERROR('BMP P Tracking Table'!$AH21*'BMP P Tracking Table'!$AD21,"")</f>
        <v>0.14170427907319999</v>
      </c>
      <c r="AJ21" s="173">
        <f>BI21</f>
        <v>0</v>
      </c>
      <c r="AK21" s="169"/>
      <c r="AL21" s="173"/>
      <c r="AM21" s="177">
        <v>1</v>
      </c>
      <c r="AN21" s="178">
        <f>IF(AK21="Yes",IF(BF21&gt;0,IF(ISBLANK(AJ21),AI21,AJ21)-IF(ISBLANK(BE21),BD21,BE21),"Enter Info --&gt;"),IF(ISBLANK(AJ21),AI21,AJ21))</f>
        <v>0</v>
      </c>
      <c r="AO21" s="110"/>
      <c r="AP21" s="110"/>
      <c r="AQ21" s="110"/>
      <c r="AR21" s="110"/>
      <c r="AS21" s="110"/>
      <c r="AT21" s="110"/>
      <c r="AU21" s="110"/>
      <c r="AV21" s="106"/>
      <c r="AW21" s="111"/>
      <c r="AX21" s="111"/>
      <c r="AY21" s="108"/>
      <c r="AZ21" s="108"/>
      <c r="BA21" s="108"/>
      <c r="BB21" s="108"/>
      <c r="BC21" s="109"/>
      <c r="BD21" s="108"/>
      <c r="BE21" s="110"/>
      <c r="BF21" s="112"/>
      <c r="BH21" s="130"/>
      <c r="BI21" s="112"/>
      <c r="BN21" s="168"/>
      <c r="BP21" s="112"/>
      <c r="BQ21" s="112"/>
    </row>
    <row r="22" spans="1:77" s="113" customFormat="1" ht="17.399999999999999" customHeight="1" x14ac:dyDescent="0.3">
      <c r="A22" s="169" t="s">
        <v>426</v>
      </c>
      <c r="B22" s="169" t="s">
        <v>427</v>
      </c>
      <c r="C22" s="169" t="s">
        <v>312</v>
      </c>
      <c r="D22" s="169" t="s">
        <v>6</v>
      </c>
      <c r="E22" s="170">
        <v>44.468220000000002</v>
      </c>
      <c r="F22" s="170">
        <v>-73.154020000000003</v>
      </c>
      <c r="G22" s="169" t="s">
        <v>428</v>
      </c>
      <c r="H22" s="169" t="s">
        <v>313</v>
      </c>
      <c r="I22" s="169" t="s">
        <v>66</v>
      </c>
      <c r="J22" s="171"/>
      <c r="K22" s="169" t="s">
        <v>111</v>
      </c>
      <c r="L22" s="196" t="s">
        <v>430</v>
      </c>
      <c r="M22" s="172"/>
      <c r="N22" s="169"/>
      <c r="O22" s="169"/>
      <c r="P22" s="169" t="s">
        <v>34</v>
      </c>
      <c r="Q22" s="169" t="s">
        <v>147</v>
      </c>
      <c r="R22" s="169" t="s">
        <v>130</v>
      </c>
      <c r="S22" s="169" t="s">
        <v>62</v>
      </c>
      <c r="T22" s="169"/>
      <c r="U22" s="173"/>
      <c r="V22" s="169"/>
      <c r="W22" s="169"/>
      <c r="X22" s="169"/>
      <c r="Y22" s="169"/>
      <c r="Z22" s="169"/>
      <c r="AA22" s="169"/>
      <c r="AB22" s="174"/>
      <c r="AC22" s="169"/>
      <c r="AD22" s="175">
        <f>IFERROR('BMP P Tracking Table'!$U22*VLOOKUP('BMP P Tracking Table'!$Q22,'Loading Rates'!$B$1:$L$24,4,FALSE)+IF('BMP P Tracking Table'!$V22="By HSG",'BMP P Tracking Table'!$W22*VLOOKUP('BMP P Tracking Table'!$Q22,'Loading Rates'!$B$1:$L$24,6,FALSE)+'BMP P Tracking Table'!$X22*VLOOKUP('BMP P Tracking Table'!$Q22,'Loading Rates'!$B$1:$L$24,7,FALSE)+'BMP P Tracking Table'!$Y22*VLOOKUP('BMP P Tracking Table'!$Q22,'Loading Rates'!$B$1:$L$24,8,FALSE)+'BMP P Tracking Table'!$Z22*VLOOKUP('BMP P Tracking Table'!$Q22,'Loading Rates'!$B$1:$L$24,9,FALSE),'BMP P Tracking Table'!$AA22*VLOOKUP('BMP P Tracking Table'!$Q22,'Loading Rates'!$B$1:$L$24,10,FALSE)),"")</f>
        <v>0</v>
      </c>
      <c r="AE22" s="175" t="str">
        <f>IFERROR(MIN(2,IF('BMP P Tracking Table'!$V22="Total Pervious",(-(3630*'BMP P Tracking Table'!$U22+20.691*'BMP P Tracking Table'!$AA22)+SQRT((3630*'BMP P Tracking Table'!$U22+20.691*'BMP P Tracking Table'!$AA22)^2-(4*(996.798*'BMP P Tracking Table'!$AA22)*-'BMP P Tracking Table'!$AB22)))/(2*(996.798*'BMP P Tracking Table'!$AA22)),IF(SUM('BMP P Tracking Table'!$W22:$Z22)=0,'BMP P Tracking Table'!$AB22/(-3630*'BMP P Tracking Table'!$U22),(-(3630*'BMP P Tracking Table'!$U22+20.691*'BMP P Tracking Table'!$Z22-216.711*'BMP P Tracking Table'!$Y22-83.853*'BMP P Tracking Table'!$X22-42.834*'BMP P Tracking Table'!$W22)+SQRT((3630*'BMP P Tracking Table'!$U22+20.691*'BMP P Tracking Table'!$Z22-216.711*'BMP P Tracking Table'!$Y22-83.853*'BMP P Tracking Table'!$X22-42.834*'BMP P Tracking Table'!$W22)^2-(4*(149.919*'BMP P Tracking Table'!$W22+236.676*'BMP P Tracking Table'!$X22+726*'BMP P Tracking Table'!$Y22+996.798*'BMP P Tracking Table'!$Z22)*-'BMP P Tracking Table'!$AB22)))/(2*(149.919*'BMP P Tracking Table'!$W22+236.676*'BMP P Tracking Table'!$X22+726*'BMP P Tracking Table'!$Y22+996.798*'BMP P Tracking Table'!$Z22))))),"")</f>
        <v/>
      </c>
      <c r="AF22" s="175" t="str">
        <f>IFERROR((VLOOKUP(CONCATENATE('BMP P Tracking Table'!$T22," ",'BMP P Tracking Table'!$AC22),'Performance Curves'!$C$1:$L$45,MATCH('BMP P Tracking Table'!$AE22,'Performance Curves'!$E$1:$L$1,1)+2,FALSE)-VLOOKUP(CONCATENATE('BMP P Tracking Table'!$T22," ",'BMP P Tracking Table'!$AC22),'Performance Curves'!$C$1:$L$45,MATCH('BMP P Tracking Table'!$AE22,'Performance Curves'!$E$1:$L$1,1)+1,FALSE)),"")</f>
        <v/>
      </c>
      <c r="AG22" s="175" t="str">
        <f>IFERROR(('BMP P Tracking Table'!$AE22-INDEX('Performance Curves'!$E$1:$L$1,1,MATCH('BMP P Tracking Table'!$AE22,'Performance Curves'!$E$1:$L$1,1)))/(INDEX('Performance Curves'!$E$1:$L$1,1,MATCH('BMP P Tracking Table'!$AE22,'Performance Curves'!$E$1:$L$1,1)+1)-INDEX('Performance Curves'!$E$1:$L$1,1,MATCH('BMP P Tracking Table'!$AE22,'Performance Curves'!$E$1:$L$1,1))),"")</f>
        <v/>
      </c>
      <c r="AH22" s="176" t="str">
        <f>IFERROR(IF('BMP P Tracking Table'!$AE22=2,VLOOKUP(CONCATENATE('BMP P Tracking Table'!$T22," ",'BMP P Tracking Table'!$AC22),'Performance Curves'!$C$1:$L$45,MATCH('BMP P Tracking Table'!$AE22,'Performance Curves'!$E$1:$L$1,1)+1,FALSE),'BMP P Tracking Table'!$AF22*'BMP P Tracking Table'!$AG22+VLOOKUP(CONCATENATE('BMP P Tracking Table'!$T22," ",'BMP P Tracking Table'!$AC22),'Performance Curves'!$C$1:$L$45,MATCH('BMP P Tracking Table'!$AE22,'Performance Curves'!$E$1:$L$1,1)+1,FALSE)),"")</f>
        <v/>
      </c>
      <c r="AI22" s="175" t="str">
        <f>IFERROR('BMP P Tracking Table'!$AH22*'BMP P Tracking Table'!$AD22,"")</f>
        <v/>
      </c>
      <c r="AJ22" s="173">
        <f t="shared" ref="AJ22" si="6">BI22</f>
        <v>0</v>
      </c>
      <c r="AK22" s="169" t="s">
        <v>63</v>
      </c>
      <c r="AL22" s="173"/>
      <c r="AM22" s="177">
        <v>1</v>
      </c>
      <c r="AN22" s="178">
        <f t="shared" ref="AN22" si="7">IF(AK22="Yes",IF(BF22&gt;0,IF(ISBLANK(AJ22),AI22,AJ22)-IF(ISBLANK(BE22),BD22,BE22),"Enter Info --&gt;"),IF(ISBLANK(AJ22),AI22,AJ22))</f>
        <v>0</v>
      </c>
      <c r="AO22" s="110"/>
      <c r="AP22" s="110"/>
      <c r="AQ22" s="110"/>
      <c r="AR22" s="110"/>
      <c r="AS22" s="110"/>
      <c r="AT22" s="110"/>
      <c r="AU22" s="110"/>
      <c r="AV22" s="106"/>
      <c r="AW22" s="111"/>
      <c r="AX22" s="111"/>
      <c r="AY22" s="108"/>
      <c r="AZ22" s="108"/>
      <c r="BA22" s="108"/>
      <c r="BB22" s="108"/>
      <c r="BC22" s="109"/>
      <c r="BD22" s="108"/>
      <c r="BE22" s="110"/>
      <c r="BF22" s="112"/>
      <c r="BH22" s="130"/>
      <c r="BI22" s="112"/>
      <c r="BN22" s="168"/>
      <c r="BP22" s="112"/>
      <c r="BQ22" s="112"/>
    </row>
    <row r="23" spans="1:77" s="113" customFormat="1" ht="17.399999999999999" customHeight="1" x14ac:dyDescent="0.3">
      <c r="A23" s="169" t="s">
        <v>458</v>
      </c>
      <c r="B23" s="169" t="s">
        <v>456</v>
      </c>
      <c r="C23" s="169" t="s">
        <v>312</v>
      </c>
      <c r="D23" s="169" t="s">
        <v>6</v>
      </c>
      <c r="E23" s="170">
        <v>44.467759999999998</v>
      </c>
      <c r="F23" s="170">
        <v>-73.153040000000004</v>
      </c>
      <c r="G23" s="169" t="s">
        <v>457</v>
      </c>
      <c r="H23" s="169"/>
      <c r="I23" s="169" t="s">
        <v>66</v>
      </c>
      <c r="J23" s="171"/>
      <c r="K23" s="169" t="s">
        <v>110</v>
      </c>
      <c r="L23" s="196">
        <v>2023</v>
      </c>
      <c r="M23" s="172"/>
      <c r="N23" s="169"/>
      <c r="O23" s="169"/>
      <c r="P23" s="169" t="s">
        <v>33</v>
      </c>
      <c r="Q23" s="169" t="s">
        <v>147</v>
      </c>
      <c r="R23" s="169" t="s">
        <v>130</v>
      </c>
      <c r="S23" s="169" t="s">
        <v>66</v>
      </c>
      <c r="T23" s="169" t="s">
        <v>164</v>
      </c>
      <c r="U23" s="173">
        <f>0.43+0.06</f>
        <v>0.49</v>
      </c>
      <c r="V23" s="169" t="s">
        <v>219</v>
      </c>
      <c r="W23" s="169"/>
      <c r="X23" s="169"/>
      <c r="Y23" s="169"/>
      <c r="Z23" s="169"/>
      <c r="AA23" s="169">
        <f>2.77-0.43-0.06</f>
        <v>2.2799999999999998</v>
      </c>
      <c r="AB23" s="174">
        <f>0.2611*43560</f>
        <v>11373.516</v>
      </c>
      <c r="AC23" s="169" t="s">
        <v>205</v>
      </c>
      <c r="AD23" s="175">
        <f>IFERROR('BMP P Tracking Table'!$U23*VLOOKUP('BMP P Tracking Table'!$Q23,'Loading Rates'!$B$1:$L$24,4,FALSE)+IF('BMP P Tracking Table'!$V23="By HSG",'BMP P Tracking Table'!$W23*VLOOKUP('BMP P Tracking Table'!$Q23,'Loading Rates'!$B$1:$L$24,6,FALSE)+'BMP P Tracking Table'!$X23*VLOOKUP('BMP P Tracking Table'!$Q23,'Loading Rates'!$B$1:$L$24,7,FALSE)+'BMP P Tracking Table'!$Y23*VLOOKUP('BMP P Tracking Table'!$Q23,'Loading Rates'!$B$1:$L$24,8,FALSE)+'BMP P Tracking Table'!$Z23*VLOOKUP('BMP P Tracking Table'!$Q23,'Loading Rates'!$B$1:$L$24,9,FALSE),'BMP P Tracking Table'!$AA23*VLOOKUP('BMP P Tracking Table'!$Q23,'Loading Rates'!$B$1:$L$24,10,FALSE)),"")</f>
        <v>0.85863999999999985</v>
      </c>
      <c r="AE23" s="175">
        <f>IFERROR(MIN(2,IF('BMP P Tracking Table'!$V23="Total Pervious",(-(3630*'BMP P Tracking Table'!$U23+20.691*'BMP P Tracking Table'!$AA23)+SQRT((3630*'BMP P Tracking Table'!$U23+20.691*'BMP P Tracking Table'!$AA23)^2-(4*(996.798*'BMP P Tracking Table'!$AA23)*-'BMP P Tracking Table'!$AB23)))/(2*(996.798*'BMP P Tracking Table'!$AA23)),IF(SUM('BMP P Tracking Table'!$W23:$Z23)=0,'BMP P Tracking Table'!$AB23/(-3630*'BMP P Tracking Table'!$U23),(-(3630*'BMP P Tracking Table'!$U23+20.691*'BMP P Tracking Table'!$Z23-216.711*'BMP P Tracking Table'!$Y23-83.853*'BMP P Tracking Table'!$X23-42.834*'BMP P Tracking Table'!$W23)+SQRT((3630*'BMP P Tracking Table'!$U23+20.691*'BMP P Tracking Table'!$Z23-216.711*'BMP P Tracking Table'!$Y23-83.853*'BMP P Tracking Table'!$X23-42.834*'BMP P Tracking Table'!$W23)^2-(4*(149.919*'BMP P Tracking Table'!$W23+236.676*'BMP P Tracking Table'!$X23+726*'BMP P Tracking Table'!$Y23+996.798*'BMP P Tracking Table'!$Z23)*-'BMP P Tracking Table'!$AB23)))/(2*(149.919*'BMP P Tracking Table'!$W23+236.676*'BMP P Tracking Table'!$X23+726*'BMP P Tracking Table'!$Y23+996.798*'BMP P Tracking Table'!$Z23))))),"")</f>
        <v>1.8711353390200791</v>
      </c>
      <c r="AF23" s="175">
        <f>IFERROR((VLOOKUP(CONCATENATE('BMP P Tracking Table'!$T23," ",'BMP P Tracking Table'!$AC23),'Performance Curves'!$C$1:$L$45,MATCH('BMP P Tracking Table'!$AE23,'Performance Curves'!$E$1:$L$1,1)+2,FALSE)-VLOOKUP(CONCATENATE('BMP P Tracking Table'!$T23," ",'BMP P Tracking Table'!$AC23),'Performance Curves'!$C$1:$L$45,MATCH('BMP P Tracking Table'!$AE23,'Performance Curves'!$E$1:$L$1,1)+1,FALSE)),"")</f>
        <v>0</v>
      </c>
      <c r="AG23" s="175">
        <f>IFERROR(('BMP P Tracking Table'!$AE23-INDEX('Performance Curves'!$E$1:$L$1,1,MATCH('BMP P Tracking Table'!$AE23,'Performance Curves'!$E$1:$L$1,1)))/(INDEX('Performance Curves'!$E$1:$L$1,1,MATCH('BMP P Tracking Table'!$AE23,'Performance Curves'!$E$1:$L$1,1)+1)-INDEX('Performance Curves'!$E$1:$L$1,1,MATCH('BMP P Tracking Table'!$AE23,'Performance Curves'!$E$1:$L$1,1))),"")</f>
        <v>0.74227067804015823</v>
      </c>
      <c r="AH23" s="176">
        <f>IFERROR(IF('BMP P Tracking Table'!$AE23=2,VLOOKUP(CONCATENATE('BMP P Tracking Table'!$T23," ",'BMP P Tracking Table'!$AC23),'Performance Curves'!$C$1:$L$45,MATCH('BMP P Tracking Table'!$AE23,'Performance Curves'!$E$1:$L$1,1)+1,FALSE),'BMP P Tracking Table'!$AF23*'BMP P Tracking Table'!$AG23+VLOOKUP(CONCATENATE('BMP P Tracking Table'!$T23," ",'BMP P Tracking Table'!$AC23),'Performance Curves'!$C$1:$L$45,MATCH('BMP P Tracking Table'!$AE23,'Performance Curves'!$E$1:$L$1,1)+1,FALSE)),"")</f>
        <v>1</v>
      </c>
      <c r="AI23" s="175">
        <f>IFERROR('BMP P Tracking Table'!$AH23*'BMP P Tracking Table'!$AD23,"")</f>
        <v>0.85863999999999985</v>
      </c>
      <c r="AJ23" s="173">
        <f>BI23</f>
        <v>0</v>
      </c>
      <c r="AK23" s="169" t="s">
        <v>63</v>
      </c>
      <c r="AL23" s="173"/>
      <c r="AM23" s="177">
        <v>1</v>
      </c>
      <c r="AN23" s="178">
        <f>IF(AK23="Yes",IF(BF23&gt;0,IF(ISBLANK(AJ23),AI23,AJ23)-IF(ISBLANK(BE23),BD23,BE23),"Enter Info --&gt;"),IF(ISBLANK(AJ23),AI23,AJ23))</f>
        <v>0</v>
      </c>
      <c r="AO23" s="110"/>
      <c r="AP23" s="110"/>
      <c r="AQ23" s="110"/>
      <c r="AR23" s="110"/>
      <c r="AS23" s="110"/>
      <c r="AT23" s="110"/>
      <c r="AU23" s="110"/>
      <c r="AV23" s="106"/>
      <c r="AW23" s="111"/>
      <c r="AX23" s="111"/>
      <c r="AY23" s="108"/>
      <c r="AZ23" s="108"/>
      <c r="BA23" s="108"/>
      <c r="BB23" s="108"/>
      <c r="BC23" s="109"/>
      <c r="BD23" s="108"/>
      <c r="BE23" s="110"/>
      <c r="BF23" s="112"/>
      <c r="BH23" s="130"/>
      <c r="BI23" s="112"/>
      <c r="BN23" s="168"/>
      <c r="BP23" s="112"/>
      <c r="BQ23" s="112"/>
    </row>
    <row r="24" spans="1:77" s="113" customFormat="1" ht="17.399999999999999" customHeight="1" x14ac:dyDescent="0.3">
      <c r="A24" s="169"/>
      <c r="B24" s="169"/>
      <c r="C24" s="169"/>
      <c r="D24" s="169"/>
      <c r="E24" s="170"/>
      <c r="F24" s="170"/>
      <c r="G24" s="169"/>
      <c r="H24" s="169"/>
      <c r="I24" s="169"/>
      <c r="J24" s="171"/>
      <c r="K24" s="169"/>
      <c r="L24" s="196"/>
      <c r="M24" s="172"/>
      <c r="N24" s="169"/>
      <c r="O24" s="169"/>
      <c r="P24" s="169"/>
      <c r="Q24" s="169"/>
      <c r="R24" s="169"/>
      <c r="S24" s="169"/>
      <c r="T24" s="169"/>
      <c r="U24" s="173"/>
      <c r="V24" s="169"/>
      <c r="W24" s="169"/>
      <c r="X24" s="169"/>
      <c r="Y24" s="169"/>
      <c r="Z24" s="169"/>
      <c r="AA24" s="169"/>
      <c r="AB24" s="174"/>
      <c r="AC24" s="169"/>
      <c r="AD24" s="175"/>
      <c r="AE24" s="175"/>
      <c r="AF24" s="175"/>
      <c r="AG24" s="175"/>
      <c r="AH24" s="176"/>
      <c r="AI24" s="175"/>
      <c r="AJ24" s="173"/>
      <c r="AK24" s="169"/>
      <c r="AL24" s="173"/>
      <c r="AM24" s="177"/>
      <c r="AN24" s="178"/>
      <c r="AO24" s="110"/>
      <c r="AP24" s="110"/>
      <c r="AQ24" s="110"/>
      <c r="AR24" s="110"/>
      <c r="AS24" s="110"/>
      <c r="AT24" s="110"/>
      <c r="AU24" s="110"/>
      <c r="AV24" s="106"/>
      <c r="AW24" s="111"/>
      <c r="AX24" s="111"/>
      <c r="AY24" s="108"/>
      <c r="AZ24" s="108"/>
      <c r="BA24" s="108"/>
      <c r="BB24" s="108"/>
      <c r="BC24" s="109"/>
      <c r="BD24" s="108"/>
      <c r="BE24" s="110"/>
      <c r="BF24" s="112"/>
      <c r="BH24" s="130"/>
      <c r="BI24" s="112"/>
      <c r="BN24" s="168"/>
      <c r="BP24" s="112"/>
      <c r="BQ24" s="112"/>
    </row>
    <row r="25" spans="1:77" s="113" customFormat="1" ht="17.399999999999999" customHeight="1" x14ac:dyDescent="0.3">
      <c r="A25" s="169"/>
      <c r="B25" s="169"/>
      <c r="C25" s="169"/>
      <c r="D25" s="169"/>
      <c r="E25" s="170"/>
      <c r="F25" s="170"/>
      <c r="G25" s="169"/>
      <c r="H25" s="169"/>
      <c r="I25" s="169"/>
      <c r="J25" s="171"/>
      <c r="K25" s="169"/>
      <c r="L25" s="196"/>
      <c r="M25" s="172"/>
      <c r="N25" s="169"/>
      <c r="O25" s="169"/>
      <c r="P25" s="169"/>
      <c r="Q25" s="169"/>
      <c r="R25" s="169"/>
      <c r="S25" s="169"/>
      <c r="T25" s="169"/>
      <c r="U25" s="173"/>
      <c r="V25" s="169"/>
      <c r="W25" s="169"/>
      <c r="X25" s="169"/>
      <c r="Y25" s="169"/>
      <c r="Z25" s="169"/>
      <c r="AA25" s="169"/>
      <c r="AB25" s="174"/>
      <c r="AC25" s="169"/>
      <c r="AD25" s="175"/>
      <c r="AE25" s="175"/>
      <c r="AF25" s="175"/>
      <c r="AG25" s="175"/>
      <c r="AH25" s="176"/>
      <c r="AI25" s="175"/>
      <c r="AJ25" s="173"/>
      <c r="AK25" s="169"/>
      <c r="AL25" s="173"/>
      <c r="AM25" s="177"/>
      <c r="AN25" s="178"/>
      <c r="AO25" s="110"/>
      <c r="AP25" s="110"/>
      <c r="AQ25" s="110"/>
      <c r="AR25" s="110"/>
      <c r="AS25" s="110"/>
      <c r="AT25" s="110"/>
      <c r="AU25" s="110"/>
      <c r="AV25" s="106"/>
      <c r="AW25" s="111"/>
      <c r="AX25" s="111"/>
      <c r="AY25" s="108"/>
      <c r="AZ25" s="108"/>
      <c r="BA25" s="108"/>
      <c r="BB25" s="108"/>
      <c r="BC25" s="109"/>
      <c r="BD25" s="108"/>
      <c r="BE25" s="110"/>
      <c r="BF25" s="112"/>
      <c r="BH25" s="130"/>
      <c r="BI25" s="112"/>
      <c r="BN25" s="168"/>
      <c r="BP25" s="112"/>
      <c r="BQ25" s="112"/>
    </row>
    <row r="26" spans="1:77" s="113" customFormat="1" ht="17.399999999999999" customHeight="1" x14ac:dyDescent="0.3">
      <c r="A26" s="148" t="s">
        <v>417</v>
      </c>
      <c r="B26" s="169"/>
      <c r="C26" s="169"/>
      <c r="D26" s="169"/>
      <c r="E26" s="170"/>
      <c r="F26" s="170"/>
      <c r="G26" s="169"/>
      <c r="H26" s="169"/>
      <c r="I26" s="169"/>
      <c r="J26" s="171"/>
      <c r="K26" s="169"/>
      <c r="L26" s="169"/>
      <c r="M26" s="172"/>
      <c r="N26" s="169"/>
      <c r="O26" s="169"/>
      <c r="P26" s="169"/>
      <c r="Q26" s="169"/>
      <c r="R26" s="169"/>
      <c r="S26" s="169"/>
      <c r="T26" s="169"/>
      <c r="U26" s="173"/>
      <c r="V26" s="169"/>
      <c r="W26" s="169"/>
      <c r="X26" s="169"/>
      <c r="Y26" s="169"/>
      <c r="Z26" s="169"/>
      <c r="AA26" s="169"/>
      <c r="AB26" s="174"/>
      <c r="AC26" s="169"/>
      <c r="AD26" s="175"/>
      <c r="AE26" s="175"/>
      <c r="AF26" s="175"/>
      <c r="AG26" s="175"/>
      <c r="AH26" s="176"/>
      <c r="AI26" s="175"/>
      <c r="AJ26" s="173"/>
      <c r="AK26" s="169"/>
      <c r="AL26" s="173"/>
      <c r="AM26" s="177"/>
      <c r="AN26" s="178"/>
      <c r="AO26" s="110"/>
      <c r="AP26" s="110"/>
      <c r="AQ26" s="110"/>
      <c r="AR26" s="110"/>
      <c r="AS26" s="110"/>
      <c r="AT26" s="110"/>
      <c r="AU26" s="110"/>
      <c r="AV26" s="106"/>
      <c r="AW26" s="111"/>
      <c r="AX26" s="111"/>
      <c r="AY26" s="108"/>
      <c r="AZ26" s="108"/>
      <c r="BA26" s="108"/>
      <c r="BB26" s="108"/>
      <c r="BC26" s="109"/>
      <c r="BD26" s="108"/>
      <c r="BE26" s="110"/>
      <c r="BF26" s="112"/>
      <c r="BH26" s="208">
        <f>SUM(AN27:AN51)</f>
        <v>59.371496626925278</v>
      </c>
      <c r="BI26" s="112"/>
      <c r="BN26" s="168"/>
      <c r="BP26" s="112"/>
      <c r="BQ26" s="112"/>
    </row>
    <row r="27" spans="1:77" x14ac:dyDescent="0.3">
      <c r="A27" s="197" t="s">
        <v>377</v>
      </c>
      <c r="B27" s="198" t="s">
        <v>419</v>
      </c>
      <c r="C27" s="197" t="s">
        <v>312</v>
      </c>
      <c r="D27" s="197" t="s">
        <v>6</v>
      </c>
      <c r="E27" s="199">
        <v>44.482390000000002</v>
      </c>
      <c r="F27" s="199">
        <v>-73.169989999999999</v>
      </c>
      <c r="G27" s="197" t="s">
        <v>385</v>
      </c>
      <c r="H27" s="197" t="s">
        <v>314</v>
      </c>
      <c r="I27" s="197" t="s">
        <v>66</v>
      </c>
      <c r="J27" s="200"/>
      <c r="K27" s="197" t="s">
        <v>111</v>
      </c>
      <c r="L27" s="197"/>
      <c r="M27" s="201" t="s">
        <v>382</v>
      </c>
      <c r="N27" s="172"/>
      <c r="O27" s="197" t="s">
        <v>62</v>
      </c>
      <c r="P27" s="197" t="s">
        <v>119</v>
      </c>
      <c r="Q27" s="197" t="s">
        <v>146</v>
      </c>
      <c r="R27" s="197" t="s">
        <v>129</v>
      </c>
      <c r="S27" s="197" t="s">
        <v>66</v>
      </c>
      <c r="T27" s="197" t="s">
        <v>215</v>
      </c>
      <c r="U27" s="195">
        <v>10.71</v>
      </c>
      <c r="V27" s="197" t="s">
        <v>219</v>
      </c>
      <c r="W27" s="197"/>
      <c r="X27" s="197"/>
      <c r="Y27" s="197"/>
      <c r="Z27" s="197"/>
      <c r="AA27" s="197">
        <v>47.31</v>
      </c>
      <c r="AB27" s="202">
        <v>110555</v>
      </c>
      <c r="AC27" s="197" t="s">
        <v>206</v>
      </c>
      <c r="AD27" s="193">
        <f>IFERROR('BMP P Tracking Table'!$U27*VLOOKUP('BMP P Tracking Table'!$Q27,'Loading Rates'!$B$1:$L$24,4,FALSE)+IF('BMP P Tracking Table'!$V27="By HSG",'BMP P Tracking Table'!$W27*VLOOKUP('BMP P Tracking Table'!$Q27,'Loading Rates'!$B$1:$L$24,6,FALSE)+'BMP P Tracking Table'!$X27*VLOOKUP('BMP P Tracking Table'!$Q27,'Loading Rates'!$B$1:$L$24,7,FALSE)+'BMP P Tracking Table'!$Y27*VLOOKUP('BMP P Tracking Table'!$Q27,'Loading Rates'!$B$1:$L$24,8,FALSE)+'BMP P Tracking Table'!$Z27*VLOOKUP('BMP P Tracking Table'!$Q27,'Loading Rates'!$B$1:$L$24,9,FALSE),'BMP P Tracking Table'!$AA27*VLOOKUP('BMP P Tracking Table'!$Q27,'Loading Rates'!$B$1:$L$24,10,FALSE)),"")</f>
        <v>22.891680000000001</v>
      </c>
      <c r="AE27" s="193">
        <f>IFERROR(MIN(2,IF('BMP P Tracking Table'!$V27="Total Pervious",(-(3630*'BMP P Tracking Table'!$U27+20.691*'BMP P Tracking Table'!$AA27)+SQRT((3630*'BMP P Tracking Table'!$U27+20.691*'BMP P Tracking Table'!$AA27)^2-(4*(996.798*'BMP P Tracking Table'!$AA27)*-'BMP P Tracking Table'!$AB27)))/(2*(996.798*'BMP P Tracking Table'!$AA27)),IF(SUM('BMP P Tracking Table'!$W27:$Z27)=0,'BMP P Tracking Table'!$AB27/(-3630*'BMP P Tracking Table'!$U27),(-(3630*'BMP P Tracking Table'!$U27+20.691*'BMP P Tracking Table'!$Z27-216.711*'BMP P Tracking Table'!$Y27-83.853*'BMP P Tracking Table'!$X27-42.834*'BMP P Tracking Table'!$W27)+SQRT((3630*'BMP P Tracking Table'!$U27+20.691*'BMP P Tracking Table'!$Z27-216.711*'BMP P Tracking Table'!$Y27-83.853*'BMP P Tracking Table'!$X27-42.834*'BMP P Tracking Table'!$W27)^2-(4*(149.919*'BMP P Tracking Table'!$W27+236.676*'BMP P Tracking Table'!$X27+726*'BMP P Tracking Table'!$Y27+996.798*'BMP P Tracking Table'!$Z27)*-'BMP P Tracking Table'!$AB27)))/(2*(149.919*'BMP P Tracking Table'!$W27+236.676*'BMP P Tracking Table'!$X27+726*'BMP P Tracking Table'!$Y27+996.798*'BMP P Tracking Table'!$Z27))))),"")</f>
        <v>1.1657866852648293</v>
      </c>
      <c r="AF27" s="193" t="str">
        <f>IFERROR((VLOOKUP(CONCATENATE('BMP P Tracking Table'!$T27," ",'BMP P Tracking Table'!$AC27),'Performance Curves'!$C$1:$L$45,MATCH('BMP P Tracking Table'!$AE27,'Performance Curves'!$E$1:$L$1,1)+2,FALSE)-VLOOKUP(CONCATENATE('BMP P Tracking Table'!$T27," ",'BMP P Tracking Table'!$AC27),'Performance Curves'!$C$1:$L$45,MATCH('BMP P Tracking Table'!$AE27,'Performance Curves'!$E$1:$L$1,1)+1,FALSE)),"")</f>
        <v/>
      </c>
      <c r="AG27" s="193">
        <f>IFERROR(('BMP P Tracking Table'!$AE27-INDEX('Performance Curves'!$E$1:$L$1,1,MATCH('BMP P Tracking Table'!$AE27,'Performance Curves'!$E$1:$L$1,1)))/(INDEX('Performance Curves'!$E$1:$L$1,1,MATCH('BMP P Tracking Table'!$AE27,'Performance Curves'!$E$1:$L$1,1)+1)-INDEX('Performance Curves'!$E$1:$L$1,1,MATCH('BMP P Tracking Table'!$AE27,'Performance Curves'!$E$1:$L$1,1))),"")</f>
        <v>0.33157337052965863</v>
      </c>
      <c r="AH27" s="194" t="str">
        <f>IFERROR(IF('BMP P Tracking Table'!$AE27=2,VLOOKUP(CONCATENATE('BMP P Tracking Table'!$T27," ",'BMP P Tracking Table'!$AC27),'Performance Curves'!$C$1:$L$45,MATCH('BMP P Tracking Table'!$AE27,'Performance Curves'!$E$1:$L$1,1)+1,FALSE),'BMP P Tracking Table'!$AF27*'BMP P Tracking Table'!$AG27+VLOOKUP(CONCATENATE('BMP P Tracking Table'!$T27," ",'BMP P Tracking Table'!$AC27),'Performance Curves'!$C$1:$L$45,MATCH('BMP P Tracking Table'!$AE27,'Performance Curves'!$E$1:$L$1,1)+1,FALSE)),"")</f>
        <v/>
      </c>
      <c r="AI27" s="193" t="str">
        <f>IFERROR('BMP P Tracking Table'!$AH27*'BMP P Tracking Table'!$AD27,"")</f>
        <v/>
      </c>
      <c r="AJ27" s="195">
        <f>BI27</f>
        <v>2.5318198080000003</v>
      </c>
      <c r="AK27" s="197"/>
      <c r="AL27" s="195"/>
      <c r="AM27" s="203">
        <v>1</v>
      </c>
      <c r="AN27" s="204">
        <f t="shared" ref="AN27:AN89" si="8">IF(AK27="Yes",IF(BF27&gt;0,IF(ISBLANK(AJ27),AI27,AJ27)-IF(ISBLANK(BE27),BD27,BE27),"Enter Info --&gt;"),IF(ISBLANK(AJ27),AI27,AJ27))</f>
        <v>2.5318198080000003</v>
      </c>
      <c r="AO27" s="123"/>
      <c r="AP27" s="123"/>
      <c r="AQ27" s="123"/>
      <c r="AR27" s="123"/>
      <c r="AS27" s="123"/>
      <c r="AT27" s="123"/>
      <c r="AU27" s="123"/>
      <c r="AV27" s="120"/>
      <c r="AW27" s="124"/>
      <c r="AX27" s="124"/>
      <c r="AY27" s="121" t="str">
        <f>IF('BMP P Tracking Table'!$AK27="Yes",IF('BMP P Tracking Table'!$AL27="No",'BMP P Tracking Table'!$U27*VLOOKUP('BMP P Tracking Table'!$Q27,'Loading Rates'!$B$1:$L$24,4,FALSE)+IF('BMP P Tracking Table'!$V27="By HSG",'BMP P Tracking Table'!$W27*VLOOKUP('BMP P Tracking Table'!$Q27,'Loading Rates'!$B$1:$L$24,6,FALSE)+'BMP P Tracking Table'!$X27*VLOOKUP('BMP P Tracking Table'!$Q27,'Loading Rates'!$B$1:$L$24,7,FALSE)+'BMP P Tracking Table'!$Y27*VLOOKUP('BMP P Tracking Table'!$Q27,'Loading Rates'!$B$1:$L$24,8,FALSE)+'BMP P Tracking Table'!$Z27*VLOOKUP('BMP P Tracking Table'!$Q27,'Loading Rates'!$B$1:$L$24,9,FALSE),'BMP P Tracking Table'!$AA27*VLOOKUP('BMP P Tracking Table'!$Q27,'Loading Rates'!$B$1:$L$24,10,FALSE)),'BMP P Tracking Table'!$AO27*VLOOKUP('BMP P Tracking Table'!$Q27,'Loading Rates'!$B$1:$L$24,4,FALSE)+IF('BMP P Tracking Table'!$AP27="By HSG",'BMP P Tracking Table'!$AQ27*VLOOKUP('BMP P Tracking Table'!$Q27,'Loading Rates'!$B$1:$L$24,6,FALSE)+'BMP P Tracking Table'!$AR27*VLOOKUP('BMP P Tracking Table'!$Q27,'Loading Rates'!$B$1:$L$24,7,FALSE)+'BMP P Tracking Table'!$AS27*VLOOKUP('BMP P Tracking Table'!$Q27,'Loading Rates'!$B$1:$L$24,8,FALSE)+'BMP P Tracking Table'!$AT27*VLOOKUP('BMP P Tracking Table'!$Q27,'Loading Rates'!$B$1:$L$24,9,FALSE),'BMP P Tracking Table'!$AU27*VLOOKUP('BMP P Tracking Table'!$Q27,'Loading Rates'!$B$1:$L$24,10,FALSE))),"")</f>
        <v/>
      </c>
      <c r="AZ27" s="121">
        <f>IFERROR(IF('BMP P Tracking Table'!$AL27="Yes",MIN(2,IF('BMP P Tracking Table'!$AP27="Total Pervious",(-(3630*'BMP P Tracking Table'!$AO27+20.691*'BMP P Tracking Table'!$AU27)+SQRT((3630*'BMP P Tracking Table'!$AO27+20.691*'BMP P Tracking Table'!$AU27)^2-(4*(996.798*'BMP P Tracking Table'!$AU27)*-'BMP P Tracking Table'!$AW27)))/(2*(996.798*'BMP P Tracking Table'!$AU27)),IF(SUM('BMP P Tracking Table'!$AQ27:$AT27)=0,'BMP P Tracking Table'!$AU27/(-3630*'BMP P Tracking Table'!$AO27),(-(3630*'BMP P Tracking Table'!$AO27+20.691*'BMP P Tracking Table'!$AT27-216.711*'BMP P Tracking Table'!$AS27-83.853*'BMP P Tracking Table'!$AR27-42.834*'BMP P Tracking Table'!$AQ27)+SQRT((3630*'BMP P Tracking Table'!$AO27+20.691*'BMP P Tracking Table'!$AT27-216.711*'BMP P Tracking Table'!$AS27-83.853*'BMP P Tracking Table'!$AR27-42.834*'BMP P Tracking Table'!$AQ27)^2-(4*(149.919*'BMP P Tracking Table'!$AQ27+236.676*'BMP P Tracking Table'!$AR27+726*'BMP P Tracking Table'!$AS27+996.798*'BMP P Tracking Table'!$AT27)*-'BMP P Tracking Table'!$AW27)))/(2*(149.919*'BMP P Tracking Table'!$AQ27+236.676*'BMP P Tracking Table'!$AR27+726*'BMP P Tracking Table'!$AS27+996.798*'BMP P Tracking Table'!$AT27))))),MIN(2,IF('BMP P Tracking Table'!$AP27="Total Pervious",(-(3630*'BMP P Tracking Table'!$U27+20.691*'BMP P Tracking Table'!$AA27)+SQRT((3630*'BMP P Tracking Table'!$U27+20.691*'BMP P Tracking Table'!$AA27)^2-(4*(996.798*'BMP P Tracking Table'!$AA27)*-'BMP P Tracking Table'!$AW27)))/(2*(996.798*'BMP P Tracking Table'!$AA27)),IF(SUM('BMP P Tracking Table'!$W27:$Z27)=0,'BMP P Tracking Table'!$AW27/(-3630*'BMP P Tracking Table'!$U27),(-(3630*'BMP P Tracking Table'!$U27+20.691*'BMP P Tracking Table'!$Z27-216.711*'BMP P Tracking Table'!$Y27-83.853*'BMP P Tracking Table'!$X27-42.834*'BMP P Tracking Table'!$W27)+SQRT((3630*'BMP P Tracking Table'!$U27+20.691*'BMP P Tracking Table'!$Z27-216.711*'BMP P Tracking Table'!$Y27-83.853*'BMP P Tracking Table'!$X27-42.834*'BMP P Tracking Table'!$W27)^2-(4*(149.919*'BMP P Tracking Table'!$W27+236.676*'BMP P Tracking Table'!$X27+726*'BMP P Tracking Table'!$Y27+996.798*'BMP P Tracking Table'!$Z27)*-'BMP P Tracking Table'!$AW27)))/(2*(149.919*'BMP P Tracking Table'!$W27+236.676*'BMP P Tracking Table'!$X27+726*'BMP P Tracking Table'!$Y27+996.798*'BMP P Tracking Table'!$Z27)))))),"")</f>
        <v>0</v>
      </c>
      <c r="BA27" s="121" t="str">
        <f>IFERROR((VLOOKUP(CONCATENATE('BMP P Tracking Table'!$AV27," ",'BMP P Tracking Table'!$AX27),'Performance Curves'!$C$1:$L$45,MATCH('BMP P Tracking Table'!$AZ27,'Performance Curves'!$E$1:$L$1,1)+2,FALSE)-VLOOKUP(CONCATENATE('BMP P Tracking Table'!$AV27," ",'BMP P Tracking Table'!$AX27),'Performance Curves'!$C$1:$L$45,MATCH('BMP P Tracking Table'!$AZ27,'Performance Curves'!$E$1:$L$1,1)+1,FALSE)),"")</f>
        <v/>
      </c>
      <c r="BB27" s="121" t="str">
        <f>IFERROR(('BMP P Tracking Table'!$AZ27-INDEX('Performance Curves'!$E$1:$L$1,1,MATCH('BMP P Tracking Table'!$AZ27,'Performance Curves'!$E$1:$L$1,1)))/(INDEX('Performance Curves'!$E$1:$L$1,1,MATCH('BMP P Tracking Table'!$AZ27,'Performance Curves'!$E$1:$L$1,1)+1)-INDEX('Performance Curves'!$E$1:$L$1,1,MATCH('BMP P Tracking Table'!$AZ27,'Performance Curves'!$E$1:$L$1,1))),"")</f>
        <v/>
      </c>
      <c r="BC27" s="122" t="str">
        <f>IFERROR(IF('BMP P Tracking Table'!$AZ27=2,VLOOKUP(CONCATENATE('BMP P Tracking Table'!$AV27," ",'BMP P Tracking Table'!$AX27),'Performance Curves'!$C$1:$L$44,MATCH('BMP P Tracking Table'!$AZ27,'Performance Curves'!$E$1:$L$1,1)+1,FALSE),'BMP P Tracking Table'!$BA27*'BMP P Tracking Table'!$BB27+VLOOKUP(CONCATENATE('BMP P Tracking Table'!$AV27," ",'BMP P Tracking Table'!$AX27),'Performance Curves'!$C$1:$L$44,MATCH('BMP P Tracking Table'!$AZ27,'Performance Curves'!$E$1:$L$1,1)+1,FALSE)),"")</f>
        <v/>
      </c>
      <c r="BD27" s="121" t="str">
        <f>IFERROR('BMP P Tracking Table'!$BC27*'BMP P Tracking Table'!$AY27,"")</f>
        <v/>
      </c>
      <c r="BE27" s="123"/>
      <c r="BF27" s="132">
        <f>IFERROR(BD27+BE27,0)</f>
        <v>0</v>
      </c>
      <c r="BG27" s="131"/>
      <c r="BH27" s="164">
        <v>0.1106</v>
      </c>
      <c r="BI27" s="132">
        <f>AD27*BH27</f>
        <v>2.5318198080000003</v>
      </c>
      <c r="BJ27" s="131"/>
      <c r="BK27" s="131" t="str">
        <f t="shared" ref="BK27:BK30" si="9">Q27</f>
        <v>Winooski River</v>
      </c>
      <c r="BL27" s="131"/>
      <c r="BM27" s="131"/>
      <c r="BN27" s="36" t="s">
        <v>391</v>
      </c>
      <c r="BO27" s="131"/>
      <c r="BP27" s="131"/>
      <c r="BQ27" s="131"/>
      <c r="BR27" s="131"/>
      <c r="BS27" s="131"/>
      <c r="BT27" s="131"/>
      <c r="BU27" s="131"/>
      <c r="BV27" s="131"/>
      <c r="BW27" s="131"/>
      <c r="BX27" s="131"/>
      <c r="BY27" s="131"/>
    </row>
    <row r="28" spans="1:77" ht="17.399999999999999" customHeight="1" x14ac:dyDescent="0.3">
      <c r="A28" s="169" t="s">
        <v>386</v>
      </c>
      <c r="B28" s="169" t="s">
        <v>294</v>
      </c>
      <c r="C28" s="169" t="s">
        <v>312</v>
      </c>
      <c r="D28" s="169" t="s">
        <v>6</v>
      </c>
      <c r="E28" s="170">
        <v>44.482390000000002</v>
      </c>
      <c r="F28" s="170">
        <v>-73.169989999999999</v>
      </c>
      <c r="G28" s="184" t="s">
        <v>385</v>
      </c>
      <c r="H28" s="184" t="s">
        <v>385</v>
      </c>
      <c r="I28" s="184" t="s">
        <v>66</v>
      </c>
      <c r="J28" s="171"/>
      <c r="K28" s="169" t="s">
        <v>111</v>
      </c>
      <c r="L28" s="169"/>
      <c r="M28" s="172" t="s">
        <v>383</v>
      </c>
      <c r="N28" s="209"/>
      <c r="O28" s="169" t="s">
        <v>62</v>
      </c>
      <c r="P28" s="169" t="s">
        <v>119</v>
      </c>
      <c r="Q28" s="169" t="s">
        <v>146</v>
      </c>
      <c r="R28" s="169" t="str">
        <f>IFERROR(VLOOKUP('BMP P Tracking Table'!$Q28,Dropdowns!$P$3:$Q$23,2,FALSE),"")</f>
        <v>Main Lake</v>
      </c>
      <c r="S28" s="169" t="s">
        <v>66</v>
      </c>
      <c r="T28" s="169" t="s">
        <v>47</v>
      </c>
      <c r="U28" s="173">
        <v>10.311999999999999</v>
      </c>
      <c r="V28" s="169" t="s">
        <v>219</v>
      </c>
      <c r="W28" s="169"/>
      <c r="X28" s="169"/>
      <c r="Y28" s="169"/>
      <c r="Z28" s="169"/>
      <c r="AA28" s="169">
        <v>20.497</v>
      </c>
      <c r="AB28" s="174">
        <v>87616.584000000003</v>
      </c>
      <c r="AC28" s="169" t="s">
        <v>206</v>
      </c>
      <c r="AD28" s="175">
        <f>IFERROR('BMP P Tracking Table'!$U28*VLOOKUP('BMP P Tracking Table'!$Q28,'Loading Rates'!$B$1:$L$24,4,FALSE)+IF('BMP P Tracking Table'!$V28="By HSG",'BMP P Tracking Table'!$W28*VLOOKUP('BMP P Tracking Table'!$Q28,'Loading Rates'!$B$1:$L$24,6,FALSE)+'BMP P Tracking Table'!$X28*VLOOKUP('BMP P Tracking Table'!$Q28,'Loading Rates'!$B$1:$L$24,7,FALSE)+'BMP P Tracking Table'!$Y28*VLOOKUP('BMP P Tracking Table'!$Q28,'Loading Rates'!$B$1:$L$24,8,FALSE)+'BMP P Tracking Table'!$Z28*VLOOKUP('BMP P Tracking Table'!$Q28,'Loading Rates'!$B$1:$L$24,9,FALSE),'BMP P Tracking Table'!$AA28*VLOOKUP('BMP P Tracking Table'!$Q28,'Loading Rates'!$B$1:$L$24,10,FALSE)),"")</f>
        <v>16.253311</v>
      </c>
      <c r="AE28" s="175">
        <f>IFERROR(MIN(2,IF('BMP P Tracking Table'!$V28="Total Pervious",(-(3630*'BMP P Tracking Table'!$U28+20.691*'BMP P Tracking Table'!$AA28)+SQRT((3630*'BMP P Tracking Table'!$U28+20.691*'BMP P Tracking Table'!$AA28)^2-(4*(996.798*'BMP P Tracking Table'!$AA28)*-'BMP P Tracking Table'!$AB28)))/(2*(996.798*'BMP P Tracking Table'!$AA28)),IF(SUM('BMP P Tracking Table'!$W28:$Z28)=0,'BMP P Tracking Table'!$AB28/(-3630*'BMP P Tracking Table'!$U28),(-(3630*'BMP P Tracking Table'!$U28+20.691*'BMP P Tracking Table'!$Z28-216.711*'BMP P Tracking Table'!$Y28-83.853*'BMP P Tracking Table'!$X28-42.834*'BMP P Tracking Table'!$W28)+SQRT((3630*'BMP P Tracking Table'!$U28+20.691*'BMP P Tracking Table'!$Z28-216.711*'BMP P Tracking Table'!$Y28-83.853*'BMP P Tracking Table'!$X28-42.834*'BMP P Tracking Table'!$W28)^2-(4*(149.919*'BMP P Tracking Table'!$W28+236.676*'BMP P Tracking Table'!$X28+726*'BMP P Tracking Table'!$Y28+996.798*'BMP P Tracking Table'!$Z28)*-'BMP P Tracking Table'!$AB28)))/(2*(149.919*'BMP P Tracking Table'!$W28+236.676*'BMP P Tracking Table'!$X28+726*'BMP P Tracking Table'!$Y28+996.798*'BMP P Tracking Table'!$Z28))))),"")</f>
        <v>1.3421810429851508</v>
      </c>
      <c r="AF28" s="175">
        <f>IFERROR((VLOOKUP(CONCATENATE('BMP P Tracking Table'!$T28," ",'BMP P Tracking Table'!$AC28),'Performance Curves'!$C$1:$L$45,MATCH('BMP P Tracking Table'!$AE28,'Performance Curves'!$E$1:$L$1,1)+2,FALSE)-VLOOKUP(CONCATENATE('BMP P Tracking Table'!$T28," ",'BMP P Tracking Table'!$AC28),'Performance Curves'!$C$1:$L$45,MATCH('BMP P Tracking Table'!$AE28,'Performance Curves'!$E$1:$L$1,1)+1,FALSE)),"")</f>
        <v>2.0000000000000018E-2</v>
      </c>
      <c r="AG28" s="175">
        <f>IFERROR(('BMP P Tracking Table'!$AE28-INDEX('Performance Curves'!$E$1:$L$1,1,MATCH('BMP P Tracking Table'!$AE28,'Performance Curves'!$E$1:$L$1,1)))/(INDEX('Performance Curves'!$E$1:$L$1,1,MATCH('BMP P Tracking Table'!$AE28,'Performance Curves'!$E$1:$L$1,1)+1)-INDEX('Performance Curves'!$E$1:$L$1,1,MATCH('BMP P Tracking Table'!$AE28,'Performance Curves'!$E$1:$L$1,1))),"")</f>
        <v>0.68436208597030168</v>
      </c>
      <c r="AH28" s="176">
        <f>IFERROR(IF('BMP P Tracking Table'!$AE28=2,VLOOKUP(CONCATENATE('BMP P Tracking Table'!$T28," ",'BMP P Tracking Table'!$AC28),'Performance Curves'!$C$1:$L$45,MATCH('BMP P Tracking Table'!$AE28,'Performance Curves'!$E$1:$L$1,1)+1,FALSE),'BMP P Tracking Table'!$AF28*'BMP P Tracking Table'!$AG28+VLOOKUP(CONCATENATE('BMP P Tracking Table'!$T28," ",'BMP P Tracking Table'!$AC28),'Performance Curves'!$C$1:$L$45,MATCH('BMP P Tracking Table'!$AE28,'Performance Curves'!$E$1:$L$1,1)+1,FALSE)),"")</f>
        <v>0.97368724171940602</v>
      </c>
      <c r="AI28" s="175">
        <f>IFERROR('BMP P Tracking Table'!$AH28*'BMP P Tracking Table'!$AD28,"")</f>
        <v>15.825641556397681</v>
      </c>
      <c r="AJ28" s="173">
        <f t="shared" ref="AJ28:AJ51" si="10">BI28</f>
        <v>14.34774248862529</v>
      </c>
      <c r="AK28" s="169"/>
      <c r="AL28" s="173"/>
      <c r="AM28" s="177">
        <v>1</v>
      </c>
      <c r="AN28" s="178">
        <f t="shared" si="8"/>
        <v>14.34774248862529</v>
      </c>
      <c r="AO28" s="96"/>
      <c r="AP28" s="96"/>
      <c r="AQ28" s="96"/>
      <c r="AR28" s="96"/>
      <c r="AS28" s="96"/>
      <c r="AT28" s="96"/>
      <c r="AU28" s="96"/>
      <c r="AV28" s="64"/>
      <c r="AW28" s="97"/>
      <c r="AX28" s="97"/>
      <c r="AY28" s="101" t="str">
        <f>IF('BMP P Tracking Table'!$AK28="Yes",IF('BMP P Tracking Table'!$AL28="No",'BMP P Tracking Table'!$U28*VLOOKUP('BMP P Tracking Table'!$Q28,'Loading Rates'!$B$1:$L$24,4,FALSE)+IF('BMP P Tracking Table'!$V28="By HSG",'BMP P Tracking Table'!$W28*VLOOKUP('BMP P Tracking Table'!$Q28,'Loading Rates'!$B$1:$L$24,6,FALSE)+'BMP P Tracking Table'!$X28*VLOOKUP('BMP P Tracking Table'!$Q28,'Loading Rates'!$B$1:$L$24,7,FALSE)+'BMP P Tracking Table'!$Y28*VLOOKUP('BMP P Tracking Table'!$Q28,'Loading Rates'!$B$1:$L$24,8,FALSE)+'BMP P Tracking Table'!$Z28*VLOOKUP('BMP P Tracking Table'!$Q28,'Loading Rates'!$B$1:$L$24,9,FALSE),'BMP P Tracking Table'!$AA28*VLOOKUP('BMP P Tracking Table'!$Q28,'Loading Rates'!$B$1:$L$24,10,FALSE)),'BMP P Tracking Table'!$AO28*VLOOKUP('BMP P Tracking Table'!$Q28,'Loading Rates'!$B$1:$L$24,4,FALSE)+IF('BMP P Tracking Table'!$AP28="By HSG",'BMP P Tracking Table'!$AQ28*VLOOKUP('BMP P Tracking Table'!$Q28,'Loading Rates'!$B$1:$L$24,6,FALSE)+'BMP P Tracking Table'!$AR28*VLOOKUP('BMP P Tracking Table'!$Q28,'Loading Rates'!$B$1:$L$24,7,FALSE)+'BMP P Tracking Table'!$AS28*VLOOKUP('BMP P Tracking Table'!$Q28,'Loading Rates'!$B$1:$L$24,8,FALSE)+'BMP P Tracking Table'!$AT28*VLOOKUP('BMP P Tracking Table'!$Q28,'Loading Rates'!$B$1:$L$24,9,FALSE),'BMP P Tracking Table'!$AU28*VLOOKUP('BMP P Tracking Table'!$Q28,'Loading Rates'!$B$1:$L$24,10,FALSE))),"")</f>
        <v/>
      </c>
      <c r="AZ28" s="101">
        <f>IFERROR(IF('BMP P Tracking Table'!$AL28="Yes",MIN(2,IF('BMP P Tracking Table'!$AP28="Total Pervious",(-(3630*'BMP P Tracking Table'!$AO28+20.691*'BMP P Tracking Table'!$AU28)+SQRT((3630*'BMP P Tracking Table'!$AO28+20.691*'BMP P Tracking Table'!$AU28)^2-(4*(996.798*'BMP P Tracking Table'!$AU28)*-'BMP P Tracking Table'!$AW28)))/(2*(996.798*'BMP P Tracking Table'!$AU28)),IF(SUM('BMP P Tracking Table'!$AQ28:$AT28)=0,'BMP P Tracking Table'!$AU28/(-3630*'BMP P Tracking Table'!$AO28),(-(3630*'BMP P Tracking Table'!$AO28+20.691*'BMP P Tracking Table'!$AT28-216.711*'BMP P Tracking Table'!$AS28-83.853*'BMP P Tracking Table'!$AR28-42.834*'BMP P Tracking Table'!$AQ28)+SQRT((3630*'BMP P Tracking Table'!$AO28+20.691*'BMP P Tracking Table'!$AT28-216.711*'BMP P Tracking Table'!$AS28-83.853*'BMP P Tracking Table'!$AR28-42.834*'BMP P Tracking Table'!$AQ28)^2-(4*(149.919*'BMP P Tracking Table'!$AQ28+236.676*'BMP P Tracking Table'!$AR28+726*'BMP P Tracking Table'!$AS28+996.798*'BMP P Tracking Table'!$AT28)*-'BMP P Tracking Table'!$AW28)))/(2*(149.919*'BMP P Tracking Table'!$AQ28+236.676*'BMP P Tracking Table'!$AR28+726*'BMP P Tracking Table'!$AS28+996.798*'BMP P Tracking Table'!$AT28))))),MIN(2,IF('BMP P Tracking Table'!$AP28="Total Pervious",(-(3630*'BMP P Tracking Table'!$U28+20.691*'BMP P Tracking Table'!$AA28)+SQRT((3630*'BMP P Tracking Table'!$U28+20.691*'BMP P Tracking Table'!$AA28)^2-(4*(996.798*'BMP P Tracking Table'!$AA28)*-'BMP P Tracking Table'!$AW28)))/(2*(996.798*'BMP P Tracking Table'!$AA28)),IF(SUM('BMP P Tracking Table'!$W28:$Z28)=0,'BMP P Tracking Table'!$AW28/(-3630*'BMP P Tracking Table'!$U28),(-(3630*'BMP P Tracking Table'!$U28+20.691*'BMP P Tracking Table'!$Z28-216.711*'BMP P Tracking Table'!$Y28-83.853*'BMP P Tracking Table'!$X28-42.834*'BMP P Tracking Table'!$W28)+SQRT((3630*'BMP P Tracking Table'!$U28+20.691*'BMP P Tracking Table'!$Z28-216.711*'BMP P Tracking Table'!$Y28-83.853*'BMP P Tracking Table'!$X28-42.834*'BMP P Tracking Table'!$W28)^2-(4*(149.919*'BMP P Tracking Table'!$W28+236.676*'BMP P Tracking Table'!$X28+726*'BMP P Tracking Table'!$Y28+996.798*'BMP P Tracking Table'!$Z28)*-'BMP P Tracking Table'!$AW28)))/(2*(149.919*'BMP P Tracking Table'!$W28+236.676*'BMP P Tracking Table'!$X28+726*'BMP P Tracking Table'!$Y28+996.798*'BMP P Tracking Table'!$Z28)))))),"")</f>
        <v>0</v>
      </c>
      <c r="BA28" s="101" t="str">
        <f>IFERROR((VLOOKUP(CONCATENATE('BMP P Tracking Table'!$AV28," ",'BMP P Tracking Table'!$AX28),'Performance Curves'!$C$1:$L$45,MATCH('BMP P Tracking Table'!$AZ28,'Performance Curves'!$E$1:$L$1,1)+2,FALSE)-VLOOKUP(CONCATENATE('BMP P Tracking Table'!$AV28," ",'BMP P Tracking Table'!$AX28),'Performance Curves'!$C$1:$L$45,MATCH('BMP P Tracking Table'!$AZ28,'Performance Curves'!$E$1:$L$1,1)+1,FALSE)),"")</f>
        <v/>
      </c>
      <c r="BB28" s="101" t="str">
        <f>IFERROR(('BMP P Tracking Table'!$AZ28-INDEX('Performance Curves'!$E$1:$L$1,1,MATCH('BMP P Tracking Table'!$AZ28,'Performance Curves'!$E$1:$L$1,1)))/(INDEX('Performance Curves'!$E$1:$L$1,1,MATCH('BMP P Tracking Table'!$AZ28,'Performance Curves'!$E$1:$L$1,1)+1)-INDEX('Performance Curves'!$E$1:$L$1,1,MATCH('BMP P Tracking Table'!$AZ28,'Performance Curves'!$E$1:$L$1,1))),"")</f>
        <v/>
      </c>
      <c r="BC28" s="102" t="str">
        <f>IFERROR(IF('BMP P Tracking Table'!$AZ28=2,VLOOKUP(CONCATENATE('BMP P Tracking Table'!$AV28," ",'BMP P Tracking Table'!$AX28),'Performance Curves'!$C$1:$L$44,MATCH('BMP P Tracking Table'!$AZ28,'Performance Curves'!$E$1:$L$1,1)+1,FALSE),'BMP P Tracking Table'!$BA28*'BMP P Tracking Table'!$BB28+VLOOKUP(CONCATENATE('BMP P Tracking Table'!$AV28," ",'BMP P Tracking Table'!$AX28),'Performance Curves'!$C$1:$L$44,MATCH('BMP P Tracking Table'!$AZ28,'Performance Curves'!$E$1:$L$1,1)+1,FALSE)),"")</f>
        <v/>
      </c>
      <c r="BD28" s="101" t="str">
        <f>IFERROR('BMP P Tracking Table'!$BC28*'BMP P Tracking Table'!$AY28,"")</f>
        <v/>
      </c>
      <c r="BE28" s="96"/>
      <c r="BF28" s="37">
        <f t="shared" ref="BF28:BF91" si="11">IFERROR(BD28+BE28,0)</f>
        <v>0</v>
      </c>
      <c r="BH28" s="127">
        <v>0.88275813393500502</v>
      </c>
      <c r="BI28" s="37">
        <f t="shared" ref="BI28:BI48" si="12">AD28*BH28</f>
        <v>14.34774248862529</v>
      </c>
      <c r="BK28" s="36" t="str">
        <f t="shared" si="9"/>
        <v>Winooski River</v>
      </c>
      <c r="BN28" s="36" t="s">
        <v>391</v>
      </c>
    </row>
    <row r="29" spans="1:77" s="168" customFormat="1" ht="17.399999999999999" customHeight="1" x14ac:dyDescent="0.3">
      <c r="A29" s="169" t="s">
        <v>387</v>
      </c>
      <c r="B29" s="169" t="s">
        <v>295</v>
      </c>
      <c r="C29" s="169" t="s">
        <v>312</v>
      </c>
      <c r="D29" s="169" t="s">
        <v>6</v>
      </c>
      <c r="E29" s="170">
        <v>44.470660000000002</v>
      </c>
      <c r="F29" s="170">
        <v>-73.151669999999996</v>
      </c>
      <c r="G29" s="184" t="s">
        <v>385</v>
      </c>
      <c r="H29" s="184" t="s">
        <v>385</v>
      </c>
      <c r="I29" s="184" t="s">
        <v>66</v>
      </c>
      <c r="J29" s="171"/>
      <c r="K29" s="169" t="s">
        <v>111</v>
      </c>
      <c r="L29" s="169"/>
      <c r="M29" s="172" t="s">
        <v>384</v>
      </c>
      <c r="N29" s="209"/>
      <c r="O29" s="169" t="s">
        <v>62</v>
      </c>
      <c r="P29" s="169" t="s">
        <v>119</v>
      </c>
      <c r="Q29" s="169" t="s">
        <v>146</v>
      </c>
      <c r="R29" s="169" t="str">
        <f>IFERROR(VLOOKUP('BMP P Tracking Table'!$Q29,Dropdowns!$P$3:$Q$23,2,FALSE),"")</f>
        <v>Main Lake</v>
      </c>
      <c r="S29" s="169" t="s">
        <v>66</v>
      </c>
      <c r="T29" s="169" t="s">
        <v>47</v>
      </c>
      <c r="U29" s="173">
        <v>0.68799999999999994</v>
      </c>
      <c r="V29" s="169" t="s">
        <v>219</v>
      </c>
      <c r="W29" s="169"/>
      <c r="X29" s="169"/>
      <c r="Y29" s="169"/>
      <c r="Z29" s="169"/>
      <c r="AA29" s="169">
        <v>1.0069999999999999</v>
      </c>
      <c r="AB29" s="174">
        <v>9073.5480000000007</v>
      </c>
      <c r="AC29" s="169" t="s">
        <v>206</v>
      </c>
      <c r="AD29" s="175">
        <f>IFERROR('BMP P Tracking Table'!$U29*VLOOKUP('BMP P Tracking Table'!$Q29,'Loading Rates'!$B$1:$L$24,4,FALSE)+IF('BMP P Tracking Table'!$V29="By HSG",'BMP P Tracking Table'!$W29*VLOOKUP('BMP P Tracking Table'!$Q29,'Loading Rates'!$B$1:$L$24,6,FALSE)+'BMP P Tracking Table'!$X29*VLOOKUP('BMP P Tracking Table'!$Q29,'Loading Rates'!$B$1:$L$24,7,FALSE)+'BMP P Tracking Table'!$Y29*VLOOKUP('BMP P Tracking Table'!$Q29,'Loading Rates'!$B$1:$L$24,8,FALSE)+'BMP P Tracking Table'!$Z29*VLOOKUP('BMP P Tracking Table'!$Q29,'Loading Rates'!$B$1:$L$24,9,FALSE),'BMP P Tracking Table'!$AA29*VLOOKUP('BMP P Tracking Table'!$Q29,'Loading Rates'!$B$1:$L$24,10,FALSE)),"")</f>
        <v>1.0011129999999999</v>
      </c>
      <c r="AE29" s="175">
        <f>IFERROR(MIN(2,IF('BMP P Tracking Table'!$V29="Total Pervious",(-(3630*'BMP P Tracking Table'!$U29+20.691*'BMP P Tracking Table'!$AA29)+SQRT((3630*'BMP P Tracking Table'!$U29+20.691*'BMP P Tracking Table'!$AA29)^2-(4*(996.798*'BMP P Tracking Table'!$AA29)*-'BMP P Tracking Table'!$AB29)))/(2*(996.798*'BMP P Tracking Table'!$AA29)),IF(SUM('BMP P Tracking Table'!$W29:$Z29)=0,'BMP P Tracking Table'!$AB29/(-3630*'BMP P Tracking Table'!$U29),(-(3630*'BMP P Tracking Table'!$U29+20.691*'BMP P Tracking Table'!$Z29-216.711*'BMP P Tracking Table'!$Y29-83.853*'BMP P Tracking Table'!$X29-42.834*'BMP P Tracking Table'!$W29)+SQRT((3630*'BMP P Tracking Table'!$U29+20.691*'BMP P Tracking Table'!$Z29-216.711*'BMP P Tracking Table'!$Y29-83.853*'BMP P Tracking Table'!$X29-42.834*'BMP P Tracking Table'!$W29)^2-(4*(149.919*'BMP P Tracking Table'!$W29+236.676*'BMP P Tracking Table'!$X29+726*'BMP P Tracking Table'!$Y29+996.798*'BMP P Tracking Table'!$Z29)*-'BMP P Tracking Table'!$AB29)))/(2*(149.919*'BMP P Tracking Table'!$W29+236.676*'BMP P Tracking Table'!$X29+726*'BMP P Tracking Table'!$Y29+996.798*'BMP P Tracking Table'!$Z29))))),"")</f>
        <v>2</v>
      </c>
      <c r="AF29" s="175">
        <f>IFERROR((VLOOKUP(CONCATENATE('BMP P Tracking Table'!$T29," ",'BMP P Tracking Table'!$AC29),'Performance Curves'!$C$1:$L$45,MATCH('BMP P Tracking Table'!$AE29,'Performance Curves'!$E$1:$L$1,1)+2,FALSE)-VLOOKUP(CONCATENATE('BMP P Tracking Table'!$T29," ",'BMP P Tracking Table'!$AC29),'Performance Curves'!$C$1:$L$45,MATCH('BMP P Tracking Table'!$AE29,'Performance Curves'!$E$1:$L$1,1)+1,FALSE)),"")</f>
        <v>0</v>
      </c>
      <c r="AG29" s="175" t="str">
        <f>IFERROR(('BMP P Tracking Table'!$AE29-INDEX('Performance Curves'!$E$1:$L$1,1,MATCH('BMP P Tracking Table'!$AE29,'Performance Curves'!$E$1:$L$1,1)))/(INDEX('Performance Curves'!$E$1:$L$1,1,MATCH('BMP P Tracking Table'!$AE29,'Performance Curves'!$E$1:$L$1,1)+1)-INDEX('Performance Curves'!$E$1:$L$1,1,MATCH('BMP P Tracking Table'!$AE29,'Performance Curves'!$E$1:$L$1,1))),"")</f>
        <v/>
      </c>
      <c r="AH29" s="176">
        <f>IFERROR(IF('BMP P Tracking Table'!$AE29=2,VLOOKUP(CONCATENATE('BMP P Tracking Table'!$T29," ",'BMP P Tracking Table'!$AC29),'Performance Curves'!$C$1:$L$45,MATCH('BMP P Tracking Table'!$AE29,'Performance Curves'!$E$1:$L$1,1)+1,FALSE),'BMP P Tracking Table'!$AF29*'BMP P Tracking Table'!$AG29+VLOOKUP(CONCATENATE('BMP P Tracking Table'!$T29," ",'BMP P Tracking Table'!$AC29),'Performance Curves'!$C$1:$L$45,MATCH('BMP P Tracking Table'!$AE29,'Performance Curves'!$E$1:$L$1,1)+1,FALSE)),"")</f>
        <v>1</v>
      </c>
      <c r="AI29" s="175">
        <f>IFERROR('BMP P Tracking Table'!$AH29*'BMP P Tracking Table'!$AD29,"")</f>
        <v>1.0011129999999999</v>
      </c>
      <c r="AJ29" s="173">
        <f t="shared" si="10"/>
        <v>0.91613153570962214</v>
      </c>
      <c r="AK29" s="169"/>
      <c r="AL29" s="173"/>
      <c r="AM29" s="177">
        <v>1</v>
      </c>
      <c r="AN29" s="178">
        <f t="shared" si="8"/>
        <v>0.91613153570962214</v>
      </c>
      <c r="AO29" s="173"/>
      <c r="AP29" s="173"/>
      <c r="AQ29" s="173"/>
      <c r="AR29" s="173"/>
      <c r="AS29" s="173"/>
      <c r="AT29" s="173"/>
      <c r="AU29" s="173"/>
      <c r="AV29" s="169"/>
      <c r="AW29" s="179"/>
      <c r="AX29" s="179"/>
      <c r="AY29" s="175" t="str">
        <f>IF('BMP P Tracking Table'!$AK29="Yes",IF('BMP P Tracking Table'!$AL29="No",'BMP P Tracking Table'!$U29*VLOOKUP('BMP P Tracking Table'!$Q29,'Loading Rates'!$B$1:$L$24,4,FALSE)+IF('BMP P Tracking Table'!$V29="By HSG",'BMP P Tracking Table'!$W29*VLOOKUP('BMP P Tracking Table'!$Q29,'Loading Rates'!$B$1:$L$24,6,FALSE)+'BMP P Tracking Table'!$X29*VLOOKUP('BMP P Tracking Table'!$Q29,'Loading Rates'!$B$1:$L$24,7,FALSE)+'BMP P Tracking Table'!$Y29*VLOOKUP('BMP P Tracking Table'!$Q29,'Loading Rates'!$B$1:$L$24,8,FALSE)+'BMP P Tracking Table'!$Z29*VLOOKUP('BMP P Tracking Table'!$Q29,'Loading Rates'!$B$1:$L$24,9,FALSE),'BMP P Tracking Table'!$AA29*VLOOKUP('BMP P Tracking Table'!$Q29,'Loading Rates'!$B$1:$L$24,10,FALSE)),'BMP P Tracking Table'!$AO29*VLOOKUP('BMP P Tracking Table'!$Q29,'Loading Rates'!$B$1:$L$24,4,FALSE)+IF('BMP P Tracking Table'!$AP29="By HSG",'BMP P Tracking Table'!$AQ29*VLOOKUP('BMP P Tracking Table'!$Q29,'Loading Rates'!$B$1:$L$24,6,FALSE)+'BMP P Tracking Table'!$AR29*VLOOKUP('BMP P Tracking Table'!$Q29,'Loading Rates'!$B$1:$L$24,7,FALSE)+'BMP P Tracking Table'!$AS29*VLOOKUP('BMP P Tracking Table'!$Q29,'Loading Rates'!$B$1:$L$24,8,FALSE)+'BMP P Tracking Table'!$AT29*VLOOKUP('BMP P Tracking Table'!$Q29,'Loading Rates'!$B$1:$L$24,9,FALSE),'BMP P Tracking Table'!$AU29*VLOOKUP('BMP P Tracking Table'!$Q29,'Loading Rates'!$B$1:$L$24,10,FALSE))),"")</f>
        <v/>
      </c>
      <c r="AZ29" s="175">
        <f>IFERROR(IF('BMP P Tracking Table'!$AL29="Yes",MIN(2,IF('BMP P Tracking Table'!$AP29="Total Pervious",(-(3630*'BMP P Tracking Table'!$AO29+20.691*'BMP P Tracking Table'!$AU29)+SQRT((3630*'BMP P Tracking Table'!$AO29+20.691*'BMP P Tracking Table'!$AU29)^2-(4*(996.798*'BMP P Tracking Table'!$AU29)*-'BMP P Tracking Table'!$AW29)))/(2*(996.798*'BMP P Tracking Table'!$AU29)),IF(SUM('BMP P Tracking Table'!$AQ29:$AT29)=0,'BMP P Tracking Table'!$AU29/(-3630*'BMP P Tracking Table'!$AO29),(-(3630*'BMP P Tracking Table'!$AO29+20.691*'BMP P Tracking Table'!$AT29-216.711*'BMP P Tracking Table'!$AS29-83.853*'BMP P Tracking Table'!$AR29-42.834*'BMP P Tracking Table'!$AQ29)+SQRT((3630*'BMP P Tracking Table'!$AO29+20.691*'BMP P Tracking Table'!$AT29-216.711*'BMP P Tracking Table'!$AS29-83.853*'BMP P Tracking Table'!$AR29-42.834*'BMP P Tracking Table'!$AQ29)^2-(4*(149.919*'BMP P Tracking Table'!$AQ29+236.676*'BMP P Tracking Table'!$AR29+726*'BMP P Tracking Table'!$AS29+996.798*'BMP P Tracking Table'!$AT29)*-'BMP P Tracking Table'!$AW29)))/(2*(149.919*'BMP P Tracking Table'!$AQ29+236.676*'BMP P Tracking Table'!$AR29+726*'BMP P Tracking Table'!$AS29+996.798*'BMP P Tracking Table'!$AT29))))),MIN(2,IF('BMP P Tracking Table'!$AP29="Total Pervious",(-(3630*'BMP P Tracking Table'!$U29+20.691*'BMP P Tracking Table'!$AA29)+SQRT((3630*'BMP P Tracking Table'!$U29+20.691*'BMP P Tracking Table'!$AA29)^2-(4*(996.798*'BMP P Tracking Table'!$AA29)*-'BMP P Tracking Table'!$AW29)))/(2*(996.798*'BMP P Tracking Table'!$AA29)),IF(SUM('BMP P Tracking Table'!$W29:$Z29)=0,'BMP P Tracking Table'!$AW29/(-3630*'BMP P Tracking Table'!$U29),(-(3630*'BMP P Tracking Table'!$U29+20.691*'BMP P Tracking Table'!$Z29-216.711*'BMP P Tracking Table'!$Y29-83.853*'BMP P Tracking Table'!$X29-42.834*'BMP P Tracking Table'!$W29)+SQRT((3630*'BMP P Tracking Table'!$U29+20.691*'BMP P Tracking Table'!$Z29-216.711*'BMP P Tracking Table'!$Y29-83.853*'BMP P Tracking Table'!$X29-42.834*'BMP P Tracking Table'!$W29)^2-(4*(149.919*'BMP P Tracking Table'!$W29+236.676*'BMP P Tracking Table'!$X29+726*'BMP P Tracking Table'!$Y29+996.798*'BMP P Tracking Table'!$Z29)*-'BMP P Tracking Table'!$AW29)))/(2*(149.919*'BMP P Tracking Table'!$W29+236.676*'BMP P Tracking Table'!$X29+726*'BMP P Tracking Table'!$Y29+996.798*'BMP P Tracking Table'!$Z29)))))),"")</f>
        <v>0</v>
      </c>
      <c r="BA29" s="175" t="str">
        <f>IFERROR((VLOOKUP(CONCATENATE('BMP P Tracking Table'!$AV29," ",'BMP P Tracking Table'!$AX29),'Performance Curves'!$C$1:$L$45,MATCH('BMP P Tracking Table'!$AZ29,'Performance Curves'!$E$1:$L$1,1)+2,FALSE)-VLOOKUP(CONCATENATE('BMP P Tracking Table'!$AV29," ",'BMP P Tracking Table'!$AX29),'Performance Curves'!$C$1:$L$45,MATCH('BMP P Tracking Table'!$AZ29,'Performance Curves'!$E$1:$L$1,1)+1,FALSE)),"")</f>
        <v/>
      </c>
      <c r="BB29" s="175" t="str">
        <f>IFERROR(('BMP P Tracking Table'!$AZ29-INDEX('Performance Curves'!$E$1:$L$1,1,MATCH('BMP P Tracking Table'!$AZ29,'Performance Curves'!$E$1:$L$1,1)))/(INDEX('Performance Curves'!$E$1:$L$1,1,MATCH('BMP P Tracking Table'!$AZ29,'Performance Curves'!$E$1:$L$1,1)+1)-INDEX('Performance Curves'!$E$1:$L$1,1,MATCH('BMP P Tracking Table'!$AZ29,'Performance Curves'!$E$1:$L$1,1))),"")</f>
        <v/>
      </c>
      <c r="BC29" s="176" t="str">
        <f>IFERROR(IF('BMP P Tracking Table'!$AZ29=2,VLOOKUP(CONCATENATE('BMP P Tracking Table'!$AV29," ",'BMP P Tracking Table'!$AX29),'Performance Curves'!$C$1:$L$44,MATCH('BMP P Tracking Table'!$AZ29,'Performance Curves'!$E$1:$L$1,1)+1,FALSE),'BMP P Tracking Table'!$BA29*'BMP P Tracking Table'!$BB29+VLOOKUP(CONCATENATE('BMP P Tracking Table'!$AV29," ",'BMP P Tracking Table'!$AX29),'Performance Curves'!$C$1:$L$44,MATCH('BMP P Tracking Table'!$AZ29,'Performance Curves'!$E$1:$L$1,1)+1,FALSE)),"")</f>
        <v/>
      </c>
      <c r="BD29" s="175" t="str">
        <f>IFERROR('BMP P Tracking Table'!$BC29*'BMP P Tracking Table'!$AY29,"")</f>
        <v/>
      </c>
      <c r="BE29" s="173"/>
      <c r="BF29" s="180">
        <f t="shared" si="11"/>
        <v>0</v>
      </c>
      <c r="BH29" s="185">
        <v>0.91511301492401176</v>
      </c>
      <c r="BI29" s="180">
        <f t="shared" si="12"/>
        <v>0.91613153570962214</v>
      </c>
      <c r="BK29" s="168" t="str">
        <f t="shared" si="9"/>
        <v>Winooski River</v>
      </c>
      <c r="BN29" s="168" t="s">
        <v>391</v>
      </c>
    </row>
    <row r="30" spans="1:77" ht="17.399999999999999" customHeight="1" x14ac:dyDescent="0.3">
      <c r="A30" s="169" t="s">
        <v>279</v>
      </c>
      <c r="B30" s="169" t="s">
        <v>296</v>
      </c>
      <c r="C30" s="169" t="s">
        <v>312</v>
      </c>
      <c r="D30" s="169" t="s">
        <v>6</v>
      </c>
      <c r="E30" s="170">
        <v>44.479666999999999</v>
      </c>
      <c r="F30" s="170">
        <v>-73.157443999999998</v>
      </c>
      <c r="G30" s="169" t="s">
        <v>315</v>
      </c>
      <c r="H30" s="169" t="s">
        <v>315</v>
      </c>
      <c r="I30" s="169" t="s">
        <v>66</v>
      </c>
      <c r="J30" s="171"/>
      <c r="K30" s="169" t="s">
        <v>111</v>
      </c>
      <c r="L30" s="169"/>
      <c r="M30" s="172" t="s">
        <v>384</v>
      </c>
      <c r="N30" s="172"/>
      <c r="O30" s="169" t="s">
        <v>62</v>
      </c>
      <c r="P30" s="169" t="s">
        <v>119</v>
      </c>
      <c r="Q30" s="169" t="s">
        <v>146</v>
      </c>
      <c r="R30" s="169" t="str">
        <f>IFERROR(VLOOKUP('BMP P Tracking Table'!$Q30,Dropdowns!$P$3:$Q$23,2,FALSE),"")</f>
        <v>Main Lake</v>
      </c>
      <c r="S30" s="169" t="s">
        <v>66</v>
      </c>
      <c r="T30" s="169" t="s">
        <v>47</v>
      </c>
      <c r="U30" s="173">
        <v>8.4700000000000006</v>
      </c>
      <c r="V30" s="169" t="s">
        <v>219</v>
      </c>
      <c r="W30" s="169"/>
      <c r="X30" s="169"/>
      <c r="Y30" s="169"/>
      <c r="Z30" s="169"/>
      <c r="AA30" s="169">
        <v>27.6</v>
      </c>
      <c r="AB30" s="174">
        <v>15536</v>
      </c>
      <c r="AC30" s="169" t="s">
        <v>205</v>
      </c>
      <c r="AD30" s="175">
        <f>IFERROR('BMP P Tracking Table'!$U30*VLOOKUP('BMP P Tracking Table'!$Q30,'Loading Rates'!$B$1:$L$24,4,FALSE)+IF('BMP P Tracking Table'!$V30="By HSG",'BMP P Tracking Table'!$W30*VLOOKUP('BMP P Tracking Table'!$Q30,'Loading Rates'!$B$1:$L$24,6,FALSE)+'BMP P Tracking Table'!$X30*VLOOKUP('BMP P Tracking Table'!$Q30,'Loading Rates'!$B$1:$L$24,7,FALSE)+'BMP P Tracking Table'!$Y30*VLOOKUP('BMP P Tracking Table'!$Q30,'Loading Rates'!$B$1:$L$24,8,FALSE)+'BMP P Tracking Table'!$Z30*VLOOKUP('BMP P Tracking Table'!$Q30,'Loading Rates'!$B$1:$L$24,9,FALSE),'BMP P Tracking Table'!$AA30*VLOOKUP('BMP P Tracking Table'!$Q30,'Loading Rates'!$B$1:$L$24,10,FALSE)),"")</f>
        <v>15.836590000000001</v>
      </c>
      <c r="AE30" s="175">
        <f>IFERROR(MIN(2,IF('BMP P Tracking Table'!$V30="Total Pervious",(-(3630*'BMP P Tracking Table'!$U30+20.691*'BMP P Tracking Table'!$AA30)+SQRT((3630*'BMP P Tracking Table'!$U30+20.691*'BMP P Tracking Table'!$AA30)^2-(4*(996.798*'BMP P Tracking Table'!$AA30)*-'BMP P Tracking Table'!$AB30)))/(2*(996.798*'BMP P Tracking Table'!$AA30)),IF(SUM('BMP P Tracking Table'!$W30:$Z30)=0,'BMP P Tracking Table'!$AB30/(-3630*'BMP P Tracking Table'!$U30),(-(3630*'BMP P Tracking Table'!$U30+20.691*'BMP P Tracking Table'!$Z30-216.711*'BMP P Tracking Table'!$Y30-83.853*'BMP P Tracking Table'!$X30-42.834*'BMP P Tracking Table'!$W30)+SQRT((3630*'BMP P Tracking Table'!$U30+20.691*'BMP P Tracking Table'!$Z30-216.711*'BMP P Tracking Table'!$Y30-83.853*'BMP P Tracking Table'!$X30-42.834*'BMP P Tracking Table'!$W30)^2-(4*(149.919*'BMP P Tracking Table'!$W30+236.676*'BMP P Tracking Table'!$X30+726*'BMP P Tracking Table'!$Y30+996.798*'BMP P Tracking Table'!$Z30)*-'BMP P Tracking Table'!$AB30)))/(2*(149.919*'BMP P Tracking Table'!$W30+236.676*'BMP P Tracking Table'!$X30+726*'BMP P Tracking Table'!$Y30+996.798*'BMP P Tracking Table'!$Z30))))),"")</f>
        <v>0.37352126217806247</v>
      </c>
      <c r="AF30" s="175">
        <f>IFERROR((VLOOKUP(CONCATENATE('BMP P Tracking Table'!$T30," ",'BMP P Tracking Table'!$AC30),'Performance Curves'!$C$1:$L$45,MATCH('BMP P Tracking Table'!$AE30,'Performance Curves'!$E$1:$L$1,1)+2,FALSE)-VLOOKUP(CONCATENATE('BMP P Tracking Table'!$T30," ",'BMP P Tracking Table'!$AC30),'Performance Curves'!$C$1:$L$45,MATCH('BMP P Tracking Table'!$AE30,'Performance Curves'!$E$1:$L$1,1)+1,FALSE)),"")</f>
        <v>0.25</v>
      </c>
      <c r="AG30" s="175">
        <f>IFERROR(('BMP P Tracking Table'!$AE30-INDEX('Performance Curves'!$E$1:$L$1,1,MATCH('BMP P Tracking Table'!$AE30,'Performance Curves'!$E$1:$L$1,1)))/(INDEX('Performance Curves'!$E$1:$L$1,1,MATCH('BMP P Tracking Table'!$AE30,'Performance Curves'!$E$1:$L$1,1)+1)-INDEX('Performance Curves'!$E$1:$L$1,1,MATCH('BMP P Tracking Table'!$AE30,'Performance Curves'!$E$1:$L$1,1))),"")</f>
        <v>0.86760631089031226</v>
      </c>
      <c r="AH30" s="176">
        <f>IFERROR(IF('BMP P Tracking Table'!$AE30=2,VLOOKUP(CONCATENATE('BMP P Tracking Table'!$T30," ",'BMP P Tracking Table'!$AC30),'Performance Curves'!$C$1:$L$45,MATCH('BMP P Tracking Table'!$AE30,'Performance Curves'!$E$1:$L$1,1)+1,FALSE),'BMP P Tracking Table'!$AF30*'BMP P Tracking Table'!$AG30+VLOOKUP(CONCATENATE('BMP P Tracking Table'!$T30," ",'BMP P Tracking Table'!$AC30),'Performance Curves'!$C$1:$L$45,MATCH('BMP P Tracking Table'!$AE30,'Performance Curves'!$E$1:$L$1,1)+1,FALSE)),"")</f>
        <v>0.71690157772257801</v>
      </c>
      <c r="AI30" s="175">
        <f>IFERROR('BMP P Tracking Table'!$AH30*'BMP P Tracking Table'!$AD30,"")</f>
        <v>11.353276356745603</v>
      </c>
      <c r="AJ30" s="173">
        <f t="shared" si="10"/>
        <v>10.330879161815078</v>
      </c>
      <c r="AK30" s="169"/>
      <c r="AL30" s="173"/>
      <c r="AM30" s="177">
        <v>1</v>
      </c>
      <c r="AN30" s="178">
        <f t="shared" si="8"/>
        <v>10.330879161815078</v>
      </c>
      <c r="AO30" s="96"/>
      <c r="AP30" s="96"/>
      <c r="AQ30" s="96"/>
      <c r="AR30" s="96"/>
      <c r="AS30" s="96"/>
      <c r="AT30" s="96"/>
      <c r="AU30" s="96"/>
      <c r="AV30" s="64"/>
      <c r="AW30" s="97"/>
      <c r="AX30" s="97"/>
      <c r="AY30" s="101" t="str">
        <f>IF('BMP P Tracking Table'!$AK30="Yes",IF('BMP P Tracking Table'!$AL30="No",'BMP P Tracking Table'!$U30*VLOOKUP('BMP P Tracking Table'!$Q30,'Loading Rates'!$B$1:$L$24,4,FALSE)+IF('BMP P Tracking Table'!$V30="By HSG",'BMP P Tracking Table'!$W30*VLOOKUP('BMP P Tracking Table'!$Q30,'Loading Rates'!$B$1:$L$24,6,FALSE)+'BMP P Tracking Table'!$X30*VLOOKUP('BMP P Tracking Table'!$Q30,'Loading Rates'!$B$1:$L$24,7,FALSE)+'BMP P Tracking Table'!$Y30*VLOOKUP('BMP P Tracking Table'!$Q30,'Loading Rates'!$B$1:$L$24,8,FALSE)+'BMP P Tracking Table'!$Z30*VLOOKUP('BMP P Tracking Table'!$Q30,'Loading Rates'!$B$1:$L$24,9,FALSE),'BMP P Tracking Table'!$AA30*VLOOKUP('BMP P Tracking Table'!$Q30,'Loading Rates'!$B$1:$L$24,10,FALSE)),'BMP P Tracking Table'!$AO30*VLOOKUP('BMP P Tracking Table'!$Q30,'Loading Rates'!$B$1:$L$24,4,FALSE)+IF('BMP P Tracking Table'!$AP30="By HSG",'BMP P Tracking Table'!$AQ30*VLOOKUP('BMP P Tracking Table'!$Q30,'Loading Rates'!$B$1:$L$24,6,FALSE)+'BMP P Tracking Table'!$AR30*VLOOKUP('BMP P Tracking Table'!$Q30,'Loading Rates'!$B$1:$L$24,7,FALSE)+'BMP P Tracking Table'!$AS30*VLOOKUP('BMP P Tracking Table'!$Q30,'Loading Rates'!$B$1:$L$24,8,FALSE)+'BMP P Tracking Table'!$AT30*VLOOKUP('BMP P Tracking Table'!$Q30,'Loading Rates'!$B$1:$L$24,9,FALSE),'BMP P Tracking Table'!$AU30*VLOOKUP('BMP P Tracking Table'!$Q30,'Loading Rates'!$B$1:$L$24,10,FALSE))),"")</f>
        <v/>
      </c>
      <c r="AZ30" s="101">
        <f>IFERROR(IF('BMP P Tracking Table'!$AL30="Yes",MIN(2,IF('BMP P Tracking Table'!$AP30="Total Pervious",(-(3630*'BMP P Tracking Table'!$AO30+20.691*'BMP P Tracking Table'!$AU30)+SQRT((3630*'BMP P Tracking Table'!$AO30+20.691*'BMP P Tracking Table'!$AU30)^2-(4*(996.798*'BMP P Tracking Table'!$AU30)*-'BMP P Tracking Table'!$AW30)))/(2*(996.798*'BMP P Tracking Table'!$AU30)),IF(SUM('BMP P Tracking Table'!$AQ30:$AT30)=0,'BMP P Tracking Table'!$AU30/(-3630*'BMP P Tracking Table'!$AO30),(-(3630*'BMP P Tracking Table'!$AO30+20.691*'BMP P Tracking Table'!$AT30-216.711*'BMP P Tracking Table'!$AS30-83.853*'BMP P Tracking Table'!$AR30-42.834*'BMP P Tracking Table'!$AQ30)+SQRT((3630*'BMP P Tracking Table'!$AO30+20.691*'BMP P Tracking Table'!$AT30-216.711*'BMP P Tracking Table'!$AS30-83.853*'BMP P Tracking Table'!$AR30-42.834*'BMP P Tracking Table'!$AQ30)^2-(4*(149.919*'BMP P Tracking Table'!$AQ30+236.676*'BMP P Tracking Table'!$AR30+726*'BMP P Tracking Table'!$AS30+996.798*'BMP P Tracking Table'!$AT30)*-'BMP P Tracking Table'!$AW30)))/(2*(149.919*'BMP P Tracking Table'!$AQ30+236.676*'BMP P Tracking Table'!$AR30+726*'BMP P Tracking Table'!$AS30+996.798*'BMP P Tracking Table'!$AT30))))),MIN(2,IF('BMP P Tracking Table'!$AP30="Total Pervious",(-(3630*'BMP P Tracking Table'!$U30+20.691*'BMP P Tracking Table'!$AA30)+SQRT((3630*'BMP P Tracking Table'!$U30+20.691*'BMP P Tracking Table'!$AA30)^2-(4*(996.798*'BMP P Tracking Table'!$AA30)*-'BMP P Tracking Table'!$AW30)))/(2*(996.798*'BMP P Tracking Table'!$AA30)),IF(SUM('BMP P Tracking Table'!$W30:$Z30)=0,'BMP P Tracking Table'!$AW30/(-3630*'BMP P Tracking Table'!$U30),(-(3630*'BMP P Tracking Table'!$U30+20.691*'BMP P Tracking Table'!$Z30-216.711*'BMP P Tracking Table'!$Y30-83.853*'BMP P Tracking Table'!$X30-42.834*'BMP P Tracking Table'!$W30)+SQRT((3630*'BMP P Tracking Table'!$U30+20.691*'BMP P Tracking Table'!$Z30-216.711*'BMP P Tracking Table'!$Y30-83.853*'BMP P Tracking Table'!$X30-42.834*'BMP P Tracking Table'!$W30)^2-(4*(149.919*'BMP P Tracking Table'!$W30+236.676*'BMP P Tracking Table'!$X30+726*'BMP P Tracking Table'!$Y30+996.798*'BMP P Tracking Table'!$Z30)*-'BMP P Tracking Table'!$AW30)))/(2*(149.919*'BMP P Tracking Table'!$W30+236.676*'BMP P Tracking Table'!$X30+726*'BMP P Tracking Table'!$Y30+996.798*'BMP P Tracking Table'!$Z30)))))),"")</f>
        <v>0</v>
      </c>
      <c r="BA30" s="101" t="str">
        <f>IFERROR((VLOOKUP(CONCATENATE('BMP P Tracking Table'!$AV30," ",'BMP P Tracking Table'!$AX30),'Performance Curves'!$C$1:$L$45,MATCH('BMP P Tracking Table'!$AZ30,'Performance Curves'!$E$1:$L$1,1)+2,FALSE)-VLOOKUP(CONCATENATE('BMP P Tracking Table'!$AV30," ",'BMP P Tracking Table'!$AX30),'Performance Curves'!$C$1:$L$45,MATCH('BMP P Tracking Table'!$AZ30,'Performance Curves'!$E$1:$L$1,1)+1,FALSE)),"")</f>
        <v/>
      </c>
      <c r="BB30" s="101" t="str">
        <f>IFERROR(('BMP P Tracking Table'!$AZ30-INDEX('Performance Curves'!$E$1:$L$1,1,MATCH('BMP P Tracking Table'!$AZ30,'Performance Curves'!$E$1:$L$1,1)))/(INDEX('Performance Curves'!$E$1:$L$1,1,MATCH('BMP P Tracking Table'!$AZ30,'Performance Curves'!$E$1:$L$1,1)+1)-INDEX('Performance Curves'!$E$1:$L$1,1,MATCH('BMP P Tracking Table'!$AZ30,'Performance Curves'!$E$1:$L$1,1))),"")</f>
        <v/>
      </c>
      <c r="BC30" s="102" t="str">
        <f>IFERROR(IF('BMP P Tracking Table'!$AZ30=2,VLOOKUP(CONCATENATE('BMP P Tracking Table'!$AV30," ",'BMP P Tracking Table'!$AX30),'Performance Curves'!$C$1:$L$44,MATCH('BMP P Tracking Table'!$AZ30,'Performance Curves'!$E$1:$L$1,1)+1,FALSE),'BMP P Tracking Table'!$BA30*'BMP P Tracking Table'!$BB30+VLOOKUP(CONCATENATE('BMP P Tracking Table'!$AV30," ",'BMP P Tracking Table'!$AX30),'Performance Curves'!$C$1:$L$44,MATCH('BMP P Tracking Table'!$AZ30,'Performance Curves'!$E$1:$L$1,1)+1,FALSE)),"")</f>
        <v/>
      </c>
      <c r="BD30" s="101" t="str">
        <f>IFERROR('BMP P Tracking Table'!$BC30*'BMP P Tracking Table'!$AY30,"")</f>
        <v/>
      </c>
      <c r="BE30" s="96"/>
      <c r="BF30" s="37">
        <f t="shared" si="11"/>
        <v>0</v>
      </c>
      <c r="BH30" s="182">
        <v>0.65234240210898164</v>
      </c>
      <c r="BI30" s="37">
        <f t="shared" si="12"/>
        <v>10.330879161815078</v>
      </c>
      <c r="BK30" s="36" t="str">
        <f t="shared" si="9"/>
        <v>Winooski River</v>
      </c>
      <c r="BN30" s="36" t="s">
        <v>391</v>
      </c>
    </row>
    <row r="31" spans="1:77" s="162" customFormat="1" ht="17.399999999999999" hidden="1" customHeight="1" x14ac:dyDescent="0.3">
      <c r="A31" s="169"/>
      <c r="B31" s="169"/>
      <c r="C31" s="169"/>
      <c r="D31" s="169"/>
      <c r="E31" s="170"/>
      <c r="F31" s="170"/>
      <c r="G31" s="169"/>
      <c r="H31" s="169"/>
      <c r="I31" s="169"/>
      <c r="J31" s="171"/>
      <c r="K31" s="169"/>
      <c r="L31" s="169"/>
      <c r="M31" s="169"/>
      <c r="N31" s="172" t="s">
        <v>429</v>
      </c>
      <c r="O31" s="169"/>
      <c r="P31" s="169"/>
      <c r="Q31" s="169"/>
      <c r="R31" s="169"/>
      <c r="S31" s="169"/>
      <c r="T31" s="169"/>
      <c r="U31" s="173"/>
      <c r="V31" s="169"/>
      <c r="W31" s="169"/>
      <c r="X31" s="169"/>
      <c r="Y31" s="169"/>
      <c r="Z31" s="169"/>
      <c r="AA31" s="169"/>
      <c r="AB31" s="174"/>
      <c r="AC31" s="169"/>
      <c r="AD31" s="175" t="str">
        <f>IFERROR('BMP P Tracking Table'!$U31*VLOOKUP('BMP P Tracking Table'!$Q31,'Loading Rates'!$B$1:$L$24,4,FALSE)+IF('BMP P Tracking Table'!$V31="By HSG",'BMP P Tracking Table'!$W31*VLOOKUP('BMP P Tracking Table'!$Q31,'Loading Rates'!$B$1:$L$24,6,FALSE)+'BMP P Tracking Table'!$X31*VLOOKUP('BMP P Tracking Table'!$Q31,'Loading Rates'!$B$1:$L$24,7,FALSE)+'BMP P Tracking Table'!$Y31*VLOOKUP('BMP P Tracking Table'!$Q31,'Loading Rates'!$B$1:$L$24,8,FALSE)+'BMP P Tracking Table'!$Z31*VLOOKUP('BMP P Tracking Table'!$Q31,'Loading Rates'!$B$1:$L$24,9,FALSE),'BMP P Tracking Table'!$AA31*VLOOKUP('BMP P Tracking Table'!$Q31,'Loading Rates'!$B$1:$L$24,10,FALSE)),"")</f>
        <v/>
      </c>
      <c r="AE31" s="175" t="str">
        <f>IFERROR(MIN(2,IF('BMP P Tracking Table'!$V31="Total Pervious",(-(3630*'BMP P Tracking Table'!$U31+20.691*'BMP P Tracking Table'!$AA31)+SQRT((3630*'BMP P Tracking Table'!$U31+20.691*'BMP P Tracking Table'!$AA31)^2-(4*(996.798*'BMP P Tracking Table'!$AA31)*-'BMP P Tracking Table'!$AB31)))/(2*(996.798*'BMP P Tracking Table'!$AA31)),IF(SUM('BMP P Tracking Table'!$W31:$Z31)=0,'BMP P Tracking Table'!$AB31/(-3630*'BMP P Tracking Table'!$U31),(-(3630*'BMP P Tracking Table'!$U31+20.691*'BMP P Tracking Table'!$Z31-216.711*'BMP P Tracking Table'!$Y31-83.853*'BMP P Tracking Table'!$X31-42.834*'BMP P Tracking Table'!$W31)+SQRT((3630*'BMP P Tracking Table'!$U31+20.691*'BMP P Tracking Table'!$Z31-216.711*'BMP P Tracking Table'!$Y31-83.853*'BMP P Tracking Table'!$X31-42.834*'BMP P Tracking Table'!$W31)^2-(4*(149.919*'BMP P Tracking Table'!$W31+236.676*'BMP P Tracking Table'!$X31+726*'BMP P Tracking Table'!$Y31+996.798*'BMP P Tracking Table'!$Z31)*-'BMP P Tracking Table'!$AB31)))/(2*(149.919*'BMP P Tracking Table'!$W31+236.676*'BMP P Tracking Table'!$X31+726*'BMP P Tracking Table'!$Y31+996.798*'BMP P Tracking Table'!$Z31))))),"")</f>
        <v/>
      </c>
      <c r="AF31" s="175" t="str">
        <f>IFERROR((VLOOKUP(CONCATENATE('BMP P Tracking Table'!$T31," ",'BMP P Tracking Table'!$AC31),'Performance Curves'!$C$1:$L$45,MATCH('BMP P Tracking Table'!$AE31,'Performance Curves'!$E$1:$L$1,1)+2,FALSE)-VLOOKUP(CONCATENATE('BMP P Tracking Table'!$T31," ",'BMP P Tracking Table'!$AC31),'Performance Curves'!$C$1:$L$45,MATCH('BMP P Tracking Table'!$AE31,'Performance Curves'!$E$1:$L$1,1)+1,FALSE)),"")</f>
        <v/>
      </c>
      <c r="AG31" s="175" t="str">
        <f>IFERROR(('BMP P Tracking Table'!$AE31-INDEX('Performance Curves'!$E$1:$L$1,1,MATCH('BMP P Tracking Table'!$AE31,'Performance Curves'!$E$1:$L$1,1)))/(INDEX('Performance Curves'!$E$1:$L$1,1,MATCH('BMP P Tracking Table'!$AE31,'Performance Curves'!$E$1:$L$1,1)+1)-INDEX('Performance Curves'!$E$1:$L$1,1,MATCH('BMP P Tracking Table'!$AE31,'Performance Curves'!$E$1:$L$1,1))),"")</f>
        <v/>
      </c>
      <c r="AH31" s="176" t="str">
        <f>IFERROR(IF('BMP P Tracking Table'!$AE31=2,VLOOKUP(CONCATENATE('BMP P Tracking Table'!$T31," ",'BMP P Tracking Table'!$AC31),'Performance Curves'!$C$1:$L$45,MATCH('BMP P Tracking Table'!$AE31,'Performance Curves'!$E$1:$L$1,1)+1,FALSE),'BMP P Tracking Table'!$AF31*'BMP P Tracking Table'!$AG31+VLOOKUP(CONCATENATE('BMP P Tracking Table'!$T31," ",'BMP P Tracking Table'!$AC31),'Performance Curves'!$C$1:$L$45,MATCH('BMP P Tracking Table'!$AE31,'Performance Curves'!$E$1:$L$1,1)+1,FALSE)),"")</f>
        <v/>
      </c>
      <c r="AI31" s="175" t="str">
        <f>IFERROR('BMP P Tracking Table'!$AH31*'BMP P Tracking Table'!$AD31,"")</f>
        <v/>
      </c>
      <c r="AJ31" s="173"/>
      <c r="AK31" s="169"/>
      <c r="AL31" s="173"/>
      <c r="AM31" s="177">
        <v>1</v>
      </c>
      <c r="AN31" s="178" t="str">
        <f t="shared" si="8"/>
        <v/>
      </c>
      <c r="AO31" s="157"/>
      <c r="AP31" s="157"/>
      <c r="AQ31" s="157"/>
      <c r="AR31" s="157"/>
      <c r="AS31" s="157"/>
      <c r="AT31" s="157"/>
      <c r="AU31" s="157"/>
      <c r="AV31" s="156"/>
      <c r="AW31" s="160"/>
      <c r="AX31" s="160"/>
      <c r="AY31" s="158" t="str">
        <f>IF('BMP P Tracking Table'!$AK31="Yes",IF('BMP P Tracking Table'!$AL31="No",'BMP P Tracking Table'!$U31*VLOOKUP('BMP P Tracking Table'!$Q31,'Loading Rates'!$B$1:$L$24,4,FALSE)+IF('BMP P Tracking Table'!$V31="By HSG",'BMP P Tracking Table'!$W31*VLOOKUP('BMP P Tracking Table'!$Q31,'Loading Rates'!$B$1:$L$24,6,FALSE)+'BMP P Tracking Table'!$X31*VLOOKUP('BMP P Tracking Table'!$Q31,'Loading Rates'!$B$1:$L$24,7,FALSE)+'BMP P Tracking Table'!$Y31*VLOOKUP('BMP P Tracking Table'!$Q31,'Loading Rates'!$B$1:$L$24,8,FALSE)+'BMP P Tracking Table'!$Z31*VLOOKUP('BMP P Tracking Table'!$Q31,'Loading Rates'!$B$1:$L$24,9,FALSE),'BMP P Tracking Table'!$AA31*VLOOKUP('BMP P Tracking Table'!$Q31,'Loading Rates'!$B$1:$L$24,10,FALSE)),'BMP P Tracking Table'!$AO31*VLOOKUP('BMP P Tracking Table'!$Q31,'Loading Rates'!$B$1:$L$24,4,FALSE)+IF('BMP P Tracking Table'!$AP31="By HSG",'BMP P Tracking Table'!$AQ31*VLOOKUP('BMP P Tracking Table'!$Q31,'Loading Rates'!$B$1:$L$24,6,FALSE)+'BMP P Tracking Table'!$AR31*VLOOKUP('BMP P Tracking Table'!$Q31,'Loading Rates'!$B$1:$L$24,7,FALSE)+'BMP P Tracking Table'!$AS31*VLOOKUP('BMP P Tracking Table'!$Q31,'Loading Rates'!$B$1:$L$24,8,FALSE)+'BMP P Tracking Table'!$AT31*VLOOKUP('BMP P Tracking Table'!$Q31,'Loading Rates'!$B$1:$L$24,9,FALSE),'BMP P Tracking Table'!$AU31*VLOOKUP('BMP P Tracking Table'!$Q31,'Loading Rates'!$B$1:$L$24,10,FALSE))),"")</f>
        <v/>
      </c>
      <c r="AZ31" s="158" t="str">
        <f>IFERROR(IF('BMP P Tracking Table'!$AL31="Yes",MIN(2,IF('BMP P Tracking Table'!$AP31="Total Pervious",(-(3630*'BMP P Tracking Table'!$AO31+20.691*'BMP P Tracking Table'!$AU31)+SQRT((3630*'BMP P Tracking Table'!$AO31+20.691*'BMP P Tracking Table'!$AU31)^2-(4*(996.798*'BMP P Tracking Table'!$AU31)*-'BMP P Tracking Table'!$AW31)))/(2*(996.798*'BMP P Tracking Table'!$AU31)),IF(SUM('BMP P Tracking Table'!$AQ31:$AT31)=0,'BMP P Tracking Table'!$AU31/(-3630*'BMP P Tracking Table'!$AO31),(-(3630*'BMP P Tracking Table'!$AO31+20.691*'BMP P Tracking Table'!$AT31-216.711*'BMP P Tracking Table'!$AS31-83.853*'BMP P Tracking Table'!$AR31-42.834*'BMP P Tracking Table'!$AQ31)+SQRT((3630*'BMP P Tracking Table'!$AO31+20.691*'BMP P Tracking Table'!$AT31-216.711*'BMP P Tracking Table'!$AS31-83.853*'BMP P Tracking Table'!$AR31-42.834*'BMP P Tracking Table'!$AQ31)^2-(4*(149.919*'BMP P Tracking Table'!$AQ31+236.676*'BMP P Tracking Table'!$AR31+726*'BMP P Tracking Table'!$AS31+996.798*'BMP P Tracking Table'!$AT31)*-'BMP P Tracking Table'!$AW31)))/(2*(149.919*'BMP P Tracking Table'!$AQ31+236.676*'BMP P Tracking Table'!$AR31+726*'BMP P Tracking Table'!$AS31+996.798*'BMP P Tracking Table'!$AT31))))),MIN(2,IF('BMP P Tracking Table'!$AP31="Total Pervious",(-(3630*'BMP P Tracking Table'!$U31+20.691*'BMP P Tracking Table'!$AA31)+SQRT((3630*'BMP P Tracking Table'!$U31+20.691*'BMP P Tracking Table'!$AA31)^2-(4*(996.798*'BMP P Tracking Table'!$AA31)*-'BMP P Tracking Table'!$AW31)))/(2*(996.798*'BMP P Tracking Table'!$AA31)),IF(SUM('BMP P Tracking Table'!$W31:$Z31)=0,'BMP P Tracking Table'!$AW31/(-3630*'BMP P Tracking Table'!$U31),(-(3630*'BMP P Tracking Table'!$U31+20.691*'BMP P Tracking Table'!$Z31-216.711*'BMP P Tracking Table'!$Y31-83.853*'BMP P Tracking Table'!$X31-42.834*'BMP P Tracking Table'!$W31)+SQRT((3630*'BMP P Tracking Table'!$U31+20.691*'BMP P Tracking Table'!$Z31-216.711*'BMP P Tracking Table'!$Y31-83.853*'BMP P Tracking Table'!$X31-42.834*'BMP P Tracking Table'!$W31)^2-(4*(149.919*'BMP P Tracking Table'!$W31+236.676*'BMP P Tracking Table'!$X31+726*'BMP P Tracking Table'!$Y31+996.798*'BMP P Tracking Table'!$Z31)*-'BMP P Tracking Table'!$AW31)))/(2*(149.919*'BMP P Tracking Table'!$W31+236.676*'BMP P Tracking Table'!$X31+726*'BMP P Tracking Table'!$Y31+996.798*'BMP P Tracking Table'!$Z31)))))),"")</f>
        <v/>
      </c>
      <c r="BA31" s="158" t="str">
        <f>IFERROR((VLOOKUP(CONCATENATE('BMP P Tracking Table'!$AV31," ",'BMP P Tracking Table'!$AX31),'Performance Curves'!$C$1:$L$45,MATCH('BMP P Tracking Table'!$AZ31,'Performance Curves'!$E$1:$L$1,1)+2,FALSE)-VLOOKUP(CONCATENATE('BMP P Tracking Table'!$AV31," ",'BMP P Tracking Table'!$AX31),'Performance Curves'!$C$1:$L$45,MATCH('BMP P Tracking Table'!$AZ31,'Performance Curves'!$E$1:$L$1,1)+1,FALSE)),"")</f>
        <v/>
      </c>
      <c r="BB31" s="158" t="str">
        <f>IFERROR(('BMP P Tracking Table'!$AZ31-INDEX('Performance Curves'!$E$1:$L$1,1,MATCH('BMP P Tracking Table'!$AZ31,'Performance Curves'!$E$1:$L$1,1)))/(INDEX('Performance Curves'!$E$1:$L$1,1,MATCH('BMP P Tracking Table'!$AZ31,'Performance Curves'!$E$1:$L$1,1)+1)-INDEX('Performance Curves'!$E$1:$L$1,1,MATCH('BMP P Tracking Table'!$AZ31,'Performance Curves'!$E$1:$L$1,1))),"")</f>
        <v/>
      </c>
      <c r="BC31" s="159" t="str">
        <f>IFERROR(IF('BMP P Tracking Table'!$AZ31=2,VLOOKUP(CONCATENATE('BMP P Tracking Table'!$AV31," ",'BMP P Tracking Table'!$AX31),'Performance Curves'!$C$1:$L$44,MATCH('BMP P Tracking Table'!$AZ31,'Performance Curves'!$E$1:$L$1,1)+1,FALSE),'BMP P Tracking Table'!$BA31*'BMP P Tracking Table'!$BB31+VLOOKUP(CONCATENATE('BMP P Tracking Table'!$AV31," ",'BMP P Tracking Table'!$AX31),'Performance Curves'!$C$1:$L$44,MATCH('BMP P Tracking Table'!$AZ31,'Performance Curves'!$E$1:$L$1,1)+1,FALSE)),"")</f>
        <v/>
      </c>
      <c r="BD31" s="158" t="str">
        <f>IFERROR('BMP P Tracking Table'!$BC31*'BMP P Tracking Table'!$AY31,"")</f>
        <v/>
      </c>
      <c r="BE31" s="157"/>
      <c r="BF31" s="161">
        <f t="shared" si="11"/>
        <v>0</v>
      </c>
      <c r="BH31" s="163"/>
      <c r="BI31" s="161"/>
      <c r="BN31" s="36" t="s">
        <v>391</v>
      </c>
    </row>
    <row r="32" spans="1:77" s="119" customFormat="1" ht="17.399999999999999" hidden="1" customHeight="1" x14ac:dyDescent="0.3">
      <c r="A32" s="169"/>
      <c r="B32" s="169"/>
      <c r="C32" s="169"/>
      <c r="D32" s="169"/>
      <c r="E32" s="170"/>
      <c r="F32" s="170"/>
      <c r="G32" s="169"/>
      <c r="H32" s="169"/>
      <c r="I32" s="169"/>
      <c r="J32" s="171"/>
      <c r="K32" s="169"/>
      <c r="L32" s="169"/>
      <c r="M32" s="169"/>
      <c r="N32" s="172" t="s">
        <v>429</v>
      </c>
      <c r="O32" s="169"/>
      <c r="P32" s="169"/>
      <c r="Q32" s="169"/>
      <c r="R32" s="169"/>
      <c r="S32" s="169"/>
      <c r="T32" s="169"/>
      <c r="U32" s="173"/>
      <c r="V32" s="169"/>
      <c r="W32" s="169"/>
      <c r="X32" s="169"/>
      <c r="Y32" s="169"/>
      <c r="Z32" s="169"/>
      <c r="AA32" s="169"/>
      <c r="AB32" s="174"/>
      <c r="AC32" s="169"/>
      <c r="AD32" s="175"/>
      <c r="AE32" s="175"/>
      <c r="AF32" s="175"/>
      <c r="AG32" s="175"/>
      <c r="AH32" s="176"/>
      <c r="AI32" s="175"/>
      <c r="AJ32" s="173"/>
      <c r="AK32" s="169"/>
      <c r="AL32" s="173"/>
      <c r="AM32" s="177">
        <v>1</v>
      </c>
      <c r="AN32" s="178"/>
      <c r="AO32" s="116"/>
      <c r="AP32" s="116"/>
      <c r="AQ32" s="116"/>
      <c r="AR32" s="116"/>
      <c r="AS32" s="116"/>
      <c r="AT32" s="116"/>
      <c r="AU32" s="116"/>
      <c r="AV32" s="107"/>
      <c r="AW32" s="117"/>
      <c r="AX32" s="117"/>
      <c r="AY32" s="114"/>
      <c r="AZ32" s="114"/>
      <c r="BA32" s="114"/>
      <c r="BB32" s="114"/>
      <c r="BC32" s="115"/>
      <c r="BD32" s="114"/>
      <c r="BE32" s="116"/>
      <c r="BF32" s="118"/>
      <c r="BH32" s="133"/>
      <c r="BI32" s="118"/>
      <c r="BK32" s="36">
        <f>Q32</f>
        <v>0</v>
      </c>
      <c r="BN32" s="36" t="s">
        <v>391</v>
      </c>
    </row>
    <row r="33" spans="1:66" s="119" customFormat="1" ht="17.399999999999999" hidden="1" customHeight="1" x14ac:dyDescent="0.3">
      <c r="A33" s="169"/>
      <c r="B33" s="169"/>
      <c r="C33" s="169"/>
      <c r="D33" s="169"/>
      <c r="E33" s="170"/>
      <c r="F33" s="170"/>
      <c r="G33" s="169"/>
      <c r="H33" s="169"/>
      <c r="I33" s="169"/>
      <c r="J33" s="171"/>
      <c r="K33" s="169"/>
      <c r="L33" s="169"/>
      <c r="M33" s="169"/>
      <c r="N33" s="172" t="s">
        <v>429</v>
      </c>
      <c r="O33" s="169"/>
      <c r="P33" s="169"/>
      <c r="Q33" s="169"/>
      <c r="R33" s="169"/>
      <c r="S33" s="169"/>
      <c r="T33" s="169"/>
      <c r="U33" s="205"/>
      <c r="V33" s="169"/>
      <c r="W33" s="169"/>
      <c r="X33" s="169"/>
      <c r="Y33" s="169"/>
      <c r="Z33" s="169"/>
      <c r="AA33" s="169"/>
      <c r="AB33" s="174"/>
      <c r="AC33" s="169"/>
      <c r="AD33" s="175" t="str">
        <f>IFERROR('BMP P Tracking Table'!$U33*VLOOKUP('BMP P Tracking Table'!$Q33,'Loading Rates'!$B$1:$L$24,4,FALSE)+IF('BMP P Tracking Table'!$V33="By HSG",'BMP P Tracking Table'!$W33*VLOOKUP('BMP P Tracking Table'!$Q33,'Loading Rates'!$B$1:$L$24,6,FALSE)+'BMP P Tracking Table'!$X33*VLOOKUP('BMP P Tracking Table'!$Q33,'Loading Rates'!$B$1:$L$24,7,FALSE)+'BMP P Tracking Table'!$Y33*VLOOKUP('BMP P Tracking Table'!$Q33,'Loading Rates'!$B$1:$L$24,8,FALSE)+'BMP P Tracking Table'!$Z33*VLOOKUP('BMP P Tracking Table'!$Q33,'Loading Rates'!$B$1:$L$24,9,FALSE),'BMP P Tracking Table'!$AA33*VLOOKUP('BMP P Tracking Table'!$Q33,'Loading Rates'!$B$1:$L$24,10,FALSE)),"")</f>
        <v/>
      </c>
      <c r="AE33" s="175" t="str">
        <f>IFERROR(MIN(2,IF('BMP P Tracking Table'!$V33="Total Pervious",(-(3630*'BMP P Tracking Table'!$U33+20.691*'BMP P Tracking Table'!$AA33)+SQRT((3630*'BMP P Tracking Table'!$U33+20.691*'BMP P Tracking Table'!$AA33)^2-(4*(996.798*'BMP P Tracking Table'!$AA33)*-'BMP P Tracking Table'!$AB33)))/(2*(996.798*'BMP P Tracking Table'!$AA33)),IF(SUM('BMP P Tracking Table'!$W33:$Z33)=0,'BMP P Tracking Table'!$AB33/(-3630*'BMP P Tracking Table'!$U33),(-(3630*'BMP P Tracking Table'!$U33+20.691*'BMP P Tracking Table'!$Z33-216.711*'BMP P Tracking Table'!$Y33-83.853*'BMP P Tracking Table'!$X33-42.834*'BMP P Tracking Table'!$W33)+SQRT((3630*'BMP P Tracking Table'!$U33+20.691*'BMP P Tracking Table'!$Z33-216.711*'BMP P Tracking Table'!$Y33-83.853*'BMP P Tracking Table'!$X33-42.834*'BMP P Tracking Table'!$W33)^2-(4*(149.919*'BMP P Tracking Table'!$W33+236.676*'BMP P Tracking Table'!$X33+726*'BMP P Tracking Table'!$Y33+996.798*'BMP P Tracking Table'!$Z33)*-'BMP P Tracking Table'!$AB33)))/(2*(149.919*'BMP P Tracking Table'!$W33+236.676*'BMP P Tracking Table'!$X33+726*'BMP P Tracking Table'!$Y33+996.798*'BMP P Tracking Table'!$Z33))))),"")</f>
        <v/>
      </c>
      <c r="AF33" s="175" t="str">
        <f>IFERROR((VLOOKUP(CONCATENATE('BMP P Tracking Table'!$T33," ",'BMP P Tracking Table'!$AC33),'Performance Curves'!$C$1:$L$45,MATCH('BMP P Tracking Table'!$AE33,'Performance Curves'!$E$1:$L$1,1)+2,FALSE)-VLOOKUP(CONCATENATE('BMP P Tracking Table'!$T33," ",'BMP P Tracking Table'!$AC33),'Performance Curves'!$C$1:$L$45,MATCH('BMP P Tracking Table'!$AE33,'Performance Curves'!$E$1:$L$1,1)+1,FALSE)),"")</f>
        <v/>
      </c>
      <c r="AG33" s="175" t="str">
        <f>IFERROR(('BMP P Tracking Table'!$AE33-INDEX('Performance Curves'!$E$1:$L$1,1,MATCH('BMP P Tracking Table'!$AE33,'Performance Curves'!$E$1:$L$1,1)))/(INDEX('Performance Curves'!$E$1:$L$1,1,MATCH('BMP P Tracking Table'!$AE33,'Performance Curves'!$E$1:$L$1,1)+1)-INDEX('Performance Curves'!$E$1:$L$1,1,MATCH('BMP P Tracking Table'!$AE33,'Performance Curves'!$E$1:$L$1,1))),"")</f>
        <v/>
      </c>
      <c r="AH33" s="176" t="str">
        <f>IFERROR(IF('BMP P Tracking Table'!$AE33=2,VLOOKUP(CONCATENATE('BMP P Tracking Table'!$T33," ",'BMP P Tracking Table'!$AC33),'Performance Curves'!$C$1:$L$45,MATCH('BMP P Tracking Table'!$AE33,'Performance Curves'!$E$1:$L$1,1)+1,FALSE),'BMP P Tracking Table'!$AF33*'BMP P Tracking Table'!$AG33+VLOOKUP(CONCATENATE('BMP P Tracking Table'!$T33," ",'BMP P Tracking Table'!$AC33),'Performance Curves'!$C$1:$L$45,MATCH('BMP P Tracking Table'!$AE33,'Performance Curves'!$E$1:$L$1,1)+1,FALSE)),"")</f>
        <v/>
      </c>
      <c r="AI33" s="175" t="str">
        <f>IFERROR('BMP P Tracking Table'!$AH33*'BMP P Tracking Table'!$AD33,"")</f>
        <v/>
      </c>
      <c r="AJ33" s="173"/>
      <c r="AK33" s="169"/>
      <c r="AL33" s="173"/>
      <c r="AM33" s="177"/>
      <c r="AN33" s="178" t="str">
        <f t="shared" si="8"/>
        <v/>
      </c>
      <c r="AO33" s="116"/>
      <c r="AP33" s="116"/>
      <c r="AQ33" s="116"/>
      <c r="AR33" s="116"/>
      <c r="AS33" s="116"/>
      <c r="AT33" s="116"/>
      <c r="AU33" s="116"/>
      <c r="AV33" s="107"/>
      <c r="AW33" s="117"/>
      <c r="AX33" s="117"/>
      <c r="AY33" s="114" t="str">
        <f>IF('BMP P Tracking Table'!$AK33="Yes",IF('BMP P Tracking Table'!$AL33="No",'BMP P Tracking Table'!$U33*VLOOKUP('BMP P Tracking Table'!$Q33,'Loading Rates'!$B$1:$L$24,4,FALSE)+IF('BMP P Tracking Table'!$V33="By HSG",'BMP P Tracking Table'!$W33*VLOOKUP('BMP P Tracking Table'!$Q33,'Loading Rates'!$B$1:$L$24,6,FALSE)+'BMP P Tracking Table'!$X33*VLOOKUP('BMP P Tracking Table'!$Q33,'Loading Rates'!$B$1:$L$24,7,FALSE)+'BMP P Tracking Table'!$Y33*VLOOKUP('BMP P Tracking Table'!$Q33,'Loading Rates'!$B$1:$L$24,8,FALSE)+'BMP P Tracking Table'!$Z33*VLOOKUP('BMP P Tracking Table'!$Q33,'Loading Rates'!$B$1:$L$24,9,FALSE),'BMP P Tracking Table'!$AA33*VLOOKUP('BMP P Tracking Table'!$Q33,'Loading Rates'!$B$1:$L$24,10,FALSE)),'BMP P Tracking Table'!$AO33*VLOOKUP('BMP P Tracking Table'!$Q33,'Loading Rates'!$B$1:$L$24,4,FALSE)+IF('BMP P Tracking Table'!$AP33="By HSG",'BMP P Tracking Table'!$AQ33*VLOOKUP('BMP P Tracking Table'!$Q33,'Loading Rates'!$B$1:$L$24,6,FALSE)+'BMP P Tracking Table'!$AR33*VLOOKUP('BMP P Tracking Table'!$Q33,'Loading Rates'!$B$1:$L$24,7,FALSE)+'BMP P Tracking Table'!$AS33*VLOOKUP('BMP P Tracking Table'!$Q33,'Loading Rates'!$B$1:$L$24,8,FALSE)+'BMP P Tracking Table'!$AT33*VLOOKUP('BMP P Tracking Table'!$Q33,'Loading Rates'!$B$1:$L$24,9,FALSE),'BMP P Tracking Table'!$AU33*VLOOKUP('BMP P Tracking Table'!$Q33,'Loading Rates'!$B$1:$L$24,10,FALSE))),"")</f>
        <v/>
      </c>
      <c r="AZ33" s="114" t="str">
        <f>IFERROR(IF('BMP P Tracking Table'!$AL33="Yes",MIN(2,IF('BMP P Tracking Table'!$AP33="Total Pervious",(-(3630*'BMP P Tracking Table'!$AO33+20.691*'BMP P Tracking Table'!$AU33)+SQRT((3630*'BMP P Tracking Table'!$AO33+20.691*'BMP P Tracking Table'!$AU33)^2-(4*(996.798*'BMP P Tracking Table'!$AU33)*-'BMP P Tracking Table'!$AW33)))/(2*(996.798*'BMP P Tracking Table'!$AU33)),IF(SUM('BMP P Tracking Table'!$AQ33:$AT33)=0,'BMP P Tracking Table'!$AU33/(-3630*'BMP P Tracking Table'!$AO33),(-(3630*'BMP P Tracking Table'!$AO33+20.691*'BMP P Tracking Table'!$AT33-216.711*'BMP P Tracking Table'!$AS33-83.853*'BMP P Tracking Table'!$AR33-42.834*'BMP P Tracking Table'!$AQ33)+SQRT((3630*'BMP P Tracking Table'!$AO33+20.691*'BMP P Tracking Table'!$AT33-216.711*'BMP P Tracking Table'!$AS33-83.853*'BMP P Tracking Table'!$AR33-42.834*'BMP P Tracking Table'!$AQ33)^2-(4*(149.919*'BMP P Tracking Table'!$AQ33+236.676*'BMP P Tracking Table'!$AR33+726*'BMP P Tracking Table'!$AS33+996.798*'BMP P Tracking Table'!$AT33)*-'BMP P Tracking Table'!$AW33)))/(2*(149.919*'BMP P Tracking Table'!$AQ33+236.676*'BMP P Tracking Table'!$AR33+726*'BMP P Tracking Table'!$AS33+996.798*'BMP P Tracking Table'!$AT33))))),MIN(2,IF('BMP P Tracking Table'!$AP33="Total Pervious",(-(3630*'BMP P Tracking Table'!$U33+20.691*'BMP P Tracking Table'!$AA33)+SQRT((3630*'BMP P Tracking Table'!$U33+20.691*'BMP P Tracking Table'!$AA33)^2-(4*(996.798*'BMP P Tracking Table'!$AA33)*-'BMP P Tracking Table'!$AW33)))/(2*(996.798*'BMP P Tracking Table'!$AA33)),IF(SUM('BMP P Tracking Table'!$W33:$Z33)=0,'BMP P Tracking Table'!$AW33/(-3630*'BMP P Tracking Table'!$U33),(-(3630*'BMP P Tracking Table'!$U33+20.691*'BMP P Tracking Table'!$Z33-216.711*'BMP P Tracking Table'!$Y33-83.853*'BMP P Tracking Table'!$X33-42.834*'BMP P Tracking Table'!$W33)+SQRT((3630*'BMP P Tracking Table'!$U33+20.691*'BMP P Tracking Table'!$Z33-216.711*'BMP P Tracking Table'!$Y33-83.853*'BMP P Tracking Table'!$X33-42.834*'BMP P Tracking Table'!$W33)^2-(4*(149.919*'BMP P Tracking Table'!$W33+236.676*'BMP P Tracking Table'!$X33+726*'BMP P Tracking Table'!$Y33+996.798*'BMP P Tracking Table'!$Z33)*-'BMP P Tracking Table'!$AW33)))/(2*(149.919*'BMP P Tracking Table'!$W33+236.676*'BMP P Tracking Table'!$X33+726*'BMP P Tracking Table'!$Y33+996.798*'BMP P Tracking Table'!$Z33)))))),"")</f>
        <v/>
      </c>
      <c r="BA33" s="114" t="str">
        <f>IFERROR((VLOOKUP(CONCATENATE('BMP P Tracking Table'!$AV33," ",'BMP P Tracking Table'!$AX33),'Performance Curves'!$C$1:$L$45,MATCH('BMP P Tracking Table'!$AZ33,'Performance Curves'!$E$1:$L$1,1)+2,FALSE)-VLOOKUP(CONCATENATE('BMP P Tracking Table'!$AV33," ",'BMP P Tracking Table'!$AX33),'Performance Curves'!$C$1:$L$45,MATCH('BMP P Tracking Table'!$AZ33,'Performance Curves'!$E$1:$L$1,1)+1,FALSE)),"")</f>
        <v/>
      </c>
      <c r="BB33" s="114" t="str">
        <f>IFERROR(('BMP P Tracking Table'!$AZ33-INDEX('Performance Curves'!$E$1:$L$1,1,MATCH('BMP P Tracking Table'!$AZ33,'Performance Curves'!$E$1:$L$1,1)))/(INDEX('Performance Curves'!$E$1:$L$1,1,MATCH('BMP P Tracking Table'!$AZ33,'Performance Curves'!$E$1:$L$1,1)+1)-INDEX('Performance Curves'!$E$1:$L$1,1,MATCH('BMP P Tracking Table'!$AZ33,'Performance Curves'!$E$1:$L$1,1))),"")</f>
        <v/>
      </c>
      <c r="BC33" s="115" t="str">
        <f>IFERROR(IF('BMP P Tracking Table'!$AZ33=2,VLOOKUP(CONCATENATE('BMP P Tracking Table'!$AV33," ",'BMP P Tracking Table'!$AX33),'Performance Curves'!$C$1:$L$44,MATCH('BMP P Tracking Table'!$AZ33,'Performance Curves'!$E$1:$L$1,1)+1,FALSE),'BMP P Tracking Table'!$BA33*'BMP P Tracking Table'!$BB33+VLOOKUP(CONCATENATE('BMP P Tracking Table'!$AV33," ",'BMP P Tracking Table'!$AX33),'Performance Curves'!$C$1:$L$44,MATCH('BMP P Tracking Table'!$AZ33,'Performance Curves'!$E$1:$L$1,1)+1,FALSE)),"")</f>
        <v/>
      </c>
      <c r="BD33" s="114" t="str">
        <f>IFERROR('BMP P Tracking Table'!$BC33*'BMP P Tracking Table'!$AY33,"")</f>
        <v/>
      </c>
      <c r="BE33" s="116"/>
      <c r="BF33" s="118">
        <f t="shared" si="11"/>
        <v>0</v>
      </c>
      <c r="BH33" s="129" t="s">
        <v>327</v>
      </c>
      <c r="BK33" s="36">
        <f t="shared" ref="BK33:BK72" si="13">Q33</f>
        <v>0</v>
      </c>
      <c r="BN33" s="36" t="s">
        <v>391</v>
      </c>
    </row>
    <row r="34" spans="1:66" ht="17.399999999999999" customHeight="1" x14ac:dyDescent="0.3">
      <c r="A34" s="169" t="s">
        <v>280</v>
      </c>
      <c r="B34" s="169" t="s">
        <v>297</v>
      </c>
      <c r="C34" s="169" t="s">
        <v>312</v>
      </c>
      <c r="D34" s="169" t="s">
        <v>6</v>
      </c>
      <c r="E34" s="170">
        <v>44.49306</v>
      </c>
      <c r="F34" s="170">
        <v>-73.172219999999996</v>
      </c>
      <c r="G34" s="169" t="s">
        <v>315</v>
      </c>
      <c r="H34" s="169" t="s">
        <v>315</v>
      </c>
      <c r="I34" s="169" t="s">
        <v>66</v>
      </c>
      <c r="J34" s="171"/>
      <c r="K34" s="169" t="s">
        <v>111</v>
      </c>
      <c r="L34" s="169"/>
      <c r="M34" s="172" t="s">
        <v>382</v>
      </c>
      <c r="N34" s="172"/>
      <c r="O34" s="169" t="s">
        <v>62</v>
      </c>
      <c r="P34" s="169" t="s">
        <v>119</v>
      </c>
      <c r="Q34" s="169" t="s">
        <v>146</v>
      </c>
      <c r="R34" s="169" t="str">
        <f>IFERROR(VLOOKUP('BMP P Tracking Table'!$Q34,Dropdowns!$P$3:$Q$23,2,FALSE),"")</f>
        <v>Main Lake</v>
      </c>
      <c r="S34" s="169" t="s">
        <v>66</v>
      </c>
      <c r="T34" s="169" t="s">
        <v>47</v>
      </c>
      <c r="U34" s="173">
        <v>1.75</v>
      </c>
      <c r="V34" s="169" t="s">
        <v>219</v>
      </c>
      <c r="W34" s="169"/>
      <c r="X34" s="169"/>
      <c r="Y34" s="169"/>
      <c r="Z34" s="169"/>
      <c r="AA34" s="169">
        <v>5.17</v>
      </c>
      <c r="AB34" s="174">
        <v>2654</v>
      </c>
      <c r="AC34" s="169" t="s">
        <v>205</v>
      </c>
      <c r="AD34" s="175">
        <f>IFERROR('BMP P Tracking Table'!$U34*VLOOKUP('BMP P Tracking Table'!$Q34,'Loading Rates'!$B$1:$L$24,4,FALSE)+IF('BMP P Tracking Table'!$V34="By HSG",'BMP P Tracking Table'!$W34*VLOOKUP('BMP P Tracking Table'!$Q34,'Loading Rates'!$B$1:$L$24,6,FALSE)+'BMP P Tracking Table'!$X34*VLOOKUP('BMP P Tracking Table'!$Q34,'Loading Rates'!$B$1:$L$24,7,FALSE)+'BMP P Tracking Table'!$Y34*VLOOKUP('BMP P Tracking Table'!$Q34,'Loading Rates'!$B$1:$L$24,8,FALSE)+'BMP P Tracking Table'!$Z34*VLOOKUP('BMP P Tracking Table'!$Q34,'Loading Rates'!$B$1:$L$24,9,FALSE),'BMP P Tracking Table'!$AA34*VLOOKUP('BMP P Tracking Table'!$Q34,'Loading Rates'!$B$1:$L$24,10,FALSE)),"")</f>
        <v>3.1490200000000002</v>
      </c>
      <c r="AE34" s="175">
        <f>IFERROR(MIN(2,IF('BMP P Tracking Table'!$V34="Total Pervious",(-(3630*'BMP P Tracking Table'!$U34+20.691*'BMP P Tracking Table'!$AA34)+SQRT((3630*'BMP P Tracking Table'!$U34+20.691*'BMP P Tracking Table'!$AA34)^2-(4*(996.798*'BMP P Tracking Table'!$AA34)*-'BMP P Tracking Table'!$AB34)))/(2*(996.798*'BMP P Tracking Table'!$AA34)),IF(SUM('BMP P Tracking Table'!$W34:$Z34)=0,'BMP P Tracking Table'!$AB34/(-3630*'BMP P Tracking Table'!$U34),(-(3630*'BMP P Tracking Table'!$U34+20.691*'BMP P Tracking Table'!$Z34-216.711*'BMP P Tracking Table'!$Y34-83.853*'BMP P Tracking Table'!$X34-42.834*'BMP P Tracking Table'!$W34)+SQRT((3630*'BMP P Tracking Table'!$U34+20.691*'BMP P Tracking Table'!$Z34-216.711*'BMP P Tracking Table'!$Y34-83.853*'BMP P Tracking Table'!$X34-42.834*'BMP P Tracking Table'!$W34)^2-(4*(149.919*'BMP P Tracking Table'!$W34+236.676*'BMP P Tracking Table'!$X34+726*'BMP P Tracking Table'!$Y34+996.798*'BMP P Tracking Table'!$Z34)*-'BMP P Tracking Table'!$AB34)))/(2*(149.919*'BMP P Tracking Table'!$W34+236.676*'BMP P Tracking Table'!$X34+726*'BMP P Tracking Table'!$Y34+996.798*'BMP P Tracking Table'!$Z34))))),"")</f>
        <v>0.32605340069304267</v>
      </c>
      <c r="AF34" s="175">
        <f>IFERROR((VLOOKUP(CONCATENATE('BMP P Tracking Table'!$T34," ",'BMP P Tracking Table'!$AC34),'Performance Curves'!$C$1:$L$45,MATCH('BMP P Tracking Table'!$AE34,'Performance Curves'!$E$1:$L$1,1)+2,FALSE)-VLOOKUP(CONCATENATE('BMP P Tracking Table'!$T34," ",'BMP P Tracking Table'!$AC34),'Performance Curves'!$C$1:$L$45,MATCH('BMP P Tracking Table'!$AE34,'Performance Curves'!$E$1:$L$1,1)+1,FALSE)),"")</f>
        <v>0.25</v>
      </c>
      <c r="AG34" s="175">
        <f>IFERROR(('BMP P Tracking Table'!$AE34-INDEX('Performance Curves'!$E$1:$L$1,1,MATCH('BMP P Tracking Table'!$AE34,'Performance Curves'!$E$1:$L$1,1)))/(INDEX('Performance Curves'!$E$1:$L$1,1,MATCH('BMP P Tracking Table'!$AE34,'Performance Curves'!$E$1:$L$1,1)+1)-INDEX('Performance Curves'!$E$1:$L$1,1,MATCH('BMP P Tracking Table'!$AE34,'Performance Curves'!$E$1:$L$1,1))),"")</f>
        <v>0.63026700346521325</v>
      </c>
      <c r="AH34" s="176">
        <f>IFERROR(IF('BMP P Tracking Table'!$AE34=2,VLOOKUP(CONCATENATE('BMP P Tracking Table'!$T34," ",'BMP P Tracking Table'!$AC34),'Performance Curves'!$C$1:$L$45,MATCH('BMP P Tracking Table'!$AE34,'Performance Curves'!$E$1:$L$1,1)+1,FALSE),'BMP P Tracking Table'!$AF34*'BMP P Tracking Table'!$AG34+VLOOKUP(CONCATENATE('BMP P Tracking Table'!$T34," ",'BMP P Tracking Table'!$AC34),'Performance Curves'!$C$1:$L$45,MATCH('BMP P Tracking Table'!$AE34,'Performance Curves'!$E$1:$L$1,1)+1,FALSE)),"")</f>
        <v>0.65756675086630334</v>
      </c>
      <c r="AI34" s="175">
        <f>IFERROR('BMP P Tracking Table'!$AH34*'BMP P Tracking Table'!$AD34,"")</f>
        <v>2.0706908498130066</v>
      </c>
      <c r="AJ34" s="173">
        <f t="shared" si="10"/>
        <v>1.6985291359226367</v>
      </c>
      <c r="AK34" s="169"/>
      <c r="AL34" s="173"/>
      <c r="AM34" s="177">
        <v>1</v>
      </c>
      <c r="AN34" s="178">
        <f t="shared" si="8"/>
        <v>1.6985291359226367</v>
      </c>
      <c r="AO34" s="96"/>
      <c r="AP34" s="96"/>
      <c r="AQ34" s="96"/>
      <c r="AR34" s="96"/>
      <c r="AS34" s="96"/>
      <c r="AT34" s="96"/>
      <c r="AU34" s="96"/>
      <c r="AV34" s="64"/>
      <c r="AW34" s="97"/>
      <c r="AX34" s="97"/>
      <c r="AY34" s="101" t="str">
        <f>IF('BMP P Tracking Table'!$AK34="Yes",IF('BMP P Tracking Table'!$AL34="No",'BMP P Tracking Table'!$U34*VLOOKUP('BMP P Tracking Table'!$Q34,'Loading Rates'!$B$1:$L$24,4,FALSE)+IF('BMP P Tracking Table'!$V34="By HSG",'BMP P Tracking Table'!$W34*VLOOKUP('BMP P Tracking Table'!$Q34,'Loading Rates'!$B$1:$L$24,6,FALSE)+'BMP P Tracking Table'!$X34*VLOOKUP('BMP P Tracking Table'!$Q34,'Loading Rates'!$B$1:$L$24,7,FALSE)+'BMP P Tracking Table'!$Y34*VLOOKUP('BMP P Tracking Table'!$Q34,'Loading Rates'!$B$1:$L$24,8,FALSE)+'BMP P Tracking Table'!$Z34*VLOOKUP('BMP P Tracking Table'!$Q34,'Loading Rates'!$B$1:$L$24,9,FALSE),'BMP P Tracking Table'!$AA34*VLOOKUP('BMP P Tracking Table'!$Q34,'Loading Rates'!$B$1:$L$24,10,FALSE)),'BMP P Tracking Table'!$AO34*VLOOKUP('BMP P Tracking Table'!$Q34,'Loading Rates'!$B$1:$L$24,4,FALSE)+IF('BMP P Tracking Table'!$AP34="By HSG",'BMP P Tracking Table'!$AQ34*VLOOKUP('BMP P Tracking Table'!$Q34,'Loading Rates'!$B$1:$L$24,6,FALSE)+'BMP P Tracking Table'!$AR34*VLOOKUP('BMP P Tracking Table'!$Q34,'Loading Rates'!$B$1:$L$24,7,FALSE)+'BMP P Tracking Table'!$AS34*VLOOKUP('BMP P Tracking Table'!$Q34,'Loading Rates'!$B$1:$L$24,8,FALSE)+'BMP P Tracking Table'!$AT34*VLOOKUP('BMP P Tracking Table'!$Q34,'Loading Rates'!$B$1:$L$24,9,FALSE),'BMP P Tracking Table'!$AU34*VLOOKUP('BMP P Tracking Table'!$Q34,'Loading Rates'!$B$1:$L$24,10,FALSE))),"")</f>
        <v/>
      </c>
      <c r="AZ34" s="101">
        <f>IFERROR(IF('BMP P Tracking Table'!$AL34="Yes",MIN(2,IF('BMP P Tracking Table'!$AP34="Total Pervious",(-(3630*'BMP P Tracking Table'!$AO34+20.691*'BMP P Tracking Table'!$AU34)+SQRT((3630*'BMP P Tracking Table'!$AO34+20.691*'BMP P Tracking Table'!$AU34)^2-(4*(996.798*'BMP P Tracking Table'!$AU34)*-'BMP P Tracking Table'!$AW34)))/(2*(996.798*'BMP P Tracking Table'!$AU34)),IF(SUM('BMP P Tracking Table'!$AQ34:$AT34)=0,'BMP P Tracking Table'!$AU34/(-3630*'BMP P Tracking Table'!$AO34),(-(3630*'BMP P Tracking Table'!$AO34+20.691*'BMP P Tracking Table'!$AT34-216.711*'BMP P Tracking Table'!$AS34-83.853*'BMP P Tracking Table'!$AR34-42.834*'BMP P Tracking Table'!$AQ34)+SQRT((3630*'BMP P Tracking Table'!$AO34+20.691*'BMP P Tracking Table'!$AT34-216.711*'BMP P Tracking Table'!$AS34-83.853*'BMP P Tracking Table'!$AR34-42.834*'BMP P Tracking Table'!$AQ34)^2-(4*(149.919*'BMP P Tracking Table'!$AQ34+236.676*'BMP P Tracking Table'!$AR34+726*'BMP P Tracking Table'!$AS34+996.798*'BMP P Tracking Table'!$AT34)*-'BMP P Tracking Table'!$AW34)))/(2*(149.919*'BMP P Tracking Table'!$AQ34+236.676*'BMP P Tracking Table'!$AR34+726*'BMP P Tracking Table'!$AS34+996.798*'BMP P Tracking Table'!$AT34))))),MIN(2,IF('BMP P Tracking Table'!$AP34="Total Pervious",(-(3630*'BMP P Tracking Table'!$U34+20.691*'BMP P Tracking Table'!$AA34)+SQRT((3630*'BMP P Tracking Table'!$U34+20.691*'BMP P Tracking Table'!$AA34)^2-(4*(996.798*'BMP P Tracking Table'!$AA34)*-'BMP P Tracking Table'!$AW34)))/(2*(996.798*'BMP P Tracking Table'!$AA34)),IF(SUM('BMP P Tracking Table'!$W34:$Z34)=0,'BMP P Tracking Table'!$AW34/(-3630*'BMP P Tracking Table'!$U34),(-(3630*'BMP P Tracking Table'!$U34+20.691*'BMP P Tracking Table'!$Z34-216.711*'BMP P Tracking Table'!$Y34-83.853*'BMP P Tracking Table'!$X34-42.834*'BMP P Tracking Table'!$W34)+SQRT((3630*'BMP P Tracking Table'!$U34+20.691*'BMP P Tracking Table'!$Z34-216.711*'BMP P Tracking Table'!$Y34-83.853*'BMP P Tracking Table'!$X34-42.834*'BMP P Tracking Table'!$W34)^2-(4*(149.919*'BMP P Tracking Table'!$W34+236.676*'BMP P Tracking Table'!$X34+726*'BMP P Tracking Table'!$Y34+996.798*'BMP P Tracking Table'!$Z34)*-'BMP P Tracking Table'!$AW34)))/(2*(149.919*'BMP P Tracking Table'!$W34+236.676*'BMP P Tracking Table'!$X34+726*'BMP P Tracking Table'!$Y34+996.798*'BMP P Tracking Table'!$Z34)))))),"")</f>
        <v>0</v>
      </c>
      <c r="BA34" s="101" t="str">
        <f>IFERROR((VLOOKUP(CONCATENATE('BMP P Tracking Table'!$AV34," ",'BMP P Tracking Table'!$AX34),'Performance Curves'!$C$1:$L$45,MATCH('BMP P Tracking Table'!$AZ34,'Performance Curves'!$E$1:$L$1,1)+2,FALSE)-VLOOKUP(CONCATENATE('BMP P Tracking Table'!$AV34," ",'BMP P Tracking Table'!$AX34),'Performance Curves'!$C$1:$L$45,MATCH('BMP P Tracking Table'!$AZ34,'Performance Curves'!$E$1:$L$1,1)+1,FALSE)),"")</f>
        <v/>
      </c>
      <c r="BB34" s="101" t="str">
        <f>IFERROR(('BMP P Tracking Table'!$AZ34-INDEX('Performance Curves'!$E$1:$L$1,1,MATCH('BMP P Tracking Table'!$AZ34,'Performance Curves'!$E$1:$L$1,1)))/(INDEX('Performance Curves'!$E$1:$L$1,1,MATCH('BMP P Tracking Table'!$AZ34,'Performance Curves'!$E$1:$L$1,1)+1)-INDEX('Performance Curves'!$E$1:$L$1,1,MATCH('BMP P Tracking Table'!$AZ34,'Performance Curves'!$E$1:$L$1,1))),"")</f>
        <v/>
      </c>
      <c r="BC34" s="102" t="str">
        <f>IFERROR(IF('BMP P Tracking Table'!$AZ34=2,VLOOKUP(CONCATENATE('BMP P Tracking Table'!$AV34," ",'BMP P Tracking Table'!$AX34),'Performance Curves'!$C$1:$L$44,MATCH('BMP P Tracking Table'!$AZ34,'Performance Curves'!$E$1:$L$1,1)+1,FALSE),'BMP P Tracking Table'!$BA34*'BMP P Tracking Table'!$BB34+VLOOKUP(CONCATENATE('BMP P Tracking Table'!$AV34," ",'BMP P Tracking Table'!$AX34),'Performance Curves'!$C$1:$L$44,MATCH('BMP P Tracking Table'!$AZ34,'Performance Curves'!$E$1:$L$1,1)+1,FALSE)),"")</f>
        <v/>
      </c>
      <c r="BD34" s="101" t="str">
        <f>IFERROR('BMP P Tracking Table'!$BC34*'BMP P Tracking Table'!$AY34,"")</f>
        <v/>
      </c>
      <c r="BE34" s="96"/>
      <c r="BF34" s="37">
        <f t="shared" si="11"/>
        <v>0</v>
      </c>
      <c r="BH34" s="127">
        <v>0.53938340687662722</v>
      </c>
      <c r="BI34" s="37">
        <f t="shared" si="12"/>
        <v>1.6985291359226367</v>
      </c>
      <c r="BK34" s="36" t="str">
        <f t="shared" si="13"/>
        <v>Winooski River</v>
      </c>
      <c r="BN34" s="36" t="s">
        <v>391</v>
      </c>
    </row>
    <row r="35" spans="1:66" s="119" customFormat="1" ht="17.399999999999999" hidden="1" customHeight="1" x14ac:dyDescent="0.3">
      <c r="A35" s="169"/>
      <c r="B35" s="169"/>
      <c r="C35" s="169"/>
      <c r="D35" s="169"/>
      <c r="E35" s="170"/>
      <c r="F35" s="170"/>
      <c r="G35" s="169"/>
      <c r="H35" s="169"/>
      <c r="I35" s="169"/>
      <c r="J35" s="171"/>
      <c r="K35" s="169"/>
      <c r="L35" s="169"/>
      <c r="M35" s="172" t="s">
        <v>382</v>
      </c>
      <c r="N35" s="172" t="s">
        <v>429</v>
      </c>
      <c r="O35" s="169"/>
      <c r="P35" s="169"/>
      <c r="Q35" s="169"/>
      <c r="R35" s="169"/>
      <c r="S35" s="169"/>
      <c r="T35" s="169"/>
      <c r="U35" s="173"/>
      <c r="V35" s="169"/>
      <c r="W35" s="169"/>
      <c r="X35" s="169"/>
      <c r="Y35" s="169"/>
      <c r="Z35" s="169"/>
      <c r="AA35" s="169"/>
      <c r="AB35" s="174"/>
      <c r="AC35" s="169"/>
      <c r="AD35" s="175" t="str">
        <f>IFERROR('BMP P Tracking Table'!$U35*VLOOKUP('BMP P Tracking Table'!$Q35,'Loading Rates'!$B$1:$L$24,4,FALSE)+IF('BMP P Tracking Table'!$V35="By HSG",'BMP P Tracking Table'!$W35*VLOOKUP('BMP P Tracking Table'!$Q35,'Loading Rates'!$B$1:$L$24,6,FALSE)+'BMP P Tracking Table'!$X35*VLOOKUP('BMP P Tracking Table'!$Q35,'Loading Rates'!$B$1:$L$24,7,FALSE)+'BMP P Tracking Table'!$Y35*VLOOKUP('BMP P Tracking Table'!$Q35,'Loading Rates'!$B$1:$L$24,8,FALSE)+'BMP P Tracking Table'!$Z35*VLOOKUP('BMP P Tracking Table'!$Q35,'Loading Rates'!$B$1:$L$24,9,FALSE),'BMP P Tracking Table'!$AA35*VLOOKUP('BMP P Tracking Table'!$Q35,'Loading Rates'!$B$1:$L$24,10,FALSE)),"")</f>
        <v/>
      </c>
      <c r="AE35" s="175" t="str">
        <f>IFERROR(MIN(2,IF('BMP P Tracking Table'!$V35="Total Pervious",(-(3630*'BMP P Tracking Table'!$U35+20.691*'BMP P Tracking Table'!$AA35)+SQRT((3630*'BMP P Tracking Table'!$U35+20.691*'BMP P Tracking Table'!$AA35)^2-(4*(996.798*'BMP P Tracking Table'!$AA35)*-'BMP P Tracking Table'!$AB35)))/(2*(996.798*'BMP P Tracking Table'!$AA35)),IF(SUM('BMP P Tracking Table'!$W35:$Z35)=0,'BMP P Tracking Table'!$AB35/(-3630*'BMP P Tracking Table'!$U35),(-(3630*'BMP P Tracking Table'!$U35+20.691*'BMP P Tracking Table'!$Z35-216.711*'BMP P Tracking Table'!$Y35-83.853*'BMP P Tracking Table'!$X35-42.834*'BMP P Tracking Table'!$W35)+SQRT((3630*'BMP P Tracking Table'!$U35+20.691*'BMP P Tracking Table'!$Z35-216.711*'BMP P Tracking Table'!$Y35-83.853*'BMP P Tracking Table'!$X35-42.834*'BMP P Tracking Table'!$W35)^2-(4*(149.919*'BMP P Tracking Table'!$W35+236.676*'BMP P Tracking Table'!$X35+726*'BMP P Tracking Table'!$Y35+996.798*'BMP P Tracking Table'!$Z35)*-'BMP P Tracking Table'!$AB35)))/(2*(149.919*'BMP P Tracking Table'!$W35+236.676*'BMP P Tracking Table'!$X35+726*'BMP P Tracking Table'!$Y35+996.798*'BMP P Tracking Table'!$Z35))))),"")</f>
        <v/>
      </c>
      <c r="AF35" s="175" t="str">
        <f>IFERROR((VLOOKUP(CONCATENATE('BMP P Tracking Table'!$T35," ",'BMP P Tracking Table'!$AC35),'Performance Curves'!$C$1:$L$45,MATCH('BMP P Tracking Table'!$AE35,'Performance Curves'!$E$1:$L$1,1)+2,FALSE)-VLOOKUP(CONCATENATE('BMP P Tracking Table'!$T35," ",'BMP P Tracking Table'!$AC35),'Performance Curves'!$C$1:$L$45,MATCH('BMP P Tracking Table'!$AE35,'Performance Curves'!$E$1:$L$1,1)+1,FALSE)),"")</f>
        <v/>
      </c>
      <c r="AG35" s="175" t="str">
        <f>IFERROR(('BMP P Tracking Table'!$AE35-INDEX('Performance Curves'!$E$1:$L$1,1,MATCH('BMP P Tracking Table'!$AE35,'Performance Curves'!$E$1:$L$1,1)))/(INDEX('Performance Curves'!$E$1:$L$1,1,MATCH('BMP P Tracking Table'!$AE35,'Performance Curves'!$E$1:$L$1,1)+1)-INDEX('Performance Curves'!$E$1:$L$1,1,MATCH('BMP P Tracking Table'!$AE35,'Performance Curves'!$E$1:$L$1,1))),"")</f>
        <v/>
      </c>
      <c r="AH35" s="176" t="str">
        <f>IFERROR(IF('BMP P Tracking Table'!$AE35=2,VLOOKUP(CONCATENATE('BMP P Tracking Table'!$T35," ",'BMP P Tracking Table'!$AC35),'Performance Curves'!$C$1:$L$45,MATCH('BMP P Tracking Table'!$AE35,'Performance Curves'!$E$1:$L$1,1)+1,FALSE),'BMP P Tracking Table'!$AF35*'BMP P Tracking Table'!$AG35+VLOOKUP(CONCATENATE('BMP P Tracking Table'!$T35," ",'BMP P Tracking Table'!$AC35),'Performance Curves'!$C$1:$L$45,MATCH('BMP P Tracking Table'!$AE35,'Performance Curves'!$E$1:$L$1,1)+1,FALSE)),"")</f>
        <v/>
      </c>
      <c r="AI35" s="175" t="str">
        <f>IFERROR('BMP P Tracking Table'!$AH35*'BMP P Tracking Table'!$AD35,"")</f>
        <v/>
      </c>
      <c r="AJ35" s="173"/>
      <c r="AK35" s="169"/>
      <c r="AL35" s="173"/>
      <c r="AM35" s="177"/>
      <c r="AN35" s="178" t="str">
        <f t="shared" si="8"/>
        <v/>
      </c>
      <c r="AO35" s="116"/>
      <c r="AP35" s="116"/>
      <c r="AQ35" s="116"/>
      <c r="AR35" s="116"/>
      <c r="AS35" s="116"/>
      <c r="AT35" s="116"/>
      <c r="AU35" s="116"/>
      <c r="AV35" s="107"/>
      <c r="AW35" s="117"/>
      <c r="AX35" s="117"/>
      <c r="AY35" s="114" t="str">
        <f>IF('BMP P Tracking Table'!$AK35="Yes",IF('BMP P Tracking Table'!$AL35="No",'BMP P Tracking Table'!$U35*VLOOKUP('BMP P Tracking Table'!$Q35,'Loading Rates'!$B$1:$L$24,4,FALSE)+IF('BMP P Tracking Table'!$V35="By HSG",'BMP P Tracking Table'!$W35*VLOOKUP('BMP P Tracking Table'!$Q35,'Loading Rates'!$B$1:$L$24,6,FALSE)+'BMP P Tracking Table'!$X35*VLOOKUP('BMP P Tracking Table'!$Q35,'Loading Rates'!$B$1:$L$24,7,FALSE)+'BMP P Tracking Table'!$Y35*VLOOKUP('BMP P Tracking Table'!$Q35,'Loading Rates'!$B$1:$L$24,8,FALSE)+'BMP P Tracking Table'!$Z35*VLOOKUP('BMP P Tracking Table'!$Q35,'Loading Rates'!$B$1:$L$24,9,FALSE),'BMP P Tracking Table'!$AA35*VLOOKUP('BMP P Tracking Table'!$Q35,'Loading Rates'!$B$1:$L$24,10,FALSE)),'BMP P Tracking Table'!$AO35*VLOOKUP('BMP P Tracking Table'!$Q35,'Loading Rates'!$B$1:$L$24,4,FALSE)+IF('BMP P Tracking Table'!$AP35="By HSG",'BMP P Tracking Table'!$AQ35*VLOOKUP('BMP P Tracking Table'!$Q35,'Loading Rates'!$B$1:$L$24,6,FALSE)+'BMP P Tracking Table'!$AR35*VLOOKUP('BMP P Tracking Table'!$Q35,'Loading Rates'!$B$1:$L$24,7,FALSE)+'BMP P Tracking Table'!$AS35*VLOOKUP('BMP P Tracking Table'!$Q35,'Loading Rates'!$B$1:$L$24,8,FALSE)+'BMP P Tracking Table'!$AT35*VLOOKUP('BMP P Tracking Table'!$Q35,'Loading Rates'!$B$1:$L$24,9,FALSE),'BMP P Tracking Table'!$AU35*VLOOKUP('BMP P Tracking Table'!$Q35,'Loading Rates'!$B$1:$L$24,10,FALSE))),"")</f>
        <v/>
      </c>
      <c r="AZ35" s="114" t="str">
        <f>IFERROR(IF('BMP P Tracking Table'!$AL35="Yes",MIN(2,IF('BMP P Tracking Table'!$AP35="Total Pervious",(-(3630*'BMP P Tracking Table'!$AO35+20.691*'BMP P Tracking Table'!$AU35)+SQRT((3630*'BMP P Tracking Table'!$AO35+20.691*'BMP P Tracking Table'!$AU35)^2-(4*(996.798*'BMP P Tracking Table'!$AU35)*-'BMP P Tracking Table'!$AW35)))/(2*(996.798*'BMP P Tracking Table'!$AU35)),IF(SUM('BMP P Tracking Table'!$AQ35:$AT35)=0,'BMP P Tracking Table'!$AU35/(-3630*'BMP P Tracking Table'!$AO35),(-(3630*'BMP P Tracking Table'!$AO35+20.691*'BMP P Tracking Table'!$AT35-216.711*'BMP P Tracking Table'!$AS35-83.853*'BMP P Tracking Table'!$AR35-42.834*'BMP P Tracking Table'!$AQ35)+SQRT((3630*'BMP P Tracking Table'!$AO35+20.691*'BMP P Tracking Table'!$AT35-216.711*'BMP P Tracking Table'!$AS35-83.853*'BMP P Tracking Table'!$AR35-42.834*'BMP P Tracking Table'!$AQ35)^2-(4*(149.919*'BMP P Tracking Table'!$AQ35+236.676*'BMP P Tracking Table'!$AR35+726*'BMP P Tracking Table'!$AS35+996.798*'BMP P Tracking Table'!$AT35)*-'BMP P Tracking Table'!$AW35)))/(2*(149.919*'BMP P Tracking Table'!$AQ35+236.676*'BMP P Tracking Table'!$AR35+726*'BMP P Tracking Table'!$AS35+996.798*'BMP P Tracking Table'!$AT35))))),MIN(2,IF('BMP P Tracking Table'!$AP35="Total Pervious",(-(3630*'BMP P Tracking Table'!$U35+20.691*'BMP P Tracking Table'!$AA35)+SQRT((3630*'BMP P Tracking Table'!$U35+20.691*'BMP P Tracking Table'!$AA35)^2-(4*(996.798*'BMP P Tracking Table'!$AA35)*-'BMP P Tracking Table'!$AW35)))/(2*(996.798*'BMP P Tracking Table'!$AA35)),IF(SUM('BMP P Tracking Table'!$W35:$Z35)=0,'BMP P Tracking Table'!$AW35/(-3630*'BMP P Tracking Table'!$U35),(-(3630*'BMP P Tracking Table'!$U35+20.691*'BMP P Tracking Table'!$Z35-216.711*'BMP P Tracking Table'!$Y35-83.853*'BMP P Tracking Table'!$X35-42.834*'BMP P Tracking Table'!$W35)+SQRT((3630*'BMP P Tracking Table'!$U35+20.691*'BMP P Tracking Table'!$Z35-216.711*'BMP P Tracking Table'!$Y35-83.853*'BMP P Tracking Table'!$X35-42.834*'BMP P Tracking Table'!$W35)^2-(4*(149.919*'BMP P Tracking Table'!$W35+236.676*'BMP P Tracking Table'!$X35+726*'BMP P Tracking Table'!$Y35+996.798*'BMP P Tracking Table'!$Z35)*-'BMP P Tracking Table'!$AW35)))/(2*(149.919*'BMP P Tracking Table'!$W35+236.676*'BMP P Tracking Table'!$X35+726*'BMP P Tracking Table'!$Y35+996.798*'BMP P Tracking Table'!$Z35)))))),"")</f>
        <v/>
      </c>
      <c r="BA35" s="114" t="str">
        <f>IFERROR((VLOOKUP(CONCATENATE('BMP P Tracking Table'!$AV35," ",'BMP P Tracking Table'!$AX35),'Performance Curves'!$C$1:$L$45,MATCH('BMP P Tracking Table'!$AZ35,'Performance Curves'!$E$1:$L$1,1)+2,FALSE)-VLOOKUP(CONCATENATE('BMP P Tracking Table'!$AV35," ",'BMP P Tracking Table'!$AX35),'Performance Curves'!$C$1:$L$45,MATCH('BMP P Tracking Table'!$AZ35,'Performance Curves'!$E$1:$L$1,1)+1,FALSE)),"")</f>
        <v/>
      </c>
      <c r="BB35" s="114" t="str">
        <f>IFERROR(('BMP P Tracking Table'!$AZ35-INDEX('Performance Curves'!$E$1:$L$1,1,MATCH('BMP P Tracking Table'!$AZ35,'Performance Curves'!$E$1:$L$1,1)))/(INDEX('Performance Curves'!$E$1:$L$1,1,MATCH('BMP P Tracking Table'!$AZ35,'Performance Curves'!$E$1:$L$1,1)+1)-INDEX('Performance Curves'!$E$1:$L$1,1,MATCH('BMP P Tracking Table'!$AZ35,'Performance Curves'!$E$1:$L$1,1))),"")</f>
        <v/>
      </c>
      <c r="BC35" s="115" t="str">
        <f>IFERROR(IF('BMP P Tracking Table'!$AZ35=2,VLOOKUP(CONCATENATE('BMP P Tracking Table'!$AV35," ",'BMP P Tracking Table'!$AX35),'Performance Curves'!$C$1:$L$44,MATCH('BMP P Tracking Table'!$AZ35,'Performance Curves'!$E$1:$L$1,1)+1,FALSE),'BMP P Tracking Table'!$BA35*'BMP P Tracking Table'!$BB35+VLOOKUP(CONCATENATE('BMP P Tracking Table'!$AV35," ",'BMP P Tracking Table'!$AX35),'Performance Curves'!$C$1:$L$44,MATCH('BMP P Tracking Table'!$AZ35,'Performance Curves'!$E$1:$L$1,1)+1,FALSE)),"")</f>
        <v/>
      </c>
      <c r="BD35" s="114" t="str">
        <f>IFERROR('BMP P Tracking Table'!$BC35*'BMP P Tracking Table'!$AY35,"")</f>
        <v/>
      </c>
      <c r="BE35" s="116"/>
      <c r="BF35" s="118">
        <f t="shared" si="11"/>
        <v>0</v>
      </c>
      <c r="BH35" s="129" t="s">
        <v>327</v>
      </c>
      <c r="BK35" s="36">
        <f t="shared" si="13"/>
        <v>0</v>
      </c>
      <c r="BN35" s="36" t="s">
        <v>391</v>
      </c>
    </row>
    <row r="36" spans="1:66" s="119" customFormat="1" ht="17.399999999999999" hidden="1" customHeight="1" x14ac:dyDescent="0.3">
      <c r="A36" s="169"/>
      <c r="B36" s="169"/>
      <c r="C36" s="169"/>
      <c r="D36" s="169"/>
      <c r="E36" s="170"/>
      <c r="F36" s="170"/>
      <c r="G36" s="169"/>
      <c r="H36" s="169"/>
      <c r="I36" s="169"/>
      <c r="J36" s="171"/>
      <c r="K36" s="169"/>
      <c r="L36" s="169"/>
      <c r="M36" s="172" t="s">
        <v>382</v>
      </c>
      <c r="N36" s="172" t="s">
        <v>429</v>
      </c>
      <c r="O36" s="169"/>
      <c r="P36" s="169"/>
      <c r="Q36" s="169"/>
      <c r="R36" s="169"/>
      <c r="S36" s="169"/>
      <c r="T36" s="169"/>
      <c r="U36" s="173"/>
      <c r="V36" s="169"/>
      <c r="W36" s="169"/>
      <c r="X36" s="169"/>
      <c r="Y36" s="169"/>
      <c r="Z36" s="169"/>
      <c r="AA36" s="169"/>
      <c r="AB36" s="174"/>
      <c r="AC36" s="169"/>
      <c r="AD36" s="175"/>
      <c r="AE36" s="175"/>
      <c r="AF36" s="175"/>
      <c r="AG36" s="175"/>
      <c r="AH36" s="176"/>
      <c r="AI36" s="175"/>
      <c r="AJ36" s="173"/>
      <c r="AK36" s="169"/>
      <c r="AL36" s="173"/>
      <c r="AM36" s="177"/>
      <c r="AN36" s="178"/>
      <c r="AO36" s="116"/>
      <c r="AP36" s="116"/>
      <c r="AQ36" s="116"/>
      <c r="AR36" s="116"/>
      <c r="AS36" s="116"/>
      <c r="AT36" s="116"/>
      <c r="AU36" s="116"/>
      <c r="AV36" s="107"/>
      <c r="AW36" s="117"/>
      <c r="AX36" s="117"/>
      <c r="AY36" s="114"/>
      <c r="AZ36" s="114"/>
      <c r="BA36" s="114"/>
      <c r="BB36" s="114"/>
      <c r="BC36" s="115"/>
      <c r="BD36" s="114"/>
      <c r="BE36" s="116"/>
      <c r="BF36" s="118"/>
      <c r="BH36" s="129"/>
      <c r="BK36" s="36"/>
      <c r="BN36" s="36" t="s">
        <v>391</v>
      </c>
    </row>
    <row r="37" spans="1:66" s="119" customFormat="1" ht="17.399999999999999" hidden="1" customHeight="1" x14ac:dyDescent="0.3">
      <c r="A37" s="169"/>
      <c r="B37" s="169"/>
      <c r="C37" s="169"/>
      <c r="D37" s="169"/>
      <c r="E37" s="170"/>
      <c r="F37" s="170"/>
      <c r="G37" s="169"/>
      <c r="H37" s="169"/>
      <c r="I37" s="169"/>
      <c r="J37" s="171"/>
      <c r="K37" s="169"/>
      <c r="L37" s="169"/>
      <c r="M37" s="172" t="s">
        <v>382</v>
      </c>
      <c r="N37" s="172" t="s">
        <v>429</v>
      </c>
      <c r="O37" s="169"/>
      <c r="P37" s="169"/>
      <c r="Q37" s="169"/>
      <c r="R37" s="169"/>
      <c r="S37" s="169"/>
      <c r="T37" s="169"/>
      <c r="U37" s="173"/>
      <c r="V37" s="169"/>
      <c r="W37" s="169"/>
      <c r="X37" s="169"/>
      <c r="Y37" s="169"/>
      <c r="Z37" s="169"/>
      <c r="AA37" s="169"/>
      <c r="AB37" s="174"/>
      <c r="AC37" s="169"/>
      <c r="AD37" s="175"/>
      <c r="AE37" s="175"/>
      <c r="AF37" s="175"/>
      <c r="AG37" s="175"/>
      <c r="AH37" s="176"/>
      <c r="AI37" s="175"/>
      <c r="AJ37" s="173"/>
      <c r="AK37" s="169"/>
      <c r="AL37" s="173"/>
      <c r="AM37" s="177"/>
      <c r="AN37" s="178"/>
      <c r="AO37" s="116"/>
      <c r="AP37" s="116"/>
      <c r="AQ37" s="116"/>
      <c r="AR37" s="116"/>
      <c r="AS37" s="116"/>
      <c r="AT37" s="116"/>
      <c r="AU37" s="116"/>
      <c r="AV37" s="107"/>
      <c r="AW37" s="117"/>
      <c r="AX37" s="117"/>
      <c r="AY37" s="114"/>
      <c r="AZ37" s="114"/>
      <c r="BA37" s="114"/>
      <c r="BB37" s="114"/>
      <c r="BC37" s="115"/>
      <c r="BD37" s="114"/>
      <c r="BE37" s="116"/>
      <c r="BF37" s="118"/>
      <c r="BH37" s="129"/>
      <c r="BK37" s="36"/>
      <c r="BN37" s="36" t="s">
        <v>391</v>
      </c>
    </row>
    <row r="38" spans="1:66" s="119" customFormat="1" ht="17.399999999999999" hidden="1" customHeight="1" x14ac:dyDescent="0.3">
      <c r="A38" s="169"/>
      <c r="B38" s="169"/>
      <c r="C38" s="169"/>
      <c r="D38" s="169"/>
      <c r="E38" s="170"/>
      <c r="F38" s="170"/>
      <c r="G38" s="169"/>
      <c r="H38" s="169"/>
      <c r="I38" s="169"/>
      <c r="J38" s="171"/>
      <c r="K38" s="169"/>
      <c r="L38" s="169"/>
      <c r="M38" s="172" t="s">
        <v>382</v>
      </c>
      <c r="N38" s="172" t="s">
        <v>429</v>
      </c>
      <c r="O38" s="169"/>
      <c r="P38" s="169"/>
      <c r="Q38" s="169"/>
      <c r="R38" s="169"/>
      <c r="S38" s="169"/>
      <c r="T38" s="169"/>
      <c r="U38" s="173"/>
      <c r="V38" s="169"/>
      <c r="W38" s="169"/>
      <c r="X38" s="169"/>
      <c r="Y38" s="169"/>
      <c r="Z38" s="169"/>
      <c r="AA38" s="169"/>
      <c r="AB38" s="174"/>
      <c r="AC38" s="169"/>
      <c r="AD38" s="175"/>
      <c r="AE38" s="175"/>
      <c r="AF38" s="175"/>
      <c r="AG38" s="175"/>
      <c r="AH38" s="176"/>
      <c r="AI38" s="175"/>
      <c r="AJ38" s="173"/>
      <c r="AK38" s="169"/>
      <c r="AL38" s="173"/>
      <c r="AM38" s="177"/>
      <c r="AN38" s="178"/>
      <c r="AO38" s="116"/>
      <c r="AP38" s="116"/>
      <c r="AQ38" s="116"/>
      <c r="AR38" s="116"/>
      <c r="AS38" s="116"/>
      <c r="AT38" s="116"/>
      <c r="AU38" s="116"/>
      <c r="AV38" s="107"/>
      <c r="AW38" s="117"/>
      <c r="AX38" s="117"/>
      <c r="AY38" s="114"/>
      <c r="AZ38" s="114"/>
      <c r="BA38" s="114"/>
      <c r="BB38" s="114"/>
      <c r="BC38" s="115"/>
      <c r="BD38" s="114"/>
      <c r="BE38" s="116"/>
      <c r="BF38" s="118"/>
      <c r="BH38" s="129"/>
      <c r="BK38" s="36"/>
      <c r="BN38" s="36" t="s">
        <v>391</v>
      </c>
    </row>
    <row r="39" spans="1:66" s="119" customFormat="1" ht="17.399999999999999" hidden="1" customHeight="1" x14ac:dyDescent="0.3">
      <c r="A39" s="169"/>
      <c r="B39" s="169"/>
      <c r="C39" s="169"/>
      <c r="D39" s="169"/>
      <c r="E39" s="170"/>
      <c r="F39" s="170"/>
      <c r="G39" s="169"/>
      <c r="H39" s="169"/>
      <c r="I39" s="169"/>
      <c r="J39" s="171"/>
      <c r="K39" s="169"/>
      <c r="L39" s="169"/>
      <c r="M39" s="172" t="s">
        <v>382</v>
      </c>
      <c r="N39" s="172" t="s">
        <v>429</v>
      </c>
      <c r="O39" s="169"/>
      <c r="P39" s="169"/>
      <c r="Q39" s="169"/>
      <c r="R39" s="169"/>
      <c r="S39" s="169"/>
      <c r="T39" s="169"/>
      <c r="U39" s="173"/>
      <c r="V39" s="169"/>
      <c r="W39" s="169"/>
      <c r="X39" s="169"/>
      <c r="Y39" s="169"/>
      <c r="Z39" s="169"/>
      <c r="AA39" s="169"/>
      <c r="AB39" s="174"/>
      <c r="AC39" s="169"/>
      <c r="AD39" s="175"/>
      <c r="AE39" s="175"/>
      <c r="AF39" s="175"/>
      <c r="AG39" s="175"/>
      <c r="AH39" s="176"/>
      <c r="AI39" s="175"/>
      <c r="AJ39" s="173"/>
      <c r="AK39" s="169"/>
      <c r="AL39" s="173"/>
      <c r="AM39" s="177"/>
      <c r="AN39" s="178"/>
      <c r="AO39" s="116"/>
      <c r="AP39" s="116"/>
      <c r="AQ39" s="116"/>
      <c r="AR39" s="116"/>
      <c r="AS39" s="116"/>
      <c r="AT39" s="116"/>
      <c r="AU39" s="116"/>
      <c r="AV39" s="107"/>
      <c r="AW39" s="117"/>
      <c r="AX39" s="117"/>
      <c r="AY39" s="114"/>
      <c r="AZ39" s="114"/>
      <c r="BA39" s="114"/>
      <c r="BB39" s="114"/>
      <c r="BC39" s="115"/>
      <c r="BD39" s="114"/>
      <c r="BE39" s="116"/>
      <c r="BF39" s="118"/>
      <c r="BH39" s="129"/>
      <c r="BK39" s="36"/>
      <c r="BN39" s="36" t="s">
        <v>391</v>
      </c>
    </row>
    <row r="40" spans="1:66" s="119" customFormat="1" ht="17.399999999999999" hidden="1" customHeight="1" x14ac:dyDescent="0.3">
      <c r="A40" s="169"/>
      <c r="B40" s="169"/>
      <c r="C40" s="169"/>
      <c r="D40" s="169"/>
      <c r="E40" s="170"/>
      <c r="F40" s="170"/>
      <c r="G40" s="169"/>
      <c r="H40" s="169"/>
      <c r="I40" s="169"/>
      <c r="J40" s="171"/>
      <c r="K40" s="169"/>
      <c r="L40" s="169"/>
      <c r="M40" s="172" t="s">
        <v>382</v>
      </c>
      <c r="N40" s="172" t="s">
        <v>429</v>
      </c>
      <c r="O40" s="169"/>
      <c r="P40" s="169"/>
      <c r="Q40" s="169"/>
      <c r="R40" s="169"/>
      <c r="S40" s="169"/>
      <c r="T40" s="169"/>
      <c r="U40" s="173"/>
      <c r="V40" s="169"/>
      <c r="W40" s="169"/>
      <c r="X40" s="169"/>
      <c r="Y40" s="169"/>
      <c r="Z40" s="169"/>
      <c r="AA40" s="169"/>
      <c r="AB40" s="174"/>
      <c r="AC40" s="169"/>
      <c r="AD40" s="175"/>
      <c r="AE40" s="175"/>
      <c r="AF40" s="175"/>
      <c r="AG40" s="175"/>
      <c r="AH40" s="176"/>
      <c r="AI40" s="175"/>
      <c r="AJ40" s="173"/>
      <c r="AK40" s="169"/>
      <c r="AL40" s="173"/>
      <c r="AM40" s="177"/>
      <c r="AN40" s="178"/>
      <c r="AO40" s="116"/>
      <c r="AP40" s="116"/>
      <c r="AQ40" s="116"/>
      <c r="AR40" s="116"/>
      <c r="AS40" s="116"/>
      <c r="AT40" s="116"/>
      <c r="AU40" s="116"/>
      <c r="AV40" s="107"/>
      <c r="AW40" s="117"/>
      <c r="AX40" s="117"/>
      <c r="AY40" s="114"/>
      <c r="AZ40" s="114"/>
      <c r="BA40" s="114"/>
      <c r="BB40" s="114"/>
      <c r="BC40" s="115"/>
      <c r="BD40" s="114"/>
      <c r="BE40" s="116"/>
      <c r="BF40" s="118"/>
      <c r="BH40" s="129"/>
      <c r="BK40" s="36"/>
      <c r="BN40" s="36" t="s">
        <v>391</v>
      </c>
    </row>
    <row r="41" spans="1:66" ht="17.399999999999999" customHeight="1" x14ac:dyDescent="0.3">
      <c r="A41" s="169" t="s">
        <v>282</v>
      </c>
      <c r="B41" s="169" t="s">
        <v>298</v>
      </c>
      <c r="C41" s="169" t="s">
        <v>312</v>
      </c>
      <c r="D41" s="169" t="s">
        <v>6</v>
      </c>
      <c r="E41" s="170">
        <v>44.49306</v>
      </c>
      <c r="F41" s="170">
        <v>-73.172219999999996</v>
      </c>
      <c r="G41" s="169" t="s">
        <v>315</v>
      </c>
      <c r="H41" s="169" t="s">
        <v>315</v>
      </c>
      <c r="I41" s="169" t="s">
        <v>66</v>
      </c>
      <c r="J41" s="171"/>
      <c r="K41" s="169" t="s">
        <v>111</v>
      </c>
      <c r="L41" s="169"/>
      <c r="M41" s="172" t="s">
        <v>382</v>
      </c>
      <c r="N41" s="172"/>
      <c r="O41" s="169" t="s">
        <v>62</v>
      </c>
      <c r="P41" s="169" t="s">
        <v>119</v>
      </c>
      <c r="Q41" s="169" t="s">
        <v>146</v>
      </c>
      <c r="R41" s="169" t="str">
        <f>IFERROR(VLOOKUP('BMP P Tracking Table'!$Q41,Dropdowns!$P$3:$Q$23,2,FALSE),"")</f>
        <v>Main Lake</v>
      </c>
      <c r="S41" s="169" t="s">
        <v>66</v>
      </c>
      <c r="T41" s="169" t="s">
        <v>47</v>
      </c>
      <c r="U41" s="173">
        <v>0.47</v>
      </c>
      <c r="V41" s="169" t="s">
        <v>219</v>
      </c>
      <c r="W41" s="169"/>
      <c r="X41" s="169"/>
      <c r="Y41" s="169"/>
      <c r="Z41" s="169"/>
      <c r="AA41" s="169">
        <v>2.61</v>
      </c>
      <c r="AB41" s="174">
        <v>7147</v>
      </c>
      <c r="AC41" s="169" t="s">
        <v>205</v>
      </c>
      <c r="AD41" s="175">
        <f>IFERROR('BMP P Tracking Table'!$U41*VLOOKUP('BMP P Tracking Table'!$Q41,'Loading Rates'!$B$1:$L$24,4,FALSE)+IF('BMP P Tracking Table'!$V41="By HSG",'BMP P Tracking Table'!$W41*VLOOKUP('BMP P Tracking Table'!$Q41,'Loading Rates'!$B$1:$L$24,6,FALSE)+'BMP P Tracking Table'!$X41*VLOOKUP('BMP P Tracking Table'!$Q41,'Loading Rates'!$B$1:$L$24,7,FALSE)+'BMP P Tracking Table'!$Y41*VLOOKUP('BMP P Tracking Table'!$Q41,'Loading Rates'!$B$1:$L$24,8,FALSE)+'BMP P Tracking Table'!$Z41*VLOOKUP('BMP P Tracking Table'!$Q41,'Loading Rates'!$B$1:$L$24,9,FALSE),'BMP P Tracking Table'!$AA41*VLOOKUP('BMP P Tracking Table'!$Q41,'Loading Rates'!$B$1:$L$24,10,FALSE)),"")</f>
        <v>1.1278999999999999</v>
      </c>
      <c r="AE41" s="175">
        <f>IFERROR(MIN(2,IF('BMP P Tracking Table'!$V41="Total Pervious",(-(3630*'BMP P Tracking Table'!$U41+20.691*'BMP P Tracking Table'!$AA41)+SQRT((3630*'BMP P Tracking Table'!$U41+20.691*'BMP P Tracking Table'!$AA41)^2-(4*(996.798*'BMP P Tracking Table'!$AA41)*-'BMP P Tracking Table'!$AB41)))/(2*(996.798*'BMP P Tracking Table'!$AA41)),IF(SUM('BMP P Tracking Table'!$W41:$Z41)=0,'BMP P Tracking Table'!$AB41/(-3630*'BMP P Tracking Table'!$U41),(-(3630*'BMP P Tracking Table'!$U41+20.691*'BMP P Tracking Table'!$Z41-216.711*'BMP P Tracking Table'!$Y41-83.853*'BMP P Tracking Table'!$X41-42.834*'BMP P Tracking Table'!$W41)+SQRT((3630*'BMP P Tracking Table'!$U41+20.691*'BMP P Tracking Table'!$Z41-216.711*'BMP P Tracking Table'!$Y41-83.853*'BMP P Tracking Table'!$X41-42.834*'BMP P Tracking Table'!$W41)^2-(4*(149.919*'BMP P Tracking Table'!$W41+236.676*'BMP P Tracking Table'!$X41+726*'BMP P Tracking Table'!$Y41+996.798*'BMP P Tracking Table'!$Z41)*-'BMP P Tracking Table'!$AB41)))/(2*(149.919*'BMP P Tracking Table'!$W41+236.676*'BMP P Tracking Table'!$X41+726*'BMP P Tracking Table'!$Y41+996.798*'BMP P Tracking Table'!$Z41))))),"")</f>
        <v>1.3533396491389762</v>
      </c>
      <c r="AF41" s="175">
        <f>IFERROR((VLOOKUP(CONCATENATE('BMP P Tracking Table'!$T41," ",'BMP P Tracking Table'!$AC41),'Performance Curves'!$C$1:$L$45,MATCH('BMP P Tracking Table'!$AE41,'Performance Curves'!$E$1:$L$1,1)+2,FALSE)-VLOOKUP(CONCATENATE('BMP P Tracking Table'!$T41," ",'BMP P Tracking Table'!$AC41),'Performance Curves'!$C$1:$L$45,MATCH('BMP P Tracking Table'!$AE41,'Performance Curves'!$E$1:$L$1,1)+1,FALSE)),"")</f>
        <v>1.0000000000000009E-2</v>
      </c>
      <c r="AG41" s="175">
        <f>IFERROR(('BMP P Tracking Table'!$AE41-INDEX('Performance Curves'!$E$1:$L$1,1,MATCH('BMP P Tracking Table'!$AE41,'Performance Curves'!$E$1:$L$1,1)))/(INDEX('Performance Curves'!$E$1:$L$1,1,MATCH('BMP P Tracking Table'!$AE41,'Performance Curves'!$E$1:$L$1,1)+1)-INDEX('Performance Curves'!$E$1:$L$1,1,MATCH('BMP P Tracking Table'!$AE41,'Performance Curves'!$E$1:$L$1,1))),"")</f>
        <v>0.70667929827795239</v>
      </c>
      <c r="AH41" s="176">
        <f>IFERROR(IF('BMP P Tracking Table'!$AE41=2,VLOOKUP(CONCATENATE('BMP P Tracking Table'!$T41," ",'BMP P Tracking Table'!$AC41),'Performance Curves'!$C$1:$L$45,MATCH('BMP P Tracking Table'!$AE41,'Performance Curves'!$E$1:$L$1,1)+1,FALSE),'BMP P Tracking Table'!$AF41*'BMP P Tracking Table'!$AG41+VLOOKUP(CONCATENATE('BMP P Tracking Table'!$T41," ",'BMP P Tracking Table'!$AC41),'Performance Curves'!$C$1:$L$45,MATCH('BMP P Tracking Table'!$AE41,'Performance Curves'!$E$1:$L$1,1)+1,FALSE)),"")</f>
        <v>0.99706679298277956</v>
      </c>
      <c r="AI41" s="175">
        <f>IFERROR('BMP P Tracking Table'!$AH41*'BMP P Tracking Table'!$AD41,"")</f>
        <v>1.124591635805277</v>
      </c>
      <c r="AJ41" s="173">
        <f t="shared" si="10"/>
        <v>1.0615705888752378</v>
      </c>
      <c r="AK41" s="169"/>
      <c r="AL41" s="173"/>
      <c r="AM41" s="177">
        <v>1</v>
      </c>
      <c r="AN41" s="178">
        <f t="shared" si="8"/>
        <v>1.0615705888752378</v>
      </c>
      <c r="AO41" s="96"/>
      <c r="AP41" s="96"/>
      <c r="AQ41" s="96"/>
      <c r="AR41" s="96"/>
      <c r="AS41" s="96"/>
      <c r="AT41" s="96"/>
      <c r="AU41" s="96"/>
      <c r="AV41" s="64"/>
      <c r="AW41" s="97"/>
      <c r="AX41" s="97"/>
      <c r="AY41" s="101" t="str">
        <f>IF('BMP P Tracking Table'!$AK41="Yes",IF('BMP P Tracking Table'!$AL41="No",'BMP P Tracking Table'!$U41*VLOOKUP('BMP P Tracking Table'!$Q41,'Loading Rates'!$B$1:$L$24,4,FALSE)+IF('BMP P Tracking Table'!$V41="By HSG",'BMP P Tracking Table'!$W41*VLOOKUP('BMP P Tracking Table'!$Q41,'Loading Rates'!$B$1:$L$24,6,FALSE)+'BMP P Tracking Table'!$X41*VLOOKUP('BMP P Tracking Table'!$Q41,'Loading Rates'!$B$1:$L$24,7,FALSE)+'BMP P Tracking Table'!$Y41*VLOOKUP('BMP P Tracking Table'!$Q41,'Loading Rates'!$B$1:$L$24,8,FALSE)+'BMP P Tracking Table'!$Z41*VLOOKUP('BMP P Tracking Table'!$Q41,'Loading Rates'!$B$1:$L$24,9,FALSE),'BMP P Tracking Table'!$AA41*VLOOKUP('BMP P Tracking Table'!$Q41,'Loading Rates'!$B$1:$L$24,10,FALSE)),'BMP P Tracking Table'!$AO41*VLOOKUP('BMP P Tracking Table'!$Q41,'Loading Rates'!$B$1:$L$24,4,FALSE)+IF('BMP P Tracking Table'!$AP41="By HSG",'BMP P Tracking Table'!$AQ41*VLOOKUP('BMP P Tracking Table'!$Q41,'Loading Rates'!$B$1:$L$24,6,FALSE)+'BMP P Tracking Table'!$AR41*VLOOKUP('BMP P Tracking Table'!$Q41,'Loading Rates'!$B$1:$L$24,7,FALSE)+'BMP P Tracking Table'!$AS41*VLOOKUP('BMP P Tracking Table'!$Q41,'Loading Rates'!$B$1:$L$24,8,FALSE)+'BMP P Tracking Table'!$AT41*VLOOKUP('BMP P Tracking Table'!$Q41,'Loading Rates'!$B$1:$L$24,9,FALSE),'BMP P Tracking Table'!$AU41*VLOOKUP('BMP P Tracking Table'!$Q41,'Loading Rates'!$B$1:$L$24,10,FALSE))),"")</f>
        <v/>
      </c>
      <c r="AZ41" s="101">
        <f>IFERROR(IF('BMP P Tracking Table'!$AL41="Yes",MIN(2,IF('BMP P Tracking Table'!$AP41="Total Pervious",(-(3630*'BMP P Tracking Table'!$AO41+20.691*'BMP P Tracking Table'!$AU41)+SQRT((3630*'BMP P Tracking Table'!$AO41+20.691*'BMP P Tracking Table'!$AU41)^2-(4*(996.798*'BMP P Tracking Table'!$AU41)*-'BMP P Tracking Table'!$AW41)))/(2*(996.798*'BMP P Tracking Table'!$AU41)),IF(SUM('BMP P Tracking Table'!$AQ41:$AT41)=0,'BMP P Tracking Table'!$AU41/(-3630*'BMP P Tracking Table'!$AO41),(-(3630*'BMP P Tracking Table'!$AO41+20.691*'BMP P Tracking Table'!$AT41-216.711*'BMP P Tracking Table'!$AS41-83.853*'BMP P Tracking Table'!$AR41-42.834*'BMP P Tracking Table'!$AQ41)+SQRT((3630*'BMP P Tracking Table'!$AO41+20.691*'BMP P Tracking Table'!$AT41-216.711*'BMP P Tracking Table'!$AS41-83.853*'BMP P Tracking Table'!$AR41-42.834*'BMP P Tracking Table'!$AQ41)^2-(4*(149.919*'BMP P Tracking Table'!$AQ41+236.676*'BMP P Tracking Table'!$AR41+726*'BMP P Tracking Table'!$AS41+996.798*'BMP P Tracking Table'!$AT41)*-'BMP P Tracking Table'!$AW41)))/(2*(149.919*'BMP P Tracking Table'!$AQ41+236.676*'BMP P Tracking Table'!$AR41+726*'BMP P Tracking Table'!$AS41+996.798*'BMP P Tracking Table'!$AT41))))),MIN(2,IF('BMP P Tracking Table'!$AP41="Total Pervious",(-(3630*'BMP P Tracking Table'!$U41+20.691*'BMP P Tracking Table'!$AA41)+SQRT((3630*'BMP P Tracking Table'!$U41+20.691*'BMP P Tracking Table'!$AA41)^2-(4*(996.798*'BMP P Tracking Table'!$AA41)*-'BMP P Tracking Table'!$AW41)))/(2*(996.798*'BMP P Tracking Table'!$AA41)),IF(SUM('BMP P Tracking Table'!$W41:$Z41)=0,'BMP P Tracking Table'!$AW41/(-3630*'BMP P Tracking Table'!$U41),(-(3630*'BMP P Tracking Table'!$U41+20.691*'BMP P Tracking Table'!$Z41-216.711*'BMP P Tracking Table'!$Y41-83.853*'BMP P Tracking Table'!$X41-42.834*'BMP P Tracking Table'!$W41)+SQRT((3630*'BMP P Tracking Table'!$U41+20.691*'BMP P Tracking Table'!$Z41-216.711*'BMP P Tracking Table'!$Y41-83.853*'BMP P Tracking Table'!$X41-42.834*'BMP P Tracking Table'!$W41)^2-(4*(149.919*'BMP P Tracking Table'!$W41+236.676*'BMP P Tracking Table'!$X41+726*'BMP P Tracking Table'!$Y41+996.798*'BMP P Tracking Table'!$Z41)*-'BMP P Tracking Table'!$AW41)))/(2*(149.919*'BMP P Tracking Table'!$W41+236.676*'BMP P Tracking Table'!$X41+726*'BMP P Tracking Table'!$Y41+996.798*'BMP P Tracking Table'!$Z41)))))),"")</f>
        <v>0</v>
      </c>
      <c r="BA41" s="101" t="str">
        <f>IFERROR((VLOOKUP(CONCATENATE('BMP P Tracking Table'!$AV41," ",'BMP P Tracking Table'!$AX41),'Performance Curves'!$C$1:$L$45,MATCH('BMP P Tracking Table'!$AZ41,'Performance Curves'!$E$1:$L$1,1)+2,FALSE)-VLOOKUP(CONCATENATE('BMP P Tracking Table'!$AV41," ",'BMP P Tracking Table'!$AX41),'Performance Curves'!$C$1:$L$45,MATCH('BMP P Tracking Table'!$AZ41,'Performance Curves'!$E$1:$L$1,1)+1,FALSE)),"")</f>
        <v/>
      </c>
      <c r="BB41" s="101" t="str">
        <f>IFERROR(('BMP P Tracking Table'!$AZ41-INDEX('Performance Curves'!$E$1:$L$1,1,MATCH('BMP P Tracking Table'!$AZ41,'Performance Curves'!$E$1:$L$1,1)))/(INDEX('Performance Curves'!$E$1:$L$1,1,MATCH('BMP P Tracking Table'!$AZ41,'Performance Curves'!$E$1:$L$1,1)+1)-INDEX('Performance Curves'!$E$1:$L$1,1,MATCH('BMP P Tracking Table'!$AZ41,'Performance Curves'!$E$1:$L$1,1))),"")</f>
        <v/>
      </c>
      <c r="BC41" s="102" t="str">
        <f>IFERROR(IF('BMP P Tracking Table'!$AZ41=2,VLOOKUP(CONCATENATE('BMP P Tracking Table'!$AV41," ",'BMP P Tracking Table'!$AX41),'Performance Curves'!$C$1:$L$44,MATCH('BMP P Tracking Table'!$AZ41,'Performance Curves'!$E$1:$L$1,1)+1,FALSE),'BMP P Tracking Table'!$BA41*'BMP P Tracking Table'!$BB41+VLOOKUP(CONCATENATE('BMP P Tracking Table'!$AV41," ",'BMP P Tracking Table'!$AX41),'Performance Curves'!$C$1:$L$44,MATCH('BMP P Tracking Table'!$AZ41,'Performance Curves'!$E$1:$L$1,1)+1,FALSE)),"")</f>
        <v/>
      </c>
      <c r="BD41" s="101" t="str">
        <f>IFERROR('BMP P Tracking Table'!$BC41*'BMP P Tracking Table'!$AY41,"")</f>
        <v/>
      </c>
      <c r="BE41" s="96"/>
      <c r="BF41" s="37">
        <f t="shared" si="11"/>
        <v>0</v>
      </c>
      <c r="BH41" s="127">
        <v>0.94119211709835793</v>
      </c>
      <c r="BI41" s="37">
        <f t="shared" si="12"/>
        <v>1.0615705888752378</v>
      </c>
      <c r="BK41" s="36" t="str">
        <f t="shared" si="13"/>
        <v>Winooski River</v>
      </c>
      <c r="BN41" s="36" t="s">
        <v>391</v>
      </c>
    </row>
    <row r="42" spans="1:66" ht="17.399999999999999" customHeight="1" x14ac:dyDescent="0.3">
      <c r="A42" s="169" t="s">
        <v>283</v>
      </c>
      <c r="B42" s="169" t="s">
        <v>298</v>
      </c>
      <c r="C42" s="169" t="s">
        <v>312</v>
      </c>
      <c r="D42" s="169" t="s">
        <v>6</v>
      </c>
      <c r="E42" s="170">
        <v>44.49306</v>
      </c>
      <c r="F42" s="170">
        <v>-73.172219999999996</v>
      </c>
      <c r="G42" s="169" t="s">
        <v>315</v>
      </c>
      <c r="H42" s="169" t="s">
        <v>315</v>
      </c>
      <c r="I42" s="169" t="s">
        <v>66</v>
      </c>
      <c r="J42" s="171"/>
      <c r="K42" s="169" t="s">
        <v>111</v>
      </c>
      <c r="L42" s="169"/>
      <c r="M42" s="172" t="s">
        <v>382</v>
      </c>
      <c r="N42" s="172"/>
      <c r="O42" s="169" t="s">
        <v>62</v>
      </c>
      <c r="P42" s="169" t="s">
        <v>119</v>
      </c>
      <c r="Q42" s="169" t="s">
        <v>146</v>
      </c>
      <c r="R42" s="169" t="str">
        <f>IFERROR(VLOOKUP('BMP P Tracking Table'!$Q42,Dropdowns!$P$3:$Q$23,2,FALSE),"")</f>
        <v>Main Lake</v>
      </c>
      <c r="S42" s="169" t="s">
        <v>66</v>
      </c>
      <c r="T42" s="169" t="s">
        <v>232</v>
      </c>
      <c r="U42" s="173">
        <v>2.4299999999999997</v>
      </c>
      <c r="V42" s="169" t="s">
        <v>219</v>
      </c>
      <c r="W42" s="169"/>
      <c r="X42" s="169"/>
      <c r="Y42" s="169"/>
      <c r="Z42" s="169"/>
      <c r="AA42" s="169">
        <v>10.06</v>
      </c>
      <c r="AB42" s="174">
        <v>8839</v>
      </c>
      <c r="AC42" s="169" t="s">
        <v>205</v>
      </c>
      <c r="AD42" s="175">
        <f>IFERROR('BMP P Tracking Table'!$U42*VLOOKUP('BMP P Tracking Table'!$Q42,'Loading Rates'!$B$1:$L$24,4,FALSE)+IF('BMP P Tracking Table'!$V42="By HSG",'BMP P Tracking Table'!$W42*VLOOKUP('BMP P Tracking Table'!$Q42,'Loading Rates'!$B$1:$L$24,6,FALSE)+'BMP P Tracking Table'!$X42*VLOOKUP('BMP P Tracking Table'!$Q42,'Loading Rates'!$B$1:$L$24,7,FALSE)+'BMP P Tracking Table'!$Y42*VLOOKUP('BMP P Tracking Table'!$Q42,'Loading Rates'!$B$1:$L$24,8,FALSE)+'BMP P Tracking Table'!$Z42*VLOOKUP('BMP P Tracking Table'!$Q42,'Loading Rates'!$B$1:$L$24,9,FALSE),'BMP P Tracking Table'!$AA42*VLOOKUP('BMP P Tracking Table'!$Q42,'Loading Rates'!$B$1:$L$24,10,FALSE)),"")</f>
        <v>5.03817</v>
      </c>
      <c r="AE42" s="175">
        <f>IFERROR(MIN(2,IF('BMP P Tracking Table'!$V42="Total Pervious",(-(3630*'BMP P Tracking Table'!$U42+20.691*'BMP P Tracking Table'!$AA42)+SQRT((3630*'BMP P Tracking Table'!$U42+20.691*'BMP P Tracking Table'!$AA42)^2-(4*(996.798*'BMP P Tracking Table'!$AA42)*-'BMP P Tracking Table'!$AB42)))/(2*(996.798*'BMP P Tracking Table'!$AA42)),IF(SUM('BMP P Tracking Table'!$W42:$Z42)=0,'BMP P Tracking Table'!$AB42/(-3630*'BMP P Tracking Table'!$U42),(-(3630*'BMP P Tracking Table'!$U42+20.691*'BMP P Tracking Table'!$Z42-216.711*'BMP P Tracking Table'!$Y42-83.853*'BMP P Tracking Table'!$X42-42.834*'BMP P Tracking Table'!$W42)+SQRT((3630*'BMP P Tracking Table'!$U42+20.691*'BMP P Tracking Table'!$Z42-216.711*'BMP P Tracking Table'!$Y42-83.853*'BMP P Tracking Table'!$X42-42.834*'BMP P Tracking Table'!$W42)^2-(4*(149.919*'BMP P Tracking Table'!$W42+236.676*'BMP P Tracking Table'!$X42+726*'BMP P Tracking Table'!$Y42+996.798*'BMP P Tracking Table'!$Z42)*-'BMP P Tracking Table'!$AB42)))/(2*(149.919*'BMP P Tracking Table'!$W42+236.676*'BMP P Tracking Table'!$X42+726*'BMP P Tracking Table'!$Y42+996.798*'BMP P Tracking Table'!$Z42))))),"")</f>
        <v>0.59101507556285182</v>
      </c>
      <c r="AF42" s="175" t="str">
        <f>IFERROR((VLOOKUP(CONCATENATE('BMP P Tracking Table'!$T42," ",'BMP P Tracking Table'!$AC42),'Performance Curves'!$C$1:$L$45,MATCH('BMP P Tracking Table'!$AE42,'Performance Curves'!$E$1:$L$1,1)+2,FALSE)-VLOOKUP(CONCATENATE('BMP P Tracking Table'!$T42," ",'BMP P Tracking Table'!$AC42),'Performance Curves'!$C$1:$L$45,MATCH('BMP P Tracking Table'!$AE42,'Performance Curves'!$E$1:$L$1,1)+1,FALSE)),"")</f>
        <v/>
      </c>
      <c r="AG42" s="175">
        <f>IFERROR(('BMP P Tracking Table'!$AE42-INDEX('Performance Curves'!$E$1:$L$1,1,MATCH('BMP P Tracking Table'!$AE42,'Performance Curves'!$E$1:$L$1,1)))/(INDEX('Performance Curves'!$E$1:$L$1,1,MATCH('BMP P Tracking Table'!$AE42,'Performance Curves'!$E$1:$L$1,1)+1)-INDEX('Performance Curves'!$E$1:$L$1,1,MATCH('BMP P Tracking Table'!$AE42,'Performance Curves'!$E$1:$L$1,1))),"")</f>
        <v>0.95507537781425922</v>
      </c>
      <c r="AH42" s="176" t="str">
        <f>IFERROR(IF('BMP P Tracking Table'!$AE42=2,VLOOKUP(CONCATENATE('BMP P Tracking Table'!$T42," ",'BMP P Tracking Table'!$AC42),'Performance Curves'!$C$1:$L$45,MATCH('BMP P Tracking Table'!$AE42,'Performance Curves'!$E$1:$L$1,1)+1,FALSE),'BMP P Tracking Table'!$AF42*'BMP P Tracking Table'!$AG42+VLOOKUP(CONCATENATE('BMP P Tracking Table'!$T42," ",'BMP P Tracking Table'!$AC42),'Performance Curves'!$C$1:$L$45,MATCH('BMP P Tracking Table'!$AE42,'Performance Curves'!$E$1:$L$1,1)+1,FALSE)),"")</f>
        <v/>
      </c>
      <c r="AI42" s="175" t="str">
        <f>IFERROR('BMP P Tracking Table'!$AH42*'BMP P Tracking Table'!$AD42,"")</f>
        <v/>
      </c>
      <c r="AJ42" s="173">
        <f t="shared" si="10"/>
        <v>0.41312994000000003</v>
      </c>
      <c r="AK42" s="169"/>
      <c r="AL42" s="173"/>
      <c r="AM42" s="177">
        <v>1</v>
      </c>
      <c r="AN42" s="178">
        <f t="shared" si="8"/>
        <v>0.41312994000000003</v>
      </c>
      <c r="AO42" s="96"/>
      <c r="AP42" s="96"/>
      <c r="AQ42" s="96"/>
      <c r="AR42" s="96"/>
      <c r="AS42" s="96"/>
      <c r="AT42" s="96"/>
      <c r="AU42" s="96"/>
      <c r="AV42" s="64"/>
      <c r="AW42" s="97"/>
      <c r="AX42" s="97"/>
      <c r="AY42" s="101" t="str">
        <f>IF('BMP P Tracking Table'!$AK42="Yes",IF('BMP P Tracking Table'!$AL42="No",'BMP P Tracking Table'!$U42*VLOOKUP('BMP P Tracking Table'!$Q42,'Loading Rates'!$B$1:$L$24,4,FALSE)+IF('BMP P Tracking Table'!$V42="By HSG",'BMP P Tracking Table'!$W42*VLOOKUP('BMP P Tracking Table'!$Q42,'Loading Rates'!$B$1:$L$24,6,FALSE)+'BMP P Tracking Table'!$X42*VLOOKUP('BMP P Tracking Table'!$Q42,'Loading Rates'!$B$1:$L$24,7,FALSE)+'BMP P Tracking Table'!$Y42*VLOOKUP('BMP P Tracking Table'!$Q42,'Loading Rates'!$B$1:$L$24,8,FALSE)+'BMP P Tracking Table'!$Z42*VLOOKUP('BMP P Tracking Table'!$Q42,'Loading Rates'!$B$1:$L$24,9,FALSE),'BMP P Tracking Table'!$AA42*VLOOKUP('BMP P Tracking Table'!$Q42,'Loading Rates'!$B$1:$L$24,10,FALSE)),'BMP P Tracking Table'!$AO42*VLOOKUP('BMP P Tracking Table'!$Q42,'Loading Rates'!$B$1:$L$24,4,FALSE)+IF('BMP P Tracking Table'!$AP42="By HSG",'BMP P Tracking Table'!$AQ42*VLOOKUP('BMP P Tracking Table'!$Q42,'Loading Rates'!$B$1:$L$24,6,FALSE)+'BMP P Tracking Table'!$AR42*VLOOKUP('BMP P Tracking Table'!$Q42,'Loading Rates'!$B$1:$L$24,7,FALSE)+'BMP P Tracking Table'!$AS42*VLOOKUP('BMP P Tracking Table'!$Q42,'Loading Rates'!$B$1:$L$24,8,FALSE)+'BMP P Tracking Table'!$AT42*VLOOKUP('BMP P Tracking Table'!$Q42,'Loading Rates'!$B$1:$L$24,9,FALSE),'BMP P Tracking Table'!$AU42*VLOOKUP('BMP P Tracking Table'!$Q42,'Loading Rates'!$B$1:$L$24,10,FALSE))),"")</f>
        <v/>
      </c>
      <c r="AZ42" s="101">
        <f>IFERROR(IF('BMP P Tracking Table'!$AL42="Yes",MIN(2,IF('BMP P Tracking Table'!$AP42="Total Pervious",(-(3630*'BMP P Tracking Table'!$AO42+20.691*'BMP P Tracking Table'!$AU42)+SQRT((3630*'BMP P Tracking Table'!$AO42+20.691*'BMP P Tracking Table'!$AU42)^2-(4*(996.798*'BMP P Tracking Table'!$AU42)*-'BMP P Tracking Table'!$AW42)))/(2*(996.798*'BMP P Tracking Table'!$AU42)),IF(SUM('BMP P Tracking Table'!$AQ42:$AT42)=0,'BMP P Tracking Table'!$AU42/(-3630*'BMP P Tracking Table'!$AO42),(-(3630*'BMP P Tracking Table'!$AO42+20.691*'BMP P Tracking Table'!$AT42-216.711*'BMP P Tracking Table'!$AS42-83.853*'BMP P Tracking Table'!$AR42-42.834*'BMP P Tracking Table'!$AQ42)+SQRT((3630*'BMP P Tracking Table'!$AO42+20.691*'BMP P Tracking Table'!$AT42-216.711*'BMP P Tracking Table'!$AS42-83.853*'BMP P Tracking Table'!$AR42-42.834*'BMP P Tracking Table'!$AQ42)^2-(4*(149.919*'BMP P Tracking Table'!$AQ42+236.676*'BMP P Tracking Table'!$AR42+726*'BMP P Tracking Table'!$AS42+996.798*'BMP P Tracking Table'!$AT42)*-'BMP P Tracking Table'!$AW42)))/(2*(149.919*'BMP P Tracking Table'!$AQ42+236.676*'BMP P Tracking Table'!$AR42+726*'BMP P Tracking Table'!$AS42+996.798*'BMP P Tracking Table'!$AT42))))),MIN(2,IF('BMP P Tracking Table'!$AP42="Total Pervious",(-(3630*'BMP P Tracking Table'!$U42+20.691*'BMP P Tracking Table'!$AA42)+SQRT((3630*'BMP P Tracking Table'!$U42+20.691*'BMP P Tracking Table'!$AA42)^2-(4*(996.798*'BMP P Tracking Table'!$AA42)*-'BMP P Tracking Table'!$AW42)))/(2*(996.798*'BMP P Tracking Table'!$AA42)),IF(SUM('BMP P Tracking Table'!$W42:$Z42)=0,'BMP P Tracking Table'!$AW42/(-3630*'BMP P Tracking Table'!$U42),(-(3630*'BMP P Tracking Table'!$U42+20.691*'BMP P Tracking Table'!$Z42-216.711*'BMP P Tracking Table'!$Y42-83.853*'BMP P Tracking Table'!$X42-42.834*'BMP P Tracking Table'!$W42)+SQRT((3630*'BMP P Tracking Table'!$U42+20.691*'BMP P Tracking Table'!$Z42-216.711*'BMP P Tracking Table'!$Y42-83.853*'BMP P Tracking Table'!$X42-42.834*'BMP P Tracking Table'!$W42)^2-(4*(149.919*'BMP P Tracking Table'!$W42+236.676*'BMP P Tracking Table'!$X42+726*'BMP P Tracking Table'!$Y42+996.798*'BMP P Tracking Table'!$Z42)*-'BMP P Tracking Table'!$AW42)))/(2*(149.919*'BMP P Tracking Table'!$W42+236.676*'BMP P Tracking Table'!$X42+726*'BMP P Tracking Table'!$Y42+996.798*'BMP P Tracking Table'!$Z42)))))),"")</f>
        <v>0</v>
      </c>
      <c r="BA42" s="101" t="str">
        <f>IFERROR((VLOOKUP(CONCATENATE('BMP P Tracking Table'!$AV42," ",'BMP P Tracking Table'!$AX42),'Performance Curves'!$C$1:$L$45,MATCH('BMP P Tracking Table'!$AZ42,'Performance Curves'!$E$1:$L$1,1)+2,FALSE)-VLOOKUP(CONCATENATE('BMP P Tracking Table'!$AV42," ",'BMP P Tracking Table'!$AX42),'Performance Curves'!$C$1:$L$45,MATCH('BMP P Tracking Table'!$AZ42,'Performance Curves'!$E$1:$L$1,1)+1,FALSE)),"")</f>
        <v/>
      </c>
      <c r="BB42" s="101" t="str">
        <f>IFERROR(('BMP P Tracking Table'!$AZ42-INDEX('Performance Curves'!$E$1:$L$1,1,MATCH('BMP P Tracking Table'!$AZ42,'Performance Curves'!$E$1:$L$1,1)))/(INDEX('Performance Curves'!$E$1:$L$1,1,MATCH('BMP P Tracking Table'!$AZ42,'Performance Curves'!$E$1:$L$1,1)+1)-INDEX('Performance Curves'!$E$1:$L$1,1,MATCH('BMP P Tracking Table'!$AZ42,'Performance Curves'!$E$1:$L$1,1))),"")</f>
        <v/>
      </c>
      <c r="BC42" s="102" t="str">
        <f>IFERROR(IF('BMP P Tracking Table'!$AZ42=2,VLOOKUP(CONCATENATE('BMP P Tracking Table'!$AV42," ",'BMP P Tracking Table'!$AX42),'Performance Curves'!$C$1:$L$44,MATCH('BMP P Tracking Table'!$AZ42,'Performance Curves'!$E$1:$L$1,1)+1,FALSE),'BMP P Tracking Table'!$BA42*'BMP P Tracking Table'!$BB42+VLOOKUP(CONCATENATE('BMP P Tracking Table'!$AV42," ",'BMP P Tracking Table'!$AX42),'Performance Curves'!$C$1:$L$44,MATCH('BMP P Tracking Table'!$AZ42,'Performance Curves'!$E$1:$L$1,1)+1,FALSE)),"")</f>
        <v/>
      </c>
      <c r="BD42" s="101" t="str">
        <f>IFERROR('BMP P Tracking Table'!$BC42*'BMP P Tracking Table'!$AY42,"")</f>
        <v/>
      </c>
      <c r="BE42" s="96"/>
      <c r="BF42" s="37">
        <f t="shared" si="11"/>
        <v>0</v>
      </c>
      <c r="BH42" s="126">
        <v>8.2000000000000003E-2</v>
      </c>
      <c r="BI42" s="37">
        <f t="shared" si="12"/>
        <v>0.41312994000000003</v>
      </c>
      <c r="BK42" s="36" t="str">
        <f t="shared" si="13"/>
        <v>Winooski River</v>
      </c>
      <c r="BN42" s="36" t="s">
        <v>391</v>
      </c>
    </row>
    <row r="43" spans="1:66" ht="17.399999999999999" customHeight="1" x14ac:dyDescent="0.3">
      <c r="A43" s="169" t="s">
        <v>284</v>
      </c>
      <c r="B43" s="169" t="s">
        <v>299</v>
      </c>
      <c r="C43" s="169" t="s">
        <v>312</v>
      </c>
      <c r="D43" s="169" t="s">
        <v>6</v>
      </c>
      <c r="E43" s="170">
        <v>44.49306</v>
      </c>
      <c r="F43" s="170">
        <v>-73.172219999999996</v>
      </c>
      <c r="G43" s="169" t="s">
        <v>315</v>
      </c>
      <c r="H43" s="169" t="s">
        <v>315</v>
      </c>
      <c r="I43" s="169" t="s">
        <v>66</v>
      </c>
      <c r="J43" s="171"/>
      <c r="K43" s="169" t="s">
        <v>111</v>
      </c>
      <c r="L43" s="169"/>
      <c r="M43" s="172" t="s">
        <v>382</v>
      </c>
      <c r="N43" s="172"/>
      <c r="O43" s="169" t="s">
        <v>62</v>
      </c>
      <c r="P43" s="169" t="s">
        <v>119</v>
      </c>
      <c r="Q43" s="169" t="s">
        <v>146</v>
      </c>
      <c r="R43" s="169" t="str">
        <f>IFERROR(VLOOKUP('BMP P Tracking Table'!$Q43,Dropdowns!$P$3:$Q$23,2,FALSE),"")</f>
        <v>Main Lake</v>
      </c>
      <c r="S43" s="169" t="s">
        <v>66</v>
      </c>
      <c r="T43" s="169" t="s">
        <v>47</v>
      </c>
      <c r="U43" s="173">
        <v>4.1899999999999995</v>
      </c>
      <c r="V43" s="169" t="s">
        <v>219</v>
      </c>
      <c r="W43" s="169"/>
      <c r="X43" s="169"/>
      <c r="Y43" s="169"/>
      <c r="Z43" s="169"/>
      <c r="AA43" s="169">
        <v>15.2</v>
      </c>
      <c r="AB43" s="174">
        <v>17183</v>
      </c>
      <c r="AC43" s="169" t="s">
        <v>205</v>
      </c>
      <c r="AD43" s="175">
        <f>IFERROR('BMP P Tracking Table'!$U43*VLOOKUP('BMP P Tracking Table'!$Q43,'Loading Rates'!$B$1:$L$24,4,FALSE)+IF('BMP P Tracking Table'!$V43="By HSG",'BMP P Tracking Table'!$W43*VLOOKUP('BMP P Tracking Table'!$Q43,'Loading Rates'!$B$1:$L$24,6,FALSE)+'BMP P Tracking Table'!$X43*VLOOKUP('BMP P Tracking Table'!$Q43,'Loading Rates'!$B$1:$L$24,7,FALSE)+'BMP P Tracking Table'!$Y43*VLOOKUP('BMP P Tracking Table'!$Q43,'Loading Rates'!$B$1:$L$24,8,FALSE)+'BMP P Tracking Table'!$Z43*VLOOKUP('BMP P Tracking Table'!$Q43,'Loading Rates'!$B$1:$L$24,9,FALSE),'BMP P Tracking Table'!$AA43*VLOOKUP('BMP P Tracking Table'!$Q43,'Loading Rates'!$B$1:$L$24,10,FALSE)),"")</f>
        <v>8.1914299999999987</v>
      </c>
      <c r="AE43" s="175">
        <f>IFERROR(MIN(2,IF('BMP P Tracking Table'!$V43="Total Pervious",(-(3630*'BMP P Tracking Table'!$U43+20.691*'BMP P Tracking Table'!$AA43)+SQRT((3630*'BMP P Tracking Table'!$U43+20.691*'BMP P Tracking Table'!$AA43)^2-(4*(996.798*'BMP P Tracking Table'!$AA43)*-'BMP P Tracking Table'!$AB43)))/(2*(996.798*'BMP P Tracking Table'!$AA43)),IF(SUM('BMP P Tracking Table'!$W43:$Z43)=0,'BMP P Tracking Table'!$AB43/(-3630*'BMP P Tracking Table'!$U43),(-(3630*'BMP P Tracking Table'!$U43+20.691*'BMP P Tracking Table'!$Z43-216.711*'BMP P Tracking Table'!$Y43-83.853*'BMP P Tracking Table'!$X43-42.834*'BMP P Tracking Table'!$W43)+SQRT((3630*'BMP P Tracking Table'!$U43+20.691*'BMP P Tracking Table'!$Z43-216.711*'BMP P Tracking Table'!$Y43-83.853*'BMP P Tracking Table'!$X43-42.834*'BMP P Tracking Table'!$W43)^2-(4*(149.919*'BMP P Tracking Table'!$W43+236.676*'BMP P Tracking Table'!$X43+726*'BMP P Tracking Table'!$Y43+996.798*'BMP P Tracking Table'!$Z43)*-'BMP P Tracking Table'!$AB43)))/(2*(149.919*'BMP P Tracking Table'!$W43+236.676*'BMP P Tracking Table'!$X43+726*'BMP P Tracking Table'!$Y43+996.798*'BMP P Tracking Table'!$Z43))))),"")</f>
        <v>0.669451459270067</v>
      </c>
      <c r="AF43" s="175">
        <f>IFERROR((VLOOKUP(CONCATENATE('BMP P Tracking Table'!$T43," ",'BMP P Tracking Table'!$AC43),'Performance Curves'!$C$1:$L$45,MATCH('BMP P Tracking Table'!$AE43,'Performance Curves'!$E$1:$L$1,1)+2,FALSE)-VLOOKUP(CONCATENATE('BMP P Tracking Table'!$T43," ",'BMP P Tracking Table'!$AC43),'Performance Curves'!$C$1:$L$45,MATCH('BMP P Tracking Table'!$AE43,'Performance Curves'!$E$1:$L$1,1)+1,FALSE)),"")</f>
        <v>4.0000000000000036E-2</v>
      </c>
      <c r="AG43" s="175">
        <f>IFERROR(('BMP P Tracking Table'!$AE43-INDEX('Performance Curves'!$E$1:$L$1,1,MATCH('BMP P Tracking Table'!$AE43,'Performance Curves'!$E$1:$L$1,1)))/(INDEX('Performance Curves'!$E$1:$L$1,1,MATCH('BMP P Tracking Table'!$AE43,'Performance Curves'!$E$1:$L$1,1)+1)-INDEX('Performance Curves'!$E$1:$L$1,1,MATCH('BMP P Tracking Table'!$AE43,'Performance Curves'!$E$1:$L$1,1))),"")</f>
        <v>0.34725729635033498</v>
      </c>
      <c r="AH43" s="176">
        <f>IFERROR(IF('BMP P Tracking Table'!$AE43=2,VLOOKUP(CONCATENATE('BMP P Tracking Table'!$T43," ",'BMP P Tracking Table'!$AC43),'Performance Curves'!$C$1:$L$45,MATCH('BMP P Tracking Table'!$AE43,'Performance Curves'!$E$1:$L$1,1)+1,FALSE),'BMP P Tracking Table'!$AF43*'BMP P Tracking Table'!$AG43+VLOOKUP(CONCATENATE('BMP P Tracking Table'!$T43," ",'BMP P Tracking Table'!$AC43),'Performance Curves'!$C$1:$L$45,MATCH('BMP P Tracking Table'!$AE43,'Performance Curves'!$E$1:$L$1,1)+1,FALSE)),"")</f>
        <v>0.95389029185401331</v>
      </c>
      <c r="AI43" s="175">
        <f>IFERROR('BMP P Tracking Table'!$AH43*'BMP P Tracking Table'!$AD43,"")</f>
        <v>7.8137255534017189</v>
      </c>
      <c r="AJ43" s="173">
        <f t="shared" si="10"/>
        <v>5.572032748404407</v>
      </c>
      <c r="AK43" s="169"/>
      <c r="AL43" s="173"/>
      <c r="AM43" s="177">
        <v>1</v>
      </c>
      <c r="AN43" s="178">
        <f t="shared" si="8"/>
        <v>5.572032748404407</v>
      </c>
      <c r="AO43" s="96"/>
      <c r="AP43" s="96"/>
      <c r="AQ43" s="96"/>
      <c r="AR43" s="96"/>
      <c r="AS43" s="96"/>
      <c r="AT43" s="96"/>
      <c r="AU43" s="96"/>
      <c r="AV43" s="64"/>
      <c r="AW43" s="97"/>
      <c r="AX43" s="97"/>
      <c r="AY43" s="101" t="str">
        <f>IF('BMP P Tracking Table'!$AK43="Yes",IF('BMP P Tracking Table'!$AL43="No",'BMP P Tracking Table'!$U43*VLOOKUP('BMP P Tracking Table'!$Q43,'Loading Rates'!$B$1:$L$24,4,FALSE)+IF('BMP P Tracking Table'!$V43="By HSG",'BMP P Tracking Table'!$W43*VLOOKUP('BMP P Tracking Table'!$Q43,'Loading Rates'!$B$1:$L$24,6,FALSE)+'BMP P Tracking Table'!$X43*VLOOKUP('BMP P Tracking Table'!$Q43,'Loading Rates'!$B$1:$L$24,7,FALSE)+'BMP P Tracking Table'!$Y43*VLOOKUP('BMP P Tracking Table'!$Q43,'Loading Rates'!$B$1:$L$24,8,FALSE)+'BMP P Tracking Table'!$Z43*VLOOKUP('BMP P Tracking Table'!$Q43,'Loading Rates'!$B$1:$L$24,9,FALSE),'BMP P Tracking Table'!$AA43*VLOOKUP('BMP P Tracking Table'!$Q43,'Loading Rates'!$B$1:$L$24,10,FALSE)),'BMP P Tracking Table'!$AO43*VLOOKUP('BMP P Tracking Table'!$Q43,'Loading Rates'!$B$1:$L$24,4,FALSE)+IF('BMP P Tracking Table'!$AP43="By HSG",'BMP P Tracking Table'!$AQ43*VLOOKUP('BMP P Tracking Table'!$Q43,'Loading Rates'!$B$1:$L$24,6,FALSE)+'BMP P Tracking Table'!$AR43*VLOOKUP('BMP P Tracking Table'!$Q43,'Loading Rates'!$B$1:$L$24,7,FALSE)+'BMP P Tracking Table'!$AS43*VLOOKUP('BMP P Tracking Table'!$Q43,'Loading Rates'!$B$1:$L$24,8,FALSE)+'BMP P Tracking Table'!$AT43*VLOOKUP('BMP P Tracking Table'!$Q43,'Loading Rates'!$B$1:$L$24,9,FALSE),'BMP P Tracking Table'!$AU43*VLOOKUP('BMP P Tracking Table'!$Q43,'Loading Rates'!$B$1:$L$24,10,FALSE))),"")</f>
        <v/>
      </c>
      <c r="AZ43" s="101">
        <f>IFERROR(IF('BMP P Tracking Table'!$AL43="Yes",MIN(2,IF('BMP P Tracking Table'!$AP43="Total Pervious",(-(3630*'BMP P Tracking Table'!$AO43+20.691*'BMP P Tracking Table'!$AU43)+SQRT((3630*'BMP P Tracking Table'!$AO43+20.691*'BMP P Tracking Table'!$AU43)^2-(4*(996.798*'BMP P Tracking Table'!$AU43)*-'BMP P Tracking Table'!$AW43)))/(2*(996.798*'BMP P Tracking Table'!$AU43)),IF(SUM('BMP P Tracking Table'!$AQ43:$AT43)=0,'BMP P Tracking Table'!$AU43/(-3630*'BMP P Tracking Table'!$AO43),(-(3630*'BMP P Tracking Table'!$AO43+20.691*'BMP P Tracking Table'!$AT43-216.711*'BMP P Tracking Table'!$AS43-83.853*'BMP P Tracking Table'!$AR43-42.834*'BMP P Tracking Table'!$AQ43)+SQRT((3630*'BMP P Tracking Table'!$AO43+20.691*'BMP P Tracking Table'!$AT43-216.711*'BMP P Tracking Table'!$AS43-83.853*'BMP P Tracking Table'!$AR43-42.834*'BMP P Tracking Table'!$AQ43)^2-(4*(149.919*'BMP P Tracking Table'!$AQ43+236.676*'BMP P Tracking Table'!$AR43+726*'BMP P Tracking Table'!$AS43+996.798*'BMP P Tracking Table'!$AT43)*-'BMP P Tracking Table'!$AW43)))/(2*(149.919*'BMP P Tracking Table'!$AQ43+236.676*'BMP P Tracking Table'!$AR43+726*'BMP P Tracking Table'!$AS43+996.798*'BMP P Tracking Table'!$AT43))))),MIN(2,IF('BMP P Tracking Table'!$AP43="Total Pervious",(-(3630*'BMP P Tracking Table'!$U43+20.691*'BMP P Tracking Table'!$AA43)+SQRT((3630*'BMP P Tracking Table'!$U43+20.691*'BMP P Tracking Table'!$AA43)^2-(4*(996.798*'BMP P Tracking Table'!$AA43)*-'BMP P Tracking Table'!$AW43)))/(2*(996.798*'BMP P Tracking Table'!$AA43)),IF(SUM('BMP P Tracking Table'!$W43:$Z43)=0,'BMP P Tracking Table'!$AW43/(-3630*'BMP P Tracking Table'!$U43),(-(3630*'BMP P Tracking Table'!$U43+20.691*'BMP P Tracking Table'!$Z43-216.711*'BMP P Tracking Table'!$Y43-83.853*'BMP P Tracking Table'!$X43-42.834*'BMP P Tracking Table'!$W43)+SQRT((3630*'BMP P Tracking Table'!$U43+20.691*'BMP P Tracking Table'!$Z43-216.711*'BMP P Tracking Table'!$Y43-83.853*'BMP P Tracking Table'!$X43-42.834*'BMP P Tracking Table'!$W43)^2-(4*(149.919*'BMP P Tracking Table'!$W43+236.676*'BMP P Tracking Table'!$X43+726*'BMP P Tracking Table'!$Y43+996.798*'BMP P Tracking Table'!$Z43)*-'BMP P Tracking Table'!$AW43)))/(2*(149.919*'BMP P Tracking Table'!$W43+236.676*'BMP P Tracking Table'!$X43+726*'BMP P Tracking Table'!$Y43+996.798*'BMP P Tracking Table'!$Z43)))))),"")</f>
        <v>0</v>
      </c>
      <c r="BA43" s="101" t="str">
        <f>IFERROR((VLOOKUP(CONCATENATE('BMP P Tracking Table'!$AV43," ",'BMP P Tracking Table'!$AX43),'Performance Curves'!$C$1:$L$45,MATCH('BMP P Tracking Table'!$AZ43,'Performance Curves'!$E$1:$L$1,1)+2,FALSE)-VLOOKUP(CONCATENATE('BMP P Tracking Table'!$AV43," ",'BMP P Tracking Table'!$AX43),'Performance Curves'!$C$1:$L$45,MATCH('BMP P Tracking Table'!$AZ43,'Performance Curves'!$E$1:$L$1,1)+1,FALSE)),"")</f>
        <v/>
      </c>
      <c r="BB43" s="101" t="str">
        <f>IFERROR(('BMP P Tracking Table'!$AZ43-INDEX('Performance Curves'!$E$1:$L$1,1,MATCH('BMP P Tracking Table'!$AZ43,'Performance Curves'!$E$1:$L$1,1)))/(INDEX('Performance Curves'!$E$1:$L$1,1,MATCH('BMP P Tracking Table'!$AZ43,'Performance Curves'!$E$1:$L$1,1)+1)-INDEX('Performance Curves'!$E$1:$L$1,1,MATCH('BMP P Tracking Table'!$AZ43,'Performance Curves'!$E$1:$L$1,1))),"")</f>
        <v/>
      </c>
      <c r="BC43" s="102" t="str">
        <f>IFERROR(IF('BMP P Tracking Table'!$AZ43=2,VLOOKUP(CONCATENATE('BMP P Tracking Table'!$AV43," ",'BMP P Tracking Table'!$AX43),'Performance Curves'!$C$1:$L$44,MATCH('BMP P Tracking Table'!$AZ43,'Performance Curves'!$E$1:$L$1,1)+1,FALSE),'BMP P Tracking Table'!$BA43*'BMP P Tracking Table'!$BB43+VLOOKUP(CONCATENATE('BMP P Tracking Table'!$AV43," ",'BMP P Tracking Table'!$AX43),'Performance Curves'!$C$1:$L$44,MATCH('BMP P Tracking Table'!$AZ43,'Performance Curves'!$E$1:$L$1,1)+1,FALSE)),"")</f>
        <v/>
      </c>
      <c r="BD43" s="101" t="str">
        <f>IFERROR('BMP P Tracking Table'!$BC43*'BMP P Tracking Table'!$AY43,"")</f>
        <v/>
      </c>
      <c r="BE43" s="91"/>
      <c r="BF43" s="37">
        <f t="shared" si="11"/>
        <v>0</v>
      </c>
      <c r="BH43" s="127">
        <v>0.68022710911335482</v>
      </c>
      <c r="BI43" s="37">
        <f t="shared" si="12"/>
        <v>5.572032748404407</v>
      </c>
      <c r="BK43" s="36" t="str">
        <f t="shared" si="13"/>
        <v>Winooski River</v>
      </c>
      <c r="BN43" s="36" t="s">
        <v>391</v>
      </c>
    </row>
    <row r="44" spans="1:66" ht="17.399999999999999" customHeight="1" x14ac:dyDescent="0.3">
      <c r="A44" s="169" t="s">
        <v>285</v>
      </c>
      <c r="B44" s="169" t="s">
        <v>300</v>
      </c>
      <c r="C44" s="169" t="s">
        <v>312</v>
      </c>
      <c r="D44" s="169" t="s">
        <v>6</v>
      </c>
      <c r="E44" s="170">
        <v>44.49306</v>
      </c>
      <c r="F44" s="170">
        <v>-73.172219999999996</v>
      </c>
      <c r="G44" s="169" t="s">
        <v>315</v>
      </c>
      <c r="H44" s="169" t="s">
        <v>315</v>
      </c>
      <c r="I44" s="169" t="s">
        <v>66</v>
      </c>
      <c r="J44" s="171"/>
      <c r="K44" s="169" t="s">
        <v>111</v>
      </c>
      <c r="L44" s="169"/>
      <c r="M44" s="172" t="s">
        <v>382</v>
      </c>
      <c r="N44" s="172"/>
      <c r="O44" s="169" t="s">
        <v>62</v>
      </c>
      <c r="P44" s="169" t="s">
        <v>119</v>
      </c>
      <c r="Q44" s="169" t="s">
        <v>146</v>
      </c>
      <c r="R44" s="169" t="str">
        <f>IFERROR(VLOOKUP('BMP P Tracking Table'!$Q44,Dropdowns!$P$3:$Q$23,2,FALSE),"")</f>
        <v>Main Lake</v>
      </c>
      <c r="S44" s="169" t="s">
        <v>66</v>
      </c>
      <c r="T44" s="169" t="s">
        <v>232</v>
      </c>
      <c r="U44" s="173">
        <v>7.5699999999999994</v>
      </c>
      <c r="V44" s="169" t="s">
        <v>219</v>
      </c>
      <c r="W44" s="169"/>
      <c r="X44" s="169"/>
      <c r="Y44" s="169"/>
      <c r="Z44" s="169"/>
      <c r="AA44" s="169">
        <v>11.5</v>
      </c>
      <c r="AB44" s="174">
        <v>22247</v>
      </c>
      <c r="AC44" s="169" t="s">
        <v>205</v>
      </c>
      <c r="AD44" s="175">
        <f>IFERROR('BMP P Tracking Table'!$U44*VLOOKUP('BMP P Tracking Table'!$Q44,'Loading Rates'!$B$1:$L$24,4,FALSE)+IF('BMP P Tracking Table'!$V44="By HSG",'BMP P Tracking Table'!$W44*VLOOKUP('BMP P Tracking Table'!$Q44,'Loading Rates'!$B$1:$L$24,6,FALSE)+'BMP P Tracking Table'!$X44*VLOOKUP('BMP P Tracking Table'!$Q44,'Loading Rates'!$B$1:$L$24,7,FALSE)+'BMP P Tracking Table'!$Y44*VLOOKUP('BMP P Tracking Table'!$Q44,'Loading Rates'!$B$1:$L$24,8,FALSE)+'BMP P Tracking Table'!$Z44*VLOOKUP('BMP P Tracking Table'!$Q44,'Loading Rates'!$B$1:$L$24,9,FALSE),'BMP P Tracking Table'!$AA44*VLOOKUP('BMP P Tracking Table'!$Q44,'Loading Rates'!$B$1:$L$24,10,FALSE)),"")</f>
        <v>11.112189999999998</v>
      </c>
      <c r="AE44" s="175">
        <f>IFERROR(MIN(2,IF('BMP P Tracking Table'!$V44="Total Pervious",(-(3630*'BMP P Tracking Table'!$U44+20.691*'BMP P Tracking Table'!$AA44)+SQRT((3630*'BMP P Tracking Table'!$U44+20.691*'BMP P Tracking Table'!$AA44)^2-(4*(996.798*'BMP P Tracking Table'!$AA44)*-'BMP P Tracking Table'!$AB44)))/(2*(996.798*'BMP P Tracking Table'!$AA44)),IF(SUM('BMP P Tracking Table'!$W44:$Z44)=0,'BMP P Tracking Table'!$AB44/(-3630*'BMP P Tracking Table'!$U44),(-(3630*'BMP P Tracking Table'!$U44+20.691*'BMP P Tracking Table'!$Z44-216.711*'BMP P Tracking Table'!$Y44-83.853*'BMP P Tracking Table'!$X44-42.834*'BMP P Tracking Table'!$W44)+SQRT((3630*'BMP P Tracking Table'!$U44+20.691*'BMP P Tracking Table'!$Z44-216.711*'BMP P Tracking Table'!$Y44-83.853*'BMP P Tracking Table'!$X44-42.834*'BMP P Tracking Table'!$W44)^2-(4*(149.919*'BMP P Tracking Table'!$W44+236.676*'BMP P Tracking Table'!$X44+726*'BMP P Tracking Table'!$Y44+996.798*'BMP P Tracking Table'!$Z44)*-'BMP P Tracking Table'!$AB44)))/(2*(149.919*'BMP P Tracking Table'!$W44+236.676*'BMP P Tracking Table'!$X44+726*'BMP P Tracking Table'!$Y44+996.798*'BMP P Tracking Table'!$Z44))))),"")</f>
        <v>0.63557792869048635</v>
      </c>
      <c r="AF44" s="175" t="str">
        <f>IFERROR((VLOOKUP(CONCATENATE('BMP P Tracking Table'!$T44," ",'BMP P Tracking Table'!$AC44),'Performance Curves'!$C$1:$L$45,MATCH('BMP P Tracking Table'!$AE44,'Performance Curves'!$E$1:$L$1,1)+2,FALSE)-VLOOKUP(CONCATENATE('BMP P Tracking Table'!$T44," ",'BMP P Tracking Table'!$AC44),'Performance Curves'!$C$1:$L$45,MATCH('BMP P Tracking Table'!$AE44,'Performance Curves'!$E$1:$L$1,1)+1,FALSE)),"")</f>
        <v/>
      </c>
      <c r="AG44" s="175">
        <f>IFERROR(('BMP P Tracking Table'!$AE44-INDEX('Performance Curves'!$E$1:$L$1,1,MATCH('BMP P Tracking Table'!$AE44,'Performance Curves'!$E$1:$L$1,1)))/(INDEX('Performance Curves'!$E$1:$L$1,1,MATCH('BMP P Tracking Table'!$AE44,'Performance Curves'!$E$1:$L$1,1)+1)-INDEX('Performance Curves'!$E$1:$L$1,1,MATCH('BMP P Tracking Table'!$AE44,'Performance Curves'!$E$1:$L$1,1))),"")</f>
        <v>0.1778896434524318</v>
      </c>
      <c r="AH44" s="176" t="str">
        <f>IFERROR(IF('BMP P Tracking Table'!$AE44=2,VLOOKUP(CONCATENATE('BMP P Tracking Table'!$T44," ",'BMP P Tracking Table'!$AC44),'Performance Curves'!$C$1:$L$45,MATCH('BMP P Tracking Table'!$AE44,'Performance Curves'!$E$1:$L$1,1)+1,FALSE),'BMP P Tracking Table'!$AF44*'BMP P Tracking Table'!$AG44+VLOOKUP(CONCATENATE('BMP P Tracking Table'!$T44," ",'BMP P Tracking Table'!$AC44),'Performance Curves'!$C$1:$L$45,MATCH('BMP P Tracking Table'!$AE44,'Performance Curves'!$E$1:$L$1,1)+1,FALSE)),"")</f>
        <v/>
      </c>
      <c r="AI44" s="175" t="str">
        <f>IFERROR('BMP P Tracking Table'!$AH44*'BMP P Tracking Table'!$AD44,"")</f>
        <v/>
      </c>
      <c r="AJ44" s="173">
        <f t="shared" si="10"/>
        <v>0.94564736899999979</v>
      </c>
      <c r="AK44" s="169"/>
      <c r="AL44" s="173"/>
      <c r="AM44" s="177">
        <v>1</v>
      </c>
      <c r="AN44" s="178">
        <f t="shared" si="8"/>
        <v>0.94564736899999979</v>
      </c>
      <c r="AO44" s="96"/>
      <c r="AP44" s="96"/>
      <c r="AQ44" s="96"/>
      <c r="AR44" s="96"/>
      <c r="AS44" s="96"/>
      <c r="AT44" s="96"/>
      <c r="AU44" s="96"/>
      <c r="AV44" s="64"/>
      <c r="AW44" s="97"/>
      <c r="AX44" s="97"/>
      <c r="AY44" s="101" t="str">
        <f>IF('BMP P Tracking Table'!$AK44="Yes",IF('BMP P Tracking Table'!$AL44="No",'BMP P Tracking Table'!$U44*VLOOKUP('BMP P Tracking Table'!$Q44,'Loading Rates'!$B$1:$L$24,4,FALSE)+IF('BMP P Tracking Table'!$V44="By HSG",'BMP P Tracking Table'!$W44*VLOOKUP('BMP P Tracking Table'!$Q44,'Loading Rates'!$B$1:$L$24,6,FALSE)+'BMP P Tracking Table'!$X44*VLOOKUP('BMP P Tracking Table'!$Q44,'Loading Rates'!$B$1:$L$24,7,FALSE)+'BMP P Tracking Table'!$Y44*VLOOKUP('BMP P Tracking Table'!$Q44,'Loading Rates'!$B$1:$L$24,8,FALSE)+'BMP P Tracking Table'!$Z44*VLOOKUP('BMP P Tracking Table'!$Q44,'Loading Rates'!$B$1:$L$24,9,FALSE),'BMP P Tracking Table'!$AA44*VLOOKUP('BMP P Tracking Table'!$Q44,'Loading Rates'!$B$1:$L$24,10,FALSE)),'BMP P Tracking Table'!$AO44*VLOOKUP('BMP P Tracking Table'!$Q44,'Loading Rates'!$B$1:$L$24,4,FALSE)+IF('BMP P Tracking Table'!$AP44="By HSG",'BMP P Tracking Table'!$AQ44*VLOOKUP('BMP P Tracking Table'!$Q44,'Loading Rates'!$B$1:$L$24,6,FALSE)+'BMP P Tracking Table'!$AR44*VLOOKUP('BMP P Tracking Table'!$Q44,'Loading Rates'!$B$1:$L$24,7,FALSE)+'BMP P Tracking Table'!$AS44*VLOOKUP('BMP P Tracking Table'!$Q44,'Loading Rates'!$B$1:$L$24,8,FALSE)+'BMP P Tracking Table'!$AT44*VLOOKUP('BMP P Tracking Table'!$Q44,'Loading Rates'!$B$1:$L$24,9,FALSE),'BMP P Tracking Table'!$AU44*VLOOKUP('BMP P Tracking Table'!$Q44,'Loading Rates'!$B$1:$L$24,10,FALSE))),"")</f>
        <v/>
      </c>
      <c r="AZ44" s="101">
        <f>IFERROR(IF('BMP P Tracking Table'!$AL44="Yes",MIN(2,IF('BMP P Tracking Table'!$AP44="Total Pervious",(-(3630*'BMP P Tracking Table'!$AO44+20.691*'BMP P Tracking Table'!$AU44)+SQRT((3630*'BMP P Tracking Table'!$AO44+20.691*'BMP P Tracking Table'!$AU44)^2-(4*(996.798*'BMP P Tracking Table'!$AU44)*-'BMP P Tracking Table'!$AW44)))/(2*(996.798*'BMP P Tracking Table'!$AU44)),IF(SUM('BMP P Tracking Table'!$AQ44:$AT44)=0,'BMP P Tracking Table'!$AU44/(-3630*'BMP P Tracking Table'!$AO44),(-(3630*'BMP P Tracking Table'!$AO44+20.691*'BMP P Tracking Table'!$AT44-216.711*'BMP P Tracking Table'!$AS44-83.853*'BMP P Tracking Table'!$AR44-42.834*'BMP P Tracking Table'!$AQ44)+SQRT((3630*'BMP P Tracking Table'!$AO44+20.691*'BMP P Tracking Table'!$AT44-216.711*'BMP P Tracking Table'!$AS44-83.853*'BMP P Tracking Table'!$AR44-42.834*'BMP P Tracking Table'!$AQ44)^2-(4*(149.919*'BMP P Tracking Table'!$AQ44+236.676*'BMP P Tracking Table'!$AR44+726*'BMP P Tracking Table'!$AS44+996.798*'BMP P Tracking Table'!$AT44)*-'BMP P Tracking Table'!$AW44)))/(2*(149.919*'BMP P Tracking Table'!$AQ44+236.676*'BMP P Tracking Table'!$AR44+726*'BMP P Tracking Table'!$AS44+996.798*'BMP P Tracking Table'!$AT44))))),MIN(2,IF('BMP P Tracking Table'!$AP44="Total Pervious",(-(3630*'BMP P Tracking Table'!$U44+20.691*'BMP P Tracking Table'!$AA44)+SQRT((3630*'BMP P Tracking Table'!$U44+20.691*'BMP P Tracking Table'!$AA44)^2-(4*(996.798*'BMP P Tracking Table'!$AA44)*-'BMP P Tracking Table'!$AW44)))/(2*(996.798*'BMP P Tracking Table'!$AA44)),IF(SUM('BMP P Tracking Table'!$W44:$Z44)=0,'BMP P Tracking Table'!$AW44/(-3630*'BMP P Tracking Table'!$U44),(-(3630*'BMP P Tracking Table'!$U44+20.691*'BMP P Tracking Table'!$Z44-216.711*'BMP P Tracking Table'!$Y44-83.853*'BMP P Tracking Table'!$X44-42.834*'BMP P Tracking Table'!$W44)+SQRT((3630*'BMP P Tracking Table'!$U44+20.691*'BMP P Tracking Table'!$Z44-216.711*'BMP P Tracking Table'!$Y44-83.853*'BMP P Tracking Table'!$X44-42.834*'BMP P Tracking Table'!$W44)^2-(4*(149.919*'BMP P Tracking Table'!$W44+236.676*'BMP P Tracking Table'!$X44+726*'BMP P Tracking Table'!$Y44+996.798*'BMP P Tracking Table'!$Z44)*-'BMP P Tracking Table'!$AW44)))/(2*(149.919*'BMP P Tracking Table'!$W44+236.676*'BMP P Tracking Table'!$X44+726*'BMP P Tracking Table'!$Y44+996.798*'BMP P Tracking Table'!$Z44)))))),"")</f>
        <v>0</v>
      </c>
      <c r="BA44" s="101" t="str">
        <f>IFERROR((VLOOKUP(CONCATENATE('BMP P Tracking Table'!$AV44," ",'BMP P Tracking Table'!$AX44),'Performance Curves'!$C$1:$L$45,MATCH('BMP P Tracking Table'!$AZ44,'Performance Curves'!$E$1:$L$1,1)+2,FALSE)-VLOOKUP(CONCATENATE('BMP P Tracking Table'!$AV44," ",'BMP P Tracking Table'!$AX44),'Performance Curves'!$C$1:$L$45,MATCH('BMP P Tracking Table'!$AZ44,'Performance Curves'!$E$1:$L$1,1)+1,FALSE)),"")</f>
        <v/>
      </c>
      <c r="BB44" s="101" t="str">
        <f>IFERROR(('BMP P Tracking Table'!$AZ44-INDEX('Performance Curves'!$E$1:$L$1,1,MATCH('BMP P Tracking Table'!$AZ44,'Performance Curves'!$E$1:$L$1,1)))/(INDEX('Performance Curves'!$E$1:$L$1,1,MATCH('BMP P Tracking Table'!$AZ44,'Performance Curves'!$E$1:$L$1,1)+1)-INDEX('Performance Curves'!$E$1:$L$1,1,MATCH('BMP P Tracking Table'!$AZ44,'Performance Curves'!$E$1:$L$1,1))),"")</f>
        <v/>
      </c>
      <c r="BC44" s="102" t="str">
        <f>IFERROR(IF('BMP P Tracking Table'!$AZ44=2,VLOOKUP(CONCATENATE('BMP P Tracking Table'!$AV44," ",'BMP P Tracking Table'!$AX44),'Performance Curves'!$C$1:$L$44,MATCH('BMP P Tracking Table'!$AZ44,'Performance Curves'!$E$1:$L$1,1)+1,FALSE),'BMP P Tracking Table'!$BA44*'BMP P Tracking Table'!$BB44+VLOOKUP(CONCATENATE('BMP P Tracking Table'!$AV44," ",'BMP P Tracking Table'!$AX44),'Performance Curves'!$C$1:$L$44,MATCH('BMP P Tracking Table'!$AZ44,'Performance Curves'!$E$1:$L$1,1)+1,FALSE)),"")</f>
        <v/>
      </c>
      <c r="BD44" s="101" t="str">
        <f>IFERROR('BMP P Tracking Table'!$BC44*'BMP P Tracking Table'!$AY44,"")</f>
        <v/>
      </c>
      <c r="BE44" s="96"/>
      <c r="BF44" s="37">
        <f t="shared" si="11"/>
        <v>0</v>
      </c>
      <c r="BH44" s="126">
        <v>8.5099999999999995E-2</v>
      </c>
      <c r="BI44" s="37">
        <f t="shared" si="12"/>
        <v>0.94564736899999979</v>
      </c>
      <c r="BK44" s="36" t="str">
        <f t="shared" si="13"/>
        <v>Winooski River</v>
      </c>
      <c r="BN44" s="36" t="s">
        <v>391</v>
      </c>
    </row>
    <row r="45" spans="1:66" ht="17.399999999999999" customHeight="1" x14ac:dyDescent="0.3">
      <c r="A45" s="169" t="s">
        <v>337</v>
      </c>
      <c r="B45" s="169" t="s">
        <v>307</v>
      </c>
      <c r="C45" s="169" t="s">
        <v>312</v>
      </c>
      <c r="D45" s="169" t="s">
        <v>6</v>
      </c>
      <c r="E45" s="170">
        <v>44.473424999999999</v>
      </c>
      <c r="F45" s="170">
        <v>-73.156188999999998</v>
      </c>
      <c r="G45" s="169" t="s">
        <v>324</v>
      </c>
      <c r="H45" s="169" t="s">
        <v>324</v>
      </c>
      <c r="I45" s="169" t="s">
        <v>66</v>
      </c>
      <c r="J45" s="171"/>
      <c r="K45" s="169" t="s">
        <v>111</v>
      </c>
      <c r="L45" s="169"/>
      <c r="M45" s="172">
        <v>42794</v>
      </c>
      <c r="N45" s="172"/>
      <c r="O45" s="169" t="s">
        <v>66</v>
      </c>
      <c r="P45" s="169" t="s">
        <v>119</v>
      </c>
      <c r="Q45" s="169" t="s">
        <v>146</v>
      </c>
      <c r="R45" s="169" t="str">
        <f>IFERROR(VLOOKUP('BMP P Tracking Table'!$Q45,Dropdowns!$P$3:$Q$23,2,FALSE),"")</f>
        <v>Main Lake</v>
      </c>
      <c r="S45" s="169" t="s">
        <v>66</v>
      </c>
      <c r="T45" s="169" t="s">
        <v>47</v>
      </c>
      <c r="U45" s="173">
        <v>15.36</v>
      </c>
      <c r="V45" s="169" t="s">
        <v>219</v>
      </c>
      <c r="W45" s="169"/>
      <c r="X45" s="169"/>
      <c r="Y45" s="169"/>
      <c r="Z45" s="169"/>
      <c r="AA45" s="169">
        <v>1.47</v>
      </c>
      <c r="AB45" s="174">
        <v>67100</v>
      </c>
      <c r="AC45" s="169" t="s">
        <v>205</v>
      </c>
      <c r="AD45" s="175">
        <f>IFERROR('BMP P Tracking Table'!$U45*VLOOKUP('BMP P Tracking Table'!$Q45,'Loading Rates'!$B$1:$L$24,4,FALSE)+IF('BMP P Tracking Table'!$V45="By HSG",'BMP P Tracking Table'!$W45*VLOOKUP('BMP P Tracking Table'!$Q45,'Loading Rates'!$B$1:$L$24,6,FALSE)+'BMP P Tracking Table'!$X45*VLOOKUP('BMP P Tracking Table'!$Q45,'Loading Rates'!$B$1:$L$24,7,FALSE)+'BMP P Tracking Table'!$Y45*VLOOKUP('BMP P Tracking Table'!$Q45,'Loading Rates'!$B$1:$L$24,8,FALSE)+'BMP P Tracking Table'!$Z45*VLOOKUP('BMP P Tracking Table'!$Q45,'Loading Rates'!$B$1:$L$24,9,FALSE),'BMP P Tracking Table'!$AA45*VLOOKUP('BMP P Tracking Table'!$Q45,'Loading Rates'!$B$1:$L$24,10,FALSE)),"")</f>
        <v>17.496689999999997</v>
      </c>
      <c r="AE45" s="175">
        <f>IFERROR(MIN(2,IF('BMP P Tracking Table'!$V45="Total Pervious",(-(3630*'BMP P Tracking Table'!$U45+20.691*'BMP P Tracking Table'!$AA45)+SQRT((3630*'BMP P Tracking Table'!$U45+20.691*'BMP P Tracking Table'!$AA45)^2-(4*(996.798*'BMP P Tracking Table'!$AA45)*-'BMP P Tracking Table'!$AB45)))/(2*(996.798*'BMP P Tracking Table'!$AA45)),IF(SUM('BMP P Tracking Table'!$W45:$Z45)=0,'BMP P Tracking Table'!$AB45/(-3630*'BMP P Tracking Table'!$U45),(-(3630*'BMP P Tracking Table'!$U45+20.691*'BMP P Tracking Table'!$Z45-216.711*'BMP P Tracking Table'!$Y45-83.853*'BMP P Tracking Table'!$X45-42.834*'BMP P Tracking Table'!$W45)+SQRT((3630*'BMP P Tracking Table'!$U45+20.691*'BMP P Tracking Table'!$Z45-216.711*'BMP P Tracking Table'!$Y45-83.853*'BMP P Tracking Table'!$X45-42.834*'BMP P Tracking Table'!$W45)^2-(4*(149.919*'BMP P Tracking Table'!$W45+236.676*'BMP P Tracking Table'!$X45+726*'BMP P Tracking Table'!$Y45+996.798*'BMP P Tracking Table'!$Z45)*-'BMP P Tracking Table'!$AB45)))/(2*(149.919*'BMP P Tracking Table'!$W45+236.676*'BMP P Tracking Table'!$X45+726*'BMP P Tracking Table'!$Y45+996.798*'BMP P Tracking Table'!$Z45))))),"")</f>
        <v>1.1670127129109062</v>
      </c>
      <c r="AF45" s="175">
        <f>IFERROR((VLOOKUP(CONCATENATE('BMP P Tracking Table'!$T45," ",'BMP P Tracking Table'!$AC45),'Performance Curves'!$C$1:$L$45,MATCH('BMP P Tracking Table'!$AE45,'Performance Curves'!$E$1:$L$1,1)+2,FALSE)-VLOOKUP(CONCATENATE('BMP P Tracking Table'!$T45," ",'BMP P Tracking Table'!$AC45),'Performance Curves'!$C$1:$L$45,MATCH('BMP P Tracking Table'!$AE45,'Performance Curves'!$E$1:$L$1,1)+1,FALSE)),"")</f>
        <v>1.0000000000000009E-2</v>
      </c>
      <c r="AG45" s="175">
        <f>IFERROR(('BMP P Tracking Table'!$AE45-INDEX('Performance Curves'!$E$1:$L$1,1,MATCH('BMP P Tracking Table'!$AE45,'Performance Curves'!$E$1:$L$1,1)))/(INDEX('Performance Curves'!$E$1:$L$1,1,MATCH('BMP P Tracking Table'!$AE45,'Performance Curves'!$E$1:$L$1,1)+1)-INDEX('Performance Curves'!$E$1:$L$1,1,MATCH('BMP P Tracking Table'!$AE45,'Performance Curves'!$E$1:$L$1,1))),"")</f>
        <v>0.33402542582181249</v>
      </c>
      <c r="AH45" s="176">
        <f>IFERROR(IF('BMP P Tracking Table'!$AE45=2,VLOOKUP(CONCATENATE('BMP P Tracking Table'!$T45," ",'BMP P Tracking Table'!$AC45),'Performance Curves'!$C$1:$L$45,MATCH('BMP P Tracking Table'!$AE45,'Performance Curves'!$E$1:$L$1,1)+1,FALSE),'BMP P Tracking Table'!$AF45*'BMP P Tracking Table'!$AG45+VLOOKUP(CONCATENATE('BMP P Tracking Table'!$T45," ",'BMP P Tracking Table'!$AC45),'Performance Curves'!$C$1:$L$45,MATCH('BMP P Tracking Table'!$AE45,'Performance Curves'!$E$1:$L$1,1)+1,FALSE)),"")</f>
        <v>0.99334025425821815</v>
      </c>
      <c r="AI45" s="175">
        <f>IFERROR('BMP P Tracking Table'!$AH45*'BMP P Tracking Table'!$AD45,"")</f>
        <v>17.380166493277219</v>
      </c>
      <c r="AJ45" s="173">
        <f t="shared" si="10"/>
        <v>17.496689999999997</v>
      </c>
      <c r="AK45" s="169"/>
      <c r="AL45" s="173"/>
      <c r="AM45" s="177">
        <v>1</v>
      </c>
      <c r="AN45" s="178">
        <f t="shared" si="8"/>
        <v>17.496689999999997</v>
      </c>
      <c r="AO45" s="96"/>
      <c r="AP45" s="96"/>
      <c r="AQ45" s="96"/>
      <c r="AR45" s="96"/>
      <c r="AS45" s="96"/>
      <c r="AT45" s="96"/>
      <c r="AU45" s="96"/>
      <c r="AV45" s="64"/>
      <c r="AW45" s="97"/>
      <c r="AX45" s="97"/>
      <c r="AY45" s="101" t="str">
        <f>IF('BMP P Tracking Table'!$AK45="Yes",IF('BMP P Tracking Table'!$AL45="No",'BMP P Tracking Table'!$U45*VLOOKUP('BMP P Tracking Table'!$Q45,'Loading Rates'!$B$1:$L$24,4,FALSE)+IF('BMP P Tracking Table'!$V45="By HSG",'BMP P Tracking Table'!$W45*VLOOKUP('BMP P Tracking Table'!$Q45,'Loading Rates'!$B$1:$L$24,6,FALSE)+'BMP P Tracking Table'!$X45*VLOOKUP('BMP P Tracking Table'!$Q45,'Loading Rates'!$B$1:$L$24,7,FALSE)+'BMP P Tracking Table'!$Y45*VLOOKUP('BMP P Tracking Table'!$Q45,'Loading Rates'!$B$1:$L$24,8,FALSE)+'BMP P Tracking Table'!$Z45*VLOOKUP('BMP P Tracking Table'!$Q45,'Loading Rates'!$B$1:$L$24,9,FALSE),'BMP P Tracking Table'!$AA45*VLOOKUP('BMP P Tracking Table'!$Q45,'Loading Rates'!$B$1:$L$24,10,FALSE)),'BMP P Tracking Table'!$AO45*VLOOKUP('BMP P Tracking Table'!$Q45,'Loading Rates'!$B$1:$L$24,4,FALSE)+IF('BMP P Tracking Table'!$AP45="By HSG",'BMP P Tracking Table'!$AQ45*VLOOKUP('BMP P Tracking Table'!$Q45,'Loading Rates'!$B$1:$L$24,6,FALSE)+'BMP P Tracking Table'!$AR45*VLOOKUP('BMP P Tracking Table'!$Q45,'Loading Rates'!$B$1:$L$24,7,FALSE)+'BMP P Tracking Table'!$AS45*VLOOKUP('BMP P Tracking Table'!$Q45,'Loading Rates'!$B$1:$L$24,8,FALSE)+'BMP P Tracking Table'!$AT45*VLOOKUP('BMP P Tracking Table'!$Q45,'Loading Rates'!$B$1:$L$24,9,FALSE),'BMP P Tracking Table'!$AU45*VLOOKUP('BMP P Tracking Table'!$Q45,'Loading Rates'!$B$1:$L$24,10,FALSE))),"")</f>
        <v/>
      </c>
      <c r="AZ45" s="101">
        <f>IFERROR(IF('BMP P Tracking Table'!$AL45="Yes",MIN(2,IF('BMP P Tracking Table'!$AP45="Total Pervious",(-(3630*'BMP P Tracking Table'!$AO45+20.691*'BMP P Tracking Table'!$AU45)+SQRT((3630*'BMP P Tracking Table'!$AO45+20.691*'BMP P Tracking Table'!$AU45)^2-(4*(996.798*'BMP P Tracking Table'!$AU45)*-'BMP P Tracking Table'!$AW45)))/(2*(996.798*'BMP P Tracking Table'!$AU45)),IF(SUM('BMP P Tracking Table'!$AQ45:$AT45)=0,'BMP P Tracking Table'!$AU45/(-3630*'BMP P Tracking Table'!$AO45),(-(3630*'BMP P Tracking Table'!$AO45+20.691*'BMP P Tracking Table'!$AT45-216.711*'BMP P Tracking Table'!$AS45-83.853*'BMP P Tracking Table'!$AR45-42.834*'BMP P Tracking Table'!$AQ45)+SQRT((3630*'BMP P Tracking Table'!$AO45+20.691*'BMP P Tracking Table'!$AT45-216.711*'BMP P Tracking Table'!$AS45-83.853*'BMP P Tracking Table'!$AR45-42.834*'BMP P Tracking Table'!$AQ45)^2-(4*(149.919*'BMP P Tracking Table'!$AQ45+236.676*'BMP P Tracking Table'!$AR45+726*'BMP P Tracking Table'!$AS45+996.798*'BMP P Tracking Table'!$AT45)*-'BMP P Tracking Table'!$AW45)))/(2*(149.919*'BMP P Tracking Table'!$AQ45+236.676*'BMP P Tracking Table'!$AR45+726*'BMP P Tracking Table'!$AS45+996.798*'BMP P Tracking Table'!$AT45))))),MIN(2,IF('BMP P Tracking Table'!$AP45="Total Pervious",(-(3630*'BMP P Tracking Table'!$U45+20.691*'BMP P Tracking Table'!$AA45)+SQRT((3630*'BMP P Tracking Table'!$U45+20.691*'BMP P Tracking Table'!$AA45)^2-(4*(996.798*'BMP P Tracking Table'!$AA45)*-'BMP P Tracking Table'!$AW45)))/(2*(996.798*'BMP P Tracking Table'!$AA45)),IF(SUM('BMP P Tracking Table'!$W45:$Z45)=0,'BMP P Tracking Table'!$AW45/(-3630*'BMP P Tracking Table'!$U45),(-(3630*'BMP P Tracking Table'!$U45+20.691*'BMP P Tracking Table'!$Z45-216.711*'BMP P Tracking Table'!$Y45-83.853*'BMP P Tracking Table'!$X45-42.834*'BMP P Tracking Table'!$W45)+SQRT((3630*'BMP P Tracking Table'!$U45+20.691*'BMP P Tracking Table'!$Z45-216.711*'BMP P Tracking Table'!$Y45-83.853*'BMP P Tracking Table'!$X45-42.834*'BMP P Tracking Table'!$W45)^2-(4*(149.919*'BMP P Tracking Table'!$W45+236.676*'BMP P Tracking Table'!$X45+726*'BMP P Tracking Table'!$Y45+996.798*'BMP P Tracking Table'!$Z45)*-'BMP P Tracking Table'!$AW45)))/(2*(149.919*'BMP P Tracking Table'!$W45+236.676*'BMP P Tracking Table'!$X45+726*'BMP P Tracking Table'!$Y45+996.798*'BMP P Tracking Table'!$Z45)))))),"")</f>
        <v>0</v>
      </c>
      <c r="BA45" s="101" t="str">
        <f>IFERROR((VLOOKUP(CONCATENATE('BMP P Tracking Table'!$AV45," ",'BMP P Tracking Table'!$AX45),'Performance Curves'!$C$1:$L$45,MATCH('BMP P Tracking Table'!$AZ45,'Performance Curves'!$E$1:$L$1,1)+2,FALSE)-VLOOKUP(CONCATENATE('BMP P Tracking Table'!$AV45," ",'BMP P Tracking Table'!$AX45),'Performance Curves'!$C$1:$L$45,MATCH('BMP P Tracking Table'!$AZ45,'Performance Curves'!$E$1:$L$1,1)+1,FALSE)),"")</f>
        <v/>
      </c>
      <c r="BB45" s="101" t="str">
        <f>IFERROR(('BMP P Tracking Table'!$AZ45-INDEX('Performance Curves'!$E$1:$L$1,1,MATCH('BMP P Tracking Table'!$AZ45,'Performance Curves'!$E$1:$L$1,1)))/(INDEX('Performance Curves'!$E$1:$L$1,1,MATCH('BMP P Tracking Table'!$AZ45,'Performance Curves'!$E$1:$L$1,1)+1)-INDEX('Performance Curves'!$E$1:$L$1,1,MATCH('BMP P Tracking Table'!$AZ45,'Performance Curves'!$E$1:$L$1,1))),"")</f>
        <v/>
      </c>
      <c r="BC45" s="102" t="str">
        <f>IFERROR(IF('BMP P Tracking Table'!$AZ45=2,VLOOKUP(CONCATENATE('BMP P Tracking Table'!$AV45," ",'BMP P Tracking Table'!$AX45),'Performance Curves'!$C$1:$L$44,MATCH('BMP P Tracking Table'!$AZ45,'Performance Curves'!$E$1:$L$1,1)+1,FALSE),'BMP P Tracking Table'!$BA45*'BMP P Tracking Table'!$BB45+VLOOKUP(CONCATENATE('BMP P Tracking Table'!$AV45," ",'BMP P Tracking Table'!$AX45),'Performance Curves'!$C$1:$L$44,MATCH('BMP P Tracking Table'!$AZ45,'Performance Curves'!$E$1:$L$1,1)+1,FALSE)),"")</f>
        <v/>
      </c>
      <c r="BD45" s="101" t="str">
        <f>IFERROR('BMP P Tracking Table'!$BC45*'BMP P Tracking Table'!$AY45,"")</f>
        <v/>
      </c>
      <c r="BE45" s="96"/>
      <c r="BF45" s="37">
        <f t="shared" si="11"/>
        <v>0</v>
      </c>
      <c r="BH45" s="127">
        <v>1</v>
      </c>
      <c r="BI45" s="37">
        <f t="shared" si="12"/>
        <v>17.496689999999997</v>
      </c>
      <c r="BK45" s="36" t="str">
        <f t="shared" si="13"/>
        <v>Winooski River</v>
      </c>
      <c r="BN45" s="36" t="s">
        <v>391</v>
      </c>
    </row>
    <row r="46" spans="1:66" s="168" customFormat="1" ht="17.399999999999999" customHeight="1" x14ac:dyDescent="0.3">
      <c r="A46" s="169" t="s">
        <v>292</v>
      </c>
      <c r="B46" s="169" t="s">
        <v>308</v>
      </c>
      <c r="C46" s="169" t="s">
        <v>312</v>
      </c>
      <c r="D46" s="169" t="s">
        <v>6</v>
      </c>
      <c r="E46" s="170">
        <v>44.471795</v>
      </c>
      <c r="F46" s="170">
        <v>-73.156460999999993</v>
      </c>
      <c r="G46" s="169" t="s">
        <v>325</v>
      </c>
      <c r="H46" s="169" t="s">
        <v>325</v>
      </c>
      <c r="I46" s="169" t="s">
        <v>66</v>
      </c>
      <c r="J46" s="171"/>
      <c r="K46" s="169" t="s">
        <v>111</v>
      </c>
      <c r="L46" s="169"/>
      <c r="M46" s="169" t="s">
        <v>418</v>
      </c>
      <c r="N46" s="172"/>
      <c r="O46" s="169"/>
      <c r="P46" s="169" t="s">
        <v>119</v>
      </c>
      <c r="Q46" s="169" t="s">
        <v>146</v>
      </c>
      <c r="R46" s="169" t="str">
        <f>IFERROR(VLOOKUP('BMP P Tracking Table'!$Q46,Dropdowns!$P$3:$Q$23,2,FALSE),"")</f>
        <v>Main Lake</v>
      </c>
      <c r="S46" s="169" t="s">
        <v>66</v>
      </c>
      <c r="T46" s="169" t="s">
        <v>47</v>
      </c>
      <c r="U46" s="173">
        <v>0.89</v>
      </c>
      <c r="V46" s="169" t="s">
        <v>219</v>
      </c>
      <c r="W46" s="169"/>
      <c r="X46" s="169"/>
      <c r="Y46" s="169"/>
      <c r="Z46" s="169"/>
      <c r="AA46" s="169">
        <v>0.33</v>
      </c>
      <c r="AB46" s="174">
        <v>5695</v>
      </c>
      <c r="AC46" s="169" t="s">
        <v>205</v>
      </c>
      <c r="AD46" s="175">
        <f>IFERROR('BMP P Tracking Table'!$U46*VLOOKUP('BMP P Tracking Table'!$Q46,'Loading Rates'!$B$1:$L$24,4,FALSE)+IF('BMP P Tracking Table'!$V46="By HSG",'BMP P Tracking Table'!$W46*VLOOKUP('BMP P Tracking Table'!$Q46,'Loading Rates'!$B$1:$L$24,6,FALSE)+'BMP P Tracking Table'!$X46*VLOOKUP('BMP P Tracking Table'!$Q46,'Loading Rates'!$B$1:$L$24,7,FALSE)+'BMP P Tracking Table'!$Y46*VLOOKUP('BMP P Tracking Table'!$Q46,'Loading Rates'!$B$1:$L$24,8,FALSE)+'BMP P Tracking Table'!$Z46*VLOOKUP('BMP P Tracking Table'!$Q46,'Loading Rates'!$B$1:$L$24,9,FALSE),'BMP P Tracking Table'!$AA46*VLOOKUP('BMP P Tracking Table'!$Q46,'Loading Rates'!$B$1:$L$24,10,FALSE)),"")</f>
        <v>1.07036</v>
      </c>
      <c r="AE46" s="175">
        <f>IFERROR(MIN(2,IF('BMP P Tracking Table'!$V46="Total Pervious",(-(3630*'BMP P Tracking Table'!$U46+20.691*'BMP P Tracking Table'!$AA46)+SQRT((3630*'BMP P Tracking Table'!$U46+20.691*'BMP P Tracking Table'!$AA46)^2-(4*(996.798*'BMP P Tracking Table'!$AA46)*-'BMP P Tracking Table'!$AB46)))/(2*(996.798*'BMP P Tracking Table'!$AA46)),IF(SUM('BMP P Tracking Table'!$W46:$Z46)=0,'BMP P Tracking Table'!$AB46/(-3630*'BMP P Tracking Table'!$U46),(-(3630*'BMP P Tracking Table'!$U46+20.691*'BMP P Tracking Table'!$Z46-216.711*'BMP P Tracking Table'!$Y46-83.853*'BMP P Tracking Table'!$X46-42.834*'BMP P Tracking Table'!$W46)+SQRT((3630*'BMP P Tracking Table'!$U46+20.691*'BMP P Tracking Table'!$Z46-216.711*'BMP P Tracking Table'!$Y46-83.853*'BMP P Tracking Table'!$X46-42.834*'BMP P Tracking Table'!$W46)^2-(4*(149.919*'BMP P Tracking Table'!$W46+236.676*'BMP P Tracking Table'!$X46+726*'BMP P Tracking Table'!$Y46+996.798*'BMP P Tracking Table'!$Z46)*-'BMP P Tracking Table'!$AB46)))/(2*(149.919*'BMP P Tracking Table'!$W46+236.676*'BMP P Tracking Table'!$X46+726*'BMP P Tracking Table'!$Y46+996.798*'BMP P Tracking Table'!$Z46))))),"")</f>
        <v>1.5232951216626109</v>
      </c>
      <c r="AF46" s="175">
        <f>IFERROR((VLOOKUP(CONCATENATE('BMP P Tracking Table'!$T46," ",'BMP P Tracking Table'!$AC46),'Performance Curves'!$C$1:$L$45,MATCH('BMP P Tracking Table'!$AE46,'Performance Curves'!$E$1:$L$1,1)+2,FALSE)-VLOOKUP(CONCATENATE('BMP P Tracking Table'!$T46," ",'BMP P Tracking Table'!$AC46),'Performance Curves'!$C$1:$L$45,MATCH('BMP P Tracking Table'!$AE46,'Performance Curves'!$E$1:$L$1,1)+1,FALSE)),"")</f>
        <v>0</v>
      </c>
      <c r="AG46" s="175">
        <f>IFERROR(('BMP P Tracking Table'!$AE46-INDEX('Performance Curves'!$E$1:$L$1,1,MATCH('BMP P Tracking Table'!$AE46,'Performance Curves'!$E$1:$L$1,1)))/(INDEX('Performance Curves'!$E$1:$L$1,1,MATCH('BMP P Tracking Table'!$AE46,'Performance Curves'!$E$1:$L$1,1)+1)-INDEX('Performance Curves'!$E$1:$L$1,1,MATCH('BMP P Tracking Table'!$AE46,'Performance Curves'!$E$1:$L$1,1))),"")</f>
        <v>4.6590243325221881E-2</v>
      </c>
      <c r="AH46" s="176">
        <f>IFERROR(IF('BMP P Tracking Table'!$AE46=2,VLOOKUP(CONCATENATE('BMP P Tracking Table'!$T46," ",'BMP P Tracking Table'!$AC46),'Performance Curves'!$C$1:$L$45,MATCH('BMP P Tracking Table'!$AE46,'Performance Curves'!$E$1:$L$1,1)+1,FALSE),'BMP P Tracking Table'!$AF46*'BMP P Tracking Table'!$AG46+VLOOKUP(CONCATENATE('BMP P Tracking Table'!$T46," ",'BMP P Tracking Table'!$AC46),'Performance Curves'!$C$1:$L$45,MATCH('BMP P Tracking Table'!$AE46,'Performance Curves'!$E$1:$L$1,1)+1,FALSE)),"")</f>
        <v>1</v>
      </c>
      <c r="AI46" s="175">
        <f>IFERROR('BMP P Tracking Table'!$AH46*'BMP P Tracking Table'!$AD46,"")</f>
        <v>1.07036</v>
      </c>
      <c r="AJ46" s="173">
        <f t="shared" si="10"/>
        <v>1.0579782558834461</v>
      </c>
      <c r="AK46" s="169"/>
      <c r="AL46" s="173"/>
      <c r="AM46" s="177">
        <v>1</v>
      </c>
      <c r="AN46" s="178">
        <f t="shared" si="8"/>
        <v>1.0579782558834461</v>
      </c>
      <c r="AO46" s="173"/>
      <c r="AP46" s="173"/>
      <c r="AQ46" s="173"/>
      <c r="AR46" s="173"/>
      <c r="AS46" s="173"/>
      <c r="AT46" s="173"/>
      <c r="AU46" s="173"/>
      <c r="AV46" s="169"/>
      <c r="AW46" s="179"/>
      <c r="AX46" s="179"/>
      <c r="AY46" s="175" t="str">
        <f>IF('BMP P Tracking Table'!$AK46="Yes",IF('BMP P Tracking Table'!$AL46="No",'BMP P Tracking Table'!$U46*VLOOKUP('BMP P Tracking Table'!$Q46,'Loading Rates'!$B$1:$L$24,4,FALSE)+IF('BMP P Tracking Table'!$V46="By HSG",'BMP P Tracking Table'!$W46*VLOOKUP('BMP P Tracking Table'!$Q46,'Loading Rates'!$B$1:$L$24,6,FALSE)+'BMP P Tracking Table'!$X46*VLOOKUP('BMP P Tracking Table'!$Q46,'Loading Rates'!$B$1:$L$24,7,FALSE)+'BMP P Tracking Table'!$Y46*VLOOKUP('BMP P Tracking Table'!$Q46,'Loading Rates'!$B$1:$L$24,8,FALSE)+'BMP P Tracking Table'!$Z46*VLOOKUP('BMP P Tracking Table'!$Q46,'Loading Rates'!$B$1:$L$24,9,FALSE),'BMP P Tracking Table'!$AA46*VLOOKUP('BMP P Tracking Table'!$Q46,'Loading Rates'!$B$1:$L$24,10,FALSE)),'BMP P Tracking Table'!$AO46*VLOOKUP('BMP P Tracking Table'!$Q46,'Loading Rates'!$B$1:$L$24,4,FALSE)+IF('BMP P Tracking Table'!$AP46="By HSG",'BMP P Tracking Table'!$AQ46*VLOOKUP('BMP P Tracking Table'!$Q46,'Loading Rates'!$B$1:$L$24,6,FALSE)+'BMP P Tracking Table'!$AR46*VLOOKUP('BMP P Tracking Table'!$Q46,'Loading Rates'!$B$1:$L$24,7,FALSE)+'BMP P Tracking Table'!$AS46*VLOOKUP('BMP P Tracking Table'!$Q46,'Loading Rates'!$B$1:$L$24,8,FALSE)+'BMP P Tracking Table'!$AT46*VLOOKUP('BMP P Tracking Table'!$Q46,'Loading Rates'!$B$1:$L$24,9,FALSE),'BMP P Tracking Table'!$AU46*VLOOKUP('BMP P Tracking Table'!$Q46,'Loading Rates'!$B$1:$L$24,10,FALSE))),"")</f>
        <v/>
      </c>
      <c r="AZ46" s="175">
        <f>IFERROR(IF('BMP P Tracking Table'!$AL46="Yes",MIN(2,IF('BMP P Tracking Table'!$AP46="Total Pervious",(-(3630*'BMP P Tracking Table'!$AO46+20.691*'BMP P Tracking Table'!$AU46)+SQRT((3630*'BMP P Tracking Table'!$AO46+20.691*'BMP P Tracking Table'!$AU46)^2-(4*(996.798*'BMP P Tracking Table'!$AU46)*-'BMP P Tracking Table'!$AW46)))/(2*(996.798*'BMP P Tracking Table'!$AU46)),IF(SUM('BMP P Tracking Table'!$AQ46:$AT46)=0,'BMP P Tracking Table'!$AU46/(-3630*'BMP P Tracking Table'!$AO46),(-(3630*'BMP P Tracking Table'!$AO46+20.691*'BMP P Tracking Table'!$AT46-216.711*'BMP P Tracking Table'!$AS46-83.853*'BMP P Tracking Table'!$AR46-42.834*'BMP P Tracking Table'!$AQ46)+SQRT((3630*'BMP P Tracking Table'!$AO46+20.691*'BMP P Tracking Table'!$AT46-216.711*'BMP P Tracking Table'!$AS46-83.853*'BMP P Tracking Table'!$AR46-42.834*'BMP P Tracking Table'!$AQ46)^2-(4*(149.919*'BMP P Tracking Table'!$AQ46+236.676*'BMP P Tracking Table'!$AR46+726*'BMP P Tracking Table'!$AS46+996.798*'BMP P Tracking Table'!$AT46)*-'BMP P Tracking Table'!$AW46)))/(2*(149.919*'BMP P Tracking Table'!$AQ46+236.676*'BMP P Tracking Table'!$AR46+726*'BMP P Tracking Table'!$AS46+996.798*'BMP P Tracking Table'!$AT46))))),MIN(2,IF('BMP P Tracking Table'!$AP46="Total Pervious",(-(3630*'BMP P Tracking Table'!$U46+20.691*'BMP P Tracking Table'!$AA46)+SQRT((3630*'BMP P Tracking Table'!$U46+20.691*'BMP P Tracking Table'!$AA46)^2-(4*(996.798*'BMP P Tracking Table'!$AA46)*-'BMP P Tracking Table'!$AW46)))/(2*(996.798*'BMP P Tracking Table'!$AA46)),IF(SUM('BMP P Tracking Table'!$W46:$Z46)=0,'BMP P Tracking Table'!$AW46/(-3630*'BMP P Tracking Table'!$U46),(-(3630*'BMP P Tracking Table'!$U46+20.691*'BMP P Tracking Table'!$Z46-216.711*'BMP P Tracking Table'!$Y46-83.853*'BMP P Tracking Table'!$X46-42.834*'BMP P Tracking Table'!$W46)+SQRT((3630*'BMP P Tracking Table'!$U46+20.691*'BMP P Tracking Table'!$Z46-216.711*'BMP P Tracking Table'!$Y46-83.853*'BMP P Tracking Table'!$X46-42.834*'BMP P Tracking Table'!$W46)^2-(4*(149.919*'BMP P Tracking Table'!$W46+236.676*'BMP P Tracking Table'!$X46+726*'BMP P Tracking Table'!$Y46+996.798*'BMP P Tracking Table'!$Z46)*-'BMP P Tracking Table'!$AW46)))/(2*(149.919*'BMP P Tracking Table'!$W46+236.676*'BMP P Tracking Table'!$X46+726*'BMP P Tracking Table'!$Y46+996.798*'BMP P Tracking Table'!$Z46)))))),"")</f>
        <v>0</v>
      </c>
      <c r="BA46" s="175" t="str">
        <f>IFERROR((VLOOKUP(CONCATENATE('BMP P Tracking Table'!$AV46," ",'BMP P Tracking Table'!$AX46),'Performance Curves'!$C$1:$L$45,MATCH('BMP P Tracking Table'!$AZ46,'Performance Curves'!$E$1:$L$1,1)+2,FALSE)-VLOOKUP(CONCATENATE('BMP P Tracking Table'!$AV46," ",'BMP P Tracking Table'!$AX46),'Performance Curves'!$C$1:$L$45,MATCH('BMP P Tracking Table'!$AZ46,'Performance Curves'!$E$1:$L$1,1)+1,FALSE)),"")</f>
        <v/>
      </c>
      <c r="BB46" s="175" t="str">
        <f>IFERROR(('BMP P Tracking Table'!$AZ46-INDEX('Performance Curves'!$E$1:$L$1,1,MATCH('BMP P Tracking Table'!$AZ46,'Performance Curves'!$E$1:$L$1,1)))/(INDEX('Performance Curves'!$E$1:$L$1,1,MATCH('BMP P Tracking Table'!$AZ46,'Performance Curves'!$E$1:$L$1,1)+1)-INDEX('Performance Curves'!$E$1:$L$1,1,MATCH('BMP P Tracking Table'!$AZ46,'Performance Curves'!$E$1:$L$1,1))),"")</f>
        <v/>
      </c>
      <c r="BC46" s="176" t="str">
        <f>IFERROR(IF('BMP P Tracking Table'!$AZ46=2,VLOOKUP(CONCATENATE('BMP P Tracking Table'!$AV46," ",'BMP P Tracking Table'!$AX46),'Performance Curves'!$C$1:$L$44,MATCH('BMP P Tracking Table'!$AZ46,'Performance Curves'!$E$1:$L$1,1)+1,FALSE),'BMP P Tracking Table'!$BA46*'BMP P Tracking Table'!$BB46+VLOOKUP(CONCATENATE('BMP P Tracking Table'!$AV46," ",'BMP P Tracking Table'!$AX46),'Performance Curves'!$C$1:$L$44,MATCH('BMP P Tracking Table'!$AZ46,'Performance Curves'!$E$1:$L$1,1)+1,FALSE)),"")</f>
        <v/>
      </c>
      <c r="BD46" s="175" t="str">
        <f>IFERROR('BMP P Tracking Table'!$BC46*'BMP P Tracking Table'!$AY46,"")</f>
        <v/>
      </c>
      <c r="BE46" s="173"/>
      <c r="BF46" s="180">
        <f t="shared" si="11"/>
        <v>0</v>
      </c>
      <c r="BH46" s="185">
        <v>0.98843216850727422</v>
      </c>
      <c r="BI46" s="180">
        <f t="shared" si="12"/>
        <v>1.0579782558834461</v>
      </c>
      <c r="BK46" s="168" t="str">
        <f t="shared" si="13"/>
        <v>Winooski River</v>
      </c>
      <c r="BN46" s="168" t="s">
        <v>391</v>
      </c>
    </row>
    <row r="47" spans="1:66" s="113" customFormat="1" ht="17.399999999999999" customHeight="1" x14ac:dyDescent="0.3">
      <c r="A47" s="169" t="s">
        <v>365</v>
      </c>
      <c r="B47" s="169" t="s">
        <v>309</v>
      </c>
      <c r="C47" s="169" t="s">
        <v>312</v>
      </c>
      <c r="D47" s="169" t="s">
        <v>6</v>
      </c>
      <c r="E47" s="170">
        <v>44.472909999999999</v>
      </c>
      <c r="F47" s="170">
        <v>-73.15213</v>
      </c>
      <c r="G47" s="169" t="s">
        <v>326</v>
      </c>
      <c r="H47" s="169" t="s">
        <v>326</v>
      </c>
      <c r="I47" s="169" t="s">
        <v>66</v>
      </c>
      <c r="J47" s="171"/>
      <c r="K47" s="169" t="s">
        <v>111</v>
      </c>
      <c r="L47" s="169"/>
      <c r="M47" s="207"/>
      <c r="N47" s="172"/>
      <c r="O47" s="169"/>
      <c r="P47" s="169" t="s">
        <v>119</v>
      </c>
      <c r="Q47" s="169" t="s">
        <v>146</v>
      </c>
      <c r="R47" s="169" t="str">
        <f>IFERROR(VLOOKUP('BMP P Tracking Table'!$Q47,Dropdowns!$P$3:$Q$23,2,FALSE),"")</f>
        <v>Main Lake</v>
      </c>
      <c r="S47" s="169" t="s">
        <v>66</v>
      </c>
      <c r="T47" s="169" t="s">
        <v>47</v>
      </c>
      <c r="U47" s="173">
        <v>0.66</v>
      </c>
      <c r="V47" s="169" t="s">
        <v>219</v>
      </c>
      <c r="W47" s="169"/>
      <c r="X47" s="169"/>
      <c r="Y47" s="169"/>
      <c r="Z47" s="169"/>
      <c r="AA47" s="169">
        <v>1.28</v>
      </c>
      <c r="AB47" s="174">
        <v>3659</v>
      </c>
      <c r="AC47" s="169" t="s">
        <v>205</v>
      </c>
      <c r="AD47" s="175">
        <f>IFERROR('BMP P Tracking Table'!$U47*VLOOKUP('BMP P Tracking Table'!$Q47,'Loading Rates'!$B$1:$L$24,4,FALSE)+IF('BMP P Tracking Table'!$V47="By HSG",'BMP P Tracking Table'!$W47*VLOOKUP('BMP P Tracking Table'!$Q47,'Loading Rates'!$B$1:$L$24,6,FALSE)+'BMP P Tracking Table'!$X47*VLOOKUP('BMP P Tracking Table'!$Q47,'Loading Rates'!$B$1:$L$24,7,FALSE)+'BMP P Tracking Table'!$Y47*VLOOKUP('BMP P Tracking Table'!$Q47,'Loading Rates'!$B$1:$L$24,8,FALSE)+'BMP P Tracking Table'!$Z47*VLOOKUP('BMP P Tracking Table'!$Q47,'Loading Rates'!$B$1:$L$24,9,FALSE),'BMP P Tracking Table'!$AA47*VLOOKUP('BMP P Tracking Table'!$Q47,'Loading Rates'!$B$1:$L$24,10,FALSE)),"")</f>
        <v>1.0328999999999999</v>
      </c>
      <c r="AE47" s="175">
        <f>IFERROR(MIN(2,IF('BMP P Tracking Table'!$V47="Total Pervious",(-(3630*'BMP P Tracking Table'!$U47+20.691*'BMP P Tracking Table'!$AA47)+SQRT((3630*'BMP P Tracking Table'!$U47+20.691*'BMP P Tracking Table'!$AA47)^2-(4*(996.798*'BMP P Tracking Table'!$AA47)*-'BMP P Tracking Table'!$AB47)))/(2*(996.798*'BMP P Tracking Table'!$AA47)),IF(SUM('BMP P Tracking Table'!$W47:$Z47)=0,'BMP P Tracking Table'!$AB47/(-3630*'BMP P Tracking Table'!$U47),(-(3630*'BMP P Tracking Table'!$U47+20.691*'BMP P Tracking Table'!$Z47-216.711*'BMP P Tracking Table'!$Y47-83.853*'BMP P Tracking Table'!$X47-42.834*'BMP P Tracking Table'!$W47)+SQRT((3630*'BMP P Tracking Table'!$U47+20.691*'BMP P Tracking Table'!$Z47-216.711*'BMP P Tracking Table'!$Y47-83.853*'BMP P Tracking Table'!$X47-42.834*'BMP P Tracking Table'!$W47)^2-(4*(149.919*'BMP P Tracking Table'!$W47+236.676*'BMP P Tracking Table'!$X47+726*'BMP P Tracking Table'!$Y47+996.798*'BMP P Tracking Table'!$Z47)*-'BMP P Tracking Table'!$AB47)))/(2*(149.919*'BMP P Tracking Table'!$W47+236.676*'BMP P Tracking Table'!$X47+726*'BMP P Tracking Table'!$Y47+996.798*'BMP P Tracking Table'!$Z47))))),"")</f>
        <v>0.99210600353667611</v>
      </c>
      <c r="AF47" s="175">
        <f>IFERROR((VLOOKUP(CONCATENATE('BMP P Tracking Table'!$T47," ",'BMP P Tracking Table'!$AC47),'Performance Curves'!$C$1:$L$45,MATCH('BMP P Tracking Table'!$AE47,'Performance Curves'!$E$1:$L$1,1)+2,FALSE)-VLOOKUP(CONCATENATE('BMP P Tracking Table'!$T47," ",'BMP P Tracking Table'!$AC47),'Performance Curves'!$C$1:$L$45,MATCH('BMP P Tracking Table'!$AE47,'Performance Curves'!$E$1:$L$1,1)+1,FALSE)),"")</f>
        <v>1.0000000000000009E-2</v>
      </c>
      <c r="AG47" s="175">
        <f>IFERROR(('BMP P Tracking Table'!$AE47-INDEX('Performance Curves'!$E$1:$L$1,1,MATCH('BMP P Tracking Table'!$AE47,'Performance Curves'!$E$1:$L$1,1)))/(INDEX('Performance Curves'!$E$1:$L$1,1,MATCH('BMP P Tracking Table'!$AE47,'Performance Curves'!$E$1:$L$1,1)+1)-INDEX('Performance Curves'!$E$1:$L$1,1,MATCH('BMP P Tracking Table'!$AE47,'Performance Curves'!$E$1:$L$1,1))),"")</f>
        <v>0.96053001768338053</v>
      </c>
      <c r="AH47" s="176">
        <f>IFERROR(IF('BMP P Tracking Table'!$AE47=2,VLOOKUP(CONCATENATE('BMP P Tracking Table'!$T47," ",'BMP P Tracking Table'!$AC47),'Performance Curves'!$C$1:$L$45,MATCH('BMP P Tracking Table'!$AE47,'Performance Curves'!$E$1:$L$1,1)+1,FALSE),'BMP P Tracking Table'!$AF47*'BMP P Tracking Table'!$AG47+VLOOKUP(CONCATENATE('BMP P Tracking Table'!$T47," ",'BMP P Tracking Table'!$AC47),'Performance Curves'!$C$1:$L$45,MATCH('BMP P Tracking Table'!$AE47,'Performance Curves'!$E$1:$L$1,1)+1,FALSE)),"")</f>
        <v>0.98960530017683379</v>
      </c>
      <c r="AI47" s="175">
        <f>IFERROR('BMP P Tracking Table'!$AH47*'BMP P Tracking Table'!$AD47,"")</f>
        <v>1.0221633145526516</v>
      </c>
      <c r="AJ47" s="173">
        <f t="shared" si="10"/>
        <v>0.99842143301312003</v>
      </c>
      <c r="AK47" s="169"/>
      <c r="AL47" s="173"/>
      <c r="AM47" s="177">
        <v>1</v>
      </c>
      <c r="AN47" s="178">
        <f t="shared" si="8"/>
        <v>0.99842143301312003</v>
      </c>
      <c r="AO47" s="110"/>
      <c r="AP47" s="110"/>
      <c r="AQ47" s="110"/>
      <c r="AR47" s="110"/>
      <c r="AS47" s="110"/>
      <c r="AT47" s="110"/>
      <c r="AU47" s="110"/>
      <c r="AV47" s="106"/>
      <c r="AW47" s="111"/>
      <c r="AX47" s="111"/>
      <c r="AY47" s="108" t="str">
        <f>IF('BMP P Tracking Table'!$AK47="Yes",IF('BMP P Tracking Table'!$AL47="No",'BMP P Tracking Table'!$U47*VLOOKUP('BMP P Tracking Table'!$Q47,'Loading Rates'!$B$1:$L$24,4,FALSE)+IF('BMP P Tracking Table'!$V47="By HSG",'BMP P Tracking Table'!$W47*VLOOKUP('BMP P Tracking Table'!$Q47,'Loading Rates'!$B$1:$L$24,6,FALSE)+'BMP P Tracking Table'!$X47*VLOOKUP('BMP P Tracking Table'!$Q47,'Loading Rates'!$B$1:$L$24,7,FALSE)+'BMP P Tracking Table'!$Y47*VLOOKUP('BMP P Tracking Table'!$Q47,'Loading Rates'!$B$1:$L$24,8,FALSE)+'BMP P Tracking Table'!$Z47*VLOOKUP('BMP P Tracking Table'!$Q47,'Loading Rates'!$B$1:$L$24,9,FALSE),'BMP P Tracking Table'!$AA47*VLOOKUP('BMP P Tracking Table'!$Q47,'Loading Rates'!$B$1:$L$24,10,FALSE)),'BMP P Tracking Table'!$AO47*VLOOKUP('BMP P Tracking Table'!$Q47,'Loading Rates'!$B$1:$L$24,4,FALSE)+IF('BMP P Tracking Table'!$AP47="By HSG",'BMP P Tracking Table'!$AQ47*VLOOKUP('BMP P Tracking Table'!$Q47,'Loading Rates'!$B$1:$L$24,6,FALSE)+'BMP P Tracking Table'!$AR47*VLOOKUP('BMP P Tracking Table'!$Q47,'Loading Rates'!$B$1:$L$24,7,FALSE)+'BMP P Tracking Table'!$AS47*VLOOKUP('BMP P Tracking Table'!$Q47,'Loading Rates'!$B$1:$L$24,8,FALSE)+'BMP P Tracking Table'!$AT47*VLOOKUP('BMP P Tracking Table'!$Q47,'Loading Rates'!$B$1:$L$24,9,FALSE),'BMP P Tracking Table'!$AU47*VLOOKUP('BMP P Tracking Table'!$Q47,'Loading Rates'!$B$1:$L$24,10,FALSE))),"")</f>
        <v/>
      </c>
      <c r="AZ47" s="108">
        <f>IFERROR(IF('BMP P Tracking Table'!$AL47="Yes",MIN(2,IF('BMP P Tracking Table'!$AP47="Total Pervious",(-(3630*'BMP P Tracking Table'!$AO47+20.691*'BMP P Tracking Table'!$AU47)+SQRT((3630*'BMP P Tracking Table'!$AO47+20.691*'BMP P Tracking Table'!$AU47)^2-(4*(996.798*'BMP P Tracking Table'!$AU47)*-'BMP P Tracking Table'!$AW47)))/(2*(996.798*'BMP P Tracking Table'!$AU47)),IF(SUM('BMP P Tracking Table'!$AQ47:$AT47)=0,'BMP P Tracking Table'!$AU47/(-3630*'BMP P Tracking Table'!$AO47),(-(3630*'BMP P Tracking Table'!$AO47+20.691*'BMP P Tracking Table'!$AT47-216.711*'BMP P Tracking Table'!$AS47-83.853*'BMP P Tracking Table'!$AR47-42.834*'BMP P Tracking Table'!$AQ47)+SQRT((3630*'BMP P Tracking Table'!$AO47+20.691*'BMP P Tracking Table'!$AT47-216.711*'BMP P Tracking Table'!$AS47-83.853*'BMP P Tracking Table'!$AR47-42.834*'BMP P Tracking Table'!$AQ47)^2-(4*(149.919*'BMP P Tracking Table'!$AQ47+236.676*'BMP P Tracking Table'!$AR47+726*'BMP P Tracking Table'!$AS47+996.798*'BMP P Tracking Table'!$AT47)*-'BMP P Tracking Table'!$AW47)))/(2*(149.919*'BMP P Tracking Table'!$AQ47+236.676*'BMP P Tracking Table'!$AR47+726*'BMP P Tracking Table'!$AS47+996.798*'BMP P Tracking Table'!$AT47))))),MIN(2,IF('BMP P Tracking Table'!$AP47="Total Pervious",(-(3630*'BMP P Tracking Table'!$U47+20.691*'BMP P Tracking Table'!$AA47)+SQRT((3630*'BMP P Tracking Table'!$U47+20.691*'BMP P Tracking Table'!$AA47)^2-(4*(996.798*'BMP P Tracking Table'!$AA47)*-'BMP P Tracking Table'!$AW47)))/(2*(996.798*'BMP P Tracking Table'!$AA47)),IF(SUM('BMP P Tracking Table'!$W47:$Z47)=0,'BMP P Tracking Table'!$AW47/(-3630*'BMP P Tracking Table'!$U47),(-(3630*'BMP P Tracking Table'!$U47+20.691*'BMP P Tracking Table'!$Z47-216.711*'BMP P Tracking Table'!$Y47-83.853*'BMP P Tracking Table'!$X47-42.834*'BMP P Tracking Table'!$W47)+SQRT((3630*'BMP P Tracking Table'!$U47+20.691*'BMP P Tracking Table'!$Z47-216.711*'BMP P Tracking Table'!$Y47-83.853*'BMP P Tracking Table'!$X47-42.834*'BMP P Tracking Table'!$W47)^2-(4*(149.919*'BMP P Tracking Table'!$W47+236.676*'BMP P Tracking Table'!$X47+726*'BMP P Tracking Table'!$Y47+996.798*'BMP P Tracking Table'!$Z47)*-'BMP P Tracking Table'!$AW47)))/(2*(149.919*'BMP P Tracking Table'!$W47+236.676*'BMP P Tracking Table'!$X47+726*'BMP P Tracking Table'!$Y47+996.798*'BMP P Tracking Table'!$Z47)))))),"")</f>
        <v>0</v>
      </c>
      <c r="BA47" s="108" t="str">
        <f>IFERROR((VLOOKUP(CONCATENATE('BMP P Tracking Table'!$AV47," ",'BMP P Tracking Table'!$AX47),'Performance Curves'!$C$1:$L$45,MATCH('BMP P Tracking Table'!$AZ47,'Performance Curves'!$E$1:$L$1,1)+2,FALSE)-VLOOKUP(CONCATENATE('BMP P Tracking Table'!$AV47," ",'BMP P Tracking Table'!$AX47),'Performance Curves'!$C$1:$L$45,MATCH('BMP P Tracking Table'!$AZ47,'Performance Curves'!$E$1:$L$1,1)+1,FALSE)),"")</f>
        <v/>
      </c>
      <c r="BB47" s="108" t="str">
        <f>IFERROR(('BMP P Tracking Table'!$AZ47-INDEX('Performance Curves'!$E$1:$L$1,1,MATCH('BMP P Tracking Table'!$AZ47,'Performance Curves'!$E$1:$L$1,1)))/(INDEX('Performance Curves'!$E$1:$L$1,1,MATCH('BMP P Tracking Table'!$AZ47,'Performance Curves'!$E$1:$L$1,1)+1)-INDEX('Performance Curves'!$E$1:$L$1,1,MATCH('BMP P Tracking Table'!$AZ47,'Performance Curves'!$E$1:$L$1,1))),"")</f>
        <v/>
      </c>
      <c r="BC47" s="109" t="str">
        <f>IFERROR(IF('BMP P Tracking Table'!$AZ47=2,VLOOKUP(CONCATENATE('BMP P Tracking Table'!$AV47," ",'BMP P Tracking Table'!$AX47),'Performance Curves'!$C$1:$L$44,MATCH('BMP P Tracking Table'!$AZ47,'Performance Curves'!$E$1:$L$1,1)+1,FALSE),'BMP P Tracking Table'!$BA47*'BMP P Tracking Table'!$BB47+VLOOKUP(CONCATENATE('BMP P Tracking Table'!$AV47," ",'BMP P Tracking Table'!$AX47),'Performance Curves'!$C$1:$L$44,MATCH('BMP P Tracking Table'!$AZ47,'Performance Curves'!$E$1:$L$1,1)+1,FALSE)),"")</f>
        <v/>
      </c>
      <c r="BD47" s="108" t="str">
        <f>IFERROR('BMP P Tracking Table'!$BC47*'BMP P Tracking Table'!$AY47,"")</f>
        <v/>
      </c>
      <c r="BE47" s="110"/>
      <c r="BF47" s="112">
        <f t="shared" si="11"/>
        <v>0</v>
      </c>
      <c r="BH47" s="130">
        <v>0.9666196466387067</v>
      </c>
      <c r="BI47" s="112">
        <f t="shared" si="12"/>
        <v>0.99842143301312003</v>
      </c>
      <c r="BK47" s="113" t="str">
        <f t="shared" si="13"/>
        <v>Winooski River</v>
      </c>
      <c r="BN47" s="36" t="s">
        <v>391</v>
      </c>
    </row>
    <row r="48" spans="1:66" s="113" customFormat="1" ht="17.399999999999999" customHeight="1" x14ac:dyDescent="0.3">
      <c r="A48" s="169" t="s">
        <v>366</v>
      </c>
      <c r="B48" s="169" t="s">
        <v>310</v>
      </c>
      <c r="C48" s="169" t="s">
        <v>312</v>
      </c>
      <c r="D48" s="169" t="s">
        <v>6</v>
      </c>
      <c r="E48" s="170">
        <v>44.472909999999999</v>
      </c>
      <c r="F48" s="170">
        <v>-73.15213</v>
      </c>
      <c r="G48" s="169" t="s">
        <v>326</v>
      </c>
      <c r="H48" s="169" t="s">
        <v>326</v>
      </c>
      <c r="I48" s="169" t="s">
        <v>66</v>
      </c>
      <c r="J48" s="171"/>
      <c r="K48" s="169" t="s">
        <v>111</v>
      </c>
      <c r="L48" s="169"/>
      <c r="M48" s="207"/>
      <c r="N48" s="172"/>
      <c r="O48" s="169"/>
      <c r="P48" s="169" t="s">
        <v>119</v>
      </c>
      <c r="Q48" s="169" t="s">
        <v>146</v>
      </c>
      <c r="R48" s="169" t="str">
        <f>IFERROR(VLOOKUP('BMP P Tracking Table'!$Q48,Dropdowns!$P$3:$Q$23,2,FALSE),"")</f>
        <v>Main Lake</v>
      </c>
      <c r="S48" s="169" t="s">
        <v>66</v>
      </c>
      <c r="T48" s="169" t="s">
        <v>47</v>
      </c>
      <c r="U48" s="173">
        <v>1.34</v>
      </c>
      <c r="V48" s="169" t="s">
        <v>219</v>
      </c>
      <c r="W48" s="169"/>
      <c r="X48" s="169"/>
      <c r="Y48" s="169"/>
      <c r="Z48" s="169"/>
      <c r="AA48" s="169">
        <v>2.42</v>
      </c>
      <c r="AB48" s="174">
        <v>7466</v>
      </c>
      <c r="AC48" s="169" t="s">
        <v>205</v>
      </c>
      <c r="AD48" s="175">
        <f>IFERROR('BMP P Tracking Table'!$U48*VLOOKUP('BMP P Tracking Table'!$Q48,'Loading Rates'!$B$1:$L$24,4,FALSE)+IF('BMP P Tracking Table'!$V48="By HSG",'BMP P Tracking Table'!$W48*VLOOKUP('BMP P Tracking Table'!$Q48,'Loading Rates'!$B$1:$L$24,6,FALSE)+'BMP P Tracking Table'!$X48*VLOOKUP('BMP P Tracking Table'!$Q48,'Loading Rates'!$B$1:$L$24,7,FALSE)+'BMP P Tracking Table'!$Y48*VLOOKUP('BMP P Tracking Table'!$Q48,'Loading Rates'!$B$1:$L$24,8,FALSE)+'BMP P Tracking Table'!$Z48*VLOOKUP('BMP P Tracking Table'!$Q48,'Loading Rates'!$B$1:$L$24,9,FALSE),'BMP P Tracking Table'!$AA48*VLOOKUP('BMP P Tracking Table'!$Q48,'Loading Rates'!$B$1:$L$24,10,FALSE)),"")</f>
        <v>2.0558000000000001</v>
      </c>
      <c r="AE48" s="175">
        <f>IFERROR(MIN(2,IF('BMP P Tracking Table'!$V48="Total Pervious",(-(3630*'BMP P Tracking Table'!$U48+20.691*'BMP P Tracking Table'!$AA48)+SQRT((3630*'BMP P Tracking Table'!$U48+20.691*'BMP P Tracking Table'!$AA48)^2-(4*(996.798*'BMP P Tracking Table'!$AA48)*-'BMP P Tracking Table'!$AB48)))/(2*(996.798*'BMP P Tracking Table'!$AA48)),IF(SUM('BMP P Tracking Table'!$W48:$Z48)=0,'BMP P Tracking Table'!$AB48/(-3630*'BMP P Tracking Table'!$U48),(-(3630*'BMP P Tracking Table'!$U48+20.691*'BMP P Tracking Table'!$Z48-216.711*'BMP P Tracking Table'!$Y48-83.853*'BMP P Tracking Table'!$X48-42.834*'BMP P Tracking Table'!$W48)+SQRT((3630*'BMP P Tracking Table'!$U48+20.691*'BMP P Tracking Table'!$Z48-216.711*'BMP P Tracking Table'!$Y48-83.853*'BMP P Tracking Table'!$X48-42.834*'BMP P Tracking Table'!$W48)^2-(4*(149.919*'BMP P Tracking Table'!$W48+236.676*'BMP P Tracking Table'!$X48+726*'BMP P Tracking Table'!$Y48+996.798*'BMP P Tracking Table'!$Z48)*-'BMP P Tracking Table'!$AB48)))/(2*(149.919*'BMP P Tracking Table'!$W48+236.676*'BMP P Tracking Table'!$X48+726*'BMP P Tracking Table'!$Y48+996.798*'BMP P Tracking Table'!$Z48))))),"")</f>
        <v>1.0142713350446295</v>
      </c>
      <c r="AF48" s="175">
        <f>IFERROR((VLOOKUP(CONCATENATE('BMP P Tracking Table'!$T48," ",'BMP P Tracking Table'!$AC48),'Performance Curves'!$C$1:$L$45,MATCH('BMP P Tracking Table'!$AE48,'Performance Curves'!$E$1:$L$1,1)+2,FALSE)-VLOOKUP(CONCATENATE('BMP P Tracking Table'!$T48," ",'BMP P Tracking Table'!$AC48),'Performance Curves'!$C$1:$L$45,MATCH('BMP P Tracking Table'!$AE48,'Performance Curves'!$E$1:$L$1,1)+1,FALSE)),"")</f>
        <v>1.0000000000000009E-2</v>
      </c>
      <c r="AG48" s="175">
        <f>IFERROR(('BMP P Tracking Table'!$AE48-INDEX('Performance Curves'!$E$1:$L$1,1,MATCH('BMP P Tracking Table'!$AE48,'Performance Curves'!$E$1:$L$1,1)))/(INDEX('Performance Curves'!$E$1:$L$1,1,MATCH('BMP P Tracking Table'!$AE48,'Performance Curves'!$E$1:$L$1,1)+1)-INDEX('Performance Curves'!$E$1:$L$1,1,MATCH('BMP P Tracking Table'!$AE48,'Performance Curves'!$E$1:$L$1,1))),"")</f>
        <v>2.8542670089259037E-2</v>
      </c>
      <c r="AH48" s="176">
        <f>IFERROR(IF('BMP P Tracking Table'!$AE48=2,VLOOKUP(CONCATENATE('BMP P Tracking Table'!$T48," ",'BMP P Tracking Table'!$AC48),'Performance Curves'!$C$1:$L$45,MATCH('BMP P Tracking Table'!$AE48,'Performance Curves'!$E$1:$L$1,1)+1,FALSE),'BMP P Tracking Table'!$AF48*'BMP P Tracking Table'!$AG48+VLOOKUP(CONCATENATE('BMP P Tracking Table'!$T48," ",'BMP P Tracking Table'!$AC48),'Performance Curves'!$C$1:$L$45,MATCH('BMP P Tracking Table'!$AE48,'Performance Curves'!$E$1:$L$1,1)+1,FALSE)),"")</f>
        <v>0.99028542670089259</v>
      </c>
      <c r="AI48" s="175">
        <f>IFERROR('BMP P Tracking Table'!$AH48*'BMP P Tracking Table'!$AD48,"")</f>
        <v>2.0358287802116952</v>
      </c>
      <c r="AJ48" s="173">
        <f t="shared" si="10"/>
        <v>2.0009241616764415</v>
      </c>
      <c r="AK48" s="169"/>
      <c r="AL48" s="173"/>
      <c r="AM48" s="177">
        <v>1</v>
      </c>
      <c r="AN48" s="178">
        <f t="shared" si="8"/>
        <v>2.0009241616764415</v>
      </c>
      <c r="AO48" s="110"/>
      <c r="AP48" s="110"/>
      <c r="AQ48" s="110"/>
      <c r="AR48" s="110"/>
      <c r="AS48" s="110"/>
      <c r="AT48" s="110"/>
      <c r="AU48" s="110"/>
      <c r="AV48" s="106"/>
      <c r="AW48" s="111"/>
      <c r="AX48" s="111"/>
      <c r="AY48" s="108" t="str">
        <f>IF('BMP P Tracking Table'!$AK48="Yes",IF('BMP P Tracking Table'!$AL48="No",'BMP P Tracking Table'!$U48*VLOOKUP('BMP P Tracking Table'!$Q48,'Loading Rates'!$B$1:$L$24,4,FALSE)+IF('BMP P Tracking Table'!$V48="By HSG",'BMP P Tracking Table'!$W48*VLOOKUP('BMP P Tracking Table'!$Q48,'Loading Rates'!$B$1:$L$24,6,FALSE)+'BMP P Tracking Table'!$X48*VLOOKUP('BMP P Tracking Table'!$Q48,'Loading Rates'!$B$1:$L$24,7,FALSE)+'BMP P Tracking Table'!$Y48*VLOOKUP('BMP P Tracking Table'!$Q48,'Loading Rates'!$B$1:$L$24,8,FALSE)+'BMP P Tracking Table'!$Z48*VLOOKUP('BMP P Tracking Table'!$Q48,'Loading Rates'!$B$1:$L$24,9,FALSE),'BMP P Tracking Table'!$AA48*VLOOKUP('BMP P Tracking Table'!$Q48,'Loading Rates'!$B$1:$L$24,10,FALSE)),'BMP P Tracking Table'!$AO48*VLOOKUP('BMP P Tracking Table'!$Q48,'Loading Rates'!$B$1:$L$24,4,FALSE)+IF('BMP P Tracking Table'!$AP48="By HSG",'BMP P Tracking Table'!$AQ48*VLOOKUP('BMP P Tracking Table'!$Q48,'Loading Rates'!$B$1:$L$24,6,FALSE)+'BMP P Tracking Table'!$AR48*VLOOKUP('BMP P Tracking Table'!$Q48,'Loading Rates'!$B$1:$L$24,7,FALSE)+'BMP P Tracking Table'!$AS48*VLOOKUP('BMP P Tracking Table'!$Q48,'Loading Rates'!$B$1:$L$24,8,FALSE)+'BMP P Tracking Table'!$AT48*VLOOKUP('BMP P Tracking Table'!$Q48,'Loading Rates'!$B$1:$L$24,9,FALSE),'BMP P Tracking Table'!$AU48*VLOOKUP('BMP P Tracking Table'!$Q48,'Loading Rates'!$B$1:$L$24,10,FALSE))),"")</f>
        <v/>
      </c>
      <c r="AZ48" s="108">
        <f>IFERROR(IF('BMP P Tracking Table'!$AL48="Yes",MIN(2,IF('BMP P Tracking Table'!$AP48="Total Pervious",(-(3630*'BMP P Tracking Table'!$AO48+20.691*'BMP P Tracking Table'!$AU48)+SQRT((3630*'BMP P Tracking Table'!$AO48+20.691*'BMP P Tracking Table'!$AU48)^2-(4*(996.798*'BMP P Tracking Table'!$AU48)*-'BMP P Tracking Table'!$AW48)))/(2*(996.798*'BMP P Tracking Table'!$AU48)),IF(SUM('BMP P Tracking Table'!$AQ48:$AT48)=0,'BMP P Tracking Table'!$AU48/(-3630*'BMP P Tracking Table'!$AO48),(-(3630*'BMP P Tracking Table'!$AO48+20.691*'BMP P Tracking Table'!$AT48-216.711*'BMP P Tracking Table'!$AS48-83.853*'BMP P Tracking Table'!$AR48-42.834*'BMP P Tracking Table'!$AQ48)+SQRT((3630*'BMP P Tracking Table'!$AO48+20.691*'BMP P Tracking Table'!$AT48-216.711*'BMP P Tracking Table'!$AS48-83.853*'BMP P Tracking Table'!$AR48-42.834*'BMP P Tracking Table'!$AQ48)^2-(4*(149.919*'BMP P Tracking Table'!$AQ48+236.676*'BMP P Tracking Table'!$AR48+726*'BMP P Tracking Table'!$AS48+996.798*'BMP P Tracking Table'!$AT48)*-'BMP P Tracking Table'!$AW48)))/(2*(149.919*'BMP P Tracking Table'!$AQ48+236.676*'BMP P Tracking Table'!$AR48+726*'BMP P Tracking Table'!$AS48+996.798*'BMP P Tracking Table'!$AT48))))),MIN(2,IF('BMP P Tracking Table'!$AP48="Total Pervious",(-(3630*'BMP P Tracking Table'!$U48+20.691*'BMP P Tracking Table'!$AA48)+SQRT((3630*'BMP P Tracking Table'!$U48+20.691*'BMP P Tracking Table'!$AA48)^2-(4*(996.798*'BMP P Tracking Table'!$AA48)*-'BMP P Tracking Table'!$AW48)))/(2*(996.798*'BMP P Tracking Table'!$AA48)),IF(SUM('BMP P Tracking Table'!$W48:$Z48)=0,'BMP P Tracking Table'!$AW48/(-3630*'BMP P Tracking Table'!$U48),(-(3630*'BMP P Tracking Table'!$U48+20.691*'BMP P Tracking Table'!$Z48-216.711*'BMP P Tracking Table'!$Y48-83.853*'BMP P Tracking Table'!$X48-42.834*'BMP P Tracking Table'!$W48)+SQRT((3630*'BMP P Tracking Table'!$U48+20.691*'BMP P Tracking Table'!$Z48-216.711*'BMP P Tracking Table'!$Y48-83.853*'BMP P Tracking Table'!$X48-42.834*'BMP P Tracking Table'!$W48)^2-(4*(149.919*'BMP P Tracking Table'!$W48+236.676*'BMP P Tracking Table'!$X48+726*'BMP P Tracking Table'!$Y48+996.798*'BMP P Tracking Table'!$Z48)*-'BMP P Tracking Table'!$AW48)))/(2*(149.919*'BMP P Tracking Table'!$W48+236.676*'BMP P Tracking Table'!$X48+726*'BMP P Tracking Table'!$Y48+996.798*'BMP P Tracking Table'!$Z48)))))),"")</f>
        <v>0</v>
      </c>
      <c r="BA48" s="108" t="str">
        <f>IFERROR((VLOOKUP(CONCATENATE('BMP P Tracking Table'!$AV48," ",'BMP P Tracking Table'!$AX48),'Performance Curves'!$C$1:$L$45,MATCH('BMP P Tracking Table'!$AZ48,'Performance Curves'!$E$1:$L$1,1)+2,FALSE)-VLOOKUP(CONCATENATE('BMP P Tracking Table'!$AV48," ",'BMP P Tracking Table'!$AX48),'Performance Curves'!$C$1:$L$45,MATCH('BMP P Tracking Table'!$AZ48,'Performance Curves'!$E$1:$L$1,1)+1,FALSE)),"")</f>
        <v/>
      </c>
      <c r="BB48" s="108" t="str">
        <f>IFERROR(('BMP P Tracking Table'!$AZ48-INDEX('Performance Curves'!$E$1:$L$1,1,MATCH('BMP P Tracking Table'!$AZ48,'Performance Curves'!$E$1:$L$1,1)))/(INDEX('Performance Curves'!$E$1:$L$1,1,MATCH('BMP P Tracking Table'!$AZ48,'Performance Curves'!$E$1:$L$1,1)+1)-INDEX('Performance Curves'!$E$1:$L$1,1,MATCH('BMP P Tracking Table'!$AZ48,'Performance Curves'!$E$1:$L$1,1))),"")</f>
        <v/>
      </c>
      <c r="BC48" s="109" t="str">
        <f>IFERROR(IF('BMP P Tracking Table'!$AZ48=2,VLOOKUP(CONCATENATE('BMP P Tracking Table'!$AV48," ",'BMP P Tracking Table'!$AX48),'Performance Curves'!$C$1:$L$44,MATCH('BMP P Tracking Table'!$AZ48,'Performance Curves'!$E$1:$L$1,1)+1,FALSE),'BMP P Tracking Table'!$BA48*'BMP P Tracking Table'!$BB48+VLOOKUP(CONCATENATE('BMP P Tracking Table'!$AV48," ",'BMP P Tracking Table'!$AX48),'Performance Curves'!$C$1:$L$44,MATCH('BMP P Tracking Table'!$AZ48,'Performance Curves'!$E$1:$L$1,1)+1,FALSE)),"")</f>
        <v/>
      </c>
      <c r="BD48" s="108" t="str">
        <f>IFERROR('BMP P Tracking Table'!$BC48*'BMP P Tracking Table'!$AY48,"")</f>
        <v/>
      </c>
      <c r="BE48" s="110"/>
      <c r="BF48" s="112">
        <f t="shared" si="11"/>
        <v>0</v>
      </c>
      <c r="BH48" s="183">
        <v>0.97330682054501483</v>
      </c>
      <c r="BI48" s="112">
        <f t="shared" si="12"/>
        <v>2.0009241616764415</v>
      </c>
      <c r="BK48" s="113" t="str">
        <f t="shared" si="13"/>
        <v>Winooski River</v>
      </c>
      <c r="BN48" s="36" t="s">
        <v>391</v>
      </c>
    </row>
    <row r="49" spans="1:69" s="113" customFormat="1" ht="17.399999999999999" customHeight="1" x14ac:dyDescent="0.3">
      <c r="A49" s="169" t="s">
        <v>412</v>
      </c>
      <c r="B49" s="169" t="s">
        <v>409</v>
      </c>
      <c r="C49" s="169" t="s">
        <v>312</v>
      </c>
      <c r="D49" s="169" t="s">
        <v>6</v>
      </c>
      <c r="E49" s="170" t="s">
        <v>313</v>
      </c>
      <c r="F49" s="170" t="s">
        <v>313</v>
      </c>
      <c r="G49" s="169" t="s">
        <v>461</v>
      </c>
      <c r="H49" s="169" t="s">
        <v>313</v>
      </c>
      <c r="I49" s="169" t="s">
        <v>66</v>
      </c>
      <c r="J49" s="171"/>
      <c r="K49" s="169" t="s">
        <v>49</v>
      </c>
      <c r="L49" s="169">
        <v>2025</v>
      </c>
      <c r="M49" s="172"/>
      <c r="N49" s="169"/>
      <c r="O49" s="169"/>
      <c r="P49" s="169" t="s">
        <v>33</v>
      </c>
      <c r="Q49" s="169" t="s">
        <v>146</v>
      </c>
      <c r="R49" s="169" t="s">
        <v>129</v>
      </c>
      <c r="S49" s="169" t="s">
        <v>66</v>
      </c>
      <c r="T49" s="169" t="s">
        <v>46</v>
      </c>
      <c r="U49" s="173">
        <v>0.13</v>
      </c>
      <c r="V49" s="169" t="s">
        <v>219</v>
      </c>
      <c r="W49" s="169"/>
      <c r="X49" s="169"/>
      <c r="Y49" s="169"/>
      <c r="Z49" s="169"/>
      <c r="AA49" s="169">
        <v>1E-3</v>
      </c>
      <c r="AB49" s="174" t="s">
        <v>119</v>
      </c>
      <c r="AC49" s="169" t="s">
        <v>205</v>
      </c>
      <c r="AD49" s="175">
        <f>IFERROR('BMP P Tracking Table'!$U49*VLOOKUP('BMP P Tracking Table'!$Q49,'Loading Rates'!$B$1:$L$24,4,FALSE)+IF('BMP P Tracking Table'!$V49="By HSG",'BMP P Tracking Table'!$W49*VLOOKUP('BMP P Tracking Table'!$Q49,'Loading Rates'!$B$1:$L$24,6,FALSE)+'BMP P Tracking Table'!$X49*VLOOKUP('BMP P Tracking Table'!$Q49,'Loading Rates'!$B$1:$L$24,7,FALSE)+'BMP P Tracking Table'!$Y49*VLOOKUP('BMP P Tracking Table'!$Q49,'Loading Rates'!$B$1:$L$24,8,FALSE)+'BMP P Tracking Table'!$Z49*VLOOKUP('BMP P Tracking Table'!$Q49,'Loading Rates'!$B$1:$L$24,9,FALSE),'BMP P Tracking Table'!$AA49*VLOOKUP('BMP P Tracking Table'!$Q49,'Loading Rates'!$B$1:$L$24,10,FALSE)),"")</f>
        <v>0.14544100000000001</v>
      </c>
      <c r="AE49" s="175" t="str">
        <f>IFERROR(MIN(2,IF('BMP P Tracking Table'!$V49="Total Pervious",(-(3630*'BMP P Tracking Table'!$U49+20.691*'BMP P Tracking Table'!$AA49)+SQRT((3630*'BMP P Tracking Table'!$U49+20.691*'BMP P Tracking Table'!$AA49)^2-(4*(996.798*'BMP P Tracking Table'!$AA49)*-'BMP P Tracking Table'!$AB49)))/(2*(996.798*'BMP P Tracking Table'!$AA49)),IF(SUM('BMP P Tracking Table'!$W49:$Z49)=0,'BMP P Tracking Table'!$AB49/(-3630*'BMP P Tracking Table'!$U49),(-(3630*'BMP P Tracking Table'!$U49+20.691*'BMP P Tracking Table'!$Z49-216.711*'BMP P Tracking Table'!$Y49-83.853*'BMP P Tracking Table'!$X49-42.834*'BMP P Tracking Table'!$W49)+SQRT((3630*'BMP P Tracking Table'!$U49+20.691*'BMP P Tracking Table'!$Z49-216.711*'BMP P Tracking Table'!$Y49-83.853*'BMP P Tracking Table'!$X49-42.834*'BMP P Tracking Table'!$W49)^2-(4*(149.919*'BMP P Tracking Table'!$W49+236.676*'BMP P Tracking Table'!$X49+726*'BMP P Tracking Table'!$Y49+996.798*'BMP P Tracking Table'!$Z49)*-'BMP P Tracking Table'!$AB49)))/(2*(149.919*'BMP P Tracking Table'!$W49+236.676*'BMP P Tracking Table'!$X49+726*'BMP P Tracking Table'!$Y49+996.798*'BMP P Tracking Table'!$Z49))))),"")</f>
        <v/>
      </c>
      <c r="AF49" s="175" t="str">
        <f>IFERROR((VLOOKUP(CONCATENATE('BMP P Tracking Table'!$T49," ",'BMP P Tracking Table'!$AC49),'Performance Curves'!$C$1:$L$45,MATCH('BMP P Tracking Table'!$AE49,'Performance Curves'!$E$1:$L$1,1)+2,FALSE)-VLOOKUP(CONCATENATE('BMP P Tracking Table'!$T49," ",'BMP P Tracking Table'!$AC49),'Performance Curves'!$C$1:$L$45,MATCH('BMP P Tracking Table'!$AE49,'Performance Curves'!$E$1:$L$1,1)+1,FALSE)),"")</f>
        <v/>
      </c>
      <c r="AG49" s="175" t="str">
        <f>IFERROR(('BMP P Tracking Table'!$AE49-INDEX('Performance Curves'!$E$1:$L$1,1,MATCH('BMP P Tracking Table'!$AE49,'Performance Curves'!$E$1:$L$1,1)))/(INDEX('Performance Curves'!$E$1:$L$1,1,MATCH('BMP P Tracking Table'!$AE49,'Performance Curves'!$E$1:$L$1,1)+1)-INDEX('Performance Curves'!$E$1:$L$1,1,MATCH('BMP P Tracking Table'!$AE49,'Performance Curves'!$E$1:$L$1,1))),"")</f>
        <v/>
      </c>
      <c r="AH49" s="176" t="str">
        <f>IFERROR(IF('BMP P Tracking Table'!$AE49=2,VLOOKUP(CONCATENATE('BMP P Tracking Table'!$T49," ",'BMP P Tracking Table'!$AC49),'Performance Curves'!$C$1:$L$45,MATCH('BMP P Tracking Table'!$AE49,'Performance Curves'!$E$1:$L$1,1)+1,FALSE),'BMP P Tracking Table'!$AF49*'BMP P Tracking Table'!$AG49+VLOOKUP(CONCATENATE('BMP P Tracking Table'!$T49," ",'BMP P Tracking Table'!$AC49),'Performance Curves'!$C$1:$L$45,MATCH('BMP P Tracking Table'!$AE49,'Performance Curves'!$E$1:$L$1,1)+1,FALSE)),"")</f>
        <v/>
      </c>
      <c r="AI49" s="175" t="str">
        <f>IFERROR('BMP P Tracking Table'!$AH49*'BMP P Tracking Table'!$AD49,"")</f>
        <v/>
      </c>
      <c r="AJ49" s="173">
        <f t="shared" si="10"/>
        <v>0</v>
      </c>
      <c r="AK49" s="169"/>
      <c r="AL49" s="173"/>
      <c r="AM49" s="177">
        <v>1</v>
      </c>
      <c r="AN49" s="178">
        <f t="shared" si="8"/>
        <v>0</v>
      </c>
      <c r="AO49" s="110"/>
      <c r="AP49" s="110"/>
      <c r="AQ49" s="110"/>
      <c r="AR49" s="110"/>
      <c r="AS49" s="110"/>
      <c r="AT49" s="110"/>
      <c r="AU49" s="110"/>
      <c r="AV49" s="106"/>
      <c r="AW49" s="111"/>
      <c r="AX49" s="111"/>
      <c r="AY49" s="108"/>
      <c r="AZ49" s="108"/>
      <c r="BA49" s="108"/>
      <c r="BB49" s="108"/>
      <c r="BC49" s="109"/>
      <c r="BD49" s="108"/>
      <c r="BE49" s="110"/>
      <c r="BF49" s="112"/>
      <c r="BH49" s="130"/>
      <c r="BI49" s="112"/>
      <c r="BN49" s="168" t="s">
        <v>392</v>
      </c>
      <c r="BP49" s="112"/>
      <c r="BQ49" s="112"/>
    </row>
    <row r="50" spans="1:69" s="113" customFormat="1" ht="17.399999999999999" customHeight="1" x14ac:dyDescent="0.3">
      <c r="A50" s="169" t="s">
        <v>413</v>
      </c>
      <c r="B50" s="169" t="s">
        <v>410</v>
      </c>
      <c r="C50" s="169" t="s">
        <v>312</v>
      </c>
      <c r="D50" s="169" t="s">
        <v>6</v>
      </c>
      <c r="E50" s="170" t="s">
        <v>313</v>
      </c>
      <c r="F50" s="170" t="s">
        <v>313</v>
      </c>
      <c r="G50" s="169" t="s">
        <v>461</v>
      </c>
      <c r="H50" s="169" t="s">
        <v>313</v>
      </c>
      <c r="I50" s="169" t="s">
        <v>66</v>
      </c>
      <c r="J50" s="171"/>
      <c r="K50" s="169" t="s">
        <v>49</v>
      </c>
      <c r="L50" s="169">
        <v>2025</v>
      </c>
      <c r="M50" s="172"/>
      <c r="N50" s="169"/>
      <c r="O50" s="169"/>
      <c r="P50" s="169" t="s">
        <v>33</v>
      </c>
      <c r="Q50" s="169" t="s">
        <v>146</v>
      </c>
      <c r="R50" s="169" t="s">
        <v>129</v>
      </c>
      <c r="S50" s="169" t="s">
        <v>66</v>
      </c>
      <c r="T50" s="169" t="s">
        <v>212</v>
      </c>
      <c r="U50" s="173">
        <v>0.27800000000000002</v>
      </c>
      <c r="V50" s="169" t="s">
        <v>219</v>
      </c>
      <c r="W50" s="169"/>
      <c r="X50" s="169"/>
      <c r="Y50" s="169"/>
      <c r="Z50" s="169"/>
      <c r="AA50" s="169">
        <v>0</v>
      </c>
      <c r="AB50" s="174">
        <v>1698.84</v>
      </c>
      <c r="AC50" s="169" t="s">
        <v>205</v>
      </c>
      <c r="AD50" s="175">
        <f>IFERROR('BMP P Tracking Table'!$U50*VLOOKUP('BMP P Tracking Table'!$Q50,'Loading Rates'!$B$1:$L$24,4,FALSE)+IF('BMP P Tracking Table'!$V50="By HSG",'BMP P Tracking Table'!$W50*VLOOKUP('BMP P Tracking Table'!$Q50,'Loading Rates'!$B$1:$L$24,6,FALSE)+'BMP P Tracking Table'!$X50*VLOOKUP('BMP P Tracking Table'!$Q50,'Loading Rates'!$B$1:$L$24,7,FALSE)+'BMP P Tracking Table'!$Y50*VLOOKUP('BMP P Tracking Table'!$Q50,'Loading Rates'!$B$1:$L$24,8,FALSE)+'BMP P Tracking Table'!$Z50*VLOOKUP('BMP P Tracking Table'!$Q50,'Loading Rates'!$B$1:$L$24,9,FALSE),'BMP P Tracking Table'!$AA50*VLOOKUP('BMP P Tracking Table'!$Q50,'Loading Rates'!$B$1:$L$24,10,FALSE)),"")</f>
        <v>0.31052600000000002</v>
      </c>
      <c r="AE50" s="175" t="str">
        <f>IFERROR(MIN(2,IF('BMP P Tracking Table'!$V50="Total Pervious",(-(3630*'BMP P Tracking Table'!$U50+20.691*'BMP P Tracking Table'!$AA50)+SQRT((3630*'BMP P Tracking Table'!$U50+20.691*'BMP P Tracking Table'!$AA50)^2-(4*(996.798*'BMP P Tracking Table'!$AA50)*-'BMP P Tracking Table'!$AB50)))/(2*(996.798*'BMP P Tracking Table'!$AA50)),IF(SUM('BMP P Tracking Table'!$W50:$Z50)=0,'BMP P Tracking Table'!$AB50/(-3630*'BMP P Tracking Table'!$U50),(-(3630*'BMP P Tracking Table'!$U50+20.691*'BMP P Tracking Table'!$Z50-216.711*'BMP P Tracking Table'!$Y50-83.853*'BMP P Tracking Table'!$X50-42.834*'BMP P Tracking Table'!$W50)+SQRT((3630*'BMP P Tracking Table'!$U50+20.691*'BMP P Tracking Table'!$Z50-216.711*'BMP P Tracking Table'!$Y50-83.853*'BMP P Tracking Table'!$X50-42.834*'BMP P Tracking Table'!$W50)^2-(4*(149.919*'BMP P Tracking Table'!$W50+236.676*'BMP P Tracking Table'!$X50+726*'BMP P Tracking Table'!$Y50+996.798*'BMP P Tracking Table'!$Z50)*-'BMP P Tracking Table'!$AB50)))/(2*(149.919*'BMP P Tracking Table'!$W50+236.676*'BMP P Tracking Table'!$X50+726*'BMP P Tracking Table'!$Y50+996.798*'BMP P Tracking Table'!$Z50))))),"")</f>
        <v/>
      </c>
      <c r="AF50" s="175" t="str">
        <f>IFERROR((VLOOKUP(CONCATENATE('BMP P Tracking Table'!$T50," ",'BMP P Tracking Table'!$AC50),'Performance Curves'!$C$1:$L$45,MATCH('BMP P Tracking Table'!$AE50,'Performance Curves'!$E$1:$L$1,1)+2,FALSE)-VLOOKUP(CONCATENATE('BMP P Tracking Table'!$T50," ",'BMP P Tracking Table'!$AC50),'Performance Curves'!$C$1:$L$45,MATCH('BMP P Tracking Table'!$AE50,'Performance Curves'!$E$1:$L$1,1)+1,FALSE)),"")</f>
        <v/>
      </c>
      <c r="AG50" s="175" t="str">
        <f>IFERROR(('BMP P Tracking Table'!$AE50-INDEX('Performance Curves'!$E$1:$L$1,1,MATCH('BMP P Tracking Table'!$AE50,'Performance Curves'!$E$1:$L$1,1)))/(INDEX('Performance Curves'!$E$1:$L$1,1,MATCH('BMP P Tracking Table'!$AE50,'Performance Curves'!$E$1:$L$1,1)+1)-INDEX('Performance Curves'!$E$1:$L$1,1,MATCH('BMP P Tracking Table'!$AE50,'Performance Curves'!$E$1:$L$1,1))),"")</f>
        <v/>
      </c>
      <c r="AH50" s="176" t="str">
        <f>IFERROR(IF('BMP P Tracking Table'!$AE50=2,VLOOKUP(CONCATENATE('BMP P Tracking Table'!$T50," ",'BMP P Tracking Table'!$AC50),'Performance Curves'!$C$1:$L$45,MATCH('BMP P Tracking Table'!$AE50,'Performance Curves'!$E$1:$L$1,1)+1,FALSE),'BMP P Tracking Table'!$AF50*'BMP P Tracking Table'!$AG50+VLOOKUP(CONCATENATE('BMP P Tracking Table'!$T50," ",'BMP P Tracking Table'!$AC50),'Performance Curves'!$C$1:$L$45,MATCH('BMP P Tracking Table'!$AE50,'Performance Curves'!$E$1:$L$1,1)+1,FALSE)),"")</f>
        <v/>
      </c>
      <c r="AI50" s="175" t="str">
        <f>IFERROR('BMP P Tracking Table'!$AH50*'BMP P Tracking Table'!$AD50,"")</f>
        <v/>
      </c>
      <c r="AJ50" s="173">
        <f t="shared" si="10"/>
        <v>0</v>
      </c>
      <c r="AK50" s="169"/>
      <c r="AL50" s="173"/>
      <c r="AM50" s="177">
        <v>1</v>
      </c>
      <c r="AN50" s="178">
        <f t="shared" si="8"/>
        <v>0</v>
      </c>
      <c r="AO50" s="110"/>
      <c r="AP50" s="110"/>
      <c r="AQ50" s="110"/>
      <c r="AR50" s="110"/>
      <c r="AS50" s="110"/>
      <c r="AT50" s="110"/>
      <c r="AU50" s="110"/>
      <c r="AV50" s="106"/>
      <c r="AW50" s="111"/>
      <c r="AX50" s="111"/>
      <c r="AY50" s="108"/>
      <c r="AZ50" s="108"/>
      <c r="BA50" s="108"/>
      <c r="BB50" s="108"/>
      <c r="BC50" s="109"/>
      <c r="BD50" s="108"/>
      <c r="BE50" s="110"/>
      <c r="BF50" s="112"/>
      <c r="BH50" s="130"/>
      <c r="BI50" s="112"/>
      <c r="BN50" s="168" t="s">
        <v>392</v>
      </c>
      <c r="BP50" s="112"/>
      <c r="BQ50" s="112"/>
    </row>
    <row r="51" spans="1:69" s="113" customFormat="1" ht="17.399999999999999" customHeight="1" x14ac:dyDescent="0.3">
      <c r="A51" s="169" t="s">
        <v>414</v>
      </c>
      <c r="B51" s="169" t="s">
        <v>411</v>
      </c>
      <c r="C51" s="169" t="s">
        <v>312</v>
      </c>
      <c r="D51" s="169" t="s">
        <v>6</v>
      </c>
      <c r="E51" s="170" t="s">
        <v>313</v>
      </c>
      <c r="F51" s="170" t="s">
        <v>313</v>
      </c>
      <c r="G51" s="169" t="s">
        <v>461</v>
      </c>
      <c r="H51" s="169" t="s">
        <v>313</v>
      </c>
      <c r="I51" s="169" t="s">
        <v>66</v>
      </c>
      <c r="J51" s="171"/>
      <c r="K51" s="169" t="s">
        <v>49</v>
      </c>
      <c r="L51" s="169">
        <v>2025</v>
      </c>
      <c r="M51" s="172"/>
      <c r="N51" s="169"/>
      <c r="O51" s="169"/>
      <c r="P51" s="169" t="s">
        <v>33</v>
      </c>
      <c r="Q51" s="169" t="s">
        <v>146</v>
      </c>
      <c r="R51" s="169" t="s">
        <v>129</v>
      </c>
      <c r="S51" s="169" t="s">
        <v>66</v>
      </c>
      <c r="T51" s="169"/>
      <c r="U51" s="173">
        <v>7.0000000000000001E-3</v>
      </c>
      <c r="V51" s="169" t="s">
        <v>219</v>
      </c>
      <c r="W51" s="169"/>
      <c r="X51" s="169"/>
      <c r="Y51" s="169"/>
      <c r="Z51" s="169"/>
      <c r="AA51" s="169">
        <v>0</v>
      </c>
      <c r="AB51" s="174">
        <v>43.56</v>
      </c>
      <c r="AC51" s="169" t="s">
        <v>205</v>
      </c>
      <c r="AD51" s="175">
        <f>IFERROR('BMP P Tracking Table'!$U51*VLOOKUP('BMP P Tracking Table'!$Q51,'Loading Rates'!$B$1:$L$24,4,FALSE)+IF('BMP P Tracking Table'!$V51="By HSG",'BMP P Tracking Table'!$W51*VLOOKUP('BMP P Tracking Table'!$Q51,'Loading Rates'!$B$1:$L$24,6,FALSE)+'BMP P Tracking Table'!$X51*VLOOKUP('BMP P Tracking Table'!$Q51,'Loading Rates'!$B$1:$L$24,7,FALSE)+'BMP P Tracking Table'!$Y51*VLOOKUP('BMP P Tracking Table'!$Q51,'Loading Rates'!$B$1:$L$24,8,FALSE)+'BMP P Tracking Table'!$Z51*VLOOKUP('BMP P Tracking Table'!$Q51,'Loading Rates'!$B$1:$L$24,9,FALSE),'BMP P Tracking Table'!$AA51*VLOOKUP('BMP P Tracking Table'!$Q51,'Loading Rates'!$B$1:$L$24,10,FALSE)),"")</f>
        <v>7.8189999999999996E-3</v>
      </c>
      <c r="AE51" s="175" t="str">
        <f>IFERROR(MIN(2,IF('BMP P Tracking Table'!$V51="Total Pervious",(-(3630*'BMP P Tracking Table'!$U51+20.691*'BMP P Tracking Table'!$AA51)+SQRT((3630*'BMP P Tracking Table'!$U51+20.691*'BMP P Tracking Table'!$AA51)^2-(4*(996.798*'BMP P Tracking Table'!$AA51)*-'BMP P Tracking Table'!$AB51)))/(2*(996.798*'BMP P Tracking Table'!$AA51)),IF(SUM('BMP P Tracking Table'!$W51:$Z51)=0,'BMP P Tracking Table'!$AB51/(-3630*'BMP P Tracking Table'!$U51),(-(3630*'BMP P Tracking Table'!$U51+20.691*'BMP P Tracking Table'!$Z51-216.711*'BMP P Tracking Table'!$Y51-83.853*'BMP P Tracking Table'!$X51-42.834*'BMP P Tracking Table'!$W51)+SQRT((3630*'BMP P Tracking Table'!$U51+20.691*'BMP P Tracking Table'!$Z51-216.711*'BMP P Tracking Table'!$Y51-83.853*'BMP P Tracking Table'!$X51-42.834*'BMP P Tracking Table'!$W51)^2-(4*(149.919*'BMP P Tracking Table'!$W51+236.676*'BMP P Tracking Table'!$X51+726*'BMP P Tracking Table'!$Y51+996.798*'BMP P Tracking Table'!$Z51)*-'BMP P Tracking Table'!$AB51)))/(2*(149.919*'BMP P Tracking Table'!$W51+236.676*'BMP P Tracking Table'!$X51+726*'BMP P Tracking Table'!$Y51+996.798*'BMP P Tracking Table'!$Z51))))),"")</f>
        <v/>
      </c>
      <c r="AF51" s="175" t="str">
        <f>IFERROR((VLOOKUP(CONCATENATE('BMP P Tracking Table'!$T51," ",'BMP P Tracking Table'!$AC51),'Performance Curves'!$C$1:$L$45,MATCH('BMP P Tracking Table'!$AE51,'Performance Curves'!$E$1:$L$1,1)+2,FALSE)-VLOOKUP(CONCATENATE('BMP P Tracking Table'!$T51," ",'BMP P Tracking Table'!$AC51),'Performance Curves'!$C$1:$L$45,MATCH('BMP P Tracking Table'!$AE51,'Performance Curves'!$E$1:$L$1,1)+1,FALSE)),"")</f>
        <v/>
      </c>
      <c r="AG51" s="175" t="str">
        <f>IFERROR(('BMP P Tracking Table'!$AE51-INDEX('Performance Curves'!$E$1:$L$1,1,MATCH('BMP P Tracking Table'!$AE51,'Performance Curves'!$E$1:$L$1,1)))/(INDEX('Performance Curves'!$E$1:$L$1,1,MATCH('BMP P Tracking Table'!$AE51,'Performance Curves'!$E$1:$L$1,1)+1)-INDEX('Performance Curves'!$E$1:$L$1,1,MATCH('BMP P Tracking Table'!$AE51,'Performance Curves'!$E$1:$L$1,1))),"")</f>
        <v/>
      </c>
      <c r="AH51" s="176" t="str">
        <f>IFERROR(IF('BMP P Tracking Table'!$AE51=2,VLOOKUP(CONCATENATE('BMP P Tracking Table'!$T51," ",'BMP P Tracking Table'!$AC51),'Performance Curves'!$C$1:$L$45,MATCH('BMP P Tracking Table'!$AE51,'Performance Curves'!$E$1:$L$1,1)+1,FALSE),'BMP P Tracking Table'!$AF51*'BMP P Tracking Table'!$AG51+VLOOKUP(CONCATENATE('BMP P Tracking Table'!$T51," ",'BMP P Tracking Table'!$AC51),'Performance Curves'!$C$1:$L$45,MATCH('BMP P Tracking Table'!$AE51,'Performance Curves'!$E$1:$L$1,1)+1,FALSE)),"")</f>
        <v/>
      </c>
      <c r="AI51" s="175" t="str">
        <f>IFERROR('BMP P Tracking Table'!$AH51*'BMP P Tracking Table'!$AD51,"")</f>
        <v/>
      </c>
      <c r="AJ51" s="173">
        <f t="shared" si="10"/>
        <v>0</v>
      </c>
      <c r="AK51" s="169"/>
      <c r="AL51" s="173"/>
      <c r="AM51" s="177">
        <v>1</v>
      </c>
      <c r="AN51" s="178">
        <f t="shared" si="8"/>
        <v>0</v>
      </c>
      <c r="AO51" s="110"/>
      <c r="AP51" s="110"/>
      <c r="AQ51" s="110"/>
      <c r="AR51" s="110"/>
      <c r="AS51" s="110"/>
      <c r="AT51" s="110"/>
      <c r="AU51" s="110"/>
      <c r="AV51" s="106"/>
      <c r="AW51" s="111"/>
      <c r="AX51" s="111"/>
      <c r="AY51" s="108"/>
      <c r="AZ51" s="108"/>
      <c r="BA51" s="108"/>
      <c r="BB51" s="108"/>
      <c r="BC51" s="109"/>
      <c r="BD51" s="108"/>
      <c r="BE51" s="110"/>
      <c r="BF51" s="112"/>
      <c r="BH51" s="130"/>
      <c r="BI51" s="112"/>
      <c r="BN51" s="168" t="s">
        <v>392</v>
      </c>
      <c r="BP51" s="112"/>
      <c r="BQ51" s="112"/>
    </row>
    <row r="52" spans="1:69" ht="12.6" customHeight="1" x14ac:dyDescent="0.3">
      <c r="A52" s="169" t="s">
        <v>450</v>
      </c>
      <c r="B52" s="36" t="s">
        <v>440</v>
      </c>
      <c r="C52" s="169" t="s">
        <v>312</v>
      </c>
      <c r="D52" s="169" t="s">
        <v>6</v>
      </c>
      <c r="E52" s="93">
        <v>44.465400000000002</v>
      </c>
      <c r="F52" s="93">
        <v>-73.137519999999995</v>
      </c>
      <c r="G52" s="64" t="s">
        <v>441</v>
      </c>
      <c r="H52" s="64" t="s">
        <v>441</v>
      </c>
      <c r="I52" s="64" t="s">
        <v>66</v>
      </c>
      <c r="J52" s="171"/>
      <c r="K52" s="169" t="s">
        <v>110</v>
      </c>
      <c r="L52" s="169">
        <v>2023</v>
      </c>
      <c r="M52" s="169"/>
      <c r="N52" s="169"/>
      <c r="O52" s="169"/>
      <c r="P52" s="169" t="s">
        <v>119</v>
      </c>
      <c r="Q52" s="169" t="s">
        <v>146</v>
      </c>
      <c r="R52" s="169" t="str">
        <f>IFERROR(VLOOKUP('BMP P Tracking Table'!$Q52,Dropdowns!$P$3:$Q$23,2,FALSE),"")</f>
        <v>Main Lake</v>
      </c>
      <c r="S52" s="169"/>
      <c r="T52" s="169" t="s">
        <v>46</v>
      </c>
      <c r="U52" s="169">
        <v>12.318</v>
      </c>
      <c r="V52" s="169" t="s">
        <v>219</v>
      </c>
      <c r="W52" s="169"/>
      <c r="X52" s="169"/>
      <c r="Y52" s="212"/>
      <c r="Z52" s="212"/>
      <c r="AA52" s="169">
        <v>7.8540000000000001</v>
      </c>
      <c r="AB52" s="174">
        <v>46143</v>
      </c>
      <c r="AC52" s="169" t="s">
        <v>208</v>
      </c>
      <c r="AD52" s="175">
        <f>IFERROR('BMP P Tracking Table'!$U52*VLOOKUP('BMP P Tracking Table'!$Q52,'Loading Rates'!$B$1:$L$24,4,FALSE)+IF('BMP P Tracking Table'!$V52="By HSG",'BMP P Tracking Table'!$W52*VLOOKUP('BMP P Tracking Table'!$Q52,'Loading Rates'!$B$1:$L$24,6,FALSE)+'BMP P Tracking Table'!$X52*VLOOKUP('BMP P Tracking Table'!$Q52,'Loading Rates'!$B$1:$L$24,7,FALSE)+'BMP P Tracking Table'!$Y52*VLOOKUP('BMP P Tracking Table'!$Q52,'Loading Rates'!$B$1:$L$24,8,FALSE)+'BMP P Tracking Table'!$Z52*VLOOKUP('BMP P Tracking Table'!$Q52,'Loading Rates'!$B$1:$L$24,9,FALSE),'BMP P Tracking Table'!$AA52*VLOOKUP('BMP P Tracking Table'!$Q52,'Loading Rates'!$B$1:$L$24,10,FALSE)),"")</f>
        <v>15.57348</v>
      </c>
      <c r="AE52" s="175">
        <f>IFERROR(MIN(2,IF('BMP P Tracking Table'!$V52="Total Pervious",(-(3630*'BMP P Tracking Table'!$U52+20.691*'BMP P Tracking Table'!$AA52)+SQRT((3630*'BMP P Tracking Table'!$U52+20.691*'BMP P Tracking Table'!$AA52)^2-(4*(996.798*'BMP P Tracking Table'!$AA52)*-'BMP P Tracking Table'!$AB52)))/(2*(996.798*'BMP P Tracking Table'!$AA52)),IF(SUM('BMP P Tracking Table'!$W52:$Z52)=0,'BMP P Tracking Table'!$AB52/(-3630*'BMP P Tracking Table'!$U52),(-(3630*'BMP P Tracking Table'!$U52+20.691*'BMP P Tracking Table'!$Z52-216.711*'BMP P Tracking Table'!$Y52-83.853*'BMP P Tracking Table'!$X52-42.834*'BMP P Tracking Table'!$W52)+SQRT((3630*'BMP P Tracking Table'!$U52+20.691*'BMP P Tracking Table'!$Z52-216.711*'BMP P Tracking Table'!$Y52-83.853*'BMP P Tracking Table'!$X52-42.834*'BMP P Tracking Table'!$W52)^2-(4*(149.919*'BMP P Tracking Table'!$W52+236.676*'BMP P Tracking Table'!$X52+726*'BMP P Tracking Table'!$Y52+996.798*'BMP P Tracking Table'!$Z52)*-'BMP P Tracking Table'!$AB52)))/(2*(149.919*'BMP P Tracking Table'!$W52+236.676*'BMP P Tracking Table'!$X52+726*'BMP P Tracking Table'!$Y52+996.798*'BMP P Tracking Table'!$Z52))))),"")</f>
        <v>0.89002334205142108</v>
      </c>
      <c r="AF52" s="175" t="str">
        <f>IFERROR((VLOOKUP(CONCATENATE('BMP P Tracking Table'!$T52," ",'BMP P Tracking Table'!$AC52),'Performance Curves'!$C$1:$L$45,MATCH('BMP P Tracking Table'!$AE52,'Performance Curves'!$E$1:$L$1,1)+2,FALSE)-VLOOKUP(CONCATENATE('BMP P Tracking Table'!$T52," ",'BMP P Tracking Table'!$AC52),'Performance Curves'!$C$1:$L$45,MATCH('BMP P Tracking Table'!$AE52,'Performance Curves'!$E$1:$L$1,1)+1,FALSE)),"")</f>
        <v/>
      </c>
      <c r="AG52" s="175">
        <f>IFERROR(('BMP P Tracking Table'!$AE52-INDEX('Performance Curves'!$E$1:$L$1,1,MATCH('BMP P Tracking Table'!$AE52,'Performance Curves'!$E$1:$L$1,1)))/(INDEX('Performance Curves'!$E$1:$L$1,1,MATCH('BMP P Tracking Table'!$AE52,'Performance Curves'!$E$1:$L$1,1)+1)-INDEX('Performance Curves'!$E$1:$L$1,1,MATCH('BMP P Tracking Table'!$AE52,'Performance Curves'!$E$1:$L$1,1))),"")</f>
        <v>0.45011671025710531</v>
      </c>
      <c r="AH52" s="176">
        <v>0.58789999999999998</v>
      </c>
      <c r="AI52" s="175">
        <f>IFERROR('BMP P Tracking Table'!$AH52*'BMP P Tracking Table'!$AD52,"")</f>
        <v>9.1556488920000003</v>
      </c>
      <c r="AJ52" s="173">
        <v>9.16</v>
      </c>
      <c r="AK52" s="173" t="s">
        <v>62</v>
      </c>
      <c r="AL52" s="173"/>
      <c r="AM52" s="177"/>
      <c r="AN52" s="178">
        <f>IF(AK52="Yes",IF(BF52&gt;0,IF(ISBLANK(AJ52),AI52,AJ52)-IF(ISBLANK(BE52),BD52,BE52),"Enter Info --&gt;"),IF(ISBLANK(AJ52),AI52,AJ52))</f>
        <v>9.16</v>
      </c>
      <c r="AO52" s="96"/>
      <c r="AP52" s="96"/>
      <c r="AQ52" s="96"/>
      <c r="AR52" s="96"/>
      <c r="AS52" s="96"/>
      <c r="AT52" s="96"/>
      <c r="AU52" s="96"/>
      <c r="AV52" s="64"/>
      <c r="AW52" s="97"/>
      <c r="AX52" s="97"/>
      <c r="AY52" s="101" t="str">
        <f>IF('BMP P Tracking Table'!$AK52="Yes",IF('BMP P Tracking Table'!$AL52="No",'BMP P Tracking Table'!$U52*VLOOKUP('BMP P Tracking Table'!$Q52,'Loading Rates'!$B$1:$L$24,4,FALSE)+IF('BMP P Tracking Table'!$V52="By HSG",'BMP P Tracking Table'!$W52*VLOOKUP('BMP P Tracking Table'!$Q52,'Loading Rates'!$B$1:$L$24,6,FALSE)+'BMP P Tracking Table'!$X52*VLOOKUP('BMP P Tracking Table'!$Q52,'Loading Rates'!$B$1:$L$24,7,FALSE)+'BMP P Tracking Table'!$Y52*VLOOKUP('BMP P Tracking Table'!$Q52,'Loading Rates'!$B$1:$L$24,8,FALSE)+'BMP P Tracking Table'!$Z52*VLOOKUP('BMP P Tracking Table'!$Q52,'Loading Rates'!$B$1:$L$24,9,FALSE),'BMP P Tracking Table'!$AA52*VLOOKUP('BMP P Tracking Table'!$Q52,'Loading Rates'!$B$1:$L$24,10,FALSE)),'BMP P Tracking Table'!$AO52*VLOOKUP('BMP P Tracking Table'!$Q52,'Loading Rates'!$B$1:$L$24,4,FALSE)+IF('BMP P Tracking Table'!$AP52="By HSG",'BMP P Tracking Table'!$AQ52*VLOOKUP('BMP P Tracking Table'!$Q52,'Loading Rates'!$B$1:$L$24,6,FALSE)+'BMP P Tracking Table'!$AR52*VLOOKUP('BMP P Tracking Table'!$Q52,'Loading Rates'!$B$1:$L$24,7,FALSE)+'BMP P Tracking Table'!$AS52*VLOOKUP('BMP P Tracking Table'!$Q52,'Loading Rates'!$B$1:$L$24,8,FALSE)+'BMP P Tracking Table'!$AT52*VLOOKUP('BMP P Tracking Table'!$Q52,'Loading Rates'!$B$1:$L$24,9,FALSE),'BMP P Tracking Table'!$AU52*VLOOKUP('BMP P Tracking Table'!$Q52,'Loading Rates'!$B$1:$L$24,10,FALSE))),"")</f>
        <v/>
      </c>
      <c r="AZ52" s="101">
        <f>IFERROR(IF('BMP P Tracking Table'!$AL52="Yes",MIN(2,IF('BMP P Tracking Table'!$AP52="Total Pervious",(-(3630*'BMP P Tracking Table'!$AO52+20.691*'BMP P Tracking Table'!$AU52)+SQRT((3630*'BMP P Tracking Table'!$AO52+20.691*'BMP P Tracking Table'!$AU52)^2-(4*(996.798*'BMP P Tracking Table'!$AU52)*-'BMP P Tracking Table'!$AW52)))/(2*(996.798*'BMP P Tracking Table'!$AU52)),IF(SUM('BMP P Tracking Table'!$AQ52:$AT52)=0,'BMP P Tracking Table'!$AU52/(-3630*'BMP P Tracking Table'!$AO52),(-(3630*'BMP P Tracking Table'!$AO52+20.691*'BMP P Tracking Table'!$AT52-216.711*'BMP P Tracking Table'!$AS52-83.853*'BMP P Tracking Table'!$AR52-42.834*'BMP P Tracking Table'!$AQ52)+SQRT((3630*'BMP P Tracking Table'!$AO52+20.691*'BMP P Tracking Table'!$AT52-216.711*'BMP P Tracking Table'!$AS52-83.853*'BMP P Tracking Table'!$AR52-42.834*'BMP P Tracking Table'!$AQ52)^2-(4*(149.919*'BMP P Tracking Table'!$AQ52+236.676*'BMP P Tracking Table'!$AR52+726*'BMP P Tracking Table'!$AS52+996.798*'BMP P Tracking Table'!$AT52)*-'BMP P Tracking Table'!$AW52)))/(2*(149.919*'BMP P Tracking Table'!$AQ52+236.676*'BMP P Tracking Table'!$AR52+726*'BMP P Tracking Table'!$AS52+996.798*'BMP P Tracking Table'!$AT52))))),MIN(2,IF('BMP P Tracking Table'!$AP52="Total Pervious",(-(3630*'BMP P Tracking Table'!$U52+20.691*'BMP P Tracking Table'!$AA52)+SQRT((3630*'BMP P Tracking Table'!$U52+20.691*'BMP P Tracking Table'!$AA52)^2-(4*(996.798*'BMP P Tracking Table'!$AA52)*-'BMP P Tracking Table'!$AW52)))/(2*(996.798*'BMP P Tracking Table'!$AA52)),IF(SUM('BMP P Tracking Table'!$W52:$Z52)=0,'BMP P Tracking Table'!$AW52/(-3630*'BMP P Tracking Table'!$U52),(-(3630*'BMP P Tracking Table'!$U52+20.691*'BMP P Tracking Table'!$Z52-216.711*'BMP P Tracking Table'!$Y52-83.853*'BMP P Tracking Table'!$X52-42.834*'BMP P Tracking Table'!$W52)+SQRT((3630*'BMP P Tracking Table'!$U52+20.691*'BMP P Tracking Table'!$Z52-216.711*'BMP P Tracking Table'!$Y52-83.853*'BMP P Tracking Table'!$X52-42.834*'BMP P Tracking Table'!$W52)^2-(4*(149.919*'BMP P Tracking Table'!$W52+236.676*'BMP P Tracking Table'!$X52+726*'BMP P Tracking Table'!$Y52+996.798*'BMP P Tracking Table'!$Z52)*-'BMP P Tracking Table'!$AW52)))/(2*(149.919*'BMP P Tracking Table'!$W52+236.676*'BMP P Tracking Table'!$X52+726*'BMP P Tracking Table'!$Y52+996.798*'BMP P Tracking Table'!$Z52)))))),"")</f>
        <v>0</v>
      </c>
      <c r="BA52" s="101" t="str">
        <f>IFERROR((VLOOKUP(CONCATENATE('BMP P Tracking Table'!$AV52," ",'BMP P Tracking Table'!$AX52),'Performance Curves'!$C$1:$L$45,MATCH('BMP P Tracking Table'!$AZ52,'Performance Curves'!$E$1:$L$1,1)+2,FALSE)-VLOOKUP(CONCATENATE('BMP P Tracking Table'!$AV52," ",'BMP P Tracking Table'!$AX52),'Performance Curves'!$C$1:$L$45,MATCH('BMP P Tracking Table'!$AZ52,'Performance Curves'!$E$1:$L$1,1)+1,FALSE)),"")</f>
        <v/>
      </c>
      <c r="BB52" s="101" t="str">
        <f>IFERROR(('BMP P Tracking Table'!$AZ52-INDEX('Performance Curves'!$E$1:$L$1,1,MATCH('BMP P Tracking Table'!$AZ52,'Performance Curves'!$E$1:$L$1,1)))/(INDEX('Performance Curves'!$E$1:$L$1,1,MATCH('BMP P Tracking Table'!$AZ52,'Performance Curves'!$E$1:$L$1,1)+1)-INDEX('Performance Curves'!$E$1:$L$1,1,MATCH('BMP P Tracking Table'!$AZ52,'Performance Curves'!$E$1:$L$1,1))),"")</f>
        <v/>
      </c>
      <c r="BC52" s="102" t="str">
        <f>IFERROR(IF('BMP P Tracking Table'!$AZ52=2,VLOOKUP(CONCATENATE('BMP P Tracking Table'!$AV52," ",'BMP P Tracking Table'!$AX52),'Performance Curves'!$C$1:$L$44,MATCH('BMP P Tracking Table'!$AZ52,'Performance Curves'!$E$1:$L$1,1)+1,FALSE),'BMP P Tracking Table'!$BA52*'BMP P Tracking Table'!$BB52+VLOOKUP(CONCATENATE('BMP P Tracking Table'!$AV52," ",'BMP P Tracking Table'!$AX52),'Performance Curves'!$C$1:$L$44,MATCH('BMP P Tracking Table'!$AZ52,'Performance Curves'!$E$1:$L$1,1)+1,FALSE)),"")</f>
        <v/>
      </c>
      <c r="BD52" s="101" t="str">
        <f>IFERROR('BMP P Tracking Table'!$BC52*'BMP P Tracking Table'!$AY52,"")</f>
        <v/>
      </c>
      <c r="BE52" s="96"/>
      <c r="BF52" s="37">
        <f>IFERROR(BD52+BE52,0)</f>
        <v>0</v>
      </c>
      <c r="BN52" s="36" t="s">
        <v>451</v>
      </c>
    </row>
    <row r="53" spans="1:69" ht="12.6" customHeight="1" x14ac:dyDescent="0.3">
      <c r="A53" s="169" t="s">
        <v>449</v>
      </c>
      <c r="B53" s="169" t="s">
        <v>442</v>
      </c>
      <c r="C53" s="169" t="s">
        <v>312</v>
      </c>
      <c r="D53" s="169" t="s">
        <v>6</v>
      </c>
      <c r="E53" s="170">
        <v>44.465400000000002</v>
      </c>
      <c r="F53" s="170">
        <v>-73.137519999999995</v>
      </c>
      <c r="G53" s="64" t="s">
        <v>443</v>
      </c>
      <c r="H53" s="64" t="s">
        <v>443</v>
      </c>
      <c r="I53" s="64" t="s">
        <v>66</v>
      </c>
      <c r="J53" s="171"/>
      <c r="K53" s="169" t="s">
        <v>110</v>
      </c>
      <c r="L53" s="169">
        <v>2023</v>
      </c>
      <c r="M53" s="169"/>
      <c r="N53" s="169"/>
      <c r="O53" s="169"/>
      <c r="P53" s="169" t="s">
        <v>119</v>
      </c>
      <c r="Q53" s="169" t="s">
        <v>146</v>
      </c>
      <c r="R53" s="169" t="str">
        <f>IFERROR(VLOOKUP('BMP P Tracking Table'!$Q53,Dropdowns!$P$3:$Q$23,2,FALSE),"")</f>
        <v>Main Lake</v>
      </c>
      <c r="S53" s="169"/>
      <c r="T53" s="169" t="s">
        <v>162</v>
      </c>
      <c r="U53" s="169">
        <v>1.0660000000000001</v>
      </c>
      <c r="V53" s="169" t="s">
        <v>219</v>
      </c>
      <c r="W53" s="169"/>
      <c r="X53" s="169"/>
      <c r="Y53" s="212"/>
      <c r="Z53" s="212"/>
      <c r="AA53" s="169">
        <v>0.29799999999999999</v>
      </c>
      <c r="AB53" s="174">
        <v>4277.5919999999996</v>
      </c>
      <c r="AC53" s="169" t="s">
        <v>208</v>
      </c>
      <c r="AD53" s="175">
        <f>IFERROR('BMP P Tracking Table'!$U53*VLOOKUP('BMP P Tracking Table'!$Q53,'Loading Rates'!$B$1:$L$24,4,FALSE)+IF('BMP P Tracking Table'!$V53="By HSG",'BMP P Tracking Table'!$W53*VLOOKUP('BMP P Tracking Table'!$Q53,'Loading Rates'!$B$1:$L$24,6,FALSE)+'BMP P Tracking Table'!$X53*VLOOKUP('BMP P Tracking Table'!$Q53,'Loading Rates'!$B$1:$L$24,7,FALSE)+'BMP P Tracking Table'!$Y53*VLOOKUP('BMP P Tracking Table'!$Q53,'Loading Rates'!$B$1:$L$24,8,FALSE)+'BMP P Tracking Table'!$Z53*VLOOKUP('BMP P Tracking Table'!$Q53,'Loading Rates'!$B$1:$L$24,9,FALSE),'BMP P Tracking Table'!$AA53*VLOOKUP('BMP P Tracking Table'!$Q53,'Loading Rates'!$B$1:$L$24,10,FALSE)),"")</f>
        <v>1.25956</v>
      </c>
      <c r="AE53" s="175">
        <f>IFERROR(MIN(2,IF('BMP P Tracking Table'!$V53="Total Pervious",(-(3630*'BMP P Tracking Table'!$U53+20.691*'BMP P Tracking Table'!$AA53)+SQRT((3630*'BMP P Tracking Table'!$U53+20.691*'BMP P Tracking Table'!$AA53)^2-(4*(996.798*'BMP P Tracking Table'!$AA53)*-'BMP P Tracking Table'!$AB53)))/(2*(996.798*'BMP P Tracking Table'!$AA53)),IF(SUM('BMP P Tracking Table'!$W53:$Z53)=0,'BMP P Tracking Table'!$AB53/(-3630*'BMP P Tracking Table'!$U53),(-(3630*'BMP P Tracking Table'!$U53+20.691*'BMP P Tracking Table'!$Z53-216.711*'BMP P Tracking Table'!$Y53-83.853*'BMP P Tracking Table'!$X53-42.834*'BMP P Tracking Table'!$W53)+SQRT((3630*'BMP P Tracking Table'!$U53+20.691*'BMP P Tracking Table'!$Z53-216.711*'BMP P Tracking Table'!$Y53-83.853*'BMP P Tracking Table'!$X53-42.834*'BMP P Tracking Table'!$W53)^2-(4*(149.919*'BMP P Tracking Table'!$W53+236.676*'BMP P Tracking Table'!$X53+726*'BMP P Tracking Table'!$Y53+996.798*'BMP P Tracking Table'!$Z53)*-'BMP P Tracking Table'!$AB53)))/(2*(149.919*'BMP P Tracking Table'!$W53+236.676*'BMP P Tracking Table'!$X53+726*'BMP P Tracking Table'!$Y53+996.798*'BMP P Tracking Table'!$Z53))))),"")</f>
        <v>1.0234096859921342</v>
      </c>
      <c r="AF53" s="175" t="str">
        <f>IFERROR((VLOOKUP(CONCATENATE('BMP P Tracking Table'!$T53," ",'BMP P Tracking Table'!$AC53),'Performance Curves'!$C$1:$L$45,MATCH('BMP P Tracking Table'!$AE53,'Performance Curves'!$E$1:$L$1,1)+2,FALSE)-VLOOKUP(CONCATENATE('BMP P Tracking Table'!$T53," ",'BMP P Tracking Table'!$AC53),'Performance Curves'!$C$1:$L$45,MATCH('BMP P Tracking Table'!$AE53,'Performance Curves'!$E$1:$L$1,1)+1,FALSE)),"")</f>
        <v/>
      </c>
      <c r="AG53" s="175">
        <f>IFERROR(('BMP P Tracking Table'!$AE53-INDEX('Performance Curves'!$E$1:$L$1,1,MATCH('BMP P Tracking Table'!$AE53,'Performance Curves'!$E$1:$L$1,1)))/(INDEX('Performance Curves'!$E$1:$L$1,1,MATCH('BMP P Tracking Table'!$AE53,'Performance Curves'!$E$1:$L$1,1)+1)-INDEX('Performance Curves'!$E$1:$L$1,1,MATCH('BMP P Tracking Table'!$AE53,'Performance Curves'!$E$1:$L$1,1))),"")</f>
        <v>4.6819371984268443E-2</v>
      </c>
      <c r="AH53" s="176">
        <v>0.5323</v>
      </c>
      <c r="AI53" s="175">
        <f>IFERROR('BMP P Tracking Table'!$AH53*'BMP P Tracking Table'!$AD53,"")</f>
        <v>0.67046378799999995</v>
      </c>
      <c r="AJ53" s="173">
        <v>0.67</v>
      </c>
      <c r="AK53" s="173" t="s">
        <v>62</v>
      </c>
      <c r="AL53" s="173"/>
      <c r="AM53" s="177"/>
      <c r="AN53" s="178">
        <f>IF(AK53="Yes",IF(BF53&gt;0,IF(ISBLANK(AJ53),AI53,AJ53)-IF(ISBLANK(BE53),BD53,BE53),"Enter Info --&gt;"),IF(ISBLANK(AJ53),AI53,AJ53))</f>
        <v>0.67</v>
      </c>
      <c r="AO53" s="96"/>
      <c r="AP53" s="96"/>
      <c r="AQ53" s="96"/>
      <c r="AR53" s="96"/>
      <c r="AS53" s="96"/>
      <c r="AT53" s="96"/>
      <c r="AU53" s="96"/>
      <c r="AV53" s="64"/>
      <c r="AW53" s="97"/>
      <c r="AX53" s="97"/>
      <c r="AY53" s="101" t="str">
        <f>IF('BMP P Tracking Table'!$AK53="Yes",IF('BMP P Tracking Table'!$AL53="No",'BMP P Tracking Table'!$U53*VLOOKUP('BMP P Tracking Table'!$Q53,'Loading Rates'!$B$1:$L$24,4,FALSE)+IF('BMP P Tracking Table'!$V53="By HSG",'BMP P Tracking Table'!$W53*VLOOKUP('BMP P Tracking Table'!$Q53,'Loading Rates'!$B$1:$L$24,6,FALSE)+'BMP P Tracking Table'!$X53*VLOOKUP('BMP P Tracking Table'!$Q53,'Loading Rates'!$B$1:$L$24,7,FALSE)+'BMP P Tracking Table'!$Y53*VLOOKUP('BMP P Tracking Table'!$Q53,'Loading Rates'!$B$1:$L$24,8,FALSE)+'BMP P Tracking Table'!$Z53*VLOOKUP('BMP P Tracking Table'!$Q53,'Loading Rates'!$B$1:$L$24,9,FALSE),'BMP P Tracking Table'!$AA53*VLOOKUP('BMP P Tracking Table'!$Q53,'Loading Rates'!$B$1:$L$24,10,FALSE)),'BMP P Tracking Table'!$AO53*VLOOKUP('BMP P Tracking Table'!$Q53,'Loading Rates'!$B$1:$L$24,4,FALSE)+IF('BMP P Tracking Table'!$AP53="By HSG",'BMP P Tracking Table'!$AQ53*VLOOKUP('BMP P Tracking Table'!$Q53,'Loading Rates'!$B$1:$L$24,6,FALSE)+'BMP P Tracking Table'!$AR53*VLOOKUP('BMP P Tracking Table'!$Q53,'Loading Rates'!$B$1:$L$24,7,FALSE)+'BMP P Tracking Table'!$AS53*VLOOKUP('BMP P Tracking Table'!$Q53,'Loading Rates'!$B$1:$L$24,8,FALSE)+'BMP P Tracking Table'!$AT53*VLOOKUP('BMP P Tracking Table'!$Q53,'Loading Rates'!$B$1:$L$24,9,FALSE),'BMP P Tracking Table'!$AU53*VLOOKUP('BMP P Tracking Table'!$Q53,'Loading Rates'!$B$1:$L$24,10,FALSE))),"")</f>
        <v/>
      </c>
      <c r="AZ53" s="101">
        <f>IFERROR(IF('BMP P Tracking Table'!$AL53="Yes",MIN(2,IF('BMP P Tracking Table'!$AP53="Total Pervious",(-(3630*'BMP P Tracking Table'!$AO53+20.691*'BMP P Tracking Table'!$AU53)+SQRT((3630*'BMP P Tracking Table'!$AO53+20.691*'BMP P Tracking Table'!$AU53)^2-(4*(996.798*'BMP P Tracking Table'!$AU53)*-'BMP P Tracking Table'!$AW53)))/(2*(996.798*'BMP P Tracking Table'!$AU53)),IF(SUM('BMP P Tracking Table'!$AQ53:$AT53)=0,'BMP P Tracking Table'!$AU53/(-3630*'BMP P Tracking Table'!$AO53),(-(3630*'BMP P Tracking Table'!$AO53+20.691*'BMP P Tracking Table'!$AT53-216.711*'BMP P Tracking Table'!$AS53-83.853*'BMP P Tracking Table'!$AR53-42.834*'BMP P Tracking Table'!$AQ53)+SQRT((3630*'BMP P Tracking Table'!$AO53+20.691*'BMP P Tracking Table'!$AT53-216.711*'BMP P Tracking Table'!$AS53-83.853*'BMP P Tracking Table'!$AR53-42.834*'BMP P Tracking Table'!$AQ53)^2-(4*(149.919*'BMP P Tracking Table'!$AQ53+236.676*'BMP P Tracking Table'!$AR53+726*'BMP P Tracking Table'!$AS53+996.798*'BMP P Tracking Table'!$AT53)*-'BMP P Tracking Table'!$AW53)))/(2*(149.919*'BMP P Tracking Table'!$AQ53+236.676*'BMP P Tracking Table'!$AR53+726*'BMP P Tracking Table'!$AS53+996.798*'BMP P Tracking Table'!$AT53))))),MIN(2,IF('BMP P Tracking Table'!$AP53="Total Pervious",(-(3630*'BMP P Tracking Table'!$U53+20.691*'BMP P Tracking Table'!$AA53)+SQRT((3630*'BMP P Tracking Table'!$U53+20.691*'BMP P Tracking Table'!$AA53)^2-(4*(996.798*'BMP P Tracking Table'!$AA53)*-'BMP P Tracking Table'!$AW53)))/(2*(996.798*'BMP P Tracking Table'!$AA53)),IF(SUM('BMP P Tracking Table'!$W53:$Z53)=0,'BMP P Tracking Table'!$AW53/(-3630*'BMP P Tracking Table'!$U53),(-(3630*'BMP P Tracking Table'!$U53+20.691*'BMP P Tracking Table'!$Z53-216.711*'BMP P Tracking Table'!$Y53-83.853*'BMP P Tracking Table'!$X53-42.834*'BMP P Tracking Table'!$W53)+SQRT((3630*'BMP P Tracking Table'!$U53+20.691*'BMP P Tracking Table'!$Z53-216.711*'BMP P Tracking Table'!$Y53-83.853*'BMP P Tracking Table'!$X53-42.834*'BMP P Tracking Table'!$W53)^2-(4*(149.919*'BMP P Tracking Table'!$W53+236.676*'BMP P Tracking Table'!$X53+726*'BMP P Tracking Table'!$Y53+996.798*'BMP P Tracking Table'!$Z53)*-'BMP P Tracking Table'!$AW53)))/(2*(149.919*'BMP P Tracking Table'!$W53+236.676*'BMP P Tracking Table'!$X53+726*'BMP P Tracking Table'!$Y53+996.798*'BMP P Tracking Table'!$Z53)))))),"")</f>
        <v>0</v>
      </c>
      <c r="BA53" s="101" t="str">
        <f>IFERROR((VLOOKUP(CONCATENATE('BMP P Tracking Table'!$AV53," ",'BMP P Tracking Table'!$AX53),'Performance Curves'!$C$1:$L$45,MATCH('BMP P Tracking Table'!$AZ53,'Performance Curves'!$E$1:$L$1,1)+2,FALSE)-VLOOKUP(CONCATENATE('BMP P Tracking Table'!$AV53," ",'BMP P Tracking Table'!$AX53),'Performance Curves'!$C$1:$L$45,MATCH('BMP P Tracking Table'!$AZ53,'Performance Curves'!$E$1:$L$1,1)+1,FALSE)),"")</f>
        <v/>
      </c>
      <c r="BB53" s="101" t="str">
        <f>IFERROR(('BMP P Tracking Table'!$AZ53-INDEX('Performance Curves'!$E$1:$L$1,1,MATCH('BMP P Tracking Table'!$AZ53,'Performance Curves'!$E$1:$L$1,1)))/(INDEX('Performance Curves'!$E$1:$L$1,1,MATCH('BMP P Tracking Table'!$AZ53,'Performance Curves'!$E$1:$L$1,1)+1)-INDEX('Performance Curves'!$E$1:$L$1,1,MATCH('BMP P Tracking Table'!$AZ53,'Performance Curves'!$E$1:$L$1,1))),"")</f>
        <v/>
      </c>
      <c r="BC53" s="102" t="str">
        <f>IFERROR(IF('BMP P Tracking Table'!$AZ53=2,VLOOKUP(CONCATENATE('BMP P Tracking Table'!$AV53," ",'BMP P Tracking Table'!$AX53),'Performance Curves'!$C$1:$L$44,MATCH('BMP P Tracking Table'!$AZ53,'Performance Curves'!$E$1:$L$1,1)+1,FALSE),'BMP P Tracking Table'!$BA53*'BMP P Tracking Table'!$BB53+VLOOKUP(CONCATENATE('BMP P Tracking Table'!$AV53," ",'BMP P Tracking Table'!$AX53),'Performance Curves'!$C$1:$L$44,MATCH('BMP P Tracking Table'!$AZ53,'Performance Curves'!$E$1:$L$1,1)+1,FALSE)),"")</f>
        <v/>
      </c>
      <c r="BD53" s="101" t="str">
        <f>IFERROR('BMP P Tracking Table'!$BC53*'BMP P Tracking Table'!$AY53,"")</f>
        <v/>
      </c>
      <c r="BE53" s="96"/>
      <c r="BF53" s="37">
        <f>IFERROR(BD53+BE53,0)</f>
        <v>0</v>
      </c>
    </row>
    <row r="54" spans="1:69" s="131" customFormat="1" ht="12.6" customHeight="1" x14ac:dyDescent="0.3">
      <c r="A54" s="169" t="s">
        <v>448</v>
      </c>
      <c r="B54" s="169" t="s">
        <v>444</v>
      </c>
      <c r="C54" s="169" t="s">
        <v>312</v>
      </c>
      <c r="D54" s="169" t="s">
        <v>6</v>
      </c>
      <c r="E54" s="170">
        <v>44.463169999999998</v>
      </c>
      <c r="F54" s="170">
        <v>-73.147170000000003</v>
      </c>
      <c r="G54" s="64" t="s">
        <v>445</v>
      </c>
      <c r="H54" s="64" t="s">
        <v>445</v>
      </c>
      <c r="I54" s="169" t="s">
        <v>66</v>
      </c>
      <c r="J54" s="171"/>
      <c r="K54" s="169" t="s">
        <v>110</v>
      </c>
      <c r="L54" s="169">
        <v>2023</v>
      </c>
      <c r="M54" s="169"/>
      <c r="N54" s="169"/>
      <c r="O54" s="169"/>
      <c r="P54" s="169" t="s">
        <v>119</v>
      </c>
      <c r="Q54" s="169" t="s">
        <v>146</v>
      </c>
      <c r="R54" s="169" t="str">
        <f>IFERROR(VLOOKUP('BMP P Tracking Table'!$Q54,Dropdowns!$P$3:$Q$23,2,FALSE),"")</f>
        <v>Main Lake</v>
      </c>
      <c r="S54" s="169"/>
      <c r="T54" s="169" t="s">
        <v>212</v>
      </c>
      <c r="U54" s="169">
        <v>0.76300000000000001</v>
      </c>
      <c r="V54" s="169" t="s">
        <v>219</v>
      </c>
      <c r="W54" s="169"/>
      <c r="X54" s="169"/>
      <c r="Y54" s="169"/>
      <c r="Z54" s="169"/>
      <c r="AA54" s="169">
        <v>0.20399999999999999</v>
      </c>
      <c r="AB54" s="174">
        <v>3293.136</v>
      </c>
      <c r="AC54" s="169" t="s">
        <v>208</v>
      </c>
      <c r="AD54" s="193">
        <f>IFERROR('BMP P Tracking Table'!$U54*VLOOKUP('BMP P Tracking Table'!$Q54,'Loading Rates'!$B$1:$L$24,4,FALSE)+IF('BMP P Tracking Table'!$V54="By HSG",'BMP P Tracking Table'!$W54*VLOOKUP('BMP P Tracking Table'!$Q54,'Loading Rates'!$B$1:$L$24,6,FALSE)+'BMP P Tracking Table'!$X54*VLOOKUP('BMP P Tracking Table'!$Q54,'Loading Rates'!$B$1:$L$24,7,FALSE)+'BMP P Tracking Table'!$Y54*VLOOKUP('BMP P Tracking Table'!$Q54,'Loading Rates'!$B$1:$L$24,8,FALSE)+'BMP P Tracking Table'!$Z54*VLOOKUP('BMP P Tracking Table'!$Q54,'Loading Rates'!$B$1:$L$24,9,FALSE),'BMP P Tracking Table'!$AA54*VLOOKUP('BMP P Tracking Table'!$Q54,'Loading Rates'!$B$1:$L$24,10,FALSE)),"")</f>
        <v>0.89939499999999994</v>
      </c>
      <c r="AE54" s="193">
        <f>IFERROR(MIN(2,IF('BMP P Tracking Table'!$V54="Total Pervious",(-(3630*'BMP P Tracking Table'!$U54+20.691*'BMP P Tracking Table'!$AA54)+SQRT((3630*'BMP P Tracking Table'!$U54+20.691*'BMP P Tracking Table'!$AA54)^2-(4*(996.798*'BMP P Tracking Table'!$AA54)*-'BMP P Tracking Table'!$AB54)))/(2*(996.798*'BMP P Tracking Table'!$AA54)),IF(SUM('BMP P Tracking Table'!$W54:$Z54)=0,'BMP P Tracking Table'!$AB54/(-3630*'BMP P Tracking Table'!$U54),(-(3630*'BMP P Tracking Table'!$U54+20.691*'BMP P Tracking Table'!$Z54-216.711*'BMP P Tracking Table'!$Y54-83.853*'BMP P Tracking Table'!$X54-42.834*'BMP P Tracking Table'!$W54)+SQRT((3630*'BMP P Tracking Table'!$U54+20.691*'BMP P Tracking Table'!$Z54-216.711*'BMP P Tracking Table'!$Y54-83.853*'BMP P Tracking Table'!$X54-42.834*'BMP P Tracking Table'!$W54)^2-(4*(149.919*'BMP P Tracking Table'!$W54+236.676*'BMP P Tracking Table'!$X54+726*'BMP P Tracking Table'!$Y54+996.798*'BMP P Tracking Table'!$Z54)*-'BMP P Tracking Table'!$AB54)))/(2*(149.919*'BMP P Tracking Table'!$W54+236.676*'BMP P Tracking Table'!$X54+726*'BMP P Tracking Table'!$Y54+996.798*'BMP P Tracking Table'!$Z54))))),"")</f>
        <v>1.0986911926241512</v>
      </c>
      <c r="AF54" s="193">
        <f>IFERROR((VLOOKUP(CONCATENATE('BMP P Tracking Table'!$T54," ",'BMP P Tracking Table'!$AC54),'Performance Curves'!$C$1:$L$45,MATCH('BMP P Tracking Table'!$AE54,'Performance Curves'!$E$1:$L$1,1)+2,FALSE)-VLOOKUP(CONCATENATE('BMP P Tracking Table'!$T54," ",'BMP P Tracking Table'!$AC54),'Performance Curves'!$C$1:$L$45,MATCH('BMP P Tracking Table'!$AE54,'Performance Curves'!$E$1:$L$1,1)+1,FALSE)),"")</f>
        <v>2.9999999999999916E-2</v>
      </c>
      <c r="AG54" s="193">
        <f>IFERROR(('BMP P Tracking Table'!$AE54-INDEX('Performance Curves'!$E$1:$L$1,1,MATCH('BMP P Tracking Table'!$AE54,'Performance Curves'!$E$1:$L$1,1)))/(INDEX('Performance Curves'!$E$1:$L$1,1,MATCH('BMP P Tracking Table'!$AE54,'Performance Curves'!$E$1:$L$1,1)+1)-INDEX('Performance Curves'!$E$1:$L$1,1,MATCH('BMP P Tracking Table'!$AE54,'Performance Curves'!$E$1:$L$1,1))),"")</f>
        <v>0.19738238524830232</v>
      </c>
      <c r="AH54" s="194">
        <f>IFERROR(IF('BMP P Tracking Table'!$AE54=2,VLOOKUP(CONCATENATE('BMP P Tracking Table'!$T54," ",'BMP P Tracking Table'!$AC54),'Performance Curves'!$C$1:$L$45,MATCH('BMP P Tracking Table'!$AE54,'Performance Curves'!$E$1:$L$1,1)+1,FALSE),'BMP P Tracking Table'!$AF54*'BMP P Tracking Table'!$AG54+VLOOKUP(CONCATENATE('BMP P Tracking Table'!$T54," ",'BMP P Tracking Table'!$AC54),'Performance Curves'!$C$1:$L$45,MATCH('BMP P Tracking Table'!$AE54,'Performance Curves'!$E$1:$L$1,1)+1,FALSE)),"")</f>
        <v>0.92592147155744908</v>
      </c>
      <c r="AI54" s="193">
        <f>IFERROR('BMP P Tracking Table'!$AH54*'BMP P Tracking Table'!$AD54,"")</f>
        <v>0.83276914191141183</v>
      </c>
      <c r="AJ54" s="173">
        <v>0.83</v>
      </c>
      <c r="AK54" s="195" t="s">
        <v>66</v>
      </c>
      <c r="AL54" s="195"/>
      <c r="AM54" s="203"/>
      <c r="AN54" s="204">
        <v>0.83</v>
      </c>
      <c r="AO54" s="123"/>
      <c r="AP54" s="123"/>
      <c r="AQ54" s="123"/>
      <c r="AR54" s="123"/>
      <c r="AS54" s="123"/>
      <c r="AT54" s="123"/>
      <c r="AU54" s="123"/>
      <c r="AV54" s="120"/>
      <c r="AW54" s="124"/>
      <c r="AX54" s="124"/>
      <c r="AY54" s="121">
        <f>IF('BMP P Tracking Table'!$AK54="Yes",IF('BMP P Tracking Table'!$AL54="No",'BMP P Tracking Table'!$U54*VLOOKUP('BMP P Tracking Table'!$Q54,'Loading Rates'!$B$1:$L$24,4,FALSE)+IF('BMP P Tracking Table'!$V54="By HSG",'BMP P Tracking Table'!$W54*VLOOKUP('BMP P Tracking Table'!$Q54,'Loading Rates'!$B$1:$L$24,6,FALSE)+'BMP P Tracking Table'!$X54*VLOOKUP('BMP P Tracking Table'!$Q54,'Loading Rates'!$B$1:$L$24,7,FALSE)+'BMP P Tracking Table'!$Y54*VLOOKUP('BMP P Tracking Table'!$Q54,'Loading Rates'!$B$1:$L$24,8,FALSE)+'BMP P Tracking Table'!$Z54*VLOOKUP('BMP P Tracking Table'!$Q54,'Loading Rates'!$B$1:$L$24,9,FALSE),'BMP P Tracking Table'!$AA54*VLOOKUP('BMP P Tracking Table'!$Q54,'Loading Rates'!$B$1:$L$24,10,FALSE)),'BMP P Tracking Table'!$AO54*VLOOKUP('BMP P Tracking Table'!$Q54,'Loading Rates'!$B$1:$L$24,4,FALSE)+IF('BMP P Tracking Table'!$AP54="By HSG",'BMP P Tracking Table'!$AQ54*VLOOKUP('BMP P Tracking Table'!$Q54,'Loading Rates'!$B$1:$L$24,6,FALSE)+'BMP P Tracking Table'!$AR54*VLOOKUP('BMP P Tracking Table'!$Q54,'Loading Rates'!$B$1:$L$24,7,FALSE)+'BMP P Tracking Table'!$AS54*VLOOKUP('BMP P Tracking Table'!$Q54,'Loading Rates'!$B$1:$L$24,8,FALSE)+'BMP P Tracking Table'!$AT54*VLOOKUP('BMP P Tracking Table'!$Q54,'Loading Rates'!$B$1:$L$24,9,FALSE),'BMP P Tracking Table'!$AU54*VLOOKUP('BMP P Tracking Table'!$Q54,'Loading Rates'!$B$1:$L$24,10,FALSE))),"")</f>
        <v>0</v>
      </c>
      <c r="AZ54" s="121">
        <f>IFERROR(IF('BMP P Tracking Table'!$AL54="Yes",MIN(2,IF('BMP P Tracking Table'!$AP54="Total Pervious",(-(3630*'BMP P Tracking Table'!$AO54+20.691*'BMP P Tracking Table'!$AU54)+SQRT((3630*'BMP P Tracking Table'!$AO54+20.691*'BMP P Tracking Table'!$AU54)^2-(4*(996.798*'BMP P Tracking Table'!$AU54)*-'BMP P Tracking Table'!$AW54)))/(2*(996.798*'BMP P Tracking Table'!$AU54)),IF(SUM('BMP P Tracking Table'!$AQ54:$AT54)=0,'BMP P Tracking Table'!$AU54/(-3630*'BMP P Tracking Table'!$AO54),(-(3630*'BMP P Tracking Table'!$AO54+20.691*'BMP P Tracking Table'!$AT54-216.711*'BMP P Tracking Table'!$AS54-83.853*'BMP P Tracking Table'!$AR54-42.834*'BMP P Tracking Table'!$AQ54)+SQRT((3630*'BMP P Tracking Table'!$AO54+20.691*'BMP P Tracking Table'!$AT54-216.711*'BMP P Tracking Table'!$AS54-83.853*'BMP P Tracking Table'!$AR54-42.834*'BMP P Tracking Table'!$AQ54)^2-(4*(149.919*'BMP P Tracking Table'!$AQ54+236.676*'BMP P Tracking Table'!$AR54+726*'BMP P Tracking Table'!$AS54+996.798*'BMP P Tracking Table'!$AT54)*-'BMP P Tracking Table'!$AW54)))/(2*(149.919*'BMP P Tracking Table'!$AQ54+236.676*'BMP P Tracking Table'!$AR54+726*'BMP P Tracking Table'!$AS54+996.798*'BMP P Tracking Table'!$AT54))))),MIN(2,IF('BMP P Tracking Table'!$AP54="Total Pervious",(-(3630*'BMP P Tracking Table'!$U54+20.691*'BMP P Tracking Table'!$AA54)+SQRT((3630*'BMP P Tracking Table'!$U54+20.691*'BMP P Tracking Table'!$AA54)^2-(4*(996.798*'BMP P Tracking Table'!$AA54)*-'BMP P Tracking Table'!$AW54)))/(2*(996.798*'BMP P Tracking Table'!$AA54)),IF(SUM('BMP P Tracking Table'!$W54:$Z54)=0,'BMP P Tracking Table'!$AW54/(-3630*'BMP P Tracking Table'!$U54),(-(3630*'BMP P Tracking Table'!$U54+20.691*'BMP P Tracking Table'!$Z54-216.711*'BMP P Tracking Table'!$Y54-83.853*'BMP P Tracking Table'!$X54-42.834*'BMP P Tracking Table'!$W54)+SQRT((3630*'BMP P Tracking Table'!$U54+20.691*'BMP P Tracking Table'!$Z54-216.711*'BMP P Tracking Table'!$Y54-83.853*'BMP P Tracking Table'!$X54-42.834*'BMP P Tracking Table'!$W54)^2-(4*(149.919*'BMP P Tracking Table'!$W54+236.676*'BMP P Tracking Table'!$X54+726*'BMP P Tracking Table'!$Y54+996.798*'BMP P Tracking Table'!$Z54)*-'BMP P Tracking Table'!$AW54)))/(2*(149.919*'BMP P Tracking Table'!$W54+236.676*'BMP P Tracking Table'!$X54+726*'BMP P Tracking Table'!$Y54+996.798*'BMP P Tracking Table'!$Z54)))))),"")</f>
        <v>0</v>
      </c>
      <c r="BA54" s="121" t="str">
        <f>IFERROR((VLOOKUP(CONCATENATE('BMP P Tracking Table'!$AV54," ",'BMP P Tracking Table'!$AX54),'Performance Curves'!$C$1:$L$45,MATCH('BMP P Tracking Table'!$AZ54,'Performance Curves'!$E$1:$L$1,1)+2,FALSE)-VLOOKUP(CONCATENATE('BMP P Tracking Table'!$AV54," ",'BMP P Tracking Table'!$AX54),'Performance Curves'!$C$1:$L$45,MATCH('BMP P Tracking Table'!$AZ54,'Performance Curves'!$E$1:$L$1,1)+1,FALSE)),"")</f>
        <v/>
      </c>
      <c r="BB54" s="121" t="str">
        <f>IFERROR(('BMP P Tracking Table'!$AZ54-INDEX('Performance Curves'!$E$1:$L$1,1,MATCH('BMP P Tracking Table'!$AZ54,'Performance Curves'!$E$1:$L$1,1)))/(INDEX('Performance Curves'!$E$1:$L$1,1,MATCH('BMP P Tracking Table'!$AZ54,'Performance Curves'!$E$1:$L$1,1)+1)-INDEX('Performance Curves'!$E$1:$L$1,1,MATCH('BMP P Tracking Table'!$AZ54,'Performance Curves'!$E$1:$L$1,1))),"")</f>
        <v/>
      </c>
      <c r="BC54" s="122" t="str">
        <f>IFERROR(IF('BMP P Tracking Table'!$AZ54=2,VLOOKUP(CONCATENATE('BMP P Tracking Table'!$AV54," ",'BMP P Tracking Table'!$AX54),'Performance Curves'!$C$1:$L$44,MATCH('BMP P Tracking Table'!$AZ54,'Performance Curves'!$E$1:$L$1,1)+1,FALSE),'BMP P Tracking Table'!$BA54*'BMP P Tracking Table'!$BB54+VLOOKUP(CONCATENATE('BMP P Tracking Table'!$AV54," ",'BMP P Tracking Table'!$AX54),'Performance Curves'!$C$1:$L$44,MATCH('BMP P Tracking Table'!$AZ54,'Performance Curves'!$E$1:$L$1,1)+1,FALSE)),"")</f>
        <v/>
      </c>
      <c r="BD54" s="121" t="str">
        <f>IFERROR('BMP P Tracking Table'!$BC54*'BMP P Tracking Table'!$AY54,"")</f>
        <v/>
      </c>
      <c r="BE54" s="123"/>
      <c r="BF54" s="132">
        <f>IFERROR(BD54+BE54,0)</f>
        <v>0</v>
      </c>
    </row>
    <row r="55" spans="1:69" s="131" customFormat="1" ht="12.6" customHeight="1" x14ac:dyDescent="0.3">
      <c r="A55" s="169" t="s">
        <v>459</v>
      </c>
      <c r="B55" s="169" t="s">
        <v>453</v>
      </c>
      <c r="C55" s="169" t="s">
        <v>312</v>
      </c>
      <c r="D55" s="169" t="s">
        <v>6</v>
      </c>
      <c r="E55" s="170">
        <v>44.46443</v>
      </c>
      <c r="F55" s="170">
        <v>-73.138750000000002</v>
      </c>
      <c r="G55" s="64" t="s">
        <v>454</v>
      </c>
      <c r="H55" s="64"/>
      <c r="I55" s="169" t="s">
        <v>66</v>
      </c>
      <c r="J55" s="171"/>
      <c r="K55" s="169" t="s">
        <v>110</v>
      </c>
      <c r="L55" s="169">
        <v>2023</v>
      </c>
      <c r="M55" s="169"/>
      <c r="N55" s="169"/>
      <c r="O55" s="169"/>
      <c r="P55" s="169" t="s">
        <v>119</v>
      </c>
      <c r="Q55" s="169" t="s">
        <v>146</v>
      </c>
      <c r="R55" s="169" t="s">
        <v>129</v>
      </c>
      <c r="S55" s="169" t="s">
        <v>66</v>
      </c>
      <c r="T55" s="169" t="s">
        <v>164</v>
      </c>
      <c r="U55" s="169">
        <v>2.1800000000000002</v>
      </c>
      <c r="V55" s="169" t="s">
        <v>219</v>
      </c>
      <c r="W55" s="169"/>
      <c r="X55" s="169"/>
      <c r="Y55" s="169"/>
      <c r="Z55" s="169"/>
      <c r="AA55" s="169"/>
      <c r="AB55" s="174">
        <v>7884.36</v>
      </c>
      <c r="AC55" s="169" t="s">
        <v>205</v>
      </c>
      <c r="AD55" s="193">
        <f>IFERROR('BMP P Tracking Table'!$U55*VLOOKUP('BMP P Tracking Table'!$Q55,'Loading Rates'!$B$1:$L$24,4,FALSE)+IF('BMP P Tracking Table'!$V55="By HSG",'BMP P Tracking Table'!$W55*VLOOKUP('BMP P Tracking Table'!$Q55,'Loading Rates'!$B$1:$L$24,6,FALSE)+'BMP P Tracking Table'!$X55*VLOOKUP('BMP P Tracking Table'!$Q55,'Loading Rates'!$B$1:$L$24,7,FALSE)+'BMP P Tracking Table'!$Y55*VLOOKUP('BMP P Tracking Table'!$Q55,'Loading Rates'!$B$1:$L$24,8,FALSE)+'BMP P Tracking Table'!$Z55*VLOOKUP('BMP P Tracking Table'!$Q55,'Loading Rates'!$B$1:$L$24,9,FALSE),'BMP P Tracking Table'!$AA55*VLOOKUP('BMP P Tracking Table'!$Q55,'Loading Rates'!$B$1:$L$24,10,FALSE)),"")</f>
        <v>2.43506</v>
      </c>
      <c r="AE55" s="193" t="str">
        <f>IFERROR(MIN(2,IF('BMP P Tracking Table'!$V55="Total Pervious",(-(3630*'BMP P Tracking Table'!$U55+20.691*'BMP P Tracking Table'!$AA55)+SQRT((3630*'BMP P Tracking Table'!$U55+20.691*'BMP P Tracking Table'!$AA55)^2-(4*(996.798*'BMP P Tracking Table'!$AA55)*-'BMP P Tracking Table'!$AB55)))/(2*(996.798*'BMP P Tracking Table'!$AA55)),IF(SUM('BMP P Tracking Table'!$W55:$Z55)=0,'BMP P Tracking Table'!$AB55/(-3630*'BMP P Tracking Table'!$U55),(-(3630*'BMP P Tracking Table'!$U55+20.691*'BMP P Tracking Table'!$Z55-216.711*'BMP P Tracking Table'!$Y55-83.853*'BMP P Tracking Table'!$X55-42.834*'BMP P Tracking Table'!$W55)+SQRT((3630*'BMP P Tracking Table'!$U55+20.691*'BMP P Tracking Table'!$Z55-216.711*'BMP P Tracking Table'!$Y55-83.853*'BMP P Tracking Table'!$X55-42.834*'BMP P Tracking Table'!$W55)^2-(4*(149.919*'BMP P Tracking Table'!$W55+236.676*'BMP P Tracking Table'!$X55+726*'BMP P Tracking Table'!$Y55+996.798*'BMP P Tracking Table'!$Z55)*-'BMP P Tracking Table'!$AB55)))/(2*(149.919*'BMP P Tracking Table'!$W55+236.676*'BMP P Tracking Table'!$X55+726*'BMP P Tracking Table'!$Y55+996.798*'BMP P Tracking Table'!$Z55))))),"")</f>
        <v/>
      </c>
      <c r="AF55" s="193" t="str">
        <f>IFERROR((VLOOKUP(CONCATENATE('BMP P Tracking Table'!$T55," ",'BMP P Tracking Table'!$AC55),'Performance Curves'!$C$1:$L$45,MATCH('BMP P Tracking Table'!$AE55,'Performance Curves'!$E$1:$L$1,1)+2,FALSE)-VLOOKUP(CONCATENATE('BMP P Tracking Table'!$T55," ",'BMP P Tracking Table'!$AC55),'Performance Curves'!$C$1:$L$45,MATCH('BMP P Tracking Table'!$AE55,'Performance Curves'!$E$1:$L$1,1)+1,FALSE)),"")</f>
        <v/>
      </c>
      <c r="AG55" s="193" t="str">
        <f>IFERROR(('BMP P Tracking Table'!$AE55-INDEX('Performance Curves'!$E$1:$L$1,1,MATCH('BMP P Tracking Table'!$AE55,'Performance Curves'!$E$1:$L$1,1)))/(INDEX('Performance Curves'!$E$1:$L$1,1,MATCH('BMP P Tracking Table'!$AE55,'Performance Curves'!$E$1:$L$1,1)+1)-INDEX('Performance Curves'!$E$1:$L$1,1,MATCH('BMP P Tracking Table'!$AE55,'Performance Curves'!$E$1:$L$1,1))),"")</f>
        <v/>
      </c>
      <c r="AH55" s="194" t="str">
        <f>IFERROR(IF('BMP P Tracking Table'!$AE55=2,VLOOKUP(CONCATENATE('BMP P Tracking Table'!$T55," ",'BMP P Tracking Table'!$AC55),'Performance Curves'!$C$1:$L$45,MATCH('BMP P Tracking Table'!$AE55,'Performance Curves'!$E$1:$L$1,1)+1,FALSE),'BMP P Tracking Table'!$AF55*'BMP P Tracking Table'!$AG55+VLOOKUP(CONCATENATE('BMP P Tracking Table'!$T55," ",'BMP P Tracking Table'!$AC55),'Performance Curves'!$C$1:$L$45,MATCH('BMP P Tracking Table'!$AE55,'Performance Curves'!$E$1:$L$1,1)+1,FALSE)),"")</f>
        <v/>
      </c>
      <c r="AI55" s="193" t="str">
        <f>IFERROR('BMP P Tracking Table'!$AH55*'BMP P Tracking Table'!$AD55,"")</f>
        <v/>
      </c>
      <c r="AJ55" s="173">
        <v>1.83</v>
      </c>
      <c r="AK55" s="195" t="s">
        <v>66</v>
      </c>
      <c r="AL55" s="195"/>
      <c r="AM55" s="203"/>
      <c r="AN55" s="204">
        <v>1.83</v>
      </c>
      <c r="AO55" s="123"/>
      <c r="AP55" s="123"/>
      <c r="AQ55" s="123"/>
      <c r="AR55" s="123"/>
      <c r="AS55" s="123"/>
      <c r="AT55" s="123"/>
      <c r="AU55" s="123"/>
      <c r="AV55" s="120"/>
      <c r="AW55" s="124"/>
      <c r="AX55" s="124"/>
      <c r="AY55" s="121"/>
      <c r="AZ55" s="121"/>
      <c r="BA55" s="121"/>
      <c r="BB55" s="121"/>
      <c r="BC55" s="122"/>
      <c r="BD55" s="121"/>
      <c r="BE55" s="123"/>
      <c r="BF55" s="132"/>
      <c r="BN55" s="131" t="s">
        <v>460</v>
      </c>
    </row>
    <row r="56" spans="1:69" s="113" customFormat="1" ht="17.399999999999999" customHeight="1" x14ac:dyDescent="0.3">
      <c r="A56" s="169"/>
      <c r="B56" s="169"/>
      <c r="C56" s="169"/>
      <c r="D56" s="169"/>
      <c r="E56" s="170"/>
      <c r="F56" s="170"/>
      <c r="G56" s="64"/>
      <c r="H56" s="169"/>
      <c r="I56" s="169"/>
      <c r="J56" s="171"/>
      <c r="K56" s="169"/>
      <c r="L56" s="169"/>
      <c r="M56" s="172"/>
      <c r="N56" s="169"/>
      <c r="O56" s="169"/>
      <c r="P56" s="169"/>
      <c r="Q56" s="169"/>
      <c r="R56" s="169"/>
      <c r="S56" s="169"/>
      <c r="T56" s="169"/>
      <c r="U56" s="173"/>
      <c r="V56" s="169"/>
      <c r="W56" s="169"/>
      <c r="X56" s="169"/>
      <c r="Y56" s="169"/>
      <c r="Z56" s="169"/>
      <c r="AA56" s="169"/>
      <c r="AB56" s="174"/>
      <c r="AC56" s="169"/>
      <c r="AD56" s="193"/>
      <c r="AE56" s="193"/>
      <c r="AF56" s="193"/>
      <c r="AG56" s="193"/>
      <c r="AH56" s="194"/>
      <c r="AI56" s="193"/>
      <c r="AJ56" s="173"/>
      <c r="AK56" s="195"/>
      <c r="AL56" s="195"/>
      <c r="AM56" s="203"/>
      <c r="AN56" s="204"/>
      <c r="AO56" s="110"/>
      <c r="AP56" s="110"/>
      <c r="AQ56" s="110"/>
      <c r="AR56" s="110"/>
      <c r="AS56" s="110"/>
      <c r="AT56" s="110"/>
      <c r="AU56" s="110"/>
      <c r="AV56" s="106"/>
      <c r="AW56" s="111"/>
      <c r="AX56" s="111"/>
      <c r="AY56" s="108"/>
      <c r="AZ56" s="108"/>
      <c r="BA56" s="108"/>
      <c r="BB56" s="108"/>
      <c r="BC56" s="109"/>
      <c r="BD56" s="108"/>
      <c r="BE56" s="110"/>
      <c r="BF56" s="112"/>
      <c r="BH56" s="130"/>
      <c r="BI56" s="112"/>
      <c r="BN56" s="168"/>
      <c r="BP56" s="112"/>
      <c r="BQ56" s="112"/>
    </row>
    <row r="57" spans="1:69" s="113" customFormat="1" ht="17.399999999999999" customHeight="1" x14ac:dyDescent="0.3">
      <c r="A57" s="169"/>
      <c r="B57" s="169"/>
      <c r="C57" s="169"/>
      <c r="D57" s="169"/>
      <c r="E57" s="170"/>
      <c r="F57" s="170"/>
      <c r="G57" s="169"/>
      <c r="H57" s="169"/>
      <c r="I57" s="169"/>
      <c r="J57" s="171"/>
      <c r="K57" s="169"/>
      <c r="L57" s="169"/>
      <c r="M57" s="172"/>
      <c r="N57" s="169"/>
      <c r="O57" s="169"/>
      <c r="P57" s="169"/>
      <c r="Q57" s="169"/>
      <c r="R57" s="169"/>
      <c r="S57" s="169"/>
      <c r="T57" s="169"/>
      <c r="U57" s="173"/>
      <c r="V57" s="169"/>
      <c r="W57" s="169"/>
      <c r="X57" s="169"/>
      <c r="Y57" s="169"/>
      <c r="Z57" s="169"/>
      <c r="AA57" s="169"/>
      <c r="AB57" s="174"/>
      <c r="AC57" s="169"/>
      <c r="AD57" s="193"/>
      <c r="AE57" s="193"/>
      <c r="AF57" s="193"/>
      <c r="AG57" s="193"/>
      <c r="AH57" s="194"/>
      <c r="AI57" s="193"/>
      <c r="AJ57" s="173"/>
      <c r="AK57" s="195"/>
      <c r="AL57" s="195"/>
      <c r="AM57" s="203"/>
      <c r="AN57" s="204"/>
      <c r="AO57" s="110"/>
      <c r="AP57" s="110"/>
      <c r="AQ57" s="110"/>
      <c r="AR57" s="110"/>
      <c r="AS57" s="110"/>
      <c r="AT57" s="110"/>
      <c r="AU57" s="110"/>
      <c r="AV57" s="106"/>
      <c r="AW57" s="111"/>
      <c r="AX57" s="111"/>
      <c r="AY57" s="108"/>
      <c r="AZ57" s="108"/>
      <c r="BA57" s="108"/>
      <c r="BB57" s="108"/>
      <c r="BC57" s="109"/>
      <c r="BD57" s="108"/>
      <c r="BE57" s="110"/>
      <c r="BF57" s="112"/>
      <c r="BH57" s="130"/>
      <c r="BI57" s="112"/>
      <c r="BN57" s="168"/>
      <c r="BP57" s="112"/>
      <c r="BQ57" s="112"/>
    </row>
    <row r="58" spans="1:69" s="113" customFormat="1" ht="17.399999999999999" customHeight="1" x14ac:dyDescent="0.3">
      <c r="A58" s="148" t="s">
        <v>363</v>
      </c>
      <c r="B58" s="169"/>
      <c r="C58" s="169"/>
      <c r="D58" s="169"/>
      <c r="E58" s="170"/>
      <c r="F58" s="170"/>
      <c r="G58" s="169"/>
      <c r="H58" s="169"/>
      <c r="I58" s="169"/>
      <c r="J58" s="171"/>
      <c r="K58" s="169"/>
      <c r="L58" s="169"/>
      <c r="M58" s="169"/>
      <c r="N58" s="169"/>
      <c r="O58" s="169"/>
      <c r="P58" s="169"/>
      <c r="Q58" s="169"/>
      <c r="R58" s="169"/>
      <c r="S58" s="169"/>
      <c r="T58" s="169"/>
      <c r="U58" s="169"/>
      <c r="V58" s="169"/>
      <c r="W58" s="169"/>
      <c r="X58" s="169"/>
      <c r="Y58" s="169"/>
      <c r="Z58" s="169"/>
      <c r="AA58" s="169"/>
      <c r="AB58" s="174"/>
      <c r="AC58" s="169"/>
      <c r="AD58" s="175"/>
      <c r="AE58" s="175"/>
      <c r="AF58" s="175"/>
      <c r="AG58" s="175"/>
      <c r="AH58" s="176"/>
      <c r="AI58" s="175"/>
      <c r="AJ58" s="169"/>
      <c r="AK58" s="169"/>
      <c r="AL58" s="173"/>
      <c r="AM58" s="177"/>
      <c r="AN58" s="178"/>
      <c r="AO58" s="110"/>
      <c r="AP58" s="110"/>
      <c r="AQ58" s="110"/>
      <c r="AR58" s="110"/>
      <c r="AS58" s="110"/>
      <c r="AT58" s="110"/>
      <c r="AU58" s="110"/>
      <c r="AV58" s="106"/>
      <c r="AW58" s="111"/>
      <c r="AX58" s="111"/>
      <c r="AY58" s="108"/>
      <c r="AZ58" s="108"/>
      <c r="BA58" s="108"/>
      <c r="BB58" s="108"/>
      <c r="BC58" s="109"/>
      <c r="BD58" s="108"/>
      <c r="BE58" s="110"/>
      <c r="BF58" s="112"/>
    </row>
    <row r="59" spans="1:69" ht="17.399999999999999" customHeight="1" x14ac:dyDescent="0.3">
      <c r="A59" s="169" t="s">
        <v>328</v>
      </c>
      <c r="B59" s="169" t="s">
        <v>338</v>
      </c>
      <c r="C59" s="169" t="s">
        <v>312</v>
      </c>
      <c r="D59" s="169" t="s">
        <v>6</v>
      </c>
      <c r="E59" s="170"/>
      <c r="F59" s="170"/>
      <c r="G59" s="169"/>
      <c r="H59" s="169"/>
      <c r="I59" s="169" t="s">
        <v>66</v>
      </c>
      <c r="J59" s="171"/>
      <c r="K59" s="169" t="s">
        <v>111</v>
      </c>
      <c r="L59" s="169"/>
      <c r="M59" s="169"/>
      <c r="N59" s="169"/>
      <c r="O59" s="169"/>
      <c r="P59" s="169" t="s">
        <v>33</v>
      </c>
      <c r="Q59" s="169" t="str">
        <f>IFERROR(VLOOKUP('BMP P Tracking Table'!$P59,Dropdowns!$C$2:$E$15,3,FALSE),"")</f>
        <v>Winooski River</v>
      </c>
      <c r="R59" s="169" t="str">
        <f>IFERROR(VLOOKUP('BMP P Tracking Table'!$Q59,Dropdowns!$P$3:$Q$23,2,FALSE),"")</f>
        <v>Main Lake</v>
      </c>
      <c r="S59" s="169" t="s">
        <v>66</v>
      </c>
      <c r="T59" s="169"/>
      <c r="U59" s="169"/>
      <c r="V59" s="169"/>
      <c r="W59" s="169"/>
      <c r="X59" s="169"/>
      <c r="Y59" s="169"/>
      <c r="Z59" s="169"/>
      <c r="AA59" s="169"/>
      <c r="AB59" s="174"/>
      <c r="AC59" s="169"/>
      <c r="AD59" s="175">
        <f>IFERROR('BMP P Tracking Table'!$U59*VLOOKUP('BMP P Tracking Table'!$Q59,'Loading Rates'!$B$1:$L$24,4,FALSE)+IF('BMP P Tracking Table'!$V59="By HSG",'BMP P Tracking Table'!$W59*VLOOKUP('BMP P Tracking Table'!$Q59,'Loading Rates'!$B$1:$L$24,6,FALSE)+'BMP P Tracking Table'!$X59*VLOOKUP('BMP P Tracking Table'!$Q59,'Loading Rates'!$B$1:$L$24,7,FALSE)+'BMP P Tracking Table'!$Y59*VLOOKUP('BMP P Tracking Table'!$Q59,'Loading Rates'!$B$1:$L$24,8,FALSE)+'BMP P Tracking Table'!$Z59*VLOOKUP('BMP P Tracking Table'!$Q59,'Loading Rates'!$B$1:$L$24,9,FALSE),'BMP P Tracking Table'!$AA59*VLOOKUP('BMP P Tracking Table'!$Q59,'Loading Rates'!$B$1:$L$24,10,FALSE)),"")</f>
        <v>0</v>
      </c>
      <c r="AE59" s="175" t="str">
        <f>IFERROR(MIN(2,IF('BMP P Tracking Table'!$V59="Total Pervious",(-(3630*'BMP P Tracking Table'!$U59+20.691*'BMP P Tracking Table'!$AA59)+SQRT((3630*'BMP P Tracking Table'!$U59+20.691*'BMP P Tracking Table'!$AA59)^2-(4*(996.798*'BMP P Tracking Table'!$AA59)*-'BMP P Tracking Table'!$AB59)))/(2*(996.798*'BMP P Tracking Table'!$AA59)),IF(SUM('BMP P Tracking Table'!$W59:$Z59)=0,'BMP P Tracking Table'!$AB59/(-3630*'BMP P Tracking Table'!$U59),(-(3630*'BMP P Tracking Table'!$U59+20.691*'BMP P Tracking Table'!$Z59-216.711*'BMP P Tracking Table'!$Y59-83.853*'BMP P Tracking Table'!$X59-42.834*'BMP P Tracking Table'!$W59)+SQRT((3630*'BMP P Tracking Table'!$U59+20.691*'BMP P Tracking Table'!$Z59-216.711*'BMP P Tracking Table'!$Y59-83.853*'BMP P Tracking Table'!$X59-42.834*'BMP P Tracking Table'!$W59)^2-(4*(149.919*'BMP P Tracking Table'!$W59+236.676*'BMP P Tracking Table'!$X59+726*'BMP P Tracking Table'!$Y59+996.798*'BMP P Tracking Table'!$Z59)*-'BMP P Tracking Table'!$AB59)))/(2*(149.919*'BMP P Tracking Table'!$W59+236.676*'BMP P Tracking Table'!$X59+726*'BMP P Tracking Table'!$Y59+996.798*'BMP P Tracking Table'!$Z59))))),"")</f>
        <v/>
      </c>
      <c r="AF59" s="175" t="str">
        <f>IFERROR((VLOOKUP(CONCATENATE('BMP P Tracking Table'!$T59," ",'BMP P Tracking Table'!$AC59),'Performance Curves'!$C$1:$L$45,MATCH('BMP P Tracking Table'!$AE59,'Performance Curves'!$E$1:$L$1,1)+2,FALSE)-VLOOKUP(CONCATENATE('BMP P Tracking Table'!$T59," ",'BMP P Tracking Table'!$AC59),'Performance Curves'!$C$1:$L$45,MATCH('BMP P Tracking Table'!$AE59,'Performance Curves'!$E$1:$L$1,1)+1,FALSE)),"")</f>
        <v/>
      </c>
      <c r="AG59" s="175" t="str">
        <f>IFERROR(('BMP P Tracking Table'!$AE59-INDEX('Performance Curves'!$E$1:$L$1,1,MATCH('BMP P Tracking Table'!$AE59,'Performance Curves'!$E$1:$L$1,1)))/(INDEX('Performance Curves'!$E$1:$L$1,1,MATCH('BMP P Tracking Table'!$AE59,'Performance Curves'!$E$1:$L$1,1)+1)-INDEX('Performance Curves'!$E$1:$L$1,1,MATCH('BMP P Tracking Table'!$AE59,'Performance Curves'!$E$1:$L$1,1))),"")</f>
        <v/>
      </c>
      <c r="AH59" s="176" t="str">
        <f>IFERROR(IF('BMP P Tracking Table'!$AE59=2,VLOOKUP(CONCATENATE('BMP P Tracking Table'!$T59," ",'BMP P Tracking Table'!$AC59),'Performance Curves'!$C$1:$L$45,MATCH('BMP P Tracking Table'!$AE59,'Performance Curves'!$E$1:$L$1,1)+1,FALSE),'BMP P Tracking Table'!$AF59*'BMP P Tracking Table'!$AG59+VLOOKUP(CONCATENATE('BMP P Tracking Table'!$T59," ",'BMP P Tracking Table'!$AC59),'Performance Curves'!$C$1:$L$45,MATCH('BMP P Tracking Table'!$AE59,'Performance Curves'!$E$1:$L$1,1)+1,FALSE)),"")</f>
        <v/>
      </c>
      <c r="AI59" s="175" t="str">
        <f>IFERROR('BMP P Tracking Table'!$AH59*'BMP P Tracking Table'!$AD59,"")</f>
        <v/>
      </c>
      <c r="AJ59" s="169">
        <v>4.9000000000000004</v>
      </c>
      <c r="AK59" s="169"/>
      <c r="AL59" s="173"/>
      <c r="AM59" s="177">
        <v>1</v>
      </c>
      <c r="AN59" s="178">
        <f t="shared" si="8"/>
        <v>4.9000000000000004</v>
      </c>
      <c r="AO59" s="96"/>
      <c r="AP59" s="96"/>
      <c r="AQ59" s="96"/>
      <c r="AR59" s="96"/>
      <c r="AS59" s="96"/>
      <c r="AT59" s="96"/>
      <c r="AU59" s="96"/>
      <c r="AV59" s="64"/>
      <c r="AW59" s="97"/>
      <c r="AX59" s="97"/>
      <c r="AY59" s="101" t="str">
        <f>IF('BMP P Tracking Table'!$AK59="Yes",IF('BMP P Tracking Table'!$AL59="No",'BMP P Tracking Table'!$U59*VLOOKUP('BMP P Tracking Table'!$Q59,'Loading Rates'!$B$1:$L$24,4,FALSE)+IF('BMP P Tracking Table'!$V59="By HSG",'BMP P Tracking Table'!$W59*VLOOKUP('BMP P Tracking Table'!$Q59,'Loading Rates'!$B$1:$L$24,6,FALSE)+'BMP P Tracking Table'!$X59*VLOOKUP('BMP P Tracking Table'!$Q59,'Loading Rates'!$B$1:$L$24,7,FALSE)+'BMP P Tracking Table'!$Y59*VLOOKUP('BMP P Tracking Table'!$Q59,'Loading Rates'!$B$1:$L$24,8,FALSE)+'BMP P Tracking Table'!$Z59*VLOOKUP('BMP P Tracking Table'!$Q59,'Loading Rates'!$B$1:$L$24,9,FALSE),'BMP P Tracking Table'!$AA59*VLOOKUP('BMP P Tracking Table'!$Q59,'Loading Rates'!$B$1:$L$24,10,FALSE)),'BMP P Tracking Table'!$AO59*VLOOKUP('BMP P Tracking Table'!$Q59,'Loading Rates'!$B$1:$L$24,4,FALSE)+IF('BMP P Tracking Table'!$AP59="By HSG",'BMP P Tracking Table'!$AQ59*VLOOKUP('BMP P Tracking Table'!$Q59,'Loading Rates'!$B$1:$L$24,6,FALSE)+'BMP P Tracking Table'!$AR59*VLOOKUP('BMP P Tracking Table'!$Q59,'Loading Rates'!$B$1:$L$24,7,FALSE)+'BMP P Tracking Table'!$AS59*VLOOKUP('BMP P Tracking Table'!$Q59,'Loading Rates'!$B$1:$L$24,8,FALSE)+'BMP P Tracking Table'!$AT59*VLOOKUP('BMP P Tracking Table'!$Q59,'Loading Rates'!$B$1:$L$24,9,FALSE),'BMP P Tracking Table'!$AU59*VLOOKUP('BMP P Tracking Table'!$Q59,'Loading Rates'!$B$1:$L$24,10,FALSE))),"")</f>
        <v/>
      </c>
      <c r="AZ59" s="101" t="str">
        <f>IFERROR(IF('BMP P Tracking Table'!$AL59="Yes",MIN(2,IF('BMP P Tracking Table'!$AP59="Total Pervious",(-(3630*'BMP P Tracking Table'!$AO59+20.691*'BMP P Tracking Table'!$AU59)+SQRT((3630*'BMP P Tracking Table'!$AO59+20.691*'BMP P Tracking Table'!$AU59)^2-(4*(996.798*'BMP P Tracking Table'!$AU59)*-'BMP P Tracking Table'!$AW59)))/(2*(996.798*'BMP P Tracking Table'!$AU59)),IF(SUM('BMP P Tracking Table'!$AQ59:$AT59)=0,'BMP P Tracking Table'!$AU59/(-3630*'BMP P Tracking Table'!$AO59),(-(3630*'BMP P Tracking Table'!$AO59+20.691*'BMP P Tracking Table'!$AT59-216.711*'BMP P Tracking Table'!$AS59-83.853*'BMP P Tracking Table'!$AR59-42.834*'BMP P Tracking Table'!$AQ59)+SQRT((3630*'BMP P Tracking Table'!$AO59+20.691*'BMP P Tracking Table'!$AT59-216.711*'BMP P Tracking Table'!$AS59-83.853*'BMP P Tracking Table'!$AR59-42.834*'BMP P Tracking Table'!$AQ59)^2-(4*(149.919*'BMP P Tracking Table'!$AQ59+236.676*'BMP P Tracking Table'!$AR59+726*'BMP P Tracking Table'!$AS59+996.798*'BMP P Tracking Table'!$AT59)*-'BMP P Tracking Table'!$AW59)))/(2*(149.919*'BMP P Tracking Table'!$AQ59+236.676*'BMP P Tracking Table'!$AR59+726*'BMP P Tracking Table'!$AS59+996.798*'BMP P Tracking Table'!$AT59))))),MIN(2,IF('BMP P Tracking Table'!$AP59="Total Pervious",(-(3630*'BMP P Tracking Table'!$U59+20.691*'BMP P Tracking Table'!$AA59)+SQRT((3630*'BMP P Tracking Table'!$U59+20.691*'BMP P Tracking Table'!$AA59)^2-(4*(996.798*'BMP P Tracking Table'!$AA59)*-'BMP P Tracking Table'!$AW59)))/(2*(996.798*'BMP P Tracking Table'!$AA59)),IF(SUM('BMP P Tracking Table'!$W59:$Z59)=0,'BMP P Tracking Table'!$AW59/(-3630*'BMP P Tracking Table'!$U59),(-(3630*'BMP P Tracking Table'!$U59+20.691*'BMP P Tracking Table'!$Z59-216.711*'BMP P Tracking Table'!$Y59-83.853*'BMP P Tracking Table'!$X59-42.834*'BMP P Tracking Table'!$W59)+SQRT((3630*'BMP P Tracking Table'!$U59+20.691*'BMP P Tracking Table'!$Z59-216.711*'BMP P Tracking Table'!$Y59-83.853*'BMP P Tracking Table'!$X59-42.834*'BMP P Tracking Table'!$W59)^2-(4*(149.919*'BMP P Tracking Table'!$W59+236.676*'BMP P Tracking Table'!$X59+726*'BMP P Tracking Table'!$Y59+996.798*'BMP P Tracking Table'!$Z59)*-'BMP P Tracking Table'!$AW59)))/(2*(149.919*'BMP P Tracking Table'!$W59+236.676*'BMP P Tracking Table'!$X59+726*'BMP P Tracking Table'!$Y59+996.798*'BMP P Tracking Table'!$Z59)))))),"")</f>
        <v/>
      </c>
      <c r="BA59" s="101" t="str">
        <f>IFERROR((VLOOKUP(CONCATENATE('BMP P Tracking Table'!$AV59," ",'BMP P Tracking Table'!$AX59),'Performance Curves'!$C$1:$L$45,MATCH('BMP P Tracking Table'!$AZ59,'Performance Curves'!$E$1:$L$1,1)+2,FALSE)-VLOOKUP(CONCATENATE('BMP P Tracking Table'!$AV59," ",'BMP P Tracking Table'!$AX59),'Performance Curves'!$C$1:$L$45,MATCH('BMP P Tracking Table'!$AZ59,'Performance Curves'!$E$1:$L$1,1)+1,FALSE)),"")</f>
        <v/>
      </c>
      <c r="BB59" s="101" t="str">
        <f>IFERROR(('BMP P Tracking Table'!$AZ59-INDEX('Performance Curves'!$E$1:$L$1,1,MATCH('BMP P Tracking Table'!$AZ59,'Performance Curves'!$E$1:$L$1,1)))/(INDEX('Performance Curves'!$E$1:$L$1,1,MATCH('BMP P Tracking Table'!$AZ59,'Performance Curves'!$E$1:$L$1,1)+1)-INDEX('Performance Curves'!$E$1:$L$1,1,MATCH('BMP P Tracking Table'!$AZ59,'Performance Curves'!$E$1:$L$1,1))),"")</f>
        <v/>
      </c>
      <c r="BC59" s="102" t="str">
        <f>IFERROR(IF('BMP P Tracking Table'!$AZ59=2,VLOOKUP(CONCATENATE('BMP P Tracking Table'!$AV59," ",'BMP P Tracking Table'!$AX59),'Performance Curves'!$C$1:$L$44,MATCH('BMP P Tracking Table'!$AZ59,'Performance Curves'!$E$1:$L$1,1)+1,FALSE),'BMP P Tracking Table'!$BA59*'BMP P Tracking Table'!$BB59+VLOOKUP(CONCATENATE('BMP P Tracking Table'!$AV59," ",'BMP P Tracking Table'!$AX59),'Performance Curves'!$C$1:$L$44,MATCH('BMP P Tracking Table'!$AZ59,'Performance Curves'!$E$1:$L$1,1)+1,FALSE)),"")</f>
        <v/>
      </c>
      <c r="BD59" s="101" t="str">
        <f>IFERROR('BMP P Tracking Table'!$BC59*'BMP P Tracking Table'!$AY59,"")</f>
        <v/>
      </c>
      <c r="BE59" s="96"/>
      <c r="BF59" s="37">
        <f t="shared" si="11"/>
        <v>0</v>
      </c>
      <c r="BK59" s="36" t="str">
        <f t="shared" si="13"/>
        <v>Winooski River</v>
      </c>
      <c r="BN59" s="36" t="s">
        <v>391</v>
      </c>
    </row>
    <row r="60" spans="1:69" ht="17.399999999999999" customHeight="1" x14ac:dyDescent="0.3">
      <c r="A60" s="169" t="s">
        <v>329</v>
      </c>
      <c r="B60" s="169" t="s">
        <v>339</v>
      </c>
      <c r="C60" s="169" t="s">
        <v>312</v>
      </c>
      <c r="D60" s="169" t="s">
        <v>6</v>
      </c>
      <c r="E60" s="170"/>
      <c r="F60" s="170"/>
      <c r="G60" s="169"/>
      <c r="H60" s="169"/>
      <c r="I60" s="169" t="s">
        <v>66</v>
      </c>
      <c r="J60" s="171"/>
      <c r="K60" s="169" t="s">
        <v>111</v>
      </c>
      <c r="L60" s="169"/>
      <c r="M60" s="169"/>
      <c r="N60" s="169"/>
      <c r="O60" s="169"/>
      <c r="P60" s="169" t="s">
        <v>34</v>
      </c>
      <c r="Q60" s="169" t="str">
        <f>IFERROR(VLOOKUP('BMP P Tracking Table'!$P60,Dropdowns!$C$2:$E$15,3,FALSE),"")</f>
        <v>Laplatte River</v>
      </c>
      <c r="R60" s="169" t="str">
        <f>IFERROR(VLOOKUP('BMP P Tracking Table'!$Q60,Dropdowns!$P$3:$Q$23,2,FALSE),"")</f>
        <v>Shelburne Bay</v>
      </c>
      <c r="S60" s="169" t="s">
        <v>66</v>
      </c>
      <c r="T60" s="169"/>
      <c r="U60" s="169"/>
      <c r="V60" s="169"/>
      <c r="W60" s="169"/>
      <c r="X60" s="169"/>
      <c r="Y60" s="169"/>
      <c r="Z60" s="169"/>
      <c r="AA60" s="169"/>
      <c r="AB60" s="174"/>
      <c r="AC60" s="169"/>
      <c r="AD60" s="175">
        <f>IFERROR('BMP P Tracking Table'!$U60*VLOOKUP('BMP P Tracking Table'!$Q60,'Loading Rates'!$B$1:$L$24,4,FALSE)+IF('BMP P Tracking Table'!$V60="By HSG",'BMP P Tracking Table'!$W60*VLOOKUP('BMP P Tracking Table'!$Q60,'Loading Rates'!$B$1:$L$24,6,FALSE)+'BMP P Tracking Table'!$X60*VLOOKUP('BMP P Tracking Table'!$Q60,'Loading Rates'!$B$1:$L$24,7,FALSE)+'BMP P Tracking Table'!$Y60*VLOOKUP('BMP P Tracking Table'!$Q60,'Loading Rates'!$B$1:$L$24,8,FALSE)+'BMP P Tracking Table'!$Z60*VLOOKUP('BMP P Tracking Table'!$Q60,'Loading Rates'!$B$1:$L$24,9,FALSE),'BMP P Tracking Table'!$AA60*VLOOKUP('BMP P Tracking Table'!$Q60,'Loading Rates'!$B$1:$L$24,10,FALSE)),"")</f>
        <v>0</v>
      </c>
      <c r="AE60" s="175" t="str">
        <f>IFERROR(MIN(2,IF('BMP P Tracking Table'!$V60="Total Pervious",(-(3630*'BMP P Tracking Table'!$U60+20.691*'BMP P Tracking Table'!$AA60)+SQRT((3630*'BMP P Tracking Table'!$U60+20.691*'BMP P Tracking Table'!$AA60)^2-(4*(996.798*'BMP P Tracking Table'!$AA60)*-'BMP P Tracking Table'!$AB60)))/(2*(996.798*'BMP P Tracking Table'!$AA60)),IF(SUM('BMP P Tracking Table'!$W60:$Z60)=0,'BMP P Tracking Table'!$AB60/(-3630*'BMP P Tracking Table'!$U60),(-(3630*'BMP P Tracking Table'!$U60+20.691*'BMP P Tracking Table'!$Z60-216.711*'BMP P Tracking Table'!$Y60-83.853*'BMP P Tracking Table'!$X60-42.834*'BMP P Tracking Table'!$W60)+SQRT((3630*'BMP P Tracking Table'!$U60+20.691*'BMP P Tracking Table'!$Z60-216.711*'BMP P Tracking Table'!$Y60-83.853*'BMP P Tracking Table'!$X60-42.834*'BMP P Tracking Table'!$W60)^2-(4*(149.919*'BMP P Tracking Table'!$W60+236.676*'BMP P Tracking Table'!$X60+726*'BMP P Tracking Table'!$Y60+996.798*'BMP P Tracking Table'!$Z60)*-'BMP P Tracking Table'!$AB60)))/(2*(149.919*'BMP P Tracking Table'!$W60+236.676*'BMP P Tracking Table'!$X60+726*'BMP P Tracking Table'!$Y60+996.798*'BMP P Tracking Table'!$Z60))))),"")</f>
        <v/>
      </c>
      <c r="AF60" s="175" t="str">
        <f>IFERROR((VLOOKUP(CONCATENATE('BMP P Tracking Table'!$T60," ",'BMP P Tracking Table'!$AC60),'Performance Curves'!$C$1:$L$45,MATCH('BMP P Tracking Table'!$AE60,'Performance Curves'!$E$1:$L$1,1)+2,FALSE)-VLOOKUP(CONCATENATE('BMP P Tracking Table'!$T60," ",'BMP P Tracking Table'!$AC60),'Performance Curves'!$C$1:$L$45,MATCH('BMP P Tracking Table'!$AE60,'Performance Curves'!$E$1:$L$1,1)+1,FALSE)),"")</f>
        <v/>
      </c>
      <c r="AG60" s="175" t="str">
        <f>IFERROR(('BMP P Tracking Table'!$AE60-INDEX('Performance Curves'!$E$1:$L$1,1,MATCH('BMP P Tracking Table'!$AE60,'Performance Curves'!$E$1:$L$1,1)))/(INDEX('Performance Curves'!$E$1:$L$1,1,MATCH('BMP P Tracking Table'!$AE60,'Performance Curves'!$E$1:$L$1,1)+1)-INDEX('Performance Curves'!$E$1:$L$1,1,MATCH('BMP P Tracking Table'!$AE60,'Performance Curves'!$E$1:$L$1,1))),"")</f>
        <v/>
      </c>
      <c r="AH60" s="176" t="str">
        <f>IFERROR(IF('BMP P Tracking Table'!$AE60=2,VLOOKUP(CONCATENATE('BMP P Tracking Table'!$T60," ",'BMP P Tracking Table'!$AC60),'Performance Curves'!$C$1:$L$45,MATCH('BMP P Tracking Table'!$AE60,'Performance Curves'!$E$1:$L$1,1)+1,FALSE),'BMP P Tracking Table'!$AF60*'BMP P Tracking Table'!$AG60+VLOOKUP(CONCATENATE('BMP P Tracking Table'!$T60," ",'BMP P Tracking Table'!$AC60),'Performance Curves'!$C$1:$L$45,MATCH('BMP P Tracking Table'!$AE60,'Performance Curves'!$E$1:$L$1,1)+1,FALSE)),"")</f>
        <v/>
      </c>
      <c r="AI60" s="175" t="str">
        <f>IFERROR('BMP P Tracking Table'!$AH60*'BMP P Tracking Table'!$AD60,"")</f>
        <v/>
      </c>
      <c r="AJ60" s="169">
        <v>0.8</v>
      </c>
      <c r="AK60" s="169"/>
      <c r="AL60" s="173"/>
      <c r="AM60" s="177">
        <v>1</v>
      </c>
      <c r="AN60" s="178">
        <f t="shared" si="8"/>
        <v>0.8</v>
      </c>
      <c r="AO60" s="96"/>
      <c r="AP60" s="96"/>
      <c r="AQ60" s="96"/>
      <c r="AR60" s="96"/>
      <c r="AS60" s="96"/>
      <c r="AT60" s="96"/>
      <c r="AU60" s="96"/>
      <c r="AV60" s="64"/>
      <c r="AW60" s="97"/>
      <c r="AX60" s="97"/>
      <c r="AY60" s="101" t="str">
        <f>IF('BMP P Tracking Table'!$AK60="Yes",IF('BMP P Tracking Table'!$AL60="No",'BMP P Tracking Table'!$U60*VLOOKUP('BMP P Tracking Table'!$Q60,'Loading Rates'!$B$1:$L$24,4,FALSE)+IF('BMP P Tracking Table'!$V60="By HSG",'BMP P Tracking Table'!$W60*VLOOKUP('BMP P Tracking Table'!$Q60,'Loading Rates'!$B$1:$L$24,6,FALSE)+'BMP P Tracking Table'!$X60*VLOOKUP('BMP P Tracking Table'!$Q60,'Loading Rates'!$B$1:$L$24,7,FALSE)+'BMP P Tracking Table'!$Y60*VLOOKUP('BMP P Tracking Table'!$Q60,'Loading Rates'!$B$1:$L$24,8,FALSE)+'BMP P Tracking Table'!$Z60*VLOOKUP('BMP P Tracking Table'!$Q60,'Loading Rates'!$B$1:$L$24,9,FALSE),'BMP P Tracking Table'!$AA60*VLOOKUP('BMP P Tracking Table'!$Q60,'Loading Rates'!$B$1:$L$24,10,FALSE)),'BMP P Tracking Table'!$AO60*VLOOKUP('BMP P Tracking Table'!$Q60,'Loading Rates'!$B$1:$L$24,4,FALSE)+IF('BMP P Tracking Table'!$AP60="By HSG",'BMP P Tracking Table'!$AQ60*VLOOKUP('BMP P Tracking Table'!$Q60,'Loading Rates'!$B$1:$L$24,6,FALSE)+'BMP P Tracking Table'!$AR60*VLOOKUP('BMP P Tracking Table'!$Q60,'Loading Rates'!$B$1:$L$24,7,FALSE)+'BMP P Tracking Table'!$AS60*VLOOKUP('BMP P Tracking Table'!$Q60,'Loading Rates'!$B$1:$L$24,8,FALSE)+'BMP P Tracking Table'!$AT60*VLOOKUP('BMP P Tracking Table'!$Q60,'Loading Rates'!$B$1:$L$24,9,FALSE),'BMP P Tracking Table'!$AU60*VLOOKUP('BMP P Tracking Table'!$Q60,'Loading Rates'!$B$1:$L$24,10,FALSE))),"")</f>
        <v/>
      </c>
      <c r="AZ60" s="101" t="str">
        <f>IFERROR(IF('BMP P Tracking Table'!$AL60="Yes",MIN(2,IF('BMP P Tracking Table'!$AP60="Total Pervious",(-(3630*'BMP P Tracking Table'!$AO60+20.691*'BMP P Tracking Table'!$AU60)+SQRT((3630*'BMP P Tracking Table'!$AO60+20.691*'BMP P Tracking Table'!$AU60)^2-(4*(996.798*'BMP P Tracking Table'!$AU60)*-'BMP P Tracking Table'!$AW60)))/(2*(996.798*'BMP P Tracking Table'!$AU60)),IF(SUM('BMP P Tracking Table'!$AQ60:$AT60)=0,'BMP P Tracking Table'!$AU60/(-3630*'BMP P Tracking Table'!$AO60),(-(3630*'BMP P Tracking Table'!$AO60+20.691*'BMP P Tracking Table'!$AT60-216.711*'BMP P Tracking Table'!$AS60-83.853*'BMP P Tracking Table'!$AR60-42.834*'BMP P Tracking Table'!$AQ60)+SQRT((3630*'BMP P Tracking Table'!$AO60+20.691*'BMP P Tracking Table'!$AT60-216.711*'BMP P Tracking Table'!$AS60-83.853*'BMP P Tracking Table'!$AR60-42.834*'BMP P Tracking Table'!$AQ60)^2-(4*(149.919*'BMP P Tracking Table'!$AQ60+236.676*'BMP P Tracking Table'!$AR60+726*'BMP P Tracking Table'!$AS60+996.798*'BMP P Tracking Table'!$AT60)*-'BMP P Tracking Table'!$AW60)))/(2*(149.919*'BMP P Tracking Table'!$AQ60+236.676*'BMP P Tracking Table'!$AR60+726*'BMP P Tracking Table'!$AS60+996.798*'BMP P Tracking Table'!$AT60))))),MIN(2,IF('BMP P Tracking Table'!$AP60="Total Pervious",(-(3630*'BMP P Tracking Table'!$U60+20.691*'BMP P Tracking Table'!$AA60)+SQRT((3630*'BMP P Tracking Table'!$U60+20.691*'BMP P Tracking Table'!$AA60)^2-(4*(996.798*'BMP P Tracking Table'!$AA60)*-'BMP P Tracking Table'!$AW60)))/(2*(996.798*'BMP P Tracking Table'!$AA60)),IF(SUM('BMP P Tracking Table'!$W60:$Z60)=0,'BMP P Tracking Table'!$AW60/(-3630*'BMP P Tracking Table'!$U60),(-(3630*'BMP P Tracking Table'!$U60+20.691*'BMP P Tracking Table'!$Z60-216.711*'BMP P Tracking Table'!$Y60-83.853*'BMP P Tracking Table'!$X60-42.834*'BMP P Tracking Table'!$W60)+SQRT((3630*'BMP P Tracking Table'!$U60+20.691*'BMP P Tracking Table'!$Z60-216.711*'BMP P Tracking Table'!$Y60-83.853*'BMP P Tracking Table'!$X60-42.834*'BMP P Tracking Table'!$W60)^2-(4*(149.919*'BMP P Tracking Table'!$W60+236.676*'BMP P Tracking Table'!$X60+726*'BMP P Tracking Table'!$Y60+996.798*'BMP P Tracking Table'!$Z60)*-'BMP P Tracking Table'!$AW60)))/(2*(149.919*'BMP P Tracking Table'!$W60+236.676*'BMP P Tracking Table'!$X60+726*'BMP P Tracking Table'!$Y60+996.798*'BMP P Tracking Table'!$Z60)))))),"")</f>
        <v/>
      </c>
      <c r="BA60" s="101" t="str">
        <f>IFERROR((VLOOKUP(CONCATENATE('BMP P Tracking Table'!$AV60," ",'BMP P Tracking Table'!$AX60),'Performance Curves'!$C$1:$L$45,MATCH('BMP P Tracking Table'!$AZ60,'Performance Curves'!$E$1:$L$1,1)+2,FALSE)-VLOOKUP(CONCATENATE('BMP P Tracking Table'!$AV60," ",'BMP P Tracking Table'!$AX60),'Performance Curves'!$C$1:$L$45,MATCH('BMP P Tracking Table'!$AZ60,'Performance Curves'!$E$1:$L$1,1)+1,FALSE)),"")</f>
        <v/>
      </c>
      <c r="BB60" s="101" t="str">
        <f>IFERROR(('BMP P Tracking Table'!$AZ60-INDEX('Performance Curves'!$E$1:$L$1,1,MATCH('BMP P Tracking Table'!$AZ60,'Performance Curves'!$E$1:$L$1,1)))/(INDEX('Performance Curves'!$E$1:$L$1,1,MATCH('BMP P Tracking Table'!$AZ60,'Performance Curves'!$E$1:$L$1,1)+1)-INDEX('Performance Curves'!$E$1:$L$1,1,MATCH('BMP P Tracking Table'!$AZ60,'Performance Curves'!$E$1:$L$1,1))),"")</f>
        <v/>
      </c>
      <c r="BC60" s="102" t="str">
        <f>IFERROR(IF('BMP P Tracking Table'!$AZ60=2,VLOOKUP(CONCATENATE('BMP P Tracking Table'!$AV60," ",'BMP P Tracking Table'!$AX60),'Performance Curves'!$C$1:$L$44,MATCH('BMP P Tracking Table'!$AZ60,'Performance Curves'!$E$1:$L$1,1)+1,FALSE),'BMP P Tracking Table'!$BA60*'BMP P Tracking Table'!$BB60+VLOOKUP(CONCATENATE('BMP P Tracking Table'!$AV60," ",'BMP P Tracking Table'!$AX60),'Performance Curves'!$C$1:$L$44,MATCH('BMP P Tracking Table'!$AZ60,'Performance Curves'!$E$1:$L$1,1)+1,FALSE)),"")</f>
        <v/>
      </c>
      <c r="BD60" s="101" t="str">
        <f>IFERROR('BMP P Tracking Table'!$BC60*'BMP P Tracking Table'!$AY60,"")</f>
        <v/>
      </c>
      <c r="BE60" s="96"/>
      <c r="BF60" s="37">
        <f t="shared" si="11"/>
        <v>0</v>
      </c>
      <c r="BK60" s="36" t="str">
        <f t="shared" si="13"/>
        <v>Laplatte River</v>
      </c>
      <c r="BN60" s="36" t="s">
        <v>391</v>
      </c>
    </row>
    <row r="61" spans="1:69" ht="17.399999999999999" customHeight="1" x14ac:dyDescent="0.3">
      <c r="A61" s="169" t="s">
        <v>335</v>
      </c>
      <c r="B61" s="169" t="s">
        <v>340</v>
      </c>
      <c r="C61" s="169" t="s">
        <v>312</v>
      </c>
      <c r="D61" s="169" t="s">
        <v>6</v>
      </c>
      <c r="E61" s="170"/>
      <c r="F61" s="170"/>
      <c r="G61" s="169"/>
      <c r="H61" s="169"/>
      <c r="I61" s="169" t="s">
        <v>66</v>
      </c>
      <c r="J61" s="171"/>
      <c r="K61" s="169" t="s">
        <v>111</v>
      </c>
      <c r="L61" s="169"/>
      <c r="M61" s="169"/>
      <c r="N61" s="169"/>
      <c r="O61" s="169"/>
      <c r="P61" s="169" t="s">
        <v>119</v>
      </c>
      <c r="Q61" s="169" t="s">
        <v>146</v>
      </c>
      <c r="R61" s="169" t="str">
        <f>IFERROR(VLOOKUP('BMP P Tracking Table'!$Q61,Dropdowns!$P$3:$Q$23,2,FALSE),"")</f>
        <v>Main Lake</v>
      </c>
      <c r="S61" s="169" t="s">
        <v>66</v>
      </c>
      <c r="T61" s="169"/>
      <c r="U61" s="169"/>
      <c r="V61" s="169"/>
      <c r="W61" s="169"/>
      <c r="X61" s="169"/>
      <c r="Y61" s="169"/>
      <c r="Z61" s="169"/>
      <c r="AA61" s="169"/>
      <c r="AB61" s="174"/>
      <c r="AC61" s="169"/>
      <c r="AD61" s="175">
        <f>IFERROR('BMP P Tracking Table'!$U61*VLOOKUP('BMP P Tracking Table'!$Q61,'Loading Rates'!$B$1:$L$24,4,FALSE)+IF('BMP P Tracking Table'!$V61="By HSG",'BMP P Tracking Table'!$W61*VLOOKUP('BMP P Tracking Table'!$Q61,'Loading Rates'!$B$1:$L$24,6,FALSE)+'BMP P Tracking Table'!$X61*VLOOKUP('BMP P Tracking Table'!$Q61,'Loading Rates'!$B$1:$L$24,7,FALSE)+'BMP P Tracking Table'!$Y61*VLOOKUP('BMP P Tracking Table'!$Q61,'Loading Rates'!$B$1:$L$24,8,FALSE)+'BMP P Tracking Table'!$Z61*VLOOKUP('BMP P Tracking Table'!$Q61,'Loading Rates'!$B$1:$L$24,9,FALSE),'BMP P Tracking Table'!$AA61*VLOOKUP('BMP P Tracking Table'!$Q61,'Loading Rates'!$B$1:$L$24,10,FALSE)),"")</f>
        <v>0</v>
      </c>
      <c r="AE61" s="175" t="str">
        <f>IFERROR(MIN(2,IF('BMP P Tracking Table'!$V61="Total Pervious",(-(3630*'BMP P Tracking Table'!$U61+20.691*'BMP P Tracking Table'!$AA61)+SQRT((3630*'BMP P Tracking Table'!$U61+20.691*'BMP P Tracking Table'!$AA61)^2-(4*(996.798*'BMP P Tracking Table'!$AA61)*-'BMP P Tracking Table'!$AB61)))/(2*(996.798*'BMP P Tracking Table'!$AA61)),IF(SUM('BMP P Tracking Table'!$W61:$Z61)=0,'BMP P Tracking Table'!$AB61/(-3630*'BMP P Tracking Table'!$U61),(-(3630*'BMP P Tracking Table'!$U61+20.691*'BMP P Tracking Table'!$Z61-216.711*'BMP P Tracking Table'!$Y61-83.853*'BMP P Tracking Table'!$X61-42.834*'BMP P Tracking Table'!$W61)+SQRT((3630*'BMP P Tracking Table'!$U61+20.691*'BMP P Tracking Table'!$Z61-216.711*'BMP P Tracking Table'!$Y61-83.853*'BMP P Tracking Table'!$X61-42.834*'BMP P Tracking Table'!$W61)^2-(4*(149.919*'BMP P Tracking Table'!$W61+236.676*'BMP P Tracking Table'!$X61+726*'BMP P Tracking Table'!$Y61+996.798*'BMP P Tracking Table'!$Z61)*-'BMP P Tracking Table'!$AB61)))/(2*(149.919*'BMP P Tracking Table'!$W61+236.676*'BMP P Tracking Table'!$X61+726*'BMP P Tracking Table'!$Y61+996.798*'BMP P Tracking Table'!$Z61))))),"")</f>
        <v/>
      </c>
      <c r="AF61" s="175" t="str">
        <f>IFERROR((VLOOKUP(CONCATENATE('BMP P Tracking Table'!$T61," ",'BMP P Tracking Table'!$AC61),'Performance Curves'!$C$1:$L$45,MATCH('BMP P Tracking Table'!$AE61,'Performance Curves'!$E$1:$L$1,1)+2,FALSE)-VLOOKUP(CONCATENATE('BMP P Tracking Table'!$T61," ",'BMP P Tracking Table'!$AC61),'Performance Curves'!$C$1:$L$45,MATCH('BMP P Tracking Table'!$AE61,'Performance Curves'!$E$1:$L$1,1)+1,FALSE)),"")</f>
        <v/>
      </c>
      <c r="AG61" s="175" t="str">
        <f>IFERROR(('BMP P Tracking Table'!$AE61-INDEX('Performance Curves'!$E$1:$L$1,1,MATCH('BMP P Tracking Table'!$AE61,'Performance Curves'!$E$1:$L$1,1)))/(INDEX('Performance Curves'!$E$1:$L$1,1,MATCH('BMP P Tracking Table'!$AE61,'Performance Curves'!$E$1:$L$1,1)+1)-INDEX('Performance Curves'!$E$1:$L$1,1,MATCH('BMP P Tracking Table'!$AE61,'Performance Curves'!$E$1:$L$1,1))),"")</f>
        <v/>
      </c>
      <c r="AH61" s="176" t="str">
        <f>IFERROR(IF('BMP P Tracking Table'!$AE61=2,VLOOKUP(CONCATENATE('BMP P Tracking Table'!$T61," ",'BMP P Tracking Table'!$AC61),'Performance Curves'!$C$1:$L$45,MATCH('BMP P Tracking Table'!$AE61,'Performance Curves'!$E$1:$L$1,1)+1,FALSE),'BMP P Tracking Table'!$AF61*'BMP P Tracking Table'!$AG61+VLOOKUP(CONCATENATE('BMP P Tracking Table'!$T61," ",'BMP P Tracking Table'!$AC61),'Performance Curves'!$C$1:$L$45,MATCH('BMP P Tracking Table'!$AE61,'Performance Curves'!$E$1:$L$1,1)+1,FALSE)),"")</f>
        <v/>
      </c>
      <c r="AI61" s="175" t="str">
        <f>IFERROR('BMP P Tracking Table'!$AH61*'BMP P Tracking Table'!$AD61,"")</f>
        <v/>
      </c>
      <c r="AJ61" s="169">
        <v>4.3</v>
      </c>
      <c r="AK61" s="169"/>
      <c r="AL61" s="173"/>
      <c r="AM61" s="177">
        <v>1</v>
      </c>
      <c r="AN61" s="178">
        <f t="shared" si="8"/>
        <v>4.3</v>
      </c>
      <c r="AO61" s="96"/>
      <c r="AP61" s="96"/>
      <c r="AQ61" s="96"/>
      <c r="AR61" s="96"/>
      <c r="AS61" s="96"/>
      <c r="AT61" s="96"/>
      <c r="AU61" s="96"/>
      <c r="AV61" s="64"/>
      <c r="AW61" s="97"/>
      <c r="AX61" s="97"/>
      <c r="AY61" s="101" t="str">
        <f>IF('BMP P Tracking Table'!$AK61="Yes",IF('BMP P Tracking Table'!$AL61="No",'BMP P Tracking Table'!$U61*VLOOKUP('BMP P Tracking Table'!$Q61,'Loading Rates'!$B$1:$L$24,4,FALSE)+IF('BMP P Tracking Table'!$V61="By HSG",'BMP P Tracking Table'!$W61*VLOOKUP('BMP P Tracking Table'!$Q61,'Loading Rates'!$B$1:$L$24,6,FALSE)+'BMP P Tracking Table'!$X61*VLOOKUP('BMP P Tracking Table'!$Q61,'Loading Rates'!$B$1:$L$24,7,FALSE)+'BMP P Tracking Table'!$Y61*VLOOKUP('BMP P Tracking Table'!$Q61,'Loading Rates'!$B$1:$L$24,8,FALSE)+'BMP P Tracking Table'!$Z61*VLOOKUP('BMP P Tracking Table'!$Q61,'Loading Rates'!$B$1:$L$24,9,FALSE),'BMP P Tracking Table'!$AA61*VLOOKUP('BMP P Tracking Table'!$Q61,'Loading Rates'!$B$1:$L$24,10,FALSE)),'BMP P Tracking Table'!$AO61*VLOOKUP('BMP P Tracking Table'!$Q61,'Loading Rates'!$B$1:$L$24,4,FALSE)+IF('BMP P Tracking Table'!$AP61="By HSG",'BMP P Tracking Table'!$AQ61*VLOOKUP('BMP P Tracking Table'!$Q61,'Loading Rates'!$B$1:$L$24,6,FALSE)+'BMP P Tracking Table'!$AR61*VLOOKUP('BMP P Tracking Table'!$Q61,'Loading Rates'!$B$1:$L$24,7,FALSE)+'BMP P Tracking Table'!$AS61*VLOOKUP('BMP P Tracking Table'!$Q61,'Loading Rates'!$B$1:$L$24,8,FALSE)+'BMP P Tracking Table'!$AT61*VLOOKUP('BMP P Tracking Table'!$Q61,'Loading Rates'!$B$1:$L$24,9,FALSE),'BMP P Tracking Table'!$AU61*VLOOKUP('BMP P Tracking Table'!$Q61,'Loading Rates'!$B$1:$L$24,10,FALSE))),"")</f>
        <v/>
      </c>
      <c r="AZ61" s="101" t="str">
        <f>IFERROR(IF('BMP P Tracking Table'!$AL61="Yes",MIN(2,IF('BMP P Tracking Table'!$AP61="Total Pervious",(-(3630*'BMP P Tracking Table'!$AO61+20.691*'BMP P Tracking Table'!$AU61)+SQRT((3630*'BMP P Tracking Table'!$AO61+20.691*'BMP P Tracking Table'!$AU61)^2-(4*(996.798*'BMP P Tracking Table'!$AU61)*-'BMP P Tracking Table'!$AW61)))/(2*(996.798*'BMP P Tracking Table'!$AU61)),IF(SUM('BMP P Tracking Table'!$AQ61:$AT61)=0,'BMP P Tracking Table'!$AU61/(-3630*'BMP P Tracking Table'!$AO61),(-(3630*'BMP P Tracking Table'!$AO61+20.691*'BMP P Tracking Table'!$AT61-216.711*'BMP P Tracking Table'!$AS61-83.853*'BMP P Tracking Table'!$AR61-42.834*'BMP P Tracking Table'!$AQ61)+SQRT((3630*'BMP P Tracking Table'!$AO61+20.691*'BMP P Tracking Table'!$AT61-216.711*'BMP P Tracking Table'!$AS61-83.853*'BMP P Tracking Table'!$AR61-42.834*'BMP P Tracking Table'!$AQ61)^2-(4*(149.919*'BMP P Tracking Table'!$AQ61+236.676*'BMP P Tracking Table'!$AR61+726*'BMP P Tracking Table'!$AS61+996.798*'BMP P Tracking Table'!$AT61)*-'BMP P Tracking Table'!$AW61)))/(2*(149.919*'BMP P Tracking Table'!$AQ61+236.676*'BMP P Tracking Table'!$AR61+726*'BMP P Tracking Table'!$AS61+996.798*'BMP P Tracking Table'!$AT61))))),MIN(2,IF('BMP P Tracking Table'!$AP61="Total Pervious",(-(3630*'BMP P Tracking Table'!$U61+20.691*'BMP P Tracking Table'!$AA61)+SQRT((3630*'BMP P Tracking Table'!$U61+20.691*'BMP P Tracking Table'!$AA61)^2-(4*(996.798*'BMP P Tracking Table'!$AA61)*-'BMP P Tracking Table'!$AW61)))/(2*(996.798*'BMP P Tracking Table'!$AA61)),IF(SUM('BMP P Tracking Table'!$W61:$Z61)=0,'BMP P Tracking Table'!$AW61/(-3630*'BMP P Tracking Table'!$U61),(-(3630*'BMP P Tracking Table'!$U61+20.691*'BMP P Tracking Table'!$Z61-216.711*'BMP P Tracking Table'!$Y61-83.853*'BMP P Tracking Table'!$X61-42.834*'BMP P Tracking Table'!$W61)+SQRT((3630*'BMP P Tracking Table'!$U61+20.691*'BMP P Tracking Table'!$Z61-216.711*'BMP P Tracking Table'!$Y61-83.853*'BMP P Tracking Table'!$X61-42.834*'BMP P Tracking Table'!$W61)^2-(4*(149.919*'BMP P Tracking Table'!$W61+236.676*'BMP P Tracking Table'!$X61+726*'BMP P Tracking Table'!$Y61+996.798*'BMP P Tracking Table'!$Z61)*-'BMP P Tracking Table'!$AW61)))/(2*(149.919*'BMP P Tracking Table'!$W61+236.676*'BMP P Tracking Table'!$X61+726*'BMP P Tracking Table'!$Y61+996.798*'BMP P Tracking Table'!$Z61)))))),"")</f>
        <v/>
      </c>
      <c r="BA61" s="101" t="str">
        <f>IFERROR((VLOOKUP(CONCATENATE('BMP P Tracking Table'!$AV61," ",'BMP P Tracking Table'!$AX61),'Performance Curves'!$C$1:$L$45,MATCH('BMP P Tracking Table'!$AZ61,'Performance Curves'!$E$1:$L$1,1)+2,FALSE)-VLOOKUP(CONCATENATE('BMP P Tracking Table'!$AV61," ",'BMP P Tracking Table'!$AX61),'Performance Curves'!$C$1:$L$45,MATCH('BMP P Tracking Table'!$AZ61,'Performance Curves'!$E$1:$L$1,1)+1,FALSE)),"")</f>
        <v/>
      </c>
      <c r="BB61" s="101" t="str">
        <f>IFERROR(('BMP P Tracking Table'!$AZ61-INDEX('Performance Curves'!$E$1:$L$1,1,MATCH('BMP P Tracking Table'!$AZ61,'Performance Curves'!$E$1:$L$1,1)))/(INDEX('Performance Curves'!$E$1:$L$1,1,MATCH('BMP P Tracking Table'!$AZ61,'Performance Curves'!$E$1:$L$1,1)+1)-INDEX('Performance Curves'!$E$1:$L$1,1,MATCH('BMP P Tracking Table'!$AZ61,'Performance Curves'!$E$1:$L$1,1))),"")</f>
        <v/>
      </c>
      <c r="BC61" s="102" t="str">
        <f>IFERROR(IF('BMP P Tracking Table'!$AZ61=2,VLOOKUP(CONCATENATE('BMP P Tracking Table'!$AV61," ",'BMP P Tracking Table'!$AX61),'Performance Curves'!$C$1:$L$44,MATCH('BMP P Tracking Table'!$AZ61,'Performance Curves'!$E$1:$L$1,1)+1,FALSE),'BMP P Tracking Table'!$BA61*'BMP P Tracking Table'!$BB61+VLOOKUP(CONCATENATE('BMP P Tracking Table'!$AV61," ",'BMP P Tracking Table'!$AX61),'Performance Curves'!$C$1:$L$44,MATCH('BMP P Tracking Table'!$AZ61,'Performance Curves'!$E$1:$L$1,1)+1,FALSE)),"")</f>
        <v/>
      </c>
      <c r="BD61" s="101" t="str">
        <f>IFERROR('BMP P Tracking Table'!$BC61*'BMP P Tracking Table'!$AY61,"")</f>
        <v/>
      </c>
      <c r="BE61" s="96"/>
      <c r="BF61" s="37">
        <f t="shared" si="11"/>
        <v>0</v>
      </c>
      <c r="BK61" s="36" t="str">
        <f t="shared" si="13"/>
        <v>Winooski River</v>
      </c>
      <c r="BN61" s="36" t="s">
        <v>391</v>
      </c>
    </row>
    <row r="62" spans="1:69" ht="17.399999999999999" customHeight="1" x14ac:dyDescent="0.3">
      <c r="A62" s="148" t="s">
        <v>362</v>
      </c>
      <c r="B62" s="169"/>
      <c r="C62" s="169"/>
      <c r="D62" s="169"/>
      <c r="E62" s="170"/>
      <c r="F62" s="170"/>
      <c r="G62" s="169"/>
      <c r="H62" s="169"/>
      <c r="I62" s="169"/>
      <c r="J62" s="171"/>
      <c r="K62" s="169"/>
      <c r="L62" s="169"/>
      <c r="M62" s="169"/>
      <c r="N62" s="169"/>
      <c r="O62" s="169"/>
      <c r="P62" s="169"/>
      <c r="Q62" s="169" t="str">
        <f>IFERROR(VLOOKUP('BMP P Tracking Table'!$P62,Dropdowns!$C$2:$E$15,3,FALSE),"")</f>
        <v/>
      </c>
      <c r="R62" s="169" t="str">
        <f>IFERROR(VLOOKUP('BMP P Tracking Table'!$Q62,Dropdowns!$P$3:$Q$23,2,FALSE),"")</f>
        <v/>
      </c>
      <c r="S62" s="169"/>
      <c r="T62" s="169"/>
      <c r="U62" s="169"/>
      <c r="V62" s="169"/>
      <c r="W62" s="169"/>
      <c r="X62" s="169"/>
      <c r="Y62" s="169"/>
      <c r="Z62" s="169"/>
      <c r="AA62" s="169"/>
      <c r="AB62" s="174"/>
      <c r="AC62" s="169"/>
      <c r="AD62" s="175" t="str">
        <f>IFERROR('BMP P Tracking Table'!$U62*VLOOKUP('BMP P Tracking Table'!$Q62,'Loading Rates'!$B$1:$L$24,4,FALSE)+IF('BMP P Tracking Table'!$V62="By HSG",'BMP P Tracking Table'!$W62*VLOOKUP('BMP P Tracking Table'!$Q62,'Loading Rates'!$B$1:$L$24,6,FALSE)+'BMP P Tracking Table'!$X62*VLOOKUP('BMP P Tracking Table'!$Q62,'Loading Rates'!$B$1:$L$24,7,FALSE)+'BMP P Tracking Table'!$Y62*VLOOKUP('BMP P Tracking Table'!$Q62,'Loading Rates'!$B$1:$L$24,8,FALSE)+'BMP P Tracking Table'!$Z62*VLOOKUP('BMP P Tracking Table'!$Q62,'Loading Rates'!$B$1:$L$24,9,FALSE),'BMP P Tracking Table'!$AA62*VLOOKUP('BMP P Tracking Table'!$Q62,'Loading Rates'!$B$1:$L$24,10,FALSE)),"")</f>
        <v/>
      </c>
      <c r="AE62" s="175" t="str">
        <f>IFERROR(MIN(2,IF('BMP P Tracking Table'!$V62="Total Pervious",(-(3630*'BMP P Tracking Table'!$U62+20.691*'BMP P Tracking Table'!$AA62)+SQRT((3630*'BMP P Tracking Table'!$U62+20.691*'BMP P Tracking Table'!$AA62)^2-(4*(996.798*'BMP P Tracking Table'!$AA62)*-'BMP P Tracking Table'!$AB62)))/(2*(996.798*'BMP P Tracking Table'!$AA62)),IF(SUM('BMP P Tracking Table'!$W62:$Z62)=0,'BMP P Tracking Table'!$AB62/(-3630*'BMP P Tracking Table'!$U62),(-(3630*'BMP P Tracking Table'!$U62+20.691*'BMP P Tracking Table'!$Z62-216.711*'BMP P Tracking Table'!$Y62-83.853*'BMP P Tracking Table'!$X62-42.834*'BMP P Tracking Table'!$W62)+SQRT((3630*'BMP P Tracking Table'!$U62+20.691*'BMP P Tracking Table'!$Z62-216.711*'BMP P Tracking Table'!$Y62-83.853*'BMP P Tracking Table'!$X62-42.834*'BMP P Tracking Table'!$W62)^2-(4*(149.919*'BMP P Tracking Table'!$W62+236.676*'BMP P Tracking Table'!$X62+726*'BMP P Tracking Table'!$Y62+996.798*'BMP P Tracking Table'!$Z62)*-'BMP P Tracking Table'!$AB62)))/(2*(149.919*'BMP P Tracking Table'!$W62+236.676*'BMP P Tracking Table'!$X62+726*'BMP P Tracking Table'!$Y62+996.798*'BMP P Tracking Table'!$Z62))))),"")</f>
        <v/>
      </c>
      <c r="AF62" s="175" t="str">
        <f>IFERROR((VLOOKUP(CONCATENATE('BMP P Tracking Table'!$T62," ",'BMP P Tracking Table'!$AC62),'Performance Curves'!$C$1:$L$45,MATCH('BMP P Tracking Table'!$AE62,'Performance Curves'!$E$1:$L$1,1)+2,FALSE)-VLOOKUP(CONCATENATE('BMP P Tracking Table'!$T62," ",'BMP P Tracking Table'!$AC62),'Performance Curves'!$C$1:$L$45,MATCH('BMP P Tracking Table'!$AE62,'Performance Curves'!$E$1:$L$1,1)+1,FALSE)),"")</f>
        <v/>
      </c>
      <c r="AG62" s="175" t="str">
        <f>IFERROR(('BMP P Tracking Table'!$AE62-INDEX('Performance Curves'!$E$1:$L$1,1,MATCH('BMP P Tracking Table'!$AE62,'Performance Curves'!$E$1:$L$1,1)))/(INDEX('Performance Curves'!$E$1:$L$1,1,MATCH('BMP P Tracking Table'!$AE62,'Performance Curves'!$E$1:$L$1,1)+1)-INDEX('Performance Curves'!$E$1:$L$1,1,MATCH('BMP P Tracking Table'!$AE62,'Performance Curves'!$E$1:$L$1,1))),"")</f>
        <v/>
      </c>
      <c r="AH62" s="176" t="str">
        <f>IFERROR(IF('BMP P Tracking Table'!$AE62=2,VLOOKUP(CONCATENATE('BMP P Tracking Table'!$T62," ",'BMP P Tracking Table'!$AC62),'Performance Curves'!$C$1:$L$45,MATCH('BMP P Tracking Table'!$AE62,'Performance Curves'!$E$1:$L$1,1)+1,FALSE),'BMP P Tracking Table'!$AF62*'BMP P Tracking Table'!$AG62+VLOOKUP(CONCATENATE('BMP P Tracking Table'!$T62," ",'BMP P Tracking Table'!$AC62),'Performance Curves'!$C$1:$L$45,MATCH('BMP P Tracking Table'!$AE62,'Performance Curves'!$E$1:$L$1,1)+1,FALSE)),"")</f>
        <v/>
      </c>
      <c r="AI62" s="175" t="str">
        <f>IFERROR('BMP P Tracking Table'!$AH62*'BMP P Tracking Table'!$AD62,"")</f>
        <v/>
      </c>
      <c r="AJ62" s="169"/>
      <c r="AK62" s="169"/>
      <c r="AL62" s="173"/>
      <c r="AM62" s="177"/>
      <c r="AN62" s="178" t="str">
        <f t="shared" si="8"/>
        <v/>
      </c>
      <c r="AO62" s="96"/>
      <c r="AP62" s="96"/>
      <c r="AQ62" s="96"/>
      <c r="AR62" s="96"/>
      <c r="AS62" s="96"/>
      <c r="AT62" s="96"/>
      <c r="AU62" s="96"/>
      <c r="AV62" s="64"/>
      <c r="AW62" s="97"/>
      <c r="AX62" s="97"/>
      <c r="AY62" s="101" t="str">
        <f>IF('BMP P Tracking Table'!$AK62="Yes",IF('BMP P Tracking Table'!$AL62="No",'BMP P Tracking Table'!$U62*VLOOKUP('BMP P Tracking Table'!$Q62,'Loading Rates'!$B$1:$L$24,4,FALSE)+IF('BMP P Tracking Table'!$V62="By HSG",'BMP P Tracking Table'!$W62*VLOOKUP('BMP P Tracking Table'!$Q62,'Loading Rates'!$B$1:$L$24,6,FALSE)+'BMP P Tracking Table'!$X62*VLOOKUP('BMP P Tracking Table'!$Q62,'Loading Rates'!$B$1:$L$24,7,FALSE)+'BMP P Tracking Table'!$Y62*VLOOKUP('BMP P Tracking Table'!$Q62,'Loading Rates'!$B$1:$L$24,8,FALSE)+'BMP P Tracking Table'!$Z62*VLOOKUP('BMP P Tracking Table'!$Q62,'Loading Rates'!$B$1:$L$24,9,FALSE),'BMP P Tracking Table'!$AA62*VLOOKUP('BMP P Tracking Table'!$Q62,'Loading Rates'!$B$1:$L$24,10,FALSE)),'BMP P Tracking Table'!$AO62*VLOOKUP('BMP P Tracking Table'!$Q62,'Loading Rates'!$B$1:$L$24,4,FALSE)+IF('BMP P Tracking Table'!$AP62="By HSG",'BMP P Tracking Table'!$AQ62*VLOOKUP('BMP P Tracking Table'!$Q62,'Loading Rates'!$B$1:$L$24,6,FALSE)+'BMP P Tracking Table'!$AR62*VLOOKUP('BMP P Tracking Table'!$Q62,'Loading Rates'!$B$1:$L$24,7,FALSE)+'BMP P Tracking Table'!$AS62*VLOOKUP('BMP P Tracking Table'!$Q62,'Loading Rates'!$B$1:$L$24,8,FALSE)+'BMP P Tracking Table'!$AT62*VLOOKUP('BMP P Tracking Table'!$Q62,'Loading Rates'!$B$1:$L$24,9,FALSE),'BMP P Tracking Table'!$AU62*VLOOKUP('BMP P Tracking Table'!$Q62,'Loading Rates'!$B$1:$L$24,10,FALSE))),"")</f>
        <v/>
      </c>
      <c r="AZ62" s="101" t="str">
        <f>IFERROR(IF('BMP P Tracking Table'!$AL62="Yes",MIN(2,IF('BMP P Tracking Table'!$AP62="Total Pervious",(-(3630*'BMP P Tracking Table'!$AO62+20.691*'BMP P Tracking Table'!$AU62)+SQRT((3630*'BMP P Tracking Table'!$AO62+20.691*'BMP P Tracking Table'!$AU62)^2-(4*(996.798*'BMP P Tracking Table'!$AU62)*-'BMP P Tracking Table'!$AW62)))/(2*(996.798*'BMP P Tracking Table'!$AU62)),IF(SUM('BMP P Tracking Table'!$AQ62:$AT62)=0,'BMP P Tracking Table'!$AU62/(-3630*'BMP P Tracking Table'!$AO62),(-(3630*'BMP P Tracking Table'!$AO62+20.691*'BMP P Tracking Table'!$AT62-216.711*'BMP P Tracking Table'!$AS62-83.853*'BMP P Tracking Table'!$AR62-42.834*'BMP P Tracking Table'!$AQ62)+SQRT((3630*'BMP P Tracking Table'!$AO62+20.691*'BMP P Tracking Table'!$AT62-216.711*'BMP P Tracking Table'!$AS62-83.853*'BMP P Tracking Table'!$AR62-42.834*'BMP P Tracking Table'!$AQ62)^2-(4*(149.919*'BMP P Tracking Table'!$AQ62+236.676*'BMP P Tracking Table'!$AR62+726*'BMP P Tracking Table'!$AS62+996.798*'BMP P Tracking Table'!$AT62)*-'BMP P Tracking Table'!$AW62)))/(2*(149.919*'BMP P Tracking Table'!$AQ62+236.676*'BMP P Tracking Table'!$AR62+726*'BMP P Tracking Table'!$AS62+996.798*'BMP P Tracking Table'!$AT62))))),MIN(2,IF('BMP P Tracking Table'!$AP62="Total Pervious",(-(3630*'BMP P Tracking Table'!$U62+20.691*'BMP P Tracking Table'!$AA62)+SQRT((3630*'BMP P Tracking Table'!$U62+20.691*'BMP P Tracking Table'!$AA62)^2-(4*(996.798*'BMP P Tracking Table'!$AA62)*-'BMP P Tracking Table'!$AW62)))/(2*(996.798*'BMP P Tracking Table'!$AA62)),IF(SUM('BMP P Tracking Table'!$W62:$Z62)=0,'BMP P Tracking Table'!$AW62/(-3630*'BMP P Tracking Table'!$U62),(-(3630*'BMP P Tracking Table'!$U62+20.691*'BMP P Tracking Table'!$Z62-216.711*'BMP P Tracking Table'!$Y62-83.853*'BMP P Tracking Table'!$X62-42.834*'BMP P Tracking Table'!$W62)+SQRT((3630*'BMP P Tracking Table'!$U62+20.691*'BMP P Tracking Table'!$Z62-216.711*'BMP P Tracking Table'!$Y62-83.853*'BMP P Tracking Table'!$X62-42.834*'BMP P Tracking Table'!$W62)^2-(4*(149.919*'BMP P Tracking Table'!$W62+236.676*'BMP P Tracking Table'!$X62+726*'BMP P Tracking Table'!$Y62+996.798*'BMP P Tracking Table'!$Z62)*-'BMP P Tracking Table'!$AW62)))/(2*(149.919*'BMP P Tracking Table'!$W62+236.676*'BMP P Tracking Table'!$X62+726*'BMP P Tracking Table'!$Y62+996.798*'BMP P Tracking Table'!$Z62)))))),"")</f>
        <v/>
      </c>
      <c r="BA62" s="101" t="str">
        <f>IFERROR((VLOOKUP(CONCATENATE('BMP P Tracking Table'!$AV62," ",'BMP P Tracking Table'!$AX62),'Performance Curves'!$C$1:$L$45,MATCH('BMP P Tracking Table'!$AZ62,'Performance Curves'!$E$1:$L$1,1)+2,FALSE)-VLOOKUP(CONCATENATE('BMP P Tracking Table'!$AV62," ",'BMP P Tracking Table'!$AX62),'Performance Curves'!$C$1:$L$45,MATCH('BMP P Tracking Table'!$AZ62,'Performance Curves'!$E$1:$L$1,1)+1,FALSE)),"")</f>
        <v/>
      </c>
      <c r="BB62" s="101" t="str">
        <f>IFERROR(('BMP P Tracking Table'!$AZ62-INDEX('Performance Curves'!$E$1:$L$1,1,MATCH('BMP P Tracking Table'!$AZ62,'Performance Curves'!$E$1:$L$1,1)))/(INDEX('Performance Curves'!$E$1:$L$1,1,MATCH('BMP P Tracking Table'!$AZ62,'Performance Curves'!$E$1:$L$1,1)+1)-INDEX('Performance Curves'!$E$1:$L$1,1,MATCH('BMP P Tracking Table'!$AZ62,'Performance Curves'!$E$1:$L$1,1))),"")</f>
        <v/>
      </c>
      <c r="BC62" s="102" t="str">
        <f>IFERROR(IF('BMP P Tracking Table'!$AZ62=2,VLOOKUP(CONCATENATE('BMP P Tracking Table'!$AV62," ",'BMP P Tracking Table'!$AX62),'Performance Curves'!$C$1:$L$44,MATCH('BMP P Tracking Table'!$AZ62,'Performance Curves'!$E$1:$L$1,1)+1,FALSE),'BMP P Tracking Table'!$BA62*'BMP P Tracking Table'!$BB62+VLOOKUP(CONCATENATE('BMP P Tracking Table'!$AV62," ",'BMP P Tracking Table'!$AX62),'Performance Curves'!$C$1:$L$44,MATCH('BMP P Tracking Table'!$AZ62,'Performance Curves'!$E$1:$L$1,1)+1,FALSE)),"")</f>
        <v/>
      </c>
      <c r="BD62" s="101" t="str">
        <f>IFERROR('BMP P Tracking Table'!$BC62*'BMP P Tracking Table'!$AY62,"")</f>
        <v/>
      </c>
      <c r="BE62" s="96"/>
      <c r="BF62" s="37">
        <f t="shared" si="11"/>
        <v>0</v>
      </c>
      <c r="BJ62" s="37"/>
      <c r="BN62" s="36" t="s">
        <v>391</v>
      </c>
    </row>
    <row r="63" spans="1:69" s="119" customFormat="1" ht="17.399999999999999" customHeight="1" x14ac:dyDescent="0.3">
      <c r="A63" s="169" t="s">
        <v>346</v>
      </c>
      <c r="B63" s="169" t="s">
        <v>375</v>
      </c>
      <c r="C63" s="169" t="s">
        <v>312</v>
      </c>
      <c r="D63" s="169" t="s">
        <v>6</v>
      </c>
      <c r="E63" s="170">
        <v>44.467500000000001</v>
      </c>
      <c r="F63" s="170">
        <v>-73.147220000000004</v>
      </c>
      <c r="G63" s="169" t="s">
        <v>317</v>
      </c>
      <c r="H63" s="169" t="s">
        <v>317</v>
      </c>
      <c r="I63" s="169" t="s">
        <v>66</v>
      </c>
      <c r="J63" s="171"/>
      <c r="K63" s="169" t="s">
        <v>111</v>
      </c>
      <c r="L63" s="169"/>
      <c r="M63" s="172">
        <v>42593</v>
      </c>
      <c r="N63" s="172">
        <v>44343</v>
      </c>
      <c r="O63" s="169" t="s">
        <v>62</v>
      </c>
      <c r="P63" s="169" t="s">
        <v>34</v>
      </c>
      <c r="Q63" s="169" t="s">
        <v>147</v>
      </c>
      <c r="R63" s="169" t="str">
        <f>IFERROR(VLOOKUP('BMP P Tracking Table'!$Q63,Dropdowns!$P$3:$Q$23,2,FALSE),"")</f>
        <v>Shelburne Bay</v>
      </c>
      <c r="S63" s="169" t="s">
        <v>66</v>
      </c>
      <c r="T63" s="169"/>
      <c r="U63" s="169">
        <v>2.2200000000000002</v>
      </c>
      <c r="V63" s="169" t="s">
        <v>219</v>
      </c>
      <c r="W63" s="169"/>
      <c r="X63" s="169"/>
      <c r="Y63" s="169"/>
      <c r="Z63" s="169"/>
      <c r="AA63" s="169">
        <f>Disconnection!F4</f>
        <v>15.11</v>
      </c>
      <c r="AB63" s="174"/>
      <c r="AC63" s="169" t="s">
        <v>205</v>
      </c>
      <c r="AD63" s="175">
        <f>IFERROR('BMP P Tracking Table'!$U63*VLOOKUP('BMP P Tracking Table'!$Q63,'Loading Rates'!$B$1:$L$24,4,FALSE)+IF('BMP P Tracking Table'!$V63="By HSG",'BMP P Tracking Table'!$W63*VLOOKUP('BMP P Tracking Table'!$Q63,'Loading Rates'!$B$1:$L$24,6,FALSE)+'BMP P Tracking Table'!$X63*VLOOKUP('BMP P Tracking Table'!$Q63,'Loading Rates'!$B$1:$L$24,7,FALSE)+'BMP P Tracking Table'!$Y63*VLOOKUP('BMP P Tracking Table'!$Q63,'Loading Rates'!$B$1:$L$24,8,FALSE)+'BMP P Tracking Table'!$Z63*VLOOKUP('BMP P Tracking Table'!$Q63,'Loading Rates'!$B$1:$L$24,9,FALSE),'BMP P Tracking Table'!$AA63*VLOOKUP('BMP P Tracking Table'!$Q63,'Loading Rates'!$B$1:$L$24,10,FALSE)),"")</f>
        <v>4.7123600000000003</v>
      </c>
      <c r="AE63" s="175">
        <f>IFERROR(MIN(2,IF('BMP P Tracking Table'!$V63="Total Pervious",(-(3630*'BMP P Tracking Table'!$U63+20.691*'BMP P Tracking Table'!$AA63)+SQRT((3630*'BMP P Tracking Table'!$U63+20.691*'BMP P Tracking Table'!$AA63)^2-(4*(996.798*'BMP P Tracking Table'!$AA63)*-'BMP P Tracking Table'!$AB63)))/(2*(996.798*'BMP P Tracking Table'!$AA63)),IF(SUM('BMP P Tracking Table'!$W63:$Z63)=0,'BMP P Tracking Table'!$AB63/(-3630*'BMP P Tracking Table'!$U63),(-(3630*'BMP P Tracking Table'!$U63+20.691*'BMP P Tracking Table'!$Z63-216.711*'BMP P Tracking Table'!$Y63-83.853*'BMP P Tracking Table'!$X63-42.834*'BMP P Tracking Table'!$W63)+SQRT((3630*'BMP P Tracking Table'!$U63+20.691*'BMP P Tracking Table'!$Z63-216.711*'BMP P Tracking Table'!$Y63-83.853*'BMP P Tracking Table'!$X63-42.834*'BMP P Tracking Table'!$W63)^2-(4*(149.919*'BMP P Tracking Table'!$W63+236.676*'BMP P Tracking Table'!$X63+726*'BMP P Tracking Table'!$Y63+996.798*'BMP P Tracking Table'!$Z63)*-'BMP P Tracking Table'!$AB63)))/(2*(149.919*'BMP P Tracking Table'!$W63+236.676*'BMP P Tracking Table'!$X63+726*'BMP P Tracking Table'!$Y63+996.798*'BMP P Tracking Table'!$Z63))))),"")</f>
        <v>0</v>
      </c>
      <c r="AF63" s="175" t="str">
        <f>IFERROR((VLOOKUP(CONCATENATE('BMP P Tracking Table'!$T63," ",'BMP P Tracking Table'!$AC63),'Performance Curves'!$C$1:$L$45,MATCH('BMP P Tracking Table'!$AE63,'Performance Curves'!$E$1:$L$1,1)+2,FALSE)-VLOOKUP(CONCATENATE('BMP P Tracking Table'!$T63," ",'BMP P Tracking Table'!$AC63),'Performance Curves'!$C$1:$L$45,MATCH('BMP P Tracking Table'!$AE63,'Performance Curves'!$E$1:$L$1,1)+1,FALSE)),"")</f>
        <v/>
      </c>
      <c r="AG63" s="175" t="str">
        <f>IFERROR(('BMP P Tracking Table'!$AE63-INDEX('Performance Curves'!$E$1:$L$1,1,MATCH('BMP P Tracking Table'!$AE63,'Performance Curves'!$E$1:$L$1,1)))/(INDEX('Performance Curves'!$E$1:$L$1,1,MATCH('BMP P Tracking Table'!$AE63,'Performance Curves'!$E$1:$L$1,1)+1)-INDEX('Performance Curves'!$E$1:$L$1,1,MATCH('BMP P Tracking Table'!$AE63,'Performance Curves'!$E$1:$L$1,1))),"")</f>
        <v/>
      </c>
      <c r="AH63" s="176" t="str">
        <f>IFERROR(IF('BMP P Tracking Table'!$AE63=2,VLOOKUP(CONCATENATE('BMP P Tracking Table'!$T63," ",'BMP P Tracking Table'!$AC63),'Performance Curves'!$C$1:$L$45,MATCH('BMP P Tracking Table'!$AE63,'Performance Curves'!$E$1:$L$1,1)+1,FALSE),'BMP P Tracking Table'!$AF63*'BMP P Tracking Table'!$AG63+VLOOKUP(CONCATENATE('BMP P Tracking Table'!$T63," ",'BMP P Tracking Table'!$AC63),'Performance Curves'!$C$1:$L$45,MATCH('BMP P Tracking Table'!$AE63,'Performance Curves'!$E$1:$L$1,1)+1,FALSE)),"")</f>
        <v/>
      </c>
      <c r="AI63" s="175" t="str">
        <f>IFERROR('BMP P Tracking Table'!$AH63*'BMP P Tracking Table'!$AD63,"")</f>
        <v/>
      </c>
      <c r="AJ63" s="173">
        <f>AD63*Disconnection!H4</f>
        <v>3.3042847838421685</v>
      </c>
      <c r="AK63" s="169"/>
      <c r="AL63" s="173"/>
      <c r="AM63" s="177"/>
      <c r="AN63" s="178">
        <f t="shared" si="8"/>
        <v>3.3042847838421685</v>
      </c>
      <c r="AO63" s="116"/>
      <c r="AP63" s="116"/>
      <c r="AQ63" s="116"/>
      <c r="AR63" s="116"/>
      <c r="AS63" s="116"/>
      <c r="AT63" s="116"/>
      <c r="AU63" s="116"/>
      <c r="AV63" s="107"/>
      <c r="AW63" s="117"/>
      <c r="AX63" s="117"/>
      <c r="AY63" s="114" t="str">
        <f>IF('BMP P Tracking Table'!$AK63="Yes",IF('BMP P Tracking Table'!$AL63="No",'BMP P Tracking Table'!$U63*VLOOKUP('BMP P Tracking Table'!$Q63,'Loading Rates'!$B$1:$L$24,4,FALSE)+IF('BMP P Tracking Table'!$V63="By HSG",'BMP P Tracking Table'!$W63*VLOOKUP('BMP P Tracking Table'!$Q63,'Loading Rates'!$B$1:$L$24,6,FALSE)+'BMP P Tracking Table'!$X63*VLOOKUP('BMP P Tracking Table'!$Q63,'Loading Rates'!$B$1:$L$24,7,FALSE)+'BMP P Tracking Table'!$Y63*VLOOKUP('BMP P Tracking Table'!$Q63,'Loading Rates'!$B$1:$L$24,8,FALSE)+'BMP P Tracking Table'!$Z63*VLOOKUP('BMP P Tracking Table'!$Q63,'Loading Rates'!$B$1:$L$24,9,FALSE),'BMP P Tracking Table'!$AA63*VLOOKUP('BMP P Tracking Table'!$Q63,'Loading Rates'!$B$1:$L$24,10,FALSE)),'BMP P Tracking Table'!$AO63*VLOOKUP('BMP P Tracking Table'!$Q63,'Loading Rates'!$B$1:$L$24,4,FALSE)+IF('BMP P Tracking Table'!$AP63="By HSG",'BMP P Tracking Table'!$AQ63*VLOOKUP('BMP P Tracking Table'!$Q63,'Loading Rates'!$B$1:$L$24,6,FALSE)+'BMP P Tracking Table'!$AR63*VLOOKUP('BMP P Tracking Table'!$Q63,'Loading Rates'!$B$1:$L$24,7,FALSE)+'BMP P Tracking Table'!$AS63*VLOOKUP('BMP P Tracking Table'!$Q63,'Loading Rates'!$B$1:$L$24,8,FALSE)+'BMP P Tracking Table'!$AT63*VLOOKUP('BMP P Tracking Table'!$Q63,'Loading Rates'!$B$1:$L$24,9,FALSE),'BMP P Tracking Table'!$AU63*VLOOKUP('BMP P Tracking Table'!$Q63,'Loading Rates'!$B$1:$L$24,10,FALSE))),"")</f>
        <v/>
      </c>
      <c r="AZ63" s="114">
        <f>IFERROR(IF('BMP P Tracking Table'!$AL63="Yes",MIN(2,IF('BMP P Tracking Table'!$AP63="Total Pervious",(-(3630*'BMP P Tracking Table'!$AO63+20.691*'BMP P Tracking Table'!$AU63)+SQRT((3630*'BMP P Tracking Table'!$AO63+20.691*'BMP P Tracking Table'!$AU63)^2-(4*(996.798*'BMP P Tracking Table'!$AU63)*-'BMP P Tracking Table'!$AW63)))/(2*(996.798*'BMP P Tracking Table'!$AU63)),IF(SUM('BMP P Tracking Table'!$AQ63:$AT63)=0,'BMP P Tracking Table'!$AU63/(-3630*'BMP P Tracking Table'!$AO63),(-(3630*'BMP P Tracking Table'!$AO63+20.691*'BMP P Tracking Table'!$AT63-216.711*'BMP P Tracking Table'!$AS63-83.853*'BMP P Tracking Table'!$AR63-42.834*'BMP P Tracking Table'!$AQ63)+SQRT((3630*'BMP P Tracking Table'!$AO63+20.691*'BMP P Tracking Table'!$AT63-216.711*'BMP P Tracking Table'!$AS63-83.853*'BMP P Tracking Table'!$AR63-42.834*'BMP P Tracking Table'!$AQ63)^2-(4*(149.919*'BMP P Tracking Table'!$AQ63+236.676*'BMP P Tracking Table'!$AR63+726*'BMP P Tracking Table'!$AS63+996.798*'BMP P Tracking Table'!$AT63)*-'BMP P Tracking Table'!$AW63)))/(2*(149.919*'BMP P Tracking Table'!$AQ63+236.676*'BMP P Tracking Table'!$AR63+726*'BMP P Tracking Table'!$AS63+996.798*'BMP P Tracking Table'!$AT63))))),MIN(2,IF('BMP P Tracking Table'!$AP63="Total Pervious",(-(3630*'BMP P Tracking Table'!$U63+20.691*'BMP P Tracking Table'!$AA63)+SQRT((3630*'BMP P Tracking Table'!$U63+20.691*'BMP P Tracking Table'!$AA63)^2-(4*(996.798*'BMP P Tracking Table'!$AA63)*-'BMP P Tracking Table'!$AW63)))/(2*(996.798*'BMP P Tracking Table'!$AA63)),IF(SUM('BMP P Tracking Table'!$W63:$Z63)=0,'BMP P Tracking Table'!$AW63/(-3630*'BMP P Tracking Table'!$U63),(-(3630*'BMP P Tracking Table'!$U63+20.691*'BMP P Tracking Table'!$Z63-216.711*'BMP P Tracking Table'!$Y63-83.853*'BMP P Tracking Table'!$X63-42.834*'BMP P Tracking Table'!$W63)+SQRT((3630*'BMP P Tracking Table'!$U63+20.691*'BMP P Tracking Table'!$Z63-216.711*'BMP P Tracking Table'!$Y63-83.853*'BMP P Tracking Table'!$X63-42.834*'BMP P Tracking Table'!$W63)^2-(4*(149.919*'BMP P Tracking Table'!$W63+236.676*'BMP P Tracking Table'!$X63+726*'BMP P Tracking Table'!$Y63+996.798*'BMP P Tracking Table'!$Z63)*-'BMP P Tracking Table'!$AW63)))/(2*(149.919*'BMP P Tracking Table'!$W63+236.676*'BMP P Tracking Table'!$X63+726*'BMP P Tracking Table'!$Y63+996.798*'BMP P Tracking Table'!$Z63)))))),"")</f>
        <v>0</v>
      </c>
      <c r="BA63" s="114" t="str">
        <f>IFERROR((VLOOKUP(CONCATENATE('BMP P Tracking Table'!$AV63," ",'BMP P Tracking Table'!$AX63),'Performance Curves'!$C$1:$L$45,MATCH('BMP P Tracking Table'!$AZ63,'Performance Curves'!$E$1:$L$1,1)+2,FALSE)-VLOOKUP(CONCATENATE('BMP P Tracking Table'!$AV63," ",'BMP P Tracking Table'!$AX63),'Performance Curves'!$C$1:$L$45,MATCH('BMP P Tracking Table'!$AZ63,'Performance Curves'!$E$1:$L$1,1)+1,FALSE)),"")</f>
        <v/>
      </c>
      <c r="BB63" s="114" t="str">
        <f>IFERROR(('BMP P Tracking Table'!$AZ63-INDEX('Performance Curves'!$E$1:$L$1,1,MATCH('BMP P Tracking Table'!$AZ63,'Performance Curves'!$E$1:$L$1,1)))/(INDEX('Performance Curves'!$E$1:$L$1,1,MATCH('BMP P Tracking Table'!$AZ63,'Performance Curves'!$E$1:$L$1,1)+1)-INDEX('Performance Curves'!$E$1:$L$1,1,MATCH('BMP P Tracking Table'!$AZ63,'Performance Curves'!$E$1:$L$1,1))),"")</f>
        <v/>
      </c>
      <c r="BC63" s="115" t="str">
        <f>IFERROR(IF('BMP P Tracking Table'!$AZ63=2,VLOOKUP(CONCATENATE('BMP P Tracking Table'!$AV63," ",'BMP P Tracking Table'!$AX63),'Performance Curves'!$C$1:$L$44,MATCH('BMP P Tracking Table'!$AZ63,'Performance Curves'!$E$1:$L$1,1)+1,FALSE),'BMP P Tracking Table'!$BA63*'BMP P Tracking Table'!$BB63+VLOOKUP(CONCATENATE('BMP P Tracking Table'!$AV63," ",'BMP P Tracking Table'!$AX63),'Performance Curves'!$C$1:$L$44,MATCH('BMP P Tracking Table'!$AZ63,'Performance Curves'!$E$1:$L$1,1)+1,FALSE)),"")</f>
        <v/>
      </c>
      <c r="BD63" s="114" t="str">
        <f>IFERROR('BMP P Tracking Table'!$BC63*'BMP P Tracking Table'!$AY63,"")</f>
        <v/>
      </c>
      <c r="BE63" s="116"/>
      <c r="BF63" s="118">
        <f t="shared" si="11"/>
        <v>0</v>
      </c>
      <c r="BJ63" s="118"/>
      <c r="BK63" s="36" t="str">
        <f t="shared" si="13"/>
        <v>Laplatte River</v>
      </c>
      <c r="BN63" s="36" t="s">
        <v>391</v>
      </c>
    </row>
    <row r="64" spans="1:69" s="119" customFormat="1" ht="17.399999999999999" customHeight="1" x14ac:dyDescent="0.3">
      <c r="A64" s="169" t="s">
        <v>347</v>
      </c>
      <c r="B64" s="169" t="s">
        <v>376</v>
      </c>
      <c r="C64" s="169" t="s">
        <v>312</v>
      </c>
      <c r="D64" s="169" t="s">
        <v>6</v>
      </c>
      <c r="E64" s="170">
        <v>44.467500000000001</v>
      </c>
      <c r="F64" s="170">
        <v>-73.147220000000004</v>
      </c>
      <c r="G64" s="169" t="s">
        <v>317</v>
      </c>
      <c r="H64" s="169" t="s">
        <v>317</v>
      </c>
      <c r="I64" s="169" t="s">
        <v>66</v>
      </c>
      <c r="J64" s="171"/>
      <c r="K64" s="169" t="s">
        <v>111</v>
      </c>
      <c r="L64" s="169"/>
      <c r="M64" s="172">
        <v>42593</v>
      </c>
      <c r="N64" s="172">
        <v>44343</v>
      </c>
      <c r="O64" s="169" t="s">
        <v>62</v>
      </c>
      <c r="P64" s="169" t="s">
        <v>34</v>
      </c>
      <c r="Q64" s="169" t="str">
        <f>IFERROR(VLOOKUP('BMP P Tracking Table'!$P64,Dropdowns!$C$2:$E$15,3,FALSE),"")</f>
        <v>Laplatte River</v>
      </c>
      <c r="R64" s="169" t="str">
        <f>IFERROR(VLOOKUP('BMP P Tracking Table'!$Q64,Dropdowns!$P$3:$Q$23,2,FALSE),"")</f>
        <v>Shelburne Bay</v>
      </c>
      <c r="S64" s="169" t="s">
        <v>66</v>
      </c>
      <c r="T64" s="169"/>
      <c r="U64" s="169">
        <v>1.19</v>
      </c>
      <c r="V64" s="169" t="s">
        <v>219</v>
      </c>
      <c r="W64" s="169"/>
      <c r="X64" s="169"/>
      <c r="Y64" s="169"/>
      <c r="Z64" s="169"/>
      <c r="AA64" s="169">
        <f>Disconnection!F5</f>
        <v>5.88</v>
      </c>
      <c r="AB64" s="174"/>
      <c r="AC64" s="169" t="s">
        <v>205</v>
      </c>
      <c r="AD64" s="175">
        <f>IFERROR('BMP P Tracking Table'!$U64*VLOOKUP('BMP P Tracking Table'!$Q64,'Loading Rates'!$B$1:$L$24,4,FALSE)+IF('BMP P Tracking Table'!$V64="By HSG",'BMP P Tracking Table'!$W64*VLOOKUP('BMP P Tracking Table'!$Q64,'Loading Rates'!$B$1:$L$24,6,FALSE)+'BMP P Tracking Table'!$X64*VLOOKUP('BMP P Tracking Table'!$Q64,'Loading Rates'!$B$1:$L$24,7,FALSE)+'BMP P Tracking Table'!$Y64*VLOOKUP('BMP P Tracking Table'!$Q64,'Loading Rates'!$B$1:$L$24,8,FALSE)+'BMP P Tracking Table'!$Z64*VLOOKUP('BMP P Tracking Table'!$Q64,'Loading Rates'!$B$1:$L$24,9,FALSE),'BMP P Tracking Table'!$AA64*VLOOKUP('BMP P Tracking Table'!$Q64,'Loading Rates'!$B$1:$L$24,10,FALSE)),"")</f>
        <v>2.1442399999999999</v>
      </c>
      <c r="AE64" s="175">
        <f>IFERROR(MIN(2,IF('BMP P Tracking Table'!$V64="Total Pervious",(-(3630*'BMP P Tracking Table'!$U64+20.691*'BMP P Tracking Table'!$AA64)+SQRT((3630*'BMP P Tracking Table'!$U64+20.691*'BMP P Tracking Table'!$AA64)^2-(4*(996.798*'BMP P Tracking Table'!$AA64)*-'BMP P Tracking Table'!$AB64)))/(2*(996.798*'BMP P Tracking Table'!$AA64)),IF(SUM('BMP P Tracking Table'!$W64:$Z64)=0,'BMP P Tracking Table'!$AB64/(-3630*'BMP P Tracking Table'!$U64),(-(3630*'BMP P Tracking Table'!$U64+20.691*'BMP P Tracking Table'!$Z64-216.711*'BMP P Tracking Table'!$Y64-83.853*'BMP P Tracking Table'!$X64-42.834*'BMP P Tracking Table'!$W64)+SQRT((3630*'BMP P Tracking Table'!$U64+20.691*'BMP P Tracking Table'!$Z64-216.711*'BMP P Tracking Table'!$Y64-83.853*'BMP P Tracking Table'!$X64-42.834*'BMP P Tracking Table'!$W64)^2-(4*(149.919*'BMP P Tracking Table'!$W64+236.676*'BMP P Tracking Table'!$X64+726*'BMP P Tracking Table'!$Y64+996.798*'BMP P Tracking Table'!$Z64)*-'BMP P Tracking Table'!$AB64)))/(2*(149.919*'BMP P Tracking Table'!$W64+236.676*'BMP P Tracking Table'!$X64+726*'BMP P Tracking Table'!$Y64+996.798*'BMP P Tracking Table'!$Z64))))),"")</f>
        <v>0</v>
      </c>
      <c r="AF64" s="175" t="str">
        <f>IFERROR((VLOOKUP(CONCATENATE('BMP P Tracking Table'!$T64," ",'BMP P Tracking Table'!$AC64),'Performance Curves'!$C$1:$L$45,MATCH('BMP P Tracking Table'!$AE64,'Performance Curves'!$E$1:$L$1,1)+2,FALSE)-VLOOKUP(CONCATENATE('BMP P Tracking Table'!$T64," ",'BMP P Tracking Table'!$AC64),'Performance Curves'!$C$1:$L$45,MATCH('BMP P Tracking Table'!$AE64,'Performance Curves'!$E$1:$L$1,1)+1,FALSE)),"")</f>
        <v/>
      </c>
      <c r="AG64" s="175" t="str">
        <f>IFERROR(('BMP P Tracking Table'!$AE64-INDEX('Performance Curves'!$E$1:$L$1,1,MATCH('BMP P Tracking Table'!$AE64,'Performance Curves'!$E$1:$L$1,1)))/(INDEX('Performance Curves'!$E$1:$L$1,1,MATCH('BMP P Tracking Table'!$AE64,'Performance Curves'!$E$1:$L$1,1)+1)-INDEX('Performance Curves'!$E$1:$L$1,1,MATCH('BMP P Tracking Table'!$AE64,'Performance Curves'!$E$1:$L$1,1))),"")</f>
        <v/>
      </c>
      <c r="AH64" s="176" t="str">
        <f>IFERROR(IF('BMP P Tracking Table'!$AE64=2,VLOOKUP(CONCATENATE('BMP P Tracking Table'!$T64," ",'BMP P Tracking Table'!$AC64),'Performance Curves'!$C$1:$L$45,MATCH('BMP P Tracking Table'!$AE64,'Performance Curves'!$E$1:$L$1,1)+1,FALSE),'BMP P Tracking Table'!$AF64*'BMP P Tracking Table'!$AG64+VLOOKUP(CONCATENATE('BMP P Tracking Table'!$T64," ",'BMP P Tracking Table'!$AC64),'Performance Curves'!$C$1:$L$45,MATCH('BMP P Tracking Table'!$AE64,'Performance Curves'!$E$1:$L$1,1)+1,FALSE)),"")</f>
        <v/>
      </c>
      <c r="AI64" s="175" t="str">
        <f>IFERROR('BMP P Tracking Table'!$AH64*'BMP P Tracking Table'!$AD64,"")</f>
        <v/>
      </c>
      <c r="AJ64" s="173">
        <f>AD64*Disconnection!H5</f>
        <v>1.742208994341405</v>
      </c>
      <c r="AK64" s="169"/>
      <c r="AL64" s="173"/>
      <c r="AM64" s="177"/>
      <c r="AN64" s="178">
        <f t="shared" si="8"/>
        <v>1.742208994341405</v>
      </c>
      <c r="AO64" s="116"/>
      <c r="AP64" s="116"/>
      <c r="AQ64" s="116"/>
      <c r="AR64" s="116"/>
      <c r="AS64" s="116"/>
      <c r="AT64" s="116"/>
      <c r="AU64" s="116"/>
      <c r="AV64" s="107"/>
      <c r="AW64" s="117"/>
      <c r="AX64" s="117"/>
      <c r="AY64" s="114" t="str">
        <f>IF('BMP P Tracking Table'!$AK64="Yes",IF('BMP P Tracking Table'!$AL64="No",'BMP P Tracking Table'!$U64*VLOOKUP('BMP P Tracking Table'!$Q64,'Loading Rates'!$B$1:$L$24,4,FALSE)+IF('BMP P Tracking Table'!$V64="By HSG",'BMP P Tracking Table'!$W64*VLOOKUP('BMP P Tracking Table'!$Q64,'Loading Rates'!$B$1:$L$24,6,FALSE)+'BMP P Tracking Table'!$X64*VLOOKUP('BMP P Tracking Table'!$Q64,'Loading Rates'!$B$1:$L$24,7,FALSE)+'BMP P Tracking Table'!$Y64*VLOOKUP('BMP P Tracking Table'!$Q64,'Loading Rates'!$B$1:$L$24,8,FALSE)+'BMP P Tracking Table'!$Z64*VLOOKUP('BMP P Tracking Table'!$Q64,'Loading Rates'!$B$1:$L$24,9,FALSE),'BMP P Tracking Table'!$AA64*VLOOKUP('BMP P Tracking Table'!$Q64,'Loading Rates'!$B$1:$L$24,10,FALSE)),'BMP P Tracking Table'!$AO64*VLOOKUP('BMP P Tracking Table'!$Q64,'Loading Rates'!$B$1:$L$24,4,FALSE)+IF('BMP P Tracking Table'!$AP64="By HSG",'BMP P Tracking Table'!$AQ64*VLOOKUP('BMP P Tracking Table'!$Q64,'Loading Rates'!$B$1:$L$24,6,FALSE)+'BMP P Tracking Table'!$AR64*VLOOKUP('BMP P Tracking Table'!$Q64,'Loading Rates'!$B$1:$L$24,7,FALSE)+'BMP P Tracking Table'!$AS64*VLOOKUP('BMP P Tracking Table'!$Q64,'Loading Rates'!$B$1:$L$24,8,FALSE)+'BMP P Tracking Table'!$AT64*VLOOKUP('BMP P Tracking Table'!$Q64,'Loading Rates'!$B$1:$L$24,9,FALSE),'BMP P Tracking Table'!$AU64*VLOOKUP('BMP P Tracking Table'!$Q64,'Loading Rates'!$B$1:$L$24,10,FALSE))),"")</f>
        <v/>
      </c>
      <c r="AZ64" s="114">
        <f>IFERROR(IF('BMP P Tracking Table'!$AL64="Yes",MIN(2,IF('BMP P Tracking Table'!$AP64="Total Pervious",(-(3630*'BMP P Tracking Table'!$AO64+20.691*'BMP P Tracking Table'!$AU64)+SQRT((3630*'BMP P Tracking Table'!$AO64+20.691*'BMP P Tracking Table'!$AU64)^2-(4*(996.798*'BMP P Tracking Table'!$AU64)*-'BMP P Tracking Table'!$AW64)))/(2*(996.798*'BMP P Tracking Table'!$AU64)),IF(SUM('BMP P Tracking Table'!$AQ64:$AT64)=0,'BMP P Tracking Table'!$AU64/(-3630*'BMP P Tracking Table'!$AO64),(-(3630*'BMP P Tracking Table'!$AO64+20.691*'BMP P Tracking Table'!$AT64-216.711*'BMP P Tracking Table'!$AS64-83.853*'BMP P Tracking Table'!$AR64-42.834*'BMP P Tracking Table'!$AQ64)+SQRT((3630*'BMP P Tracking Table'!$AO64+20.691*'BMP P Tracking Table'!$AT64-216.711*'BMP P Tracking Table'!$AS64-83.853*'BMP P Tracking Table'!$AR64-42.834*'BMP P Tracking Table'!$AQ64)^2-(4*(149.919*'BMP P Tracking Table'!$AQ64+236.676*'BMP P Tracking Table'!$AR64+726*'BMP P Tracking Table'!$AS64+996.798*'BMP P Tracking Table'!$AT64)*-'BMP P Tracking Table'!$AW64)))/(2*(149.919*'BMP P Tracking Table'!$AQ64+236.676*'BMP P Tracking Table'!$AR64+726*'BMP P Tracking Table'!$AS64+996.798*'BMP P Tracking Table'!$AT64))))),MIN(2,IF('BMP P Tracking Table'!$AP64="Total Pervious",(-(3630*'BMP P Tracking Table'!$U64+20.691*'BMP P Tracking Table'!$AA64)+SQRT((3630*'BMP P Tracking Table'!$U64+20.691*'BMP P Tracking Table'!$AA64)^2-(4*(996.798*'BMP P Tracking Table'!$AA64)*-'BMP P Tracking Table'!$AW64)))/(2*(996.798*'BMP P Tracking Table'!$AA64)),IF(SUM('BMP P Tracking Table'!$W64:$Z64)=0,'BMP P Tracking Table'!$AW64/(-3630*'BMP P Tracking Table'!$U64),(-(3630*'BMP P Tracking Table'!$U64+20.691*'BMP P Tracking Table'!$Z64-216.711*'BMP P Tracking Table'!$Y64-83.853*'BMP P Tracking Table'!$X64-42.834*'BMP P Tracking Table'!$W64)+SQRT((3630*'BMP P Tracking Table'!$U64+20.691*'BMP P Tracking Table'!$Z64-216.711*'BMP P Tracking Table'!$Y64-83.853*'BMP P Tracking Table'!$X64-42.834*'BMP P Tracking Table'!$W64)^2-(4*(149.919*'BMP P Tracking Table'!$W64+236.676*'BMP P Tracking Table'!$X64+726*'BMP P Tracking Table'!$Y64+996.798*'BMP P Tracking Table'!$Z64)*-'BMP P Tracking Table'!$AW64)))/(2*(149.919*'BMP P Tracking Table'!$W64+236.676*'BMP P Tracking Table'!$X64+726*'BMP P Tracking Table'!$Y64+996.798*'BMP P Tracking Table'!$Z64)))))),"")</f>
        <v>0</v>
      </c>
      <c r="BA64" s="114" t="str">
        <f>IFERROR((VLOOKUP(CONCATENATE('BMP P Tracking Table'!$AV64," ",'BMP P Tracking Table'!$AX64),'Performance Curves'!$C$1:$L$45,MATCH('BMP P Tracking Table'!$AZ64,'Performance Curves'!$E$1:$L$1,1)+2,FALSE)-VLOOKUP(CONCATENATE('BMP P Tracking Table'!$AV64," ",'BMP P Tracking Table'!$AX64),'Performance Curves'!$C$1:$L$45,MATCH('BMP P Tracking Table'!$AZ64,'Performance Curves'!$E$1:$L$1,1)+1,FALSE)),"")</f>
        <v/>
      </c>
      <c r="BB64" s="114" t="str">
        <f>IFERROR(('BMP P Tracking Table'!$AZ64-INDEX('Performance Curves'!$E$1:$L$1,1,MATCH('BMP P Tracking Table'!$AZ64,'Performance Curves'!$E$1:$L$1,1)))/(INDEX('Performance Curves'!$E$1:$L$1,1,MATCH('BMP P Tracking Table'!$AZ64,'Performance Curves'!$E$1:$L$1,1)+1)-INDEX('Performance Curves'!$E$1:$L$1,1,MATCH('BMP P Tracking Table'!$AZ64,'Performance Curves'!$E$1:$L$1,1))),"")</f>
        <v/>
      </c>
      <c r="BC64" s="115" t="str">
        <f>IFERROR(IF('BMP P Tracking Table'!$AZ64=2,VLOOKUP(CONCATENATE('BMP P Tracking Table'!$AV64," ",'BMP P Tracking Table'!$AX64),'Performance Curves'!$C$1:$L$44,MATCH('BMP P Tracking Table'!$AZ64,'Performance Curves'!$E$1:$L$1,1)+1,FALSE),'BMP P Tracking Table'!$BA64*'BMP P Tracking Table'!$BB64+VLOOKUP(CONCATENATE('BMP P Tracking Table'!$AV64," ",'BMP P Tracking Table'!$AX64),'Performance Curves'!$C$1:$L$44,MATCH('BMP P Tracking Table'!$AZ64,'Performance Curves'!$E$1:$L$1,1)+1,FALSE)),"")</f>
        <v/>
      </c>
      <c r="BD64" s="114" t="str">
        <f>IFERROR('BMP P Tracking Table'!$BC64*'BMP P Tracking Table'!$AY64,"")</f>
        <v/>
      </c>
      <c r="BE64" s="116"/>
      <c r="BF64" s="118">
        <f t="shared" si="11"/>
        <v>0</v>
      </c>
      <c r="BK64" s="36" t="str">
        <f t="shared" si="13"/>
        <v>Laplatte River</v>
      </c>
      <c r="BN64" s="36" t="s">
        <v>391</v>
      </c>
    </row>
    <row r="65" spans="1:66" s="119" customFormat="1" ht="17.399999999999999" customHeight="1" x14ac:dyDescent="0.3">
      <c r="A65" s="169" t="s">
        <v>285</v>
      </c>
      <c r="B65" s="169" t="s">
        <v>344</v>
      </c>
      <c r="C65" s="169" t="s">
        <v>312</v>
      </c>
      <c r="D65" s="169" t="s">
        <v>6</v>
      </c>
      <c r="E65" s="170">
        <v>44.49306</v>
      </c>
      <c r="F65" s="170">
        <v>-73.172219999999996</v>
      </c>
      <c r="G65" s="169" t="s">
        <v>315</v>
      </c>
      <c r="H65" s="169" t="s">
        <v>315</v>
      </c>
      <c r="I65" s="169" t="s">
        <v>66</v>
      </c>
      <c r="J65" s="171"/>
      <c r="K65" s="169" t="s">
        <v>111</v>
      </c>
      <c r="L65" s="169"/>
      <c r="M65" s="172" t="s">
        <v>382</v>
      </c>
      <c r="N65" s="172">
        <v>44358</v>
      </c>
      <c r="O65" s="169" t="s">
        <v>62</v>
      </c>
      <c r="P65" s="169" t="s">
        <v>119</v>
      </c>
      <c r="Q65" s="169" t="s">
        <v>146</v>
      </c>
      <c r="R65" s="169" t="str">
        <f>IFERROR(VLOOKUP('BMP P Tracking Table'!$Q65,Dropdowns!$P$3:$Q$23,2,FALSE),"")</f>
        <v>Main Lake</v>
      </c>
      <c r="S65" s="169" t="s">
        <v>66</v>
      </c>
      <c r="T65" s="169"/>
      <c r="U65" s="173">
        <f>Disconnection!C6</f>
        <v>8.98</v>
      </c>
      <c r="V65" s="169" t="s">
        <v>219</v>
      </c>
      <c r="W65" s="169"/>
      <c r="X65" s="169"/>
      <c r="Y65" s="169"/>
      <c r="Z65" s="169"/>
      <c r="AA65" s="169">
        <f>Disconnection!F6</f>
        <v>11.5</v>
      </c>
      <c r="AB65" s="174"/>
      <c r="AC65" s="169" t="s">
        <v>205</v>
      </c>
      <c r="AD65" s="175">
        <f>IFERROR('BMP P Tracking Table'!$U65*VLOOKUP('BMP P Tracking Table'!$Q65,'Loading Rates'!$B$1:$L$24,4,FALSE)+IF('BMP P Tracking Table'!$V65="By HSG",'BMP P Tracking Table'!$W65*VLOOKUP('BMP P Tracking Table'!$Q65,'Loading Rates'!$B$1:$L$24,6,FALSE)+'BMP P Tracking Table'!$X65*VLOOKUP('BMP P Tracking Table'!$Q65,'Loading Rates'!$B$1:$L$24,7,FALSE)+'BMP P Tracking Table'!$Y65*VLOOKUP('BMP P Tracking Table'!$Q65,'Loading Rates'!$B$1:$L$24,8,FALSE)+'BMP P Tracking Table'!$Z65*VLOOKUP('BMP P Tracking Table'!$Q65,'Loading Rates'!$B$1:$L$24,9,FALSE),'BMP P Tracking Table'!$AA65*VLOOKUP('BMP P Tracking Table'!$Q65,'Loading Rates'!$B$1:$L$24,10,FALSE)),"")</f>
        <v>12.687160000000002</v>
      </c>
      <c r="AE65" s="175">
        <f>IFERROR(MIN(2,IF('BMP P Tracking Table'!$V65="Total Pervious",(-(3630*'BMP P Tracking Table'!$U65+20.691*'BMP P Tracking Table'!$AA65)+SQRT((3630*'BMP P Tracking Table'!$U65+20.691*'BMP P Tracking Table'!$AA65)^2-(4*(996.798*'BMP P Tracking Table'!$AA65)*-'BMP P Tracking Table'!$AB65)))/(2*(996.798*'BMP P Tracking Table'!$AA65)),IF(SUM('BMP P Tracking Table'!$W65:$Z65)=0,'BMP P Tracking Table'!$AB65/(-3630*'BMP P Tracking Table'!$U65),(-(3630*'BMP P Tracking Table'!$U65+20.691*'BMP P Tracking Table'!$Z65-216.711*'BMP P Tracking Table'!$Y65-83.853*'BMP P Tracking Table'!$X65-42.834*'BMP P Tracking Table'!$W65)+SQRT((3630*'BMP P Tracking Table'!$U65+20.691*'BMP P Tracking Table'!$Z65-216.711*'BMP P Tracking Table'!$Y65-83.853*'BMP P Tracking Table'!$X65-42.834*'BMP P Tracking Table'!$W65)^2-(4*(149.919*'BMP P Tracking Table'!$W65+236.676*'BMP P Tracking Table'!$X65+726*'BMP P Tracking Table'!$Y65+996.798*'BMP P Tracking Table'!$Z65)*-'BMP P Tracking Table'!$AB65)))/(2*(149.919*'BMP P Tracking Table'!$W65+236.676*'BMP P Tracking Table'!$X65+726*'BMP P Tracking Table'!$Y65+996.798*'BMP P Tracking Table'!$Z65))))),"")</f>
        <v>0</v>
      </c>
      <c r="AF65" s="175" t="str">
        <f>IFERROR((VLOOKUP(CONCATENATE('BMP P Tracking Table'!$T65," ",'BMP P Tracking Table'!$AC65),'Performance Curves'!$C$1:$L$45,MATCH('BMP P Tracking Table'!$AE65,'Performance Curves'!$E$1:$L$1,1)+2,FALSE)-VLOOKUP(CONCATENATE('BMP P Tracking Table'!$T65," ",'BMP P Tracking Table'!$AC65),'Performance Curves'!$C$1:$L$45,MATCH('BMP P Tracking Table'!$AE65,'Performance Curves'!$E$1:$L$1,1)+1,FALSE)),"")</f>
        <v/>
      </c>
      <c r="AG65" s="175" t="str">
        <f>IFERROR(('BMP P Tracking Table'!$AE65-INDEX('Performance Curves'!$E$1:$L$1,1,MATCH('BMP P Tracking Table'!$AE65,'Performance Curves'!$E$1:$L$1,1)))/(INDEX('Performance Curves'!$E$1:$L$1,1,MATCH('BMP P Tracking Table'!$AE65,'Performance Curves'!$E$1:$L$1,1)+1)-INDEX('Performance Curves'!$E$1:$L$1,1,MATCH('BMP P Tracking Table'!$AE65,'Performance Curves'!$E$1:$L$1,1))),"")</f>
        <v/>
      </c>
      <c r="AH65" s="176" t="str">
        <f>IFERROR(IF('BMP P Tracking Table'!$AE65=2,VLOOKUP(CONCATENATE('BMP P Tracking Table'!$T65," ",'BMP P Tracking Table'!$AC65),'Performance Curves'!$C$1:$L$45,MATCH('BMP P Tracking Table'!$AE65,'Performance Curves'!$E$1:$L$1,1)+1,FALSE),'BMP P Tracking Table'!$AF65*'BMP P Tracking Table'!$AG65+VLOOKUP(CONCATENATE('BMP P Tracking Table'!$T65," ",'BMP P Tracking Table'!$AC65),'Performance Curves'!$C$1:$L$45,MATCH('BMP P Tracking Table'!$AE65,'Performance Curves'!$E$1:$L$1,1)+1,FALSE)),"")</f>
        <v/>
      </c>
      <c r="AI65" s="175" t="str">
        <f>IFERROR('BMP P Tracking Table'!$AH65*'BMP P Tracking Table'!$AD65,"")</f>
        <v/>
      </c>
      <c r="AJ65" s="173">
        <f>AD65*Disconnection!H6</f>
        <v>9.0969325535601371</v>
      </c>
      <c r="AK65" s="169"/>
      <c r="AL65" s="173"/>
      <c r="AM65" s="177"/>
      <c r="AN65" s="178">
        <f t="shared" si="8"/>
        <v>9.0969325535601371</v>
      </c>
      <c r="AO65" s="116"/>
      <c r="AP65" s="116"/>
      <c r="AQ65" s="116"/>
      <c r="AR65" s="116"/>
      <c r="AS65" s="116"/>
      <c r="AT65" s="116"/>
      <c r="AU65" s="116"/>
      <c r="AV65" s="107"/>
      <c r="AW65" s="117"/>
      <c r="AX65" s="117"/>
      <c r="AY65" s="114" t="str">
        <f>IF('BMP P Tracking Table'!$AK65="Yes",IF('BMP P Tracking Table'!$AL65="No",'BMP P Tracking Table'!$U65*VLOOKUP('BMP P Tracking Table'!$Q65,'Loading Rates'!$B$1:$L$24,4,FALSE)+IF('BMP P Tracking Table'!$V65="By HSG",'BMP P Tracking Table'!$W65*VLOOKUP('BMP P Tracking Table'!$Q65,'Loading Rates'!$B$1:$L$24,6,FALSE)+'BMP P Tracking Table'!$X65*VLOOKUP('BMP P Tracking Table'!$Q65,'Loading Rates'!$B$1:$L$24,7,FALSE)+'BMP P Tracking Table'!$Y65*VLOOKUP('BMP P Tracking Table'!$Q65,'Loading Rates'!$B$1:$L$24,8,FALSE)+'BMP P Tracking Table'!$Z65*VLOOKUP('BMP P Tracking Table'!$Q65,'Loading Rates'!$B$1:$L$24,9,FALSE),'BMP P Tracking Table'!$AA65*VLOOKUP('BMP P Tracking Table'!$Q65,'Loading Rates'!$B$1:$L$24,10,FALSE)),'BMP P Tracking Table'!$AO65*VLOOKUP('BMP P Tracking Table'!$Q65,'Loading Rates'!$B$1:$L$24,4,FALSE)+IF('BMP P Tracking Table'!$AP65="By HSG",'BMP P Tracking Table'!$AQ65*VLOOKUP('BMP P Tracking Table'!$Q65,'Loading Rates'!$B$1:$L$24,6,FALSE)+'BMP P Tracking Table'!$AR65*VLOOKUP('BMP P Tracking Table'!$Q65,'Loading Rates'!$B$1:$L$24,7,FALSE)+'BMP P Tracking Table'!$AS65*VLOOKUP('BMP P Tracking Table'!$Q65,'Loading Rates'!$B$1:$L$24,8,FALSE)+'BMP P Tracking Table'!$AT65*VLOOKUP('BMP P Tracking Table'!$Q65,'Loading Rates'!$B$1:$L$24,9,FALSE),'BMP P Tracking Table'!$AU65*VLOOKUP('BMP P Tracking Table'!$Q65,'Loading Rates'!$B$1:$L$24,10,FALSE))),"")</f>
        <v/>
      </c>
      <c r="AZ65" s="114">
        <f>IFERROR(IF('BMP P Tracking Table'!$AL65="Yes",MIN(2,IF('BMP P Tracking Table'!$AP65="Total Pervious",(-(3630*'BMP P Tracking Table'!$AO65+20.691*'BMP P Tracking Table'!$AU65)+SQRT((3630*'BMP P Tracking Table'!$AO65+20.691*'BMP P Tracking Table'!$AU65)^2-(4*(996.798*'BMP P Tracking Table'!$AU65)*-'BMP P Tracking Table'!$AW65)))/(2*(996.798*'BMP P Tracking Table'!$AU65)),IF(SUM('BMP P Tracking Table'!$AQ65:$AT65)=0,'BMP P Tracking Table'!$AU65/(-3630*'BMP P Tracking Table'!$AO65),(-(3630*'BMP P Tracking Table'!$AO65+20.691*'BMP P Tracking Table'!$AT65-216.711*'BMP P Tracking Table'!$AS65-83.853*'BMP P Tracking Table'!$AR65-42.834*'BMP P Tracking Table'!$AQ65)+SQRT((3630*'BMP P Tracking Table'!$AO65+20.691*'BMP P Tracking Table'!$AT65-216.711*'BMP P Tracking Table'!$AS65-83.853*'BMP P Tracking Table'!$AR65-42.834*'BMP P Tracking Table'!$AQ65)^2-(4*(149.919*'BMP P Tracking Table'!$AQ65+236.676*'BMP P Tracking Table'!$AR65+726*'BMP P Tracking Table'!$AS65+996.798*'BMP P Tracking Table'!$AT65)*-'BMP P Tracking Table'!$AW65)))/(2*(149.919*'BMP P Tracking Table'!$AQ65+236.676*'BMP P Tracking Table'!$AR65+726*'BMP P Tracking Table'!$AS65+996.798*'BMP P Tracking Table'!$AT65))))),MIN(2,IF('BMP P Tracking Table'!$AP65="Total Pervious",(-(3630*'BMP P Tracking Table'!$U65+20.691*'BMP P Tracking Table'!$AA65)+SQRT((3630*'BMP P Tracking Table'!$U65+20.691*'BMP P Tracking Table'!$AA65)^2-(4*(996.798*'BMP P Tracking Table'!$AA65)*-'BMP P Tracking Table'!$AW65)))/(2*(996.798*'BMP P Tracking Table'!$AA65)),IF(SUM('BMP P Tracking Table'!$W65:$Z65)=0,'BMP P Tracking Table'!$AW65/(-3630*'BMP P Tracking Table'!$U65),(-(3630*'BMP P Tracking Table'!$U65+20.691*'BMP P Tracking Table'!$Z65-216.711*'BMP P Tracking Table'!$Y65-83.853*'BMP P Tracking Table'!$X65-42.834*'BMP P Tracking Table'!$W65)+SQRT((3630*'BMP P Tracking Table'!$U65+20.691*'BMP P Tracking Table'!$Z65-216.711*'BMP P Tracking Table'!$Y65-83.853*'BMP P Tracking Table'!$X65-42.834*'BMP P Tracking Table'!$W65)^2-(4*(149.919*'BMP P Tracking Table'!$W65+236.676*'BMP P Tracking Table'!$X65+726*'BMP P Tracking Table'!$Y65+996.798*'BMP P Tracking Table'!$Z65)*-'BMP P Tracking Table'!$AW65)))/(2*(149.919*'BMP P Tracking Table'!$W65+236.676*'BMP P Tracking Table'!$X65+726*'BMP P Tracking Table'!$Y65+996.798*'BMP P Tracking Table'!$Z65)))))),"")</f>
        <v>0</v>
      </c>
      <c r="BA65" s="114" t="str">
        <f>IFERROR((VLOOKUP(CONCATENATE('BMP P Tracking Table'!$AV65," ",'BMP P Tracking Table'!$AX65),'Performance Curves'!$C$1:$L$45,MATCH('BMP P Tracking Table'!$AZ65,'Performance Curves'!$E$1:$L$1,1)+2,FALSE)-VLOOKUP(CONCATENATE('BMP P Tracking Table'!$AV65," ",'BMP P Tracking Table'!$AX65),'Performance Curves'!$C$1:$L$45,MATCH('BMP P Tracking Table'!$AZ65,'Performance Curves'!$E$1:$L$1,1)+1,FALSE)),"")</f>
        <v/>
      </c>
      <c r="BB65" s="114" t="str">
        <f>IFERROR(('BMP P Tracking Table'!$AZ65-INDEX('Performance Curves'!$E$1:$L$1,1,MATCH('BMP P Tracking Table'!$AZ65,'Performance Curves'!$E$1:$L$1,1)))/(INDEX('Performance Curves'!$E$1:$L$1,1,MATCH('BMP P Tracking Table'!$AZ65,'Performance Curves'!$E$1:$L$1,1)+1)-INDEX('Performance Curves'!$E$1:$L$1,1,MATCH('BMP P Tracking Table'!$AZ65,'Performance Curves'!$E$1:$L$1,1))),"")</f>
        <v/>
      </c>
      <c r="BC65" s="115" t="str">
        <f>IFERROR(IF('BMP P Tracking Table'!$AZ65=2,VLOOKUP(CONCATENATE('BMP P Tracking Table'!$AV65," ",'BMP P Tracking Table'!$AX65),'Performance Curves'!$C$1:$L$44,MATCH('BMP P Tracking Table'!$AZ65,'Performance Curves'!$E$1:$L$1,1)+1,FALSE),'BMP P Tracking Table'!$BA65*'BMP P Tracking Table'!$BB65+VLOOKUP(CONCATENATE('BMP P Tracking Table'!$AV65," ",'BMP P Tracking Table'!$AX65),'Performance Curves'!$C$1:$L$44,MATCH('BMP P Tracking Table'!$AZ65,'Performance Curves'!$E$1:$L$1,1)+1,FALSE)),"")</f>
        <v/>
      </c>
      <c r="BD65" s="114" t="str">
        <f>IFERROR('BMP P Tracking Table'!$BC65*'BMP P Tracking Table'!$AY65,"")</f>
        <v/>
      </c>
      <c r="BE65" s="116"/>
      <c r="BF65" s="118">
        <f t="shared" si="11"/>
        <v>0</v>
      </c>
      <c r="BK65" s="36" t="str">
        <f t="shared" si="13"/>
        <v>Winooski River</v>
      </c>
      <c r="BN65" s="36" t="s">
        <v>391</v>
      </c>
    </row>
    <row r="66" spans="1:66" s="119" customFormat="1" ht="17.399999999999999" customHeight="1" x14ac:dyDescent="0.3">
      <c r="A66" s="169" t="s">
        <v>284</v>
      </c>
      <c r="B66" s="169" t="s">
        <v>355</v>
      </c>
      <c r="C66" s="169" t="s">
        <v>312</v>
      </c>
      <c r="D66" s="169" t="s">
        <v>6</v>
      </c>
      <c r="E66" s="170">
        <v>44.49306</v>
      </c>
      <c r="F66" s="170">
        <v>-73.172219999999996</v>
      </c>
      <c r="G66" s="169" t="s">
        <v>315</v>
      </c>
      <c r="H66" s="169" t="s">
        <v>315</v>
      </c>
      <c r="I66" s="169" t="s">
        <v>66</v>
      </c>
      <c r="J66" s="171"/>
      <c r="K66" s="169" t="s">
        <v>111</v>
      </c>
      <c r="L66" s="169"/>
      <c r="M66" s="172" t="s">
        <v>382</v>
      </c>
      <c r="N66" s="172">
        <v>44358</v>
      </c>
      <c r="O66" s="169" t="s">
        <v>62</v>
      </c>
      <c r="P66" s="169" t="s">
        <v>34</v>
      </c>
      <c r="Q66" s="169" t="s">
        <v>147</v>
      </c>
      <c r="R66" s="169" t="str">
        <f>IFERROR(VLOOKUP('BMP P Tracking Table'!$Q66,Dropdowns!$P$3:$Q$23,2,FALSE),"")</f>
        <v>Shelburne Bay</v>
      </c>
      <c r="S66" s="169" t="s">
        <v>66</v>
      </c>
      <c r="T66" s="169"/>
      <c r="U66" s="173">
        <f>Disconnection!C7</f>
        <v>7.91</v>
      </c>
      <c r="V66" s="169" t="s">
        <v>219</v>
      </c>
      <c r="W66" s="169"/>
      <c r="X66" s="169"/>
      <c r="Y66" s="169"/>
      <c r="Z66" s="169"/>
      <c r="AA66" s="169">
        <f>Disconnection!F7</f>
        <v>15.2</v>
      </c>
      <c r="AB66" s="174"/>
      <c r="AC66" s="169" t="s">
        <v>205</v>
      </c>
      <c r="AD66" s="175">
        <f>IFERROR('BMP P Tracking Table'!$U66*VLOOKUP('BMP P Tracking Table'!$Q66,'Loading Rates'!$B$1:$L$24,4,FALSE)+IF('BMP P Tracking Table'!$V66="By HSG",'BMP P Tracking Table'!$W66*VLOOKUP('BMP P Tracking Table'!$Q66,'Loading Rates'!$B$1:$L$24,6,FALSE)+'BMP P Tracking Table'!$X66*VLOOKUP('BMP P Tracking Table'!$Q66,'Loading Rates'!$B$1:$L$24,7,FALSE)+'BMP P Tracking Table'!$Y66*VLOOKUP('BMP P Tracking Table'!$Q66,'Loading Rates'!$B$1:$L$24,8,FALSE)+'BMP P Tracking Table'!$Z66*VLOOKUP('BMP P Tracking Table'!$Q66,'Loading Rates'!$B$1:$L$24,9,FALSE),'BMP P Tracking Table'!$AA66*VLOOKUP('BMP P Tracking Table'!$Q66,'Loading Rates'!$B$1:$L$24,10,FALSE)),"")</f>
        <v>10.14472</v>
      </c>
      <c r="AE66" s="175">
        <f>IFERROR(MIN(2,IF('BMP P Tracking Table'!$V66="Total Pervious",(-(3630*'BMP P Tracking Table'!$U66+20.691*'BMP P Tracking Table'!$AA66)+SQRT((3630*'BMP P Tracking Table'!$U66+20.691*'BMP P Tracking Table'!$AA66)^2-(4*(996.798*'BMP P Tracking Table'!$AA66)*-'BMP P Tracking Table'!$AB66)))/(2*(996.798*'BMP P Tracking Table'!$AA66)),IF(SUM('BMP P Tracking Table'!$W66:$Z66)=0,'BMP P Tracking Table'!$AB66/(-3630*'BMP P Tracking Table'!$U66),(-(3630*'BMP P Tracking Table'!$U66+20.691*'BMP P Tracking Table'!$Z66-216.711*'BMP P Tracking Table'!$Y66-83.853*'BMP P Tracking Table'!$X66-42.834*'BMP P Tracking Table'!$W66)+SQRT((3630*'BMP P Tracking Table'!$U66+20.691*'BMP P Tracking Table'!$Z66-216.711*'BMP P Tracking Table'!$Y66-83.853*'BMP P Tracking Table'!$X66-42.834*'BMP P Tracking Table'!$W66)^2-(4*(149.919*'BMP P Tracking Table'!$W66+236.676*'BMP P Tracking Table'!$X66+726*'BMP P Tracking Table'!$Y66+996.798*'BMP P Tracking Table'!$Z66)*-'BMP P Tracking Table'!$AB66)))/(2*(149.919*'BMP P Tracking Table'!$W66+236.676*'BMP P Tracking Table'!$X66+726*'BMP P Tracking Table'!$Y66+996.798*'BMP P Tracking Table'!$Z66))))),"")</f>
        <v>0</v>
      </c>
      <c r="AF66" s="175" t="str">
        <f>IFERROR((VLOOKUP(CONCATENATE('BMP P Tracking Table'!$T66," ",'BMP P Tracking Table'!$AC66),'Performance Curves'!$C$1:$L$45,MATCH('BMP P Tracking Table'!$AE66,'Performance Curves'!$E$1:$L$1,1)+2,FALSE)-VLOOKUP(CONCATENATE('BMP P Tracking Table'!$T66," ",'BMP P Tracking Table'!$AC66),'Performance Curves'!$C$1:$L$45,MATCH('BMP P Tracking Table'!$AE66,'Performance Curves'!$E$1:$L$1,1)+1,FALSE)),"")</f>
        <v/>
      </c>
      <c r="AG66" s="175" t="str">
        <f>IFERROR(('BMP P Tracking Table'!$AE66-INDEX('Performance Curves'!$E$1:$L$1,1,MATCH('BMP P Tracking Table'!$AE66,'Performance Curves'!$E$1:$L$1,1)))/(INDEX('Performance Curves'!$E$1:$L$1,1,MATCH('BMP P Tracking Table'!$AE66,'Performance Curves'!$E$1:$L$1,1)+1)-INDEX('Performance Curves'!$E$1:$L$1,1,MATCH('BMP P Tracking Table'!$AE66,'Performance Curves'!$E$1:$L$1,1))),"")</f>
        <v/>
      </c>
      <c r="AH66" s="176" t="str">
        <f>IFERROR(IF('BMP P Tracking Table'!$AE66=2,VLOOKUP(CONCATENATE('BMP P Tracking Table'!$T66," ",'BMP P Tracking Table'!$AC66),'Performance Curves'!$C$1:$L$45,MATCH('BMP P Tracking Table'!$AE66,'Performance Curves'!$E$1:$L$1,1)+1,FALSE),'BMP P Tracking Table'!$AF66*'BMP P Tracking Table'!$AG66+VLOOKUP(CONCATENATE('BMP P Tracking Table'!$T66," ",'BMP P Tracking Table'!$AC66),'Performance Curves'!$C$1:$L$45,MATCH('BMP P Tracking Table'!$AE66,'Performance Curves'!$E$1:$L$1,1)+1,FALSE)),"")</f>
        <v/>
      </c>
      <c r="AI66" s="175" t="str">
        <f>IFERROR('BMP P Tracking Table'!$AH66*'BMP P Tracking Table'!$AD66,"")</f>
        <v/>
      </c>
      <c r="AJ66" s="173">
        <f>AD66*Disconnection!H7</f>
        <v>7.7919644503065131</v>
      </c>
      <c r="AK66" s="169"/>
      <c r="AL66" s="173"/>
      <c r="AM66" s="177"/>
      <c r="AN66" s="178">
        <f t="shared" si="8"/>
        <v>7.7919644503065131</v>
      </c>
      <c r="AO66" s="116"/>
      <c r="AP66" s="116"/>
      <c r="AQ66" s="116"/>
      <c r="AR66" s="116"/>
      <c r="AS66" s="116"/>
      <c r="AT66" s="116"/>
      <c r="AU66" s="116"/>
      <c r="AV66" s="107"/>
      <c r="AW66" s="117"/>
      <c r="AX66" s="117"/>
      <c r="AY66" s="114" t="str">
        <f>IF('BMP P Tracking Table'!$AK66="Yes",IF('BMP P Tracking Table'!$AL66="No",'BMP P Tracking Table'!$U66*VLOOKUP('BMP P Tracking Table'!$Q66,'Loading Rates'!$B$1:$L$24,4,FALSE)+IF('BMP P Tracking Table'!$V66="By HSG",'BMP P Tracking Table'!$W66*VLOOKUP('BMP P Tracking Table'!$Q66,'Loading Rates'!$B$1:$L$24,6,FALSE)+'BMP P Tracking Table'!$X66*VLOOKUP('BMP P Tracking Table'!$Q66,'Loading Rates'!$B$1:$L$24,7,FALSE)+'BMP P Tracking Table'!$Y66*VLOOKUP('BMP P Tracking Table'!$Q66,'Loading Rates'!$B$1:$L$24,8,FALSE)+'BMP P Tracking Table'!$Z66*VLOOKUP('BMP P Tracking Table'!$Q66,'Loading Rates'!$B$1:$L$24,9,FALSE),'BMP P Tracking Table'!$AA66*VLOOKUP('BMP P Tracking Table'!$Q66,'Loading Rates'!$B$1:$L$24,10,FALSE)),'BMP P Tracking Table'!$AO66*VLOOKUP('BMP P Tracking Table'!$Q66,'Loading Rates'!$B$1:$L$24,4,FALSE)+IF('BMP P Tracking Table'!$AP66="By HSG",'BMP P Tracking Table'!$AQ66*VLOOKUP('BMP P Tracking Table'!$Q66,'Loading Rates'!$B$1:$L$24,6,FALSE)+'BMP P Tracking Table'!$AR66*VLOOKUP('BMP P Tracking Table'!$Q66,'Loading Rates'!$B$1:$L$24,7,FALSE)+'BMP P Tracking Table'!$AS66*VLOOKUP('BMP P Tracking Table'!$Q66,'Loading Rates'!$B$1:$L$24,8,FALSE)+'BMP P Tracking Table'!$AT66*VLOOKUP('BMP P Tracking Table'!$Q66,'Loading Rates'!$B$1:$L$24,9,FALSE),'BMP P Tracking Table'!$AU66*VLOOKUP('BMP P Tracking Table'!$Q66,'Loading Rates'!$B$1:$L$24,10,FALSE))),"")</f>
        <v/>
      </c>
      <c r="AZ66" s="114">
        <f>IFERROR(IF('BMP P Tracking Table'!$AL66="Yes",MIN(2,IF('BMP P Tracking Table'!$AP66="Total Pervious",(-(3630*'BMP P Tracking Table'!$AO66+20.691*'BMP P Tracking Table'!$AU66)+SQRT((3630*'BMP P Tracking Table'!$AO66+20.691*'BMP P Tracking Table'!$AU66)^2-(4*(996.798*'BMP P Tracking Table'!$AU66)*-'BMP P Tracking Table'!$AW66)))/(2*(996.798*'BMP P Tracking Table'!$AU66)),IF(SUM('BMP P Tracking Table'!$AQ66:$AT66)=0,'BMP P Tracking Table'!$AU66/(-3630*'BMP P Tracking Table'!$AO66),(-(3630*'BMP P Tracking Table'!$AO66+20.691*'BMP P Tracking Table'!$AT66-216.711*'BMP P Tracking Table'!$AS66-83.853*'BMP P Tracking Table'!$AR66-42.834*'BMP P Tracking Table'!$AQ66)+SQRT((3630*'BMP P Tracking Table'!$AO66+20.691*'BMP P Tracking Table'!$AT66-216.711*'BMP P Tracking Table'!$AS66-83.853*'BMP P Tracking Table'!$AR66-42.834*'BMP P Tracking Table'!$AQ66)^2-(4*(149.919*'BMP P Tracking Table'!$AQ66+236.676*'BMP P Tracking Table'!$AR66+726*'BMP P Tracking Table'!$AS66+996.798*'BMP P Tracking Table'!$AT66)*-'BMP P Tracking Table'!$AW66)))/(2*(149.919*'BMP P Tracking Table'!$AQ66+236.676*'BMP P Tracking Table'!$AR66+726*'BMP P Tracking Table'!$AS66+996.798*'BMP P Tracking Table'!$AT66))))),MIN(2,IF('BMP P Tracking Table'!$AP66="Total Pervious",(-(3630*'BMP P Tracking Table'!$U66+20.691*'BMP P Tracking Table'!$AA66)+SQRT((3630*'BMP P Tracking Table'!$U66+20.691*'BMP P Tracking Table'!$AA66)^2-(4*(996.798*'BMP P Tracking Table'!$AA66)*-'BMP P Tracking Table'!$AW66)))/(2*(996.798*'BMP P Tracking Table'!$AA66)),IF(SUM('BMP P Tracking Table'!$W66:$Z66)=0,'BMP P Tracking Table'!$AW66/(-3630*'BMP P Tracking Table'!$U66),(-(3630*'BMP P Tracking Table'!$U66+20.691*'BMP P Tracking Table'!$Z66-216.711*'BMP P Tracking Table'!$Y66-83.853*'BMP P Tracking Table'!$X66-42.834*'BMP P Tracking Table'!$W66)+SQRT((3630*'BMP P Tracking Table'!$U66+20.691*'BMP P Tracking Table'!$Z66-216.711*'BMP P Tracking Table'!$Y66-83.853*'BMP P Tracking Table'!$X66-42.834*'BMP P Tracking Table'!$W66)^2-(4*(149.919*'BMP P Tracking Table'!$W66+236.676*'BMP P Tracking Table'!$X66+726*'BMP P Tracking Table'!$Y66+996.798*'BMP P Tracking Table'!$Z66)*-'BMP P Tracking Table'!$AW66)))/(2*(149.919*'BMP P Tracking Table'!$W66+236.676*'BMP P Tracking Table'!$X66+726*'BMP P Tracking Table'!$Y66+996.798*'BMP P Tracking Table'!$Z66)))))),"")</f>
        <v>0</v>
      </c>
      <c r="BA66" s="114" t="str">
        <f>IFERROR((VLOOKUP(CONCATENATE('BMP P Tracking Table'!$AV66," ",'BMP P Tracking Table'!$AX66),'Performance Curves'!$C$1:$L$45,MATCH('BMP P Tracking Table'!$AZ66,'Performance Curves'!$E$1:$L$1,1)+2,FALSE)-VLOOKUP(CONCATENATE('BMP P Tracking Table'!$AV66," ",'BMP P Tracking Table'!$AX66),'Performance Curves'!$C$1:$L$45,MATCH('BMP P Tracking Table'!$AZ66,'Performance Curves'!$E$1:$L$1,1)+1,FALSE)),"")</f>
        <v/>
      </c>
      <c r="BB66" s="114" t="str">
        <f>IFERROR(('BMP P Tracking Table'!$AZ66-INDEX('Performance Curves'!$E$1:$L$1,1,MATCH('BMP P Tracking Table'!$AZ66,'Performance Curves'!$E$1:$L$1,1)))/(INDEX('Performance Curves'!$E$1:$L$1,1,MATCH('BMP P Tracking Table'!$AZ66,'Performance Curves'!$E$1:$L$1,1)+1)-INDEX('Performance Curves'!$E$1:$L$1,1,MATCH('BMP P Tracking Table'!$AZ66,'Performance Curves'!$E$1:$L$1,1))),"")</f>
        <v/>
      </c>
      <c r="BC66" s="115" t="str">
        <f>IFERROR(IF('BMP P Tracking Table'!$AZ66=2,VLOOKUP(CONCATENATE('BMP P Tracking Table'!$AV66," ",'BMP P Tracking Table'!$AX66),'Performance Curves'!$C$1:$L$44,MATCH('BMP P Tracking Table'!$AZ66,'Performance Curves'!$E$1:$L$1,1)+1,FALSE),'BMP P Tracking Table'!$BA66*'BMP P Tracking Table'!$BB66+VLOOKUP(CONCATENATE('BMP P Tracking Table'!$AV66," ",'BMP P Tracking Table'!$AX66),'Performance Curves'!$C$1:$L$44,MATCH('BMP P Tracking Table'!$AZ66,'Performance Curves'!$E$1:$L$1,1)+1,FALSE)),"")</f>
        <v/>
      </c>
      <c r="BD66" s="114" t="str">
        <f>IFERROR('BMP P Tracking Table'!$BC66*'BMP P Tracking Table'!$AY66,"")</f>
        <v/>
      </c>
      <c r="BE66" s="116"/>
      <c r="BF66" s="118">
        <f t="shared" si="11"/>
        <v>0</v>
      </c>
      <c r="BK66" s="36" t="str">
        <f t="shared" si="13"/>
        <v>Laplatte River</v>
      </c>
      <c r="BN66" s="36" t="s">
        <v>391</v>
      </c>
    </row>
    <row r="67" spans="1:66" s="119" customFormat="1" ht="17.399999999999999" customHeight="1" x14ac:dyDescent="0.3">
      <c r="A67" s="169" t="s">
        <v>283</v>
      </c>
      <c r="B67" s="169" t="s">
        <v>356</v>
      </c>
      <c r="C67" s="169" t="s">
        <v>312</v>
      </c>
      <c r="D67" s="169" t="s">
        <v>6</v>
      </c>
      <c r="E67" s="170">
        <v>44.49306</v>
      </c>
      <c r="F67" s="170">
        <v>-73.172219999999996</v>
      </c>
      <c r="G67" s="169" t="s">
        <v>315</v>
      </c>
      <c r="H67" s="169" t="s">
        <v>315</v>
      </c>
      <c r="I67" s="169" t="s">
        <v>66</v>
      </c>
      <c r="J67" s="171"/>
      <c r="K67" s="169" t="s">
        <v>111</v>
      </c>
      <c r="L67" s="169"/>
      <c r="M67" s="172" t="s">
        <v>382</v>
      </c>
      <c r="N67" s="172">
        <v>44358</v>
      </c>
      <c r="O67" s="169" t="s">
        <v>62</v>
      </c>
      <c r="P67" s="169" t="s">
        <v>119</v>
      </c>
      <c r="Q67" s="169" t="s">
        <v>146</v>
      </c>
      <c r="R67" s="169" t="str">
        <f>IFERROR(VLOOKUP('BMP P Tracking Table'!$Q67,Dropdowns!$P$3:$Q$23,2,FALSE),"")</f>
        <v>Main Lake</v>
      </c>
      <c r="S67" s="169" t="s">
        <v>66</v>
      </c>
      <c r="T67" s="169"/>
      <c r="U67" s="173">
        <f>Disconnection!C8</f>
        <v>3.58</v>
      </c>
      <c r="V67" s="169" t="s">
        <v>219</v>
      </c>
      <c r="W67" s="169"/>
      <c r="X67" s="169"/>
      <c r="Y67" s="169"/>
      <c r="Z67" s="169"/>
      <c r="AA67" s="169">
        <f>Disconnection!F8</f>
        <v>10.059999999999999</v>
      </c>
      <c r="AB67" s="174"/>
      <c r="AC67" s="169" t="s">
        <v>205</v>
      </c>
      <c r="AD67" s="175">
        <f>IFERROR('BMP P Tracking Table'!$U67*VLOOKUP('BMP P Tracking Table'!$Q67,'Loading Rates'!$B$1:$L$24,4,FALSE)+IF('BMP P Tracking Table'!$V67="By HSG",'BMP P Tracking Table'!$W67*VLOOKUP('BMP P Tracking Table'!$Q67,'Loading Rates'!$B$1:$L$24,6,FALSE)+'BMP P Tracking Table'!$X67*VLOOKUP('BMP P Tracking Table'!$Q67,'Loading Rates'!$B$1:$L$24,7,FALSE)+'BMP P Tracking Table'!$Y67*VLOOKUP('BMP P Tracking Table'!$Q67,'Loading Rates'!$B$1:$L$24,8,FALSE)+'BMP P Tracking Table'!$Z67*VLOOKUP('BMP P Tracking Table'!$Q67,'Loading Rates'!$B$1:$L$24,9,FALSE),'BMP P Tracking Table'!$AA67*VLOOKUP('BMP P Tracking Table'!$Q67,'Loading Rates'!$B$1:$L$24,10,FALSE)),"")</f>
        <v>6.3227200000000003</v>
      </c>
      <c r="AE67" s="175">
        <f>IFERROR(MIN(2,IF('BMP P Tracking Table'!$V67="Total Pervious",(-(3630*'BMP P Tracking Table'!$U67+20.691*'BMP P Tracking Table'!$AA67)+SQRT((3630*'BMP P Tracking Table'!$U67+20.691*'BMP P Tracking Table'!$AA67)^2-(4*(996.798*'BMP P Tracking Table'!$AA67)*-'BMP P Tracking Table'!$AB67)))/(2*(996.798*'BMP P Tracking Table'!$AA67)),IF(SUM('BMP P Tracking Table'!$W67:$Z67)=0,'BMP P Tracking Table'!$AB67/(-3630*'BMP P Tracking Table'!$U67),(-(3630*'BMP P Tracking Table'!$U67+20.691*'BMP P Tracking Table'!$Z67-216.711*'BMP P Tracking Table'!$Y67-83.853*'BMP P Tracking Table'!$X67-42.834*'BMP P Tracking Table'!$W67)+SQRT((3630*'BMP P Tracking Table'!$U67+20.691*'BMP P Tracking Table'!$Z67-216.711*'BMP P Tracking Table'!$Y67-83.853*'BMP P Tracking Table'!$X67-42.834*'BMP P Tracking Table'!$W67)^2-(4*(149.919*'BMP P Tracking Table'!$W67+236.676*'BMP P Tracking Table'!$X67+726*'BMP P Tracking Table'!$Y67+996.798*'BMP P Tracking Table'!$Z67)*-'BMP P Tracking Table'!$AB67)))/(2*(149.919*'BMP P Tracking Table'!$W67+236.676*'BMP P Tracking Table'!$X67+726*'BMP P Tracking Table'!$Y67+996.798*'BMP P Tracking Table'!$Z67))))),"")</f>
        <v>0</v>
      </c>
      <c r="AF67" s="175" t="str">
        <f>IFERROR((VLOOKUP(CONCATENATE('BMP P Tracking Table'!$T67," ",'BMP P Tracking Table'!$AC67),'Performance Curves'!$C$1:$L$45,MATCH('BMP P Tracking Table'!$AE67,'Performance Curves'!$E$1:$L$1,1)+2,FALSE)-VLOOKUP(CONCATENATE('BMP P Tracking Table'!$T67," ",'BMP P Tracking Table'!$AC67),'Performance Curves'!$C$1:$L$45,MATCH('BMP P Tracking Table'!$AE67,'Performance Curves'!$E$1:$L$1,1)+1,FALSE)),"")</f>
        <v/>
      </c>
      <c r="AG67" s="175" t="str">
        <f>IFERROR(('BMP P Tracking Table'!$AE67-INDEX('Performance Curves'!$E$1:$L$1,1,MATCH('BMP P Tracking Table'!$AE67,'Performance Curves'!$E$1:$L$1,1)))/(INDEX('Performance Curves'!$E$1:$L$1,1,MATCH('BMP P Tracking Table'!$AE67,'Performance Curves'!$E$1:$L$1,1)+1)-INDEX('Performance Curves'!$E$1:$L$1,1,MATCH('BMP P Tracking Table'!$AE67,'Performance Curves'!$E$1:$L$1,1))),"")</f>
        <v/>
      </c>
      <c r="AH67" s="176" t="str">
        <f>IFERROR(IF('BMP P Tracking Table'!$AE67=2,VLOOKUP(CONCATENATE('BMP P Tracking Table'!$T67," ",'BMP P Tracking Table'!$AC67),'Performance Curves'!$C$1:$L$45,MATCH('BMP P Tracking Table'!$AE67,'Performance Curves'!$E$1:$L$1,1)+1,FALSE),'BMP P Tracking Table'!$AF67*'BMP P Tracking Table'!$AG67+VLOOKUP(CONCATENATE('BMP P Tracking Table'!$T67," ",'BMP P Tracking Table'!$AC67),'Performance Curves'!$C$1:$L$45,MATCH('BMP P Tracking Table'!$AE67,'Performance Curves'!$E$1:$L$1,1)+1,FALSE)),"")</f>
        <v/>
      </c>
      <c r="AI67" s="175" t="str">
        <f>IFERROR('BMP P Tracking Table'!$AH67*'BMP P Tracking Table'!$AD67,"")</f>
        <v/>
      </c>
      <c r="AJ67" s="173">
        <f>AD67*Disconnection!H8</f>
        <v>5.0154472458841735</v>
      </c>
      <c r="AK67" s="169"/>
      <c r="AL67" s="173"/>
      <c r="AM67" s="177"/>
      <c r="AN67" s="178">
        <f t="shared" si="8"/>
        <v>5.0154472458841735</v>
      </c>
      <c r="AO67" s="116"/>
      <c r="AP67" s="116"/>
      <c r="AQ67" s="116"/>
      <c r="AR67" s="116"/>
      <c r="AS67" s="116"/>
      <c r="AT67" s="116"/>
      <c r="AU67" s="116"/>
      <c r="AV67" s="107"/>
      <c r="AW67" s="117"/>
      <c r="AX67" s="117"/>
      <c r="AY67" s="114" t="str">
        <f>IF('BMP P Tracking Table'!$AK67="Yes",IF('BMP P Tracking Table'!$AL67="No",'BMP P Tracking Table'!$U67*VLOOKUP('BMP P Tracking Table'!$Q67,'Loading Rates'!$B$1:$L$24,4,FALSE)+IF('BMP P Tracking Table'!$V67="By HSG",'BMP P Tracking Table'!$W67*VLOOKUP('BMP P Tracking Table'!$Q67,'Loading Rates'!$B$1:$L$24,6,FALSE)+'BMP P Tracking Table'!$X67*VLOOKUP('BMP P Tracking Table'!$Q67,'Loading Rates'!$B$1:$L$24,7,FALSE)+'BMP P Tracking Table'!$Y67*VLOOKUP('BMP P Tracking Table'!$Q67,'Loading Rates'!$B$1:$L$24,8,FALSE)+'BMP P Tracking Table'!$Z67*VLOOKUP('BMP P Tracking Table'!$Q67,'Loading Rates'!$B$1:$L$24,9,FALSE),'BMP P Tracking Table'!$AA67*VLOOKUP('BMP P Tracking Table'!$Q67,'Loading Rates'!$B$1:$L$24,10,FALSE)),'BMP P Tracking Table'!$AO67*VLOOKUP('BMP P Tracking Table'!$Q67,'Loading Rates'!$B$1:$L$24,4,FALSE)+IF('BMP P Tracking Table'!$AP67="By HSG",'BMP P Tracking Table'!$AQ67*VLOOKUP('BMP P Tracking Table'!$Q67,'Loading Rates'!$B$1:$L$24,6,FALSE)+'BMP P Tracking Table'!$AR67*VLOOKUP('BMP P Tracking Table'!$Q67,'Loading Rates'!$B$1:$L$24,7,FALSE)+'BMP P Tracking Table'!$AS67*VLOOKUP('BMP P Tracking Table'!$Q67,'Loading Rates'!$B$1:$L$24,8,FALSE)+'BMP P Tracking Table'!$AT67*VLOOKUP('BMP P Tracking Table'!$Q67,'Loading Rates'!$B$1:$L$24,9,FALSE),'BMP P Tracking Table'!$AU67*VLOOKUP('BMP P Tracking Table'!$Q67,'Loading Rates'!$B$1:$L$24,10,FALSE))),"")</f>
        <v/>
      </c>
      <c r="AZ67" s="114">
        <f>IFERROR(IF('BMP P Tracking Table'!$AL67="Yes",MIN(2,IF('BMP P Tracking Table'!$AP67="Total Pervious",(-(3630*'BMP P Tracking Table'!$AO67+20.691*'BMP P Tracking Table'!$AU67)+SQRT((3630*'BMP P Tracking Table'!$AO67+20.691*'BMP P Tracking Table'!$AU67)^2-(4*(996.798*'BMP P Tracking Table'!$AU67)*-'BMP P Tracking Table'!$AW67)))/(2*(996.798*'BMP P Tracking Table'!$AU67)),IF(SUM('BMP P Tracking Table'!$AQ67:$AT67)=0,'BMP P Tracking Table'!$AU67/(-3630*'BMP P Tracking Table'!$AO67),(-(3630*'BMP P Tracking Table'!$AO67+20.691*'BMP P Tracking Table'!$AT67-216.711*'BMP P Tracking Table'!$AS67-83.853*'BMP P Tracking Table'!$AR67-42.834*'BMP P Tracking Table'!$AQ67)+SQRT((3630*'BMP P Tracking Table'!$AO67+20.691*'BMP P Tracking Table'!$AT67-216.711*'BMP P Tracking Table'!$AS67-83.853*'BMP P Tracking Table'!$AR67-42.834*'BMP P Tracking Table'!$AQ67)^2-(4*(149.919*'BMP P Tracking Table'!$AQ67+236.676*'BMP P Tracking Table'!$AR67+726*'BMP P Tracking Table'!$AS67+996.798*'BMP P Tracking Table'!$AT67)*-'BMP P Tracking Table'!$AW67)))/(2*(149.919*'BMP P Tracking Table'!$AQ67+236.676*'BMP P Tracking Table'!$AR67+726*'BMP P Tracking Table'!$AS67+996.798*'BMP P Tracking Table'!$AT67))))),MIN(2,IF('BMP P Tracking Table'!$AP67="Total Pervious",(-(3630*'BMP P Tracking Table'!$U67+20.691*'BMP P Tracking Table'!$AA67)+SQRT((3630*'BMP P Tracking Table'!$U67+20.691*'BMP P Tracking Table'!$AA67)^2-(4*(996.798*'BMP P Tracking Table'!$AA67)*-'BMP P Tracking Table'!$AW67)))/(2*(996.798*'BMP P Tracking Table'!$AA67)),IF(SUM('BMP P Tracking Table'!$W67:$Z67)=0,'BMP P Tracking Table'!$AW67/(-3630*'BMP P Tracking Table'!$U67),(-(3630*'BMP P Tracking Table'!$U67+20.691*'BMP P Tracking Table'!$Z67-216.711*'BMP P Tracking Table'!$Y67-83.853*'BMP P Tracking Table'!$X67-42.834*'BMP P Tracking Table'!$W67)+SQRT((3630*'BMP P Tracking Table'!$U67+20.691*'BMP P Tracking Table'!$Z67-216.711*'BMP P Tracking Table'!$Y67-83.853*'BMP P Tracking Table'!$X67-42.834*'BMP P Tracking Table'!$W67)^2-(4*(149.919*'BMP P Tracking Table'!$W67+236.676*'BMP P Tracking Table'!$X67+726*'BMP P Tracking Table'!$Y67+996.798*'BMP P Tracking Table'!$Z67)*-'BMP P Tracking Table'!$AW67)))/(2*(149.919*'BMP P Tracking Table'!$W67+236.676*'BMP P Tracking Table'!$X67+726*'BMP P Tracking Table'!$Y67+996.798*'BMP P Tracking Table'!$Z67)))))),"")</f>
        <v>0</v>
      </c>
      <c r="BA67" s="114" t="str">
        <f>IFERROR((VLOOKUP(CONCATENATE('BMP P Tracking Table'!$AV67," ",'BMP P Tracking Table'!$AX67),'Performance Curves'!$C$1:$L$45,MATCH('BMP P Tracking Table'!$AZ67,'Performance Curves'!$E$1:$L$1,1)+2,FALSE)-VLOOKUP(CONCATENATE('BMP P Tracking Table'!$AV67," ",'BMP P Tracking Table'!$AX67),'Performance Curves'!$C$1:$L$45,MATCH('BMP P Tracking Table'!$AZ67,'Performance Curves'!$E$1:$L$1,1)+1,FALSE)),"")</f>
        <v/>
      </c>
      <c r="BB67" s="114" t="str">
        <f>IFERROR(('BMP P Tracking Table'!$AZ67-INDEX('Performance Curves'!$E$1:$L$1,1,MATCH('BMP P Tracking Table'!$AZ67,'Performance Curves'!$E$1:$L$1,1)))/(INDEX('Performance Curves'!$E$1:$L$1,1,MATCH('BMP P Tracking Table'!$AZ67,'Performance Curves'!$E$1:$L$1,1)+1)-INDEX('Performance Curves'!$E$1:$L$1,1,MATCH('BMP P Tracking Table'!$AZ67,'Performance Curves'!$E$1:$L$1,1))),"")</f>
        <v/>
      </c>
      <c r="BC67" s="115" t="str">
        <f>IFERROR(IF('BMP P Tracking Table'!$AZ67=2,VLOOKUP(CONCATENATE('BMP P Tracking Table'!$AV67," ",'BMP P Tracking Table'!$AX67),'Performance Curves'!$C$1:$L$44,MATCH('BMP P Tracking Table'!$AZ67,'Performance Curves'!$E$1:$L$1,1)+1,FALSE),'BMP P Tracking Table'!$BA67*'BMP P Tracking Table'!$BB67+VLOOKUP(CONCATENATE('BMP P Tracking Table'!$AV67," ",'BMP P Tracking Table'!$AX67),'Performance Curves'!$C$1:$L$44,MATCH('BMP P Tracking Table'!$AZ67,'Performance Curves'!$E$1:$L$1,1)+1,FALSE)),"")</f>
        <v/>
      </c>
      <c r="BD67" s="114" t="str">
        <f>IFERROR('BMP P Tracking Table'!$BC67*'BMP P Tracking Table'!$AY67,"")</f>
        <v/>
      </c>
      <c r="BE67" s="116"/>
      <c r="BF67" s="118">
        <f t="shared" si="11"/>
        <v>0</v>
      </c>
      <c r="BK67" s="36" t="str">
        <f t="shared" si="13"/>
        <v>Winooski River</v>
      </c>
      <c r="BN67" s="36" t="s">
        <v>391</v>
      </c>
    </row>
    <row r="68" spans="1:66" s="119" customFormat="1" ht="17.399999999999999" customHeight="1" x14ac:dyDescent="0.3">
      <c r="A68" s="169" t="s">
        <v>282</v>
      </c>
      <c r="B68" s="169" t="s">
        <v>357</v>
      </c>
      <c r="C68" s="169" t="s">
        <v>312</v>
      </c>
      <c r="D68" s="169" t="s">
        <v>6</v>
      </c>
      <c r="E68" s="170">
        <v>44.49306</v>
      </c>
      <c r="F68" s="170">
        <v>-73.172219999999996</v>
      </c>
      <c r="G68" s="169" t="s">
        <v>315</v>
      </c>
      <c r="H68" s="169" t="s">
        <v>315</v>
      </c>
      <c r="I68" s="169" t="s">
        <v>66</v>
      </c>
      <c r="J68" s="171"/>
      <c r="K68" s="169" t="s">
        <v>111</v>
      </c>
      <c r="L68" s="169"/>
      <c r="M68" s="172" t="s">
        <v>382</v>
      </c>
      <c r="N68" s="172">
        <v>44358</v>
      </c>
      <c r="O68" s="169" t="s">
        <v>62</v>
      </c>
      <c r="P68" s="169" t="s">
        <v>119</v>
      </c>
      <c r="Q68" s="169" t="s">
        <v>146</v>
      </c>
      <c r="R68" s="169" t="str">
        <f>IFERROR(VLOOKUP('BMP P Tracking Table'!$Q68,Dropdowns!$P$3:$Q$23,2,FALSE),"")</f>
        <v>Main Lake</v>
      </c>
      <c r="S68" s="169" t="s">
        <v>66</v>
      </c>
      <c r="T68" s="169"/>
      <c r="U68" s="173">
        <f>Disconnection!C9</f>
        <v>0.67</v>
      </c>
      <c r="V68" s="169" t="s">
        <v>219</v>
      </c>
      <c r="W68" s="169"/>
      <c r="X68" s="169"/>
      <c r="Y68" s="169"/>
      <c r="Z68" s="169"/>
      <c r="AA68" s="169">
        <f>Disconnection!F9</f>
        <v>2.6100000000000003</v>
      </c>
      <c r="AB68" s="174"/>
      <c r="AC68" s="169" t="s">
        <v>205</v>
      </c>
      <c r="AD68" s="175">
        <f>IFERROR('BMP P Tracking Table'!$U68*VLOOKUP('BMP P Tracking Table'!$Q68,'Loading Rates'!$B$1:$L$24,4,FALSE)+IF('BMP P Tracking Table'!$V68="By HSG",'BMP P Tracking Table'!$W68*VLOOKUP('BMP P Tracking Table'!$Q68,'Loading Rates'!$B$1:$L$24,6,FALSE)+'BMP P Tracking Table'!$X68*VLOOKUP('BMP P Tracking Table'!$Q68,'Loading Rates'!$B$1:$L$24,7,FALSE)+'BMP P Tracking Table'!$Y68*VLOOKUP('BMP P Tracking Table'!$Q68,'Loading Rates'!$B$1:$L$24,8,FALSE)+'BMP P Tracking Table'!$Z68*VLOOKUP('BMP P Tracking Table'!$Q68,'Loading Rates'!$B$1:$L$24,9,FALSE),'BMP P Tracking Table'!$AA68*VLOOKUP('BMP P Tracking Table'!$Q68,'Loading Rates'!$B$1:$L$24,10,FALSE)),"")</f>
        <v>1.3513000000000002</v>
      </c>
      <c r="AE68" s="175">
        <f>IFERROR(MIN(2,IF('BMP P Tracking Table'!$V68="Total Pervious",(-(3630*'BMP P Tracking Table'!$U68+20.691*'BMP P Tracking Table'!$AA68)+SQRT((3630*'BMP P Tracking Table'!$U68+20.691*'BMP P Tracking Table'!$AA68)^2-(4*(996.798*'BMP P Tracking Table'!$AA68)*-'BMP P Tracking Table'!$AB68)))/(2*(996.798*'BMP P Tracking Table'!$AA68)),IF(SUM('BMP P Tracking Table'!$W68:$Z68)=0,'BMP P Tracking Table'!$AB68/(-3630*'BMP P Tracking Table'!$U68),(-(3630*'BMP P Tracking Table'!$U68+20.691*'BMP P Tracking Table'!$Z68-216.711*'BMP P Tracking Table'!$Y68-83.853*'BMP P Tracking Table'!$X68-42.834*'BMP P Tracking Table'!$W68)+SQRT((3630*'BMP P Tracking Table'!$U68+20.691*'BMP P Tracking Table'!$Z68-216.711*'BMP P Tracking Table'!$Y68-83.853*'BMP P Tracking Table'!$X68-42.834*'BMP P Tracking Table'!$W68)^2-(4*(149.919*'BMP P Tracking Table'!$W68+236.676*'BMP P Tracking Table'!$X68+726*'BMP P Tracking Table'!$Y68+996.798*'BMP P Tracking Table'!$Z68)*-'BMP P Tracking Table'!$AB68)))/(2*(149.919*'BMP P Tracking Table'!$W68+236.676*'BMP P Tracking Table'!$X68+726*'BMP P Tracking Table'!$Y68+996.798*'BMP P Tracking Table'!$Z68))))),"")</f>
        <v>0</v>
      </c>
      <c r="AF68" s="175" t="str">
        <f>IFERROR((VLOOKUP(CONCATENATE('BMP P Tracking Table'!$T68," ",'BMP P Tracking Table'!$AC68),'Performance Curves'!$C$1:$L$45,MATCH('BMP P Tracking Table'!$AE68,'Performance Curves'!$E$1:$L$1,1)+2,FALSE)-VLOOKUP(CONCATENATE('BMP P Tracking Table'!$T68," ",'BMP P Tracking Table'!$AC68),'Performance Curves'!$C$1:$L$45,MATCH('BMP P Tracking Table'!$AE68,'Performance Curves'!$E$1:$L$1,1)+1,FALSE)),"")</f>
        <v/>
      </c>
      <c r="AG68" s="175" t="str">
        <f>IFERROR(('BMP P Tracking Table'!$AE68-INDEX('Performance Curves'!$E$1:$L$1,1,MATCH('BMP P Tracking Table'!$AE68,'Performance Curves'!$E$1:$L$1,1)))/(INDEX('Performance Curves'!$E$1:$L$1,1,MATCH('BMP P Tracking Table'!$AE68,'Performance Curves'!$E$1:$L$1,1)+1)-INDEX('Performance Curves'!$E$1:$L$1,1,MATCH('BMP P Tracking Table'!$AE68,'Performance Curves'!$E$1:$L$1,1))),"")</f>
        <v/>
      </c>
      <c r="AH68" s="176" t="str">
        <f>IFERROR(IF('BMP P Tracking Table'!$AE68=2,VLOOKUP(CONCATENATE('BMP P Tracking Table'!$T68," ",'BMP P Tracking Table'!$AC68),'Performance Curves'!$C$1:$L$45,MATCH('BMP P Tracking Table'!$AE68,'Performance Curves'!$E$1:$L$1,1)+1,FALSE),'BMP P Tracking Table'!$AF68*'BMP P Tracking Table'!$AG68+VLOOKUP(CONCATENATE('BMP P Tracking Table'!$T68," ",'BMP P Tracking Table'!$AC68),'Performance Curves'!$C$1:$L$45,MATCH('BMP P Tracking Table'!$AE68,'Performance Curves'!$E$1:$L$1,1)+1,FALSE)),"")</f>
        <v/>
      </c>
      <c r="AI68" s="175" t="str">
        <f>IFERROR('BMP P Tracking Table'!$AH68*'BMP P Tracking Table'!$AD68,"")</f>
        <v/>
      </c>
      <c r="AJ68" s="173">
        <f>AD68*Disconnection!H9</f>
        <v>1.0007329240707592</v>
      </c>
      <c r="AK68" s="169"/>
      <c r="AL68" s="173"/>
      <c r="AM68" s="177"/>
      <c r="AN68" s="178">
        <f t="shared" si="8"/>
        <v>1.0007329240707592</v>
      </c>
      <c r="AO68" s="116"/>
      <c r="AP68" s="116"/>
      <c r="AQ68" s="116"/>
      <c r="AR68" s="116"/>
      <c r="AS68" s="116"/>
      <c r="AT68" s="116"/>
      <c r="AU68" s="116"/>
      <c r="AV68" s="107"/>
      <c r="AW68" s="117"/>
      <c r="AX68" s="117"/>
      <c r="AY68" s="114" t="str">
        <f>IF('BMP P Tracking Table'!$AK68="Yes",IF('BMP P Tracking Table'!$AL68="No",'BMP P Tracking Table'!$U68*VLOOKUP('BMP P Tracking Table'!$Q68,'Loading Rates'!$B$1:$L$24,4,FALSE)+IF('BMP P Tracking Table'!$V68="By HSG",'BMP P Tracking Table'!$W68*VLOOKUP('BMP P Tracking Table'!$Q68,'Loading Rates'!$B$1:$L$24,6,FALSE)+'BMP P Tracking Table'!$X68*VLOOKUP('BMP P Tracking Table'!$Q68,'Loading Rates'!$B$1:$L$24,7,FALSE)+'BMP P Tracking Table'!$Y68*VLOOKUP('BMP P Tracking Table'!$Q68,'Loading Rates'!$B$1:$L$24,8,FALSE)+'BMP P Tracking Table'!$Z68*VLOOKUP('BMP P Tracking Table'!$Q68,'Loading Rates'!$B$1:$L$24,9,FALSE),'BMP P Tracking Table'!$AA68*VLOOKUP('BMP P Tracking Table'!$Q68,'Loading Rates'!$B$1:$L$24,10,FALSE)),'BMP P Tracking Table'!$AO68*VLOOKUP('BMP P Tracking Table'!$Q68,'Loading Rates'!$B$1:$L$24,4,FALSE)+IF('BMP P Tracking Table'!$AP68="By HSG",'BMP P Tracking Table'!$AQ68*VLOOKUP('BMP P Tracking Table'!$Q68,'Loading Rates'!$B$1:$L$24,6,FALSE)+'BMP P Tracking Table'!$AR68*VLOOKUP('BMP P Tracking Table'!$Q68,'Loading Rates'!$B$1:$L$24,7,FALSE)+'BMP P Tracking Table'!$AS68*VLOOKUP('BMP P Tracking Table'!$Q68,'Loading Rates'!$B$1:$L$24,8,FALSE)+'BMP P Tracking Table'!$AT68*VLOOKUP('BMP P Tracking Table'!$Q68,'Loading Rates'!$B$1:$L$24,9,FALSE),'BMP P Tracking Table'!$AU68*VLOOKUP('BMP P Tracking Table'!$Q68,'Loading Rates'!$B$1:$L$24,10,FALSE))),"")</f>
        <v/>
      </c>
      <c r="AZ68" s="114">
        <f>IFERROR(IF('BMP P Tracking Table'!$AL68="Yes",MIN(2,IF('BMP P Tracking Table'!$AP68="Total Pervious",(-(3630*'BMP P Tracking Table'!$AO68+20.691*'BMP P Tracking Table'!$AU68)+SQRT((3630*'BMP P Tracking Table'!$AO68+20.691*'BMP P Tracking Table'!$AU68)^2-(4*(996.798*'BMP P Tracking Table'!$AU68)*-'BMP P Tracking Table'!$AW68)))/(2*(996.798*'BMP P Tracking Table'!$AU68)),IF(SUM('BMP P Tracking Table'!$AQ68:$AT68)=0,'BMP P Tracking Table'!$AU68/(-3630*'BMP P Tracking Table'!$AO68),(-(3630*'BMP P Tracking Table'!$AO68+20.691*'BMP P Tracking Table'!$AT68-216.711*'BMP P Tracking Table'!$AS68-83.853*'BMP P Tracking Table'!$AR68-42.834*'BMP P Tracking Table'!$AQ68)+SQRT((3630*'BMP P Tracking Table'!$AO68+20.691*'BMP P Tracking Table'!$AT68-216.711*'BMP P Tracking Table'!$AS68-83.853*'BMP P Tracking Table'!$AR68-42.834*'BMP P Tracking Table'!$AQ68)^2-(4*(149.919*'BMP P Tracking Table'!$AQ68+236.676*'BMP P Tracking Table'!$AR68+726*'BMP P Tracking Table'!$AS68+996.798*'BMP P Tracking Table'!$AT68)*-'BMP P Tracking Table'!$AW68)))/(2*(149.919*'BMP P Tracking Table'!$AQ68+236.676*'BMP P Tracking Table'!$AR68+726*'BMP P Tracking Table'!$AS68+996.798*'BMP P Tracking Table'!$AT68))))),MIN(2,IF('BMP P Tracking Table'!$AP68="Total Pervious",(-(3630*'BMP P Tracking Table'!$U68+20.691*'BMP P Tracking Table'!$AA68)+SQRT((3630*'BMP P Tracking Table'!$U68+20.691*'BMP P Tracking Table'!$AA68)^2-(4*(996.798*'BMP P Tracking Table'!$AA68)*-'BMP P Tracking Table'!$AW68)))/(2*(996.798*'BMP P Tracking Table'!$AA68)),IF(SUM('BMP P Tracking Table'!$W68:$Z68)=0,'BMP P Tracking Table'!$AW68/(-3630*'BMP P Tracking Table'!$U68),(-(3630*'BMP P Tracking Table'!$U68+20.691*'BMP P Tracking Table'!$Z68-216.711*'BMP P Tracking Table'!$Y68-83.853*'BMP P Tracking Table'!$X68-42.834*'BMP P Tracking Table'!$W68)+SQRT((3630*'BMP P Tracking Table'!$U68+20.691*'BMP P Tracking Table'!$Z68-216.711*'BMP P Tracking Table'!$Y68-83.853*'BMP P Tracking Table'!$X68-42.834*'BMP P Tracking Table'!$W68)^2-(4*(149.919*'BMP P Tracking Table'!$W68+236.676*'BMP P Tracking Table'!$X68+726*'BMP P Tracking Table'!$Y68+996.798*'BMP P Tracking Table'!$Z68)*-'BMP P Tracking Table'!$AW68)))/(2*(149.919*'BMP P Tracking Table'!$W68+236.676*'BMP P Tracking Table'!$X68+726*'BMP P Tracking Table'!$Y68+996.798*'BMP P Tracking Table'!$Z68)))))),"")</f>
        <v>0</v>
      </c>
      <c r="BA68" s="114" t="str">
        <f>IFERROR((VLOOKUP(CONCATENATE('BMP P Tracking Table'!$AV68," ",'BMP P Tracking Table'!$AX68),'Performance Curves'!$C$1:$L$45,MATCH('BMP P Tracking Table'!$AZ68,'Performance Curves'!$E$1:$L$1,1)+2,FALSE)-VLOOKUP(CONCATENATE('BMP P Tracking Table'!$AV68," ",'BMP P Tracking Table'!$AX68),'Performance Curves'!$C$1:$L$45,MATCH('BMP P Tracking Table'!$AZ68,'Performance Curves'!$E$1:$L$1,1)+1,FALSE)),"")</f>
        <v/>
      </c>
      <c r="BB68" s="114" t="str">
        <f>IFERROR(('BMP P Tracking Table'!$AZ68-INDEX('Performance Curves'!$E$1:$L$1,1,MATCH('BMP P Tracking Table'!$AZ68,'Performance Curves'!$E$1:$L$1,1)))/(INDEX('Performance Curves'!$E$1:$L$1,1,MATCH('BMP P Tracking Table'!$AZ68,'Performance Curves'!$E$1:$L$1,1)+1)-INDEX('Performance Curves'!$E$1:$L$1,1,MATCH('BMP P Tracking Table'!$AZ68,'Performance Curves'!$E$1:$L$1,1))),"")</f>
        <v/>
      </c>
      <c r="BC68" s="115" t="str">
        <f>IFERROR(IF('BMP P Tracking Table'!$AZ68=2,VLOOKUP(CONCATENATE('BMP P Tracking Table'!$AV68," ",'BMP P Tracking Table'!$AX68),'Performance Curves'!$C$1:$L$44,MATCH('BMP P Tracking Table'!$AZ68,'Performance Curves'!$E$1:$L$1,1)+1,FALSE),'BMP P Tracking Table'!$BA68*'BMP P Tracking Table'!$BB68+VLOOKUP(CONCATENATE('BMP P Tracking Table'!$AV68," ",'BMP P Tracking Table'!$AX68),'Performance Curves'!$C$1:$L$44,MATCH('BMP P Tracking Table'!$AZ68,'Performance Curves'!$E$1:$L$1,1)+1,FALSE)),"")</f>
        <v/>
      </c>
      <c r="BD68" s="114" t="str">
        <f>IFERROR('BMP P Tracking Table'!$BC68*'BMP P Tracking Table'!$AY68,"")</f>
        <v/>
      </c>
      <c r="BE68" s="116"/>
      <c r="BF68" s="118">
        <f t="shared" si="11"/>
        <v>0</v>
      </c>
      <c r="BK68" s="36" t="str">
        <f t="shared" si="13"/>
        <v>Winooski River</v>
      </c>
      <c r="BN68" s="36" t="s">
        <v>391</v>
      </c>
    </row>
    <row r="69" spans="1:66" s="119" customFormat="1" ht="17.399999999999999" customHeight="1" x14ac:dyDescent="0.3">
      <c r="A69" s="169" t="s">
        <v>281</v>
      </c>
      <c r="B69" s="169" t="s">
        <v>358</v>
      </c>
      <c r="C69" s="169" t="s">
        <v>312</v>
      </c>
      <c r="D69" s="169" t="s">
        <v>6</v>
      </c>
      <c r="E69" s="170">
        <v>44.49306</v>
      </c>
      <c r="F69" s="170">
        <v>-73.172219999999996</v>
      </c>
      <c r="G69" s="169" t="s">
        <v>315</v>
      </c>
      <c r="H69" s="169" t="s">
        <v>315</v>
      </c>
      <c r="I69" s="169" t="s">
        <v>66</v>
      </c>
      <c r="J69" s="171"/>
      <c r="K69" s="169" t="s">
        <v>111</v>
      </c>
      <c r="L69" s="169"/>
      <c r="M69" s="172" t="s">
        <v>382</v>
      </c>
      <c r="N69" s="172">
        <v>44358</v>
      </c>
      <c r="O69" s="169" t="s">
        <v>62</v>
      </c>
      <c r="P69" s="169" t="s">
        <v>119</v>
      </c>
      <c r="Q69" s="169" t="s">
        <v>146</v>
      </c>
      <c r="R69" s="169" t="str">
        <f>IFERROR(VLOOKUP('BMP P Tracking Table'!$Q69,Dropdowns!$P$3:$Q$23,2,FALSE),"")</f>
        <v>Main Lake</v>
      </c>
      <c r="S69" s="169" t="s">
        <v>66</v>
      </c>
      <c r="T69" s="169"/>
      <c r="U69" s="173">
        <f>Disconnection!C10</f>
        <v>3.9400000000000004</v>
      </c>
      <c r="V69" s="169" t="s">
        <v>219</v>
      </c>
      <c r="W69" s="169"/>
      <c r="X69" s="169"/>
      <c r="Y69" s="169"/>
      <c r="Z69" s="169"/>
      <c r="AA69" s="169">
        <f>Disconnection!F10</f>
        <v>7.3999999999999995</v>
      </c>
      <c r="AB69" s="174"/>
      <c r="AC69" s="169" t="s">
        <v>205</v>
      </c>
      <c r="AD69" s="175">
        <f>IFERROR('BMP P Tracking Table'!$U69*VLOOKUP('BMP P Tracking Table'!$Q69,'Loading Rates'!$B$1:$L$24,4,FALSE)+IF('BMP P Tracking Table'!$V69="By HSG",'BMP P Tracking Table'!$W69*VLOOKUP('BMP P Tracking Table'!$Q69,'Loading Rates'!$B$1:$L$24,6,FALSE)+'BMP P Tracking Table'!$X69*VLOOKUP('BMP P Tracking Table'!$Q69,'Loading Rates'!$B$1:$L$24,7,FALSE)+'BMP P Tracking Table'!$Y69*VLOOKUP('BMP P Tracking Table'!$Q69,'Loading Rates'!$B$1:$L$24,8,FALSE)+'BMP P Tracking Table'!$Z69*VLOOKUP('BMP P Tracking Table'!$Q69,'Loading Rates'!$B$1:$L$24,9,FALSE),'BMP P Tracking Table'!$AA69*VLOOKUP('BMP P Tracking Table'!$Q69,'Loading Rates'!$B$1:$L$24,10,FALSE)),"")</f>
        <v>6.110380000000001</v>
      </c>
      <c r="AE69" s="175">
        <f>IFERROR(MIN(2,IF('BMP P Tracking Table'!$V69="Total Pervious",(-(3630*'BMP P Tracking Table'!$U69+20.691*'BMP P Tracking Table'!$AA69)+SQRT((3630*'BMP P Tracking Table'!$U69+20.691*'BMP P Tracking Table'!$AA69)^2-(4*(996.798*'BMP P Tracking Table'!$AA69)*-'BMP P Tracking Table'!$AB69)))/(2*(996.798*'BMP P Tracking Table'!$AA69)),IF(SUM('BMP P Tracking Table'!$W69:$Z69)=0,'BMP P Tracking Table'!$AB69/(-3630*'BMP P Tracking Table'!$U69),(-(3630*'BMP P Tracking Table'!$U69+20.691*'BMP P Tracking Table'!$Z69-216.711*'BMP P Tracking Table'!$Y69-83.853*'BMP P Tracking Table'!$X69-42.834*'BMP P Tracking Table'!$W69)+SQRT((3630*'BMP P Tracking Table'!$U69+20.691*'BMP P Tracking Table'!$Z69-216.711*'BMP P Tracking Table'!$Y69-83.853*'BMP P Tracking Table'!$X69-42.834*'BMP P Tracking Table'!$W69)^2-(4*(149.919*'BMP P Tracking Table'!$W69+236.676*'BMP P Tracking Table'!$X69+726*'BMP P Tracking Table'!$Y69+996.798*'BMP P Tracking Table'!$Z69)*-'BMP P Tracking Table'!$AB69)))/(2*(149.919*'BMP P Tracking Table'!$W69+236.676*'BMP P Tracking Table'!$X69+726*'BMP P Tracking Table'!$Y69+996.798*'BMP P Tracking Table'!$Z69))))),"")</f>
        <v>0</v>
      </c>
      <c r="AF69" s="175" t="str">
        <f>IFERROR((VLOOKUP(CONCATENATE('BMP P Tracking Table'!$T69," ",'BMP P Tracking Table'!$AC69),'Performance Curves'!$C$1:$L$45,MATCH('BMP P Tracking Table'!$AE69,'Performance Curves'!$E$1:$L$1,1)+2,FALSE)-VLOOKUP(CONCATENATE('BMP P Tracking Table'!$T69," ",'BMP P Tracking Table'!$AC69),'Performance Curves'!$C$1:$L$45,MATCH('BMP P Tracking Table'!$AE69,'Performance Curves'!$E$1:$L$1,1)+1,FALSE)),"")</f>
        <v/>
      </c>
      <c r="AG69" s="175" t="str">
        <f>IFERROR(('BMP P Tracking Table'!$AE69-INDEX('Performance Curves'!$E$1:$L$1,1,MATCH('BMP P Tracking Table'!$AE69,'Performance Curves'!$E$1:$L$1,1)))/(INDEX('Performance Curves'!$E$1:$L$1,1,MATCH('BMP P Tracking Table'!$AE69,'Performance Curves'!$E$1:$L$1,1)+1)-INDEX('Performance Curves'!$E$1:$L$1,1,MATCH('BMP P Tracking Table'!$AE69,'Performance Curves'!$E$1:$L$1,1))),"")</f>
        <v/>
      </c>
      <c r="AH69" s="176" t="str">
        <f>IFERROR(IF('BMP P Tracking Table'!$AE69=2,VLOOKUP(CONCATENATE('BMP P Tracking Table'!$T69," ",'BMP P Tracking Table'!$AC69),'Performance Curves'!$C$1:$L$45,MATCH('BMP P Tracking Table'!$AE69,'Performance Curves'!$E$1:$L$1,1)+1,FALSE),'BMP P Tracking Table'!$AF69*'BMP P Tracking Table'!$AG69+VLOOKUP(CONCATENATE('BMP P Tracking Table'!$T69," ",'BMP P Tracking Table'!$AC69),'Performance Curves'!$C$1:$L$45,MATCH('BMP P Tracking Table'!$AE69,'Performance Curves'!$E$1:$L$1,1)+1,FALSE)),"")</f>
        <v/>
      </c>
      <c r="AI69" s="175" t="str">
        <f>IFERROR('BMP P Tracking Table'!$AH69*'BMP P Tracking Table'!$AD69,"")</f>
        <v/>
      </c>
      <c r="AJ69" s="173">
        <f>AD69*Disconnection!H10</f>
        <v>4.5383845706214618</v>
      </c>
      <c r="AK69" s="169"/>
      <c r="AL69" s="173"/>
      <c r="AM69" s="177"/>
      <c r="AN69" s="178">
        <f t="shared" si="8"/>
        <v>4.5383845706214618</v>
      </c>
      <c r="AO69" s="116"/>
      <c r="AP69" s="116"/>
      <c r="AQ69" s="116"/>
      <c r="AR69" s="116"/>
      <c r="AS69" s="116"/>
      <c r="AT69" s="116"/>
      <c r="AU69" s="116"/>
      <c r="AV69" s="107"/>
      <c r="AW69" s="117"/>
      <c r="AX69" s="117"/>
      <c r="AY69" s="114" t="str">
        <f>IF('BMP P Tracking Table'!$AK69="Yes",IF('BMP P Tracking Table'!$AL69="No",'BMP P Tracking Table'!$U69*VLOOKUP('BMP P Tracking Table'!$Q69,'Loading Rates'!$B$1:$L$24,4,FALSE)+IF('BMP P Tracking Table'!$V69="By HSG",'BMP P Tracking Table'!$W69*VLOOKUP('BMP P Tracking Table'!$Q69,'Loading Rates'!$B$1:$L$24,6,FALSE)+'BMP P Tracking Table'!$X69*VLOOKUP('BMP P Tracking Table'!$Q69,'Loading Rates'!$B$1:$L$24,7,FALSE)+'BMP P Tracking Table'!$Y69*VLOOKUP('BMP P Tracking Table'!$Q69,'Loading Rates'!$B$1:$L$24,8,FALSE)+'BMP P Tracking Table'!$Z69*VLOOKUP('BMP P Tracking Table'!$Q69,'Loading Rates'!$B$1:$L$24,9,FALSE),'BMP P Tracking Table'!$AA69*VLOOKUP('BMP P Tracking Table'!$Q69,'Loading Rates'!$B$1:$L$24,10,FALSE)),'BMP P Tracking Table'!$AO69*VLOOKUP('BMP P Tracking Table'!$Q69,'Loading Rates'!$B$1:$L$24,4,FALSE)+IF('BMP P Tracking Table'!$AP69="By HSG",'BMP P Tracking Table'!$AQ69*VLOOKUP('BMP P Tracking Table'!$Q69,'Loading Rates'!$B$1:$L$24,6,FALSE)+'BMP P Tracking Table'!$AR69*VLOOKUP('BMP P Tracking Table'!$Q69,'Loading Rates'!$B$1:$L$24,7,FALSE)+'BMP P Tracking Table'!$AS69*VLOOKUP('BMP P Tracking Table'!$Q69,'Loading Rates'!$B$1:$L$24,8,FALSE)+'BMP P Tracking Table'!$AT69*VLOOKUP('BMP P Tracking Table'!$Q69,'Loading Rates'!$B$1:$L$24,9,FALSE),'BMP P Tracking Table'!$AU69*VLOOKUP('BMP P Tracking Table'!$Q69,'Loading Rates'!$B$1:$L$24,10,FALSE))),"")</f>
        <v/>
      </c>
      <c r="AZ69" s="114">
        <f>IFERROR(IF('BMP P Tracking Table'!$AL69="Yes",MIN(2,IF('BMP P Tracking Table'!$AP69="Total Pervious",(-(3630*'BMP P Tracking Table'!$AO69+20.691*'BMP P Tracking Table'!$AU69)+SQRT((3630*'BMP P Tracking Table'!$AO69+20.691*'BMP P Tracking Table'!$AU69)^2-(4*(996.798*'BMP P Tracking Table'!$AU69)*-'BMP P Tracking Table'!$AW69)))/(2*(996.798*'BMP P Tracking Table'!$AU69)),IF(SUM('BMP P Tracking Table'!$AQ69:$AT69)=0,'BMP P Tracking Table'!$AU69/(-3630*'BMP P Tracking Table'!$AO69),(-(3630*'BMP P Tracking Table'!$AO69+20.691*'BMP P Tracking Table'!$AT69-216.711*'BMP P Tracking Table'!$AS69-83.853*'BMP P Tracking Table'!$AR69-42.834*'BMP P Tracking Table'!$AQ69)+SQRT((3630*'BMP P Tracking Table'!$AO69+20.691*'BMP P Tracking Table'!$AT69-216.711*'BMP P Tracking Table'!$AS69-83.853*'BMP P Tracking Table'!$AR69-42.834*'BMP P Tracking Table'!$AQ69)^2-(4*(149.919*'BMP P Tracking Table'!$AQ69+236.676*'BMP P Tracking Table'!$AR69+726*'BMP P Tracking Table'!$AS69+996.798*'BMP P Tracking Table'!$AT69)*-'BMP P Tracking Table'!$AW69)))/(2*(149.919*'BMP P Tracking Table'!$AQ69+236.676*'BMP P Tracking Table'!$AR69+726*'BMP P Tracking Table'!$AS69+996.798*'BMP P Tracking Table'!$AT69))))),MIN(2,IF('BMP P Tracking Table'!$AP69="Total Pervious",(-(3630*'BMP P Tracking Table'!$U69+20.691*'BMP P Tracking Table'!$AA69)+SQRT((3630*'BMP P Tracking Table'!$U69+20.691*'BMP P Tracking Table'!$AA69)^2-(4*(996.798*'BMP P Tracking Table'!$AA69)*-'BMP P Tracking Table'!$AW69)))/(2*(996.798*'BMP P Tracking Table'!$AA69)),IF(SUM('BMP P Tracking Table'!$W69:$Z69)=0,'BMP P Tracking Table'!$AW69/(-3630*'BMP P Tracking Table'!$U69),(-(3630*'BMP P Tracking Table'!$U69+20.691*'BMP P Tracking Table'!$Z69-216.711*'BMP P Tracking Table'!$Y69-83.853*'BMP P Tracking Table'!$X69-42.834*'BMP P Tracking Table'!$W69)+SQRT((3630*'BMP P Tracking Table'!$U69+20.691*'BMP P Tracking Table'!$Z69-216.711*'BMP P Tracking Table'!$Y69-83.853*'BMP P Tracking Table'!$X69-42.834*'BMP P Tracking Table'!$W69)^2-(4*(149.919*'BMP P Tracking Table'!$W69+236.676*'BMP P Tracking Table'!$X69+726*'BMP P Tracking Table'!$Y69+996.798*'BMP P Tracking Table'!$Z69)*-'BMP P Tracking Table'!$AW69)))/(2*(149.919*'BMP P Tracking Table'!$W69+236.676*'BMP P Tracking Table'!$X69+726*'BMP P Tracking Table'!$Y69+996.798*'BMP P Tracking Table'!$Z69)))))),"")</f>
        <v>0</v>
      </c>
      <c r="BA69" s="114" t="str">
        <f>IFERROR((VLOOKUP(CONCATENATE('BMP P Tracking Table'!$AV69," ",'BMP P Tracking Table'!$AX69),'Performance Curves'!$C$1:$L$45,MATCH('BMP P Tracking Table'!$AZ69,'Performance Curves'!$E$1:$L$1,1)+2,FALSE)-VLOOKUP(CONCATENATE('BMP P Tracking Table'!$AV69," ",'BMP P Tracking Table'!$AX69),'Performance Curves'!$C$1:$L$45,MATCH('BMP P Tracking Table'!$AZ69,'Performance Curves'!$E$1:$L$1,1)+1,FALSE)),"")</f>
        <v/>
      </c>
      <c r="BB69" s="114" t="str">
        <f>IFERROR(('BMP P Tracking Table'!$AZ69-INDEX('Performance Curves'!$E$1:$L$1,1,MATCH('BMP P Tracking Table'!$AZ69,'Performance Curves'!$E$1:$L$1,1)))/(INDEX('Performance Curves'!$E$1:$L$1,1,MATCH('BMP P Tracking Table'!$AZ69,'Performance Curves'!$E$1:$L$1,1)+1)-INDEX('Performance Curves'!$E$1:$L$1,1,MATCH('BMP P Tracking Table'!$AZ69,'Performance Curves'!$E$1:$L$1,1))),"")</f>
        <v/>
      </c>
      <c r="BC69" s="115" t="str">
        <f>IFERROR(IF('BMP P Tracking Table'!$AZ69=2,VLOOKUP(CONCATENATE('BMP P Tracking Table'!$AV69," ",'BMP P Tracking Table'!$AX69),'Performance Curves'!$C$1:$L$44,MATCH('BMP P Tracking Table'!$AZ69,'Performance Curves'!$E$1:$L$1,1)+1,FALSE),'BMP P Tracking Table'!$BA69*'BMP P Tracking Table'!$BB69+VLOOKUP(CONCATENATE('BMP P Tracking Table'!$AV69," ",'BMP P Tracking Table'!$AX69),'Performance Curves'!$C$1:$L$44,MATCH('BMP P Tracking Table'!$AZ69,'Performance Curves'!$E$1:$L$1,1)+1,FALSE)),"")</f>
        <v/>
      </c>
      <c r="BD69" s="114" t="str">
        <f>IFERROR('BMP P Tracking Table'!$BC69*'BMP P Tracking Table'!$AY69,"")</f>
        <v/>
      </c>
      <c r="BE69" s="116"/>
      <c r="BF69" s="118">
        <f t="shared" si="11"/>
        <v>0</v>
      </c>
      <c r="BK69" s="36" t="str">
        <f t="shared" si="13"/>
        <v>Winooski River</v>
      </c>
      <c r="BN69" s="36" t="s">
        <v>391</v>
      </c>
    </row>
    <row r="70" spans="1:66" s="119" customFormat="1" ht="17.399999999999999" customHeight="1" x14ac:dyDescent="0.3">
      <c r="A70" s="169" t="s">
        <v>280</v>
      </c>
      <c r="B70" s="169" t="s">
        <v>359</v>
      </c>
      <c r="C70" s="169" t="s">
        <v>312</v>
      </c>
      <c r="D70" s="169" t="s">
        <v>6</v>
      </c>
      <c r="E70" s="170">
        <v>44.49306</v>
      </c>
      <c r="F70" s="170">
        <v>-73.172219999999996</v>
      </c>
      <c r="G70" s="169" t="s">
        <v>315</v>
      </c>
      <c r="H70" s="169" t="s">
        <v>315</v>
      </c>
      <c r="I70" s="169" t="s">
        <v>66</v>
      </c>
      <c r="J70" s="171"/>
      <c r="K70" s="169" t="s">
        <v>111</v>
      </c>
      <c r="L70" s="169"/>
      <c r="M70" s="172" t="s">
        <v>382</v>
      </c>
      <c r="N70" s="172">
        <v>44358</v>
      </c>
      <c r="O70" s="169" t="s">
        <v>62</v>
      </c>
      <c r="P70" s="169" t="s">
        <v>119</v>
      </c>
      <c r="Q70" s="169" t="s">
        <v>146</v>
      </c>
      <c r="R70" s="169" t="str">
        <f>IFERROR(VLOOKUP('BMP P Tracking Table'!$Q70,Dropdowns!$P$3:$Q$23,2,FALSE),"")</f>
        <v>Main Lake</v>
      </c>
      <c r="S70" s="169" t="s">
        <v>66</v>
      </c>
      <c r="T70" s="169"/>
      <c r="U70" s="173">
        <f>Disconnection!C11</f>
        <v>2.34</v>
      </c>
      <c r="V70" s="169" t="s">
        <v>219</v>
      </c>
      <c r="W70" s="169"/>
      <c r="X70" s="169"/>
      <c r="Y70" s="169"/>
      <c r="Z70" s="169"/>
      <c r="AA70" s="169">
        <f>Disconnection!F11</f>
        <v>5.17</v>
      </c>
      <c r="AB70" s="174"/>
      <c r="AC70" s="169" t="s">
        <v>205</v>
      </c>
      <c r="AD70" s="175">
        <f>IFERROR('BMP P Tracking Table'!$U70*VLOOKUP('BMP P Tracking Table'!$Q70,'Loading Rates'!$B$1:$L$24,4,FALSE)+IF('BMP P Tracking Table'!$V70="By HSG",'BMP P Tracking Table'!$W70*VLOOKUP('BMP P Tracking Table'!$Q70,'Loading Rates'!$B$1:$L$24,6,FALSE)+'BMP P Tracking Table'!$X70*VLOOKUP('BMP P Tracking Table'!$Q70,'Loading Rates'!$B$1:$L$24,7,FALSE)+'BMP P Tracking Table'!$Y70*VLOOKUP('BMP P Tracking Table'!$Q70,'Loading Rates'!$B$1:$L$24,8,FALSE)+'BMP P Tracking Table'!$Z70*VLOOKUP('BMP P Tracking Table'!$Q70,'Loading Rates'!$B$1:$L$24,9,FALSE),'BMP P Tracking Table'!$AA70*VLOOKUP('BMP P Tracking Table'!$Q70,'Loading Rates'!$B$1:$L$24,10,FALSE)),"")</f>
        <v>3.8080499999999997</v>
      </c>
      <c r="AE70" s="175">
        <f>IFERROR(MIN(2,IF('BMP P Tracking Table'!$V70="Total Pervious",(-(3630*'BMP P Tracking Table'!$U70+20.691*'BMP P Tracking Table'!$AA70)+SQRT((3630*'BMP P Tracking Table'!$U70+20.691*'BMP P Tracking Table'!$AA70)^2-(4*(996.798*'BMP P Tracking Table'!$AA70)*-'BMP P Tracking Table'!$AB70)))/(2*(996.798*'BMP P Tracking Table'!$AA70)),IF(SUM('BMP P Tracking Table'!$W70:$Z70)=0,'BMP P Tracking Table'!$AB70/(-3630*'BMP P Tracking Table'!$U70),(-(3630*'BMP P Tracking Table'!$U70+20.691*'BMP P Tracking Table'!$Z70-216.711*'BMP P Tracking Table'!$Y70-83.853*'BMP P Tracking Table'!$X70-42.834*'BMP P Tracking Table'!$W70)+SQRT((3630*'BMP P Tracking Table'!$U70+20.691*'BMP P Tracking Table'!$Z70-216.711*'BMP P Tracking Table'!$Y70-83.853*'BMP P Tracking Table'!$X70-42.834*'BMP P Tracking Table'!$W70)^2-(4*(149.919*'BMP P Tracking Table'!$W70+236.676*'BMP P Tracking Table'!$X70+726*'BMP P Tracking Table'!$Y70+996.798*'BMP P Tracking Table'!$Z70)*-'BMP P Tracking Table'!$AB70)))/(2*(149.919*'BMP P Tracking Table'!$W70+236.676*'BMP P Tracking Table'!$X70+726*'BMP P Tracking Table'!$Y70+996.798*'BMP P Tracking Table'!$Z70))))),"")</f>
        <v>0</v>
      </c>
      <c r="AF70" s="175" t="str">
        <f>IFERROR((VLOOKUP(CONCATENATE('BMP P Tracking Table'!$T70," ",'BMP P Tracking Table'!$AC70),'Performance Curves'!$C$1:$L$45,MATCH('BMP P Tracking Table'!$AE70,'Performance Curves'!$E$1:$L$1,1)+2,FALSE)-VLOOKUP(CONCATENATE('BMP P Tracking Table'!$T70," ",'BMP P Tracking Table'!$AC70),'Performance Curves'!$C$1:$L$45,MATCH('BMP P Tracking Table'!$AE70,'Performance Curves'!$E$1:$L$1,1)+1,FALSE)),"")</f>
        <v/>
      </c>
      <c r="AG70" s="175" t="str">
        <f>IFERROR(('BMP P Tracking Table'!$AE70-INDEX('Performance Curves'!$E$1:$L$1,1,MATCH('BMP P Tracking Table'!$AE70,'Performance Curves'!$E$1:$L$1,1)))/(INDEX('Performance Curves'!$E$1:$L$1,1,MATCH('BMP P Tracking Table'!$AE70,'Performance Curves'!$E$1:$L$1,1)+1)-INDEX('Performance Curves'!$E$1:$L$1,1,MATCH('BMP P Tracking Table'!$AE70,'Performance Curves'!$E$1:$L$1,1))),"")</f>
        <v/>
      </c>
      <c r="AH70" s="176" t="str">
        <f>IFERROR(IF('BMP P Tracking Table'!$AE70=2,VLOOKUP(CONCATENATE('BMP P Tracking Table'!$T70," ",'BMP P Tracking Table'!$AC70),'Performance Curves'!$C$1:$L$45,MATCH('BMP P Tracking Table'!$AE70,'Performance Curves'!$E$1:$L$1,1)+1,FALSE),'BMP P Tracking Table'!$AF70*'BMP P Tracking Table'!$AG70+VLOOKUP(CONCATENATE('BMP P Tracking Table'!$T70," ",'BMP P Tracking Table'!$AC70),'Performance Curves'!$C$1:$L$45,MATCH('BMP P Tracking Table'!$AE70,'Performance Curves'!$E$1:$L$1,1)+1,FALSE)),"")</f>
        <v/>
      </c>
      <c r="AI70" s="175" t="str">
        <f>IFERROR('BMP P Tracking Table'!$AH70*'BMP P Tracking Table'!$AD70,"")</f>
        <v/>
      </c>
      <c r="AJ70" s="173">
        <f>AD70*Disconnection!H11</f>
        <v>3.0314088783057911</v>
      </c>
      <c r="AK70" s="169"/>
      <c r="AL70" s="173"/>
      <c r="AM70" s="177"/>
      <c r="AN70" s="178">
        <f t="shared" si="8"/>
        <v>3.0314088783057911</v>
      </c>
      <c r="AO70" s="116"/>
      <c r="AP70" s="116"/>
      <c r="AQ70" s="116"/>
      <c r="AR70" s="116"/>
      <c r="AS70" s="116"/>
      <c r="AT70" s="116"/>
      <c r="AU70" s="116"/>
      <c r="AV70" s="107"/>
      <c r="AW70" s="117"/>
      <c r="AX70" s="117"/>
      <c r="AY70" s="114" t="str">
        <f>IF('BMP P Tracking Table'!$AK70="Yes",IF('BMP P Tracking Table'!$AL70="No",'BMP P Tracking Table'!$U70*VLOOKUP('BMP P Tracking Table'!$Q70,'Loading Rates'!$B$1:$L$24,4,FALSE)+IF('BMP P Tracking Table'!$V70="By HSG",'BMP P Tracking Table'!$W70*VLOOKUP('BMP P Tracking Table'!$Q70,'Loading Rates'!$B$1:$L$24,6,FALSE)+'BMP P Tracking Table'!$X70*VLOOKUP('BMP P Tracking Table'!$Q70,'Loading Rates'!$B$1:$L$24,7,FALSE)+'BMP P Tracking Table'!$Y70*VLOOKUP('BMP P Tracking Table'!$Q70,'Loading Rates'!$B$1:$L$24,8,FALSE)+'BMP P Tracking Table'!$Z70*VLOOKUP('BMP P Tracking Table'!$Q70,'Loading Rates'!$B$1:$L$24,9,FALSE),'BMP P Tracking Table'!$AA70*VLOOKUP('BMP P Tracking Table'!$Q70,'Loading Rates'!$B$1:$L$24,10,FALSE)),'BMP P Tracking Table'!$AO70*VLOOKUP('BMP P Tracking Table'!$Q70,'Loading Rates'!$B$1:$L$24,4,FALSE)+IF('BMP P Tracking Table'!$AP70="By HSG",'BMP P Tracking Table'!$AQ70*VLOOKUP('BMP P Tracking Table'!$Q70,'Loading Rates'!$B$1:$L$24,6,FALSE)+'BMP P Tracking Table'!$AR70*VLOOKUP('BMP P Tracking Table'!$Q70,'Loading Rates'!$B$1:$L$24,7,FALSE)+'BMP P Tracking Table'!$AS70*VLOOKUP('BMP P Tracking Table'!$Q70,'Loading Rates'!$B$1:$L$24,8,FALSE)+'BMP P Tracking Table'!$AT70*VLOOKUP('BMP P Tracking Table'!$Q70,'Loading Rates'!$B$1:$L$24,9,FALSE),'BMP P Tracking Table'!$AU70*VLOOKUP('BMP P Tracking Table'!$Q70,'Loading Rates'!$B$1:$L$24,10,FALSE))),"")</f>
        <v/>
      </c>
      <c r="AZ70" s="114">
        <f>IFERROR(IF('BMP P Tracking Table'!$AL70="Yes",MIN(2,IF('BMP P Tracking Table'!$AP70="Total Pervious",(-(3630*'BMP P Tracking Table'!$AO70+20.691*'BMP P Tracking Table'!$AU70)+SQRT((3630*'BMP P Tracking Table'!$AO70+20.691*'BMP P Tracking Table'!$AU70)^2-(4*(996.798*'BMP P Tracking Table'!$AU70)*-'BMP P Tracking Table'!$AW70)))/(2*(996.798*'BMP P Tracking Table'!$AU70)),IF(SUM('BMP P Tracking Table'!$AQ70:$AT70)=0,'BMP P Tracking Table'!$AU70/(-3630*'BMP P Tracking Table'!$AO70),(-(3630*'BMP P Tracking Table'!$AO70+20.691*'BMP P Tracking Table'!$AT70-216.711*'BMP P Tracking Table'!$AS70-83.853*'BMP P Tracking Table'!$AR70-42.834*'BMP P Tracking Table'!$AQ70)+SQRT((3630*'BMP P Tracking Table'!$AO70+20.691*'BMP P Tracking Table'!$AT70-216.711*'BMP P Tracking Table'!$AS70-83.853*'BMP P Tracking Table'!$AR70-42.834*'BMP P Tracking Table'!$AQ70)^2-(4*(149.919*'BMP P Tracking Table'!$AQ70+236.676*'BMP P Tracking Table'!$AR70+726*'BMP P Tracking Table'!$AS70+996.798*'BMP P Tracking Table'!$AT70)*-'BMP P Tracking Table'!$AW70)))/(2*(149.919*'BMP P Tracking Table'!$AQ70+236.676*'BMP P Tracking Table'!$AR70+726*'BMP P Tracking Table'!$AS70+996.798*'BMP P Tracking Table'!$AT70))))),MIN(2,IF('BMP P Tracking Table'!$AP70="Total Pervious",(-(3630*'BMP P Tracking Table'!$U70+20.691*'BMP P Tracking Table'!$AA70)+SQRT((3630*'BMP P Tracking Table'!$U70+20.691*'BMP P Tracking Table'!$AA70)^2-(4*(996.798*'BMP P Tracking Table'!$AA70)*-'BMP P Tracking Table'!$AW70)))/(2*(996.798*'BMP P Tracking Table'!$AA70)),IF(SUM('BMP P Tracking Table'!$W70:$Z70)=0,'BMP P Tracking Table'!$AW70/(-3630*'BMP P Tracking Table'!$U70),(-(3630*'BMP P Tracking Table'!$U70+20.691*'BMP P Tracking Table'!$Z70-216.711*'BMP P Tracking Table'!$Y70-83.853*'BMP P Tracking Table'!$X70-42.834*'BMP P Tracking Table'!$W70)+SQRT((3630*'BMP P Tracking Table'!$U70+20.691*'BMP P Tracking Table'!$Z70-216.711*'BMP P Tracking Table'!$Y70-83.853*'BMP P Tracking Table'!$X70-42.834*'BMP P Tracking Table'!$W70)^2-(4*(149.919*'BMP P Tracking Table'!$W70+236.676*'BMP P Tracking Table'!$X70+726*'BMP P Tracking Table'!$Y70+996.798*'BMP P Tracking Table'!$Z70)*-'BMP P Tracking Table'!$AW70)))/(2*(149.919*'BMP P Tracking Table'!$W70+236.676*'BMP P Tracking Table'!$X70+726*'BMP P Tracking Table'!$Y70+996.798*'BMP P Tracking Table'!$Z70)))))),"")</f>
        <v>0</v>
      </c>
      <c r="BA70" s="114" t="str">
        <f>IFERROR((VLOOKUP(CONCATENATE('BMP P Tracking Table'!$AV70," ",'BMP P Tracking Table'!$AX70),'Performance Curves'!$C$1:$L$45,MATCH('BMP P Tracking Table'!$AZ70,'Performance Curves'!$E$1:$L$1,1)+2,FALSE)-VLOOKUP(CONCATENATE('BMP P Tracking Table'!$AV70," ",'BMP P Tracking Table'!$AX70),'Performance Curves'!$C$1:$L$45,MATCH('BMP P Tracking Table'!$AZ70,'Performance Curves'!$E$1:$L$1,1)+1,FALSE)),"")</f>
        <v/>
      </c>
      <c r="BB70" s="114" t="str">
        <f>IFERROR(('BMP P Tracking Table'!$AZ70-INDEX('Performance Curves'!$E$1:$L$1,1,MATCH('BMP P Tracking Table'!$AZ70,'Performance Curves'!$E$1:$L$1,1)))/(INDEX('Performance Curves'!$E$1:$L$1,1,MATCH('BMP P Tracking Table'!$AZ70,'Performance Curves'!$E$1:$L$1,1)+1)-INDEX('Performance Curves'!$E$1:$L$1,1,MATCH('BMP P Tracking Table'!$AZ70,'Performance Curves'!$E$1:$L$1,1))),"")</f>
        <v/>
      </c>
      <c r="BC70" s="115" t="str">
        <f>IFERROR(IF('BMP P Tracking Table'!$AZ70=2,VLOOKUP(CONCATENATE('BMP P Tracking Table'!$AV70," ",'BMP P Tracking Table'!$AX70),'Performance Curves'!$C$1:$L$44,MATCH('BMP P Tracking Table'!$AZ70,'Performance Curves'!$E$1:$L$1,1)+1,FALSE),'BMP P Tracking Table'!$BA70*'BMP P Tracking Table'!$BB70+VLOOKUP(CONCATENATE('BMP P Tracking Table'!$AV70," ",'BMP P Tracking Table'!$AX70),'Performance Curves'!$C$1:$L$44,MATCH('BMP P Tracking Table'!$AZ70,'Performance Curves'!$E$1:$L$1,1)+1,FALSE)),"")</f>
        <v/>
      </c>
      <c r="BD70" s="114" t="str">
        <f>IFERROR('BMP P Tracking Table'!$BC70*'BMP P Tracking Table'!$AY70,"")</f>
        <v/>
      </c>
      <c r="BE70" s="116"/>
      <c r="BF70" s="118">
        <f t="shared" si="11"/>
        <v>0</v>
      </c>
      <c r="BK70" s="36" t="str">
        <f t="shared" si="13"/>
        <v>Winooski River</v>
      </c>
      <c r="BN70" s="36" t="s">
        <v>391</v>
      </c>
    </row>
    <row r="71" spans="1:66" s="147" customFormat="1" ht="17.399999999999999" customHeight="1" x14ac:dyDescent="0.3">
      <c r="A71" s="169" t="s">
        <v>287</v>
      </c>
      <c r="B71" s="169" t="s">
        <v>343</v>
      </c>
      <c r="C71" s="169" t="s">
        <v>312</v>
      </c>
      <c r="D71" s="169" t="s">
        <v>6</v>
      </c>
      <c r="E71" s="170">
        <v>44.460189999999997</v>
      </c>
      <c r="F71" s="170">
        <v>-73.139889999999994</v>
      </c>
      <c r="G71" s="169" t="s">
        <v>319</v>
      </c>
      <c r="H71" s="169" t="s">
        <v>319</v>
      </c>
      <c r="I71" s="169" t="s">
        <v>66</v>
      </c>
      <c r="J71" s="171"/>
      <c r="K71" s="169" t="s">
        <v>111</v>
      </c>
      <c r="L71" s="169"/>
      <c r="M71" s="172">
        <v>42544</v>
      </c>
      <c r="N71" s="172">
        <v>44337</v>
      </c>
      <c r="O71" s="169" t="s">
        <v>62</v>
      </c>
      <c r="P71" s="169" t="s">
        <v>34</v>
      </c>
      <c r="Q71" s="169" t="s">
        <v>147</v>
      </c>
      <c r="R71" s="169" t="str">
        <f>IFERROR(VLOOKUP('BMP P Tracking Table'!$Q71,Dropdowns!$P$3:$Q$23,2,FALSE),"")</f>
        <v>Shelburne Bay</v>
      </c>
      <c r="S71" s="169" t="s">
        <v>66</v>
      </c>
      <c r="T71" s="169"/>
      <c r="U71" s="169">
        <f>Disconnection!C12</f>
        <v>0.05</v>
      </c>
      <c r="V71" s="169" t="s">
        <v>219</v>
      </c>
      <c r="W71" s="169"/>
      <c r="X71" s="169"/>
      <c r="Y71" s="169"/>
      <c r="Z71" s="169"/>
      <c r="AA71" s="169">
        <f>Disconnection!F12</f>
        <v>0.29800000000000004</v>
      </c>
      <c r="AB71" s="174"/>
      <c r="AC71" s="169" t="s">
        <v>206</v>
      </c>
      <c r="AD71" s="193">
        <f>IFERROR('BMP P Tracking Table'!$U71*VLOOKUP('BMP P Tracking Table'!$Q71,'Loading Rates'!$B$1:$L$24,4,FALSE)+IF('BMP P Tracking Table'!$V71="By HSG",'BMP P Tracking Table'!$W71*VLOOKUP('BMP P Tracking Table'!$Q71,'Loading Rates'!$B$1:$L$24,6,FALSE)+'BMP P Tracking Table'!$X71*VLOOKUP('BMP P Tracking Table'!$Q71,'Loading Rates'!$B$1:$L$24,7,FALSE)+'BMP P Tracking Table'!$Y71*VLOOKUP('BMP P Tracking Table'!$Q71,'Loading Rates'!$B$1:$L$24,8,FALSE)+'BMP P Tracking Table'!$Z71*VLOOKUP('BMP P Tracking Table'!$Q71,'Loading Rates'!$B$1:$L$24,9,FALSE),'BMP P Tracking Table'!$AA71*VLOOKUP('BMP P Tracking Table'!$Q71,'Loading Rates'!$B$1:$L$24,10,FALSE)),"")</f>
        <v>9.8855999999999999E-2</v>
      </c>
      <c r="AE71" s="193">
        <f>IFERROR(MIN(2,IF('BMP P Tracking Table'!$V71="Total Pervious",(-(3630*'BMP P Tracking Table'!$U71+20.691*'BMP P Tracking Table'!$AA71)+SQRT((3630*'BMP P Tracking Table'!$U71+20.691*'BMP P Tracking Table'!$AA71)^2-(4*(996.798*'BMP P Tracking Table'!$AA71)*-'BMP P Tracking Table'!$AB71)))/(2*(996.798*'BMP P Tracking Table'!$AA71)),IF(SUM('BMP P Tracking Table'!$W71:$Z71)=0,'BMP P Tracking Table'!$AB71/(-3630*'BMP P Tracking Table'!$U71),(-(3630*'BMP P Tracking Table'!$U71+20.691*'BMP P Tracking Table'!$Z71-216.711*'BMP P Tracking Table'!$Y71-83.853*'BMP P Tracking Table'!$X71-42.834*'BMP P Tracking Table'!$W71)+SQRT((3630*'BMP P Tracking Table'!$U71+20.691*'BMP P Tracking Table'!$Z71-216.711*'BMP P Tracking Table'!$Y71-83.853*'BMP P Tracking Table'!$X71-42.834*'BMP P Tracking Table'!$W71)^2-(4*(149.919*'BMP P Tracking Table'!$W71+236.676*'BMP P Tracking Table'!$X71+726*'BMP P Tracking Table'!$Y71+996.798*'BMP P Tracking Table'!$Z71)*-'BMP P Tracking Table'!$AB71)))/(2*(149.919*'BMP P Tracking Table'!$W71+236.676*'BMP P Tracking Table'!$X71+726*'BMP P Tracking Table'!$Y71+996.798*'BMP P Tracking Table'!$Z71))))),"")</f>
        <v>0</v>
      </c>
      <c r="AF71" s="193" t="str">
        <f>IFERROR((VLOOKUP(CONCATENATE('BMP P Tracking Table'!$T71," ",'BMP P Tracking Table'!$AC71),'Performance Curves'!$C$1:$L$45,MATCH('BMP P Tracking Table'!$AE71,'Performance Curves'!$E$1:$L$1,1)+2,FALSE)-VLOOKUP(CONCATENATE('BMP P Tracking Table'!$T71," ",'BMP P Tracking Table'!$AC71),'Performance Curves'!$C$1:$L$45,MATCH('BMP P Tracking Table'!$AE71,'Performance Curves'!$E$1:$L$1,1)+1,FALSE)),"")</f>
        <v/>
      </c>
      <c r="AG71" s="193" t="str">
        <f>IFERROR(('BMP P Tracking Table'!$AE71-INDEX('Performance Curves'!$E$1:$L$1,1,MATCH('BMP P Tracking Table'!$AE71,'Performance Curves'!$E$1:$L$1,1)))/(INDEX('Performance Curves'!$E$1:$L$1,1,MATCH('BMP P Tracking Table'!$AE71,'Performance Curves'!$E$1:$L$1,1)+1)-INDEX('Performance Curves'!$E$1:$L$1,1,MATCH('BMP P Tracking Table'!$AE71,'Performance Curves'!$E$1:$L$1,1))),"")</f>
        <v/>
      </c>
      <c r="AH71" s="194" t="str">
        <f>IFERROR(IF('BMP P Tracking Table'!$AE71=2,VLOOKUP(CONCATENATE('BMP P Tracking Table'!$T71," ",'BMP P Tracking Table'!$AC71),'Performance Curves'!$C$1:$L$45,MATCH('BMP P Tracking Table'!$AE71,'Performance Curves'!$E$1:$L$1,1)+1,FALSE),'BMP P Tracking Table'!$AF71*'BMP P Tracking Table'!$AG71+VLOOKUP(CONCATENATE('BMP P Tracking Table'!$T71," ",'BMP P Tracking Table'!$AC71),'Performance Curves'!$C$1:$L$45,MATCH('BMP P Tracking Table'!$AE71,'Performance Curves'!$E$1:$L$1,1)+1,FALSE)),"")</f>
        <v/>
      </c>
      <c r="AI71" s="193" t="str">
        <f>IFERROR('BMP P Tracking Table'!$AH71*'BMP P Tracking Table'!$AD71,"")</f>
        <v/>
      </c>
      <c r="AJ71" s="173">
        <f>AD71*Disconnection!H12</f>
        <v>7.6547752077152142E-2</v>
      </c>
      <c r="AK71" s="195"/>
      <c r="AL71" s="195"/>
      <c r="AM71" s="203"/>
      <c r="AN71" s="204">
        <f t="shared" si="8"/>
        <v>7.6547752077152142E-2</v>
      </c>
      <c r="AO71" s="142"/>
      <c r="AP71" s="142"/>
      <c r="AQ71" s="142"/>
      <c r="AR71" s="142"/>
      <c r="AS71" s="142"/>
      <c r="AT71" s="142"/>
      <c r="AU71" s="142"/>
      <c r="AV71" s="143"/>
      <c r="AW71" s="144"/>
      <c r="AX71" s="144"/>
      <c r="AY71" s="140" t="str">
        <f>IF('BMP P Tracking Table'!$AK71="Yes",IF('BMP P Tracking Table'!$AL71="No",'BMP P Tracking Table'!$U71*VLOOKUP('BMP P Tracking Table'!$Q71,'Loading Rates'!$B$1:$L$24,4,FALSE)+IF('BMP P Tracking Table'!$V71="By HSG",'BMP P Tracking Table'!$W71*VLOOKUP('BMP P Tracking Table'!$Q71,'Loading Rates'!$B$1:$L$24,6,FALSE)+'BMP P Tracking Table'!$X71*VLOOKUP('BMP P Tracking Table'!$Q71,'Loading Rates'!$B$1:$L$24,7,FALSE)+'BMP P Tracking Table'!$Y71*VLOOKUP('BMP P Tracking Table'!$Q71,'Loading Rates'!$B$1:$L$24,8,FALSE)+'BMP P Tracking Table'!$Z71*VLOOKUP('BMP P Tracking Table'!$Q71,'Loading Rates'!$B$1:$L$24,9,FALSE),'BMP P Tracking Table'!$AA71*VLOOKUP('BMP P Tracking Table'!$Q71,'Loading Rates'!$B$1:$L$24,10,FALSE)),'BMP P Tracking Table'!$AO71*VLOOKUP('BMP P Tracking Table'!$Q71,'Loading Rates'!$B$1:$L$24,4,FALSE)+IF('BMP P Tracking Table'!$AP71="By HSG",'BMP P Tracking Table'!$AQ71*VLOOKUP('BMP P Tracking Table'!$Q71,'Loading Rates'!$B$1:$L$24,6,FALSE)+'BMP P Tracking Table'!$AR71*VLOOKUP('BMP P Tracking Table'!$Q71,'Loading Rates'!$B$1:$L$24,7,FALSE)+'BMP P Tracking Table'!$AS71*VLOOKUP('BMP P Tracking Table'!$Q71,'Loading Rates'!$B$1:$L$24,8,FALSE)+'BMP P Tracking Table'!$AT71*VLOOKUP('BMP P Tracking Table'!$Q71,'Loading Rates'!$B$1:$L$24,9,FALSE),'BMP P Tracking Table'!$AU71*VLOOKUP('BMP P Tracking Table'!$Q71,'Loading Rates'!$B$1:$L$24,10,FALSE))),"")</f>
        <v/>
      </c>
      <c r="AZ71" s="140">
        <f>IFERROR(IF('BMP P Tracking Table'!$AL71="Yes",MIN(2,IF('BMP P Tracking Table'!$AP71="Total Pervious",(-(3630*'BMP P Tracking Table'!$AO71+20.691*'BMP P Tracking Table'!$AU71)+SQRT((3630*'BMP P Tracking Table'!$AO71+20.691*'BMP P Tracking Table'!$AU71)^2-(4*(996.798*'BMP P Tracking Table'!$AU71)*-'BMP P Tracking Table'!$AW71)))/(2*(996.798*'BMP P Tracking Table'!$AU71)),IF(SUM('BMP P Tracking Table'!$AQ71:$AT71)=0,'BMP P Tracking Table'!$AU71/(-3630*'BMP P Tracking Table'!$AO71),(-(3630*'BMP P Tracking Table'!$AO71+20.691*'BMP P Tracking Table'!$AT71-216.711*'BMP P Tracking Table'!$AS71-83.853*'BMP P Tracking Table'!$AR71-42.834*'BMP P Tracking Table'!$AQ71)+SQRT((3630*'BMP P Tracking Table'!$AO71+20.691*'BMP P Tracking Table'!$AT71-216.711*'BMP P Tracking Table'!$AS71-83.853*'BMP P Tracking Table'!$AR71-42.834*'BMP P Tracking Table'!$AQ71)^2-(4*(149.919*'BMP P Tracking Table'!$AQ71+236.676*'BMP P Tracking Table'!$AR71+726*'BMP P Tracking Table'!$AS71+996.798*'BMP P Tracking Table'!$AT71)*-'BMP P Tracking Table'!$AW71)))/(2*(149.919*'BMP P Tracking Table'!$AQ71+236.676*'BMP P Tracking Table'!$AR71+726*'BMP P Tracking Table'!$AS71+996.798*'BMP P Tracking Table'!$AT71))))),MIN(2,IF('BMP P Tracking Table'!$AP71="Total Pervious",(-(3630*'BMP P Tracking Table'!$U71+20.691*'BMP P Tracking Table'!$AA71)+SQRT((3630*'BMP P Tracking Table'!$U71+20.691*'BMP P Tracking Table'!$AA71)^2-(4*(996.798*'BMP P Tracking Table'!$AA71)*-'BMP P Tracking Table'!$AW71)))/(2*(996.798*'BMP P Tracking Table'!$AA71)),IF(SUM('BMP P Tracking Table'!$W71:$Z71)=0,'BMP P Tracking Table'!$AW71/(-3630*'BMP P Tracking Table'!$U71),(-(3630*'BMP P Tracking Table'!$U71+20.691*'BMP P Tracking Table'!$Z71-216.711*'BMP P Tracking Table'!$Y71-83.853*'BMP P Tracking Table'!$X71-42.834*'BMP P Tracking Table'!$W71)+SQRT((3630*'BMP P Tracking Table'!$U71+20.691*'BMP P Tracking Table'!$Z71-216.711*'BMP P Tracking Table'!$Y71-83.853*'BMP P Tracking Table'!$X71-42.834*'BMP P Tracking Table'!$W71)^2-(4*(149.919*'BMP P Tracking Table'!$W71+236.676*'BMP P Tracking Table'!$X71+726*'BMP P Tracking Table'!$Y71+996.798*'BMP P Tracking Table'!$Z71)*-'BMP P Tracking Table'!$AW71)))/(2*(149.919*'BMP P Tracking Table'!$W71+236.676*'BMP P Tracking Table'!$X71+726*'BMP P Tracking Table'!$Y71+996.798*'BMP P Tracking Table'!$Z71)))))),"")</f>
        <v>0</v>
      </c>
      <c r="BA71" s="140" t="str">
        <f>IFERROR((VLOOKUP(CONCATENATE('BMP P Tracking Table'!$AV71," ",'BMP P Tracking Table'!$AX71),'Performance Curves'!$C$1:$L$45,MATCH('BMP P Tracking Table'!$AZ71,'Performance Curves'!$E$1:$L$1,1)+2,FALSE)-VLOOKUP(CONCATENATE('BMP P Tracking Table'!$AV71," ",'BMP P Tracking Table'!$AX71),'Performance Curves'!$C$1:$L$45,MATCH('BMP P Tracking Table'!$AZ71,'Performance Curves'!$E$1:$L$1,1)+1,FALSE)),"")</f>
        <v/>
      </c>
      <c r="BB71" s="140" t="str">
        <f>IFERROR(('BMP P Tracking Table'!$AZ71-INDEX('Performance Curves'!$E$1:$L$1,1,MATCH('BMP P Tracking Table'!$AZ71,'Performance Curves'!$E$1:$L$1,1)))/(INDEX('Performance Curves'!$E$1:$L$1,1,MATCH('BMP P Tracking Table'!$AZ71,'Performance Curves'!$E$1:$L$1,1)+1)-INDEX('Performance Curves'!$E$1:$L$1,1,MATCH('BMP P Tracking Table'!$AZ71,'Performance Curves'!$E$1:$L$1,1))),"")</f>
        <v/>
      </c>
      <c r="BC71" s="141" t="str">
        <f>IFERROR(IF('BMP P Tracking Table'!$AZ71=2,VLOOKUP(CONCATENATE('BMP P Tracking Table'!$AV71," ",'BMP P Tracking Table'!$AX71),'Performance Curves'!$C$1:$L$44,MATCH('BMP P Tracking Table'!$AZ71,'Performance Curves'!$E$1:$L$1,1)+1,FALSE),'BMP P Tracking Table'!$BA71*'BMP P Tracking Table'!$BB71+VLOOKUP(CONCATENATE('BMP P Tracking Table'!$AV71," ",'BMP P Tracking Table'!$AX71),'Performance Curves'!$C$1:$L$44,MATCH('BMP P Tracking Table'!$AZ71,'Performance Curves'!$E$1:$L$1,1)+1,FALSE)),"")</f>
        <v/>
      </c>
      <c r="BD71" s="140" t="str">
        <f>IFERROR('BMP P Tracking Table'!$BC71*'BMP P Tracking Table'!$AY71,"")</f>
        <v/>
      </c>
      <c r="BE71" s="145"/>
      <c r="BF71" s="146">
        <f t="shared" si="11"/>
        <v>0</v>
      </c>
      <c r="BK71" s="36" t="str">
        <f t="shared" si="13"/>
        <v>Laplatte River</v>
      </c>
      <c r="BN71" s="36" t="s">
        <v>391</v>
      </c>
    </row>
    <row r="72" spans="1:66" ht="17.399999999999999" customHeight="1" x14ac:dyDescent="0.3">
      <c r="A72" s="169" t="s">
        <v>289</v>
      </c>
      <c r="B72" s="169" t="s">
        <v>303</v>
      </c>
      <c r="C72" s="169" t="s">
        <v>312</v>
      </c>
      <c r="D72" s="169" t="s">
        <v>6</v>
      </c>
      <c r="E72" s="170">
        <v>44.467500000000001</v>
      </c>
      <c r="F72" s="170">
        <v>-73.147220000000004</v>
      </c>
      <c r="G72" s="169" t="s">
        <v>438</v>
      </c>
      <c r="H72" s="169" t="s">
        <v>321</v>
      </c>
      <c r="I72" s="169" t="s">
        <v>66</v>
      </c>
      <c r="J72" s="171"/>
      <c r="K72" s="169" t="s">
        <v>111</v>
      </c>
      <c r="L72" s="169"/>
      <c r="M72" s="172">
        <v>42633</v>
      </c>
      <c r="N72" s="172" t="s">
        <v>439</v>
      </c>
      <c r="O72" s="169" t="s">
        <v>62</v>
      </c>
      <c r="P72" s="169" t="s">
        <v>34</v>
      </c>
      <c r="Q72" s="169" t="s">
        <v>147</v>
      </c>
      <c r="R72" s="169" t="str">
        <f>IFERROR(VLOOKUP('BMP P Tracking Table'!$Q72,Dropdowns!$P$3:$Q$23,2,FALSE),"")</f>
        <v>Shelburne Bay</v>
      </c>
      <c r="S72" s="169" t="s">
        <v>66</v>
      </c>
      <c r="T72" s="169"/>
      <c r="U72" s="169">
        <f>Disconnection!C13</f>
        <v>5.04</v>
      </c>
      <c r="V72" s="169" t="s">
        <v>219</v>
      </c>
      <c r="W72" s="169"/>
      <c r="X72" s="169"/>
      <c r="Y72" s="169"/>
      <c r="Z72" s="169"/>
      <c r="AA72" s="169">
        <f>Disconnection!F13</f>
        <v>8.69</v>
      </c>
      <c r="AB72" s="174"/>
      <c r="AC72" s="169" t="s">
        <v>205</v>
      </c>
      <c r="AD72" s="175">
        <f>IFERROR('BMP P Tracking Table'!$U72*VLOOKUP('BMP P Tracking Table'!$Q72,'Loading Rates'!$B$1:$L$24,4,FALSE)+IF('BMP P Tracking Table'!$V72="By HSG",'BMP P Tracking Table'!$W72*VLOOKUP('BMP P Tracking Table'!$Q72,'Loading Rates'!$B$1:$L$24,6,FALSE)+'BMP P Tracking Table'!$X72*VLOOKUP('BMP P Tracking Table'!$Q72,'Loading Rates'!$B$1:$L$24,7,FALSE)+'BMP P Tracking Table'!$Y72*VLOOKUP('BMP P Tracking Table'!$Q72,'Loading Rates'!$B$1:$L$24,8,FALSE)+'BMP P Tracking Table'!$Z72*VLOOKUP('BMP P Tracking Table'!$Q72,'Loading Rates'!$B$1:$L$24,9,FALSE),'BMP P Tracking Table'!$AA72*VLOOKUP('BMP P Tracking Table'!$Q72,'Loading Rates'!$B$1:$L$24,10,FALSE)),"")</f>
        <v>6.2927599999999995</v>
      </c>
      <c r="AE72" s="175">
        <f>IFERROR(MIN(2,IF('BMP P Tracking Table'!$V72="Total Pervious",(-(3630*'BMP P Tracking Table'!$U72+20.691*'BMP P Tracking Table'!$AA72)+SQRT((3630*'BMP P Tracking Table'!$U72+20.691*'BMP P Tracking Table'!$AA72)^2-(4*(996.798*'BMP P Tracking Table'!$AA72)*-'BMP P Tracking Table'!$AB72)))/(2*(996.798*'BMP P Tracking Table'!$AA72)),IF(SUM('BMP P Tracking Table'!$W72:$Z72)=0,'BMP P Tracking Table'!$AB72/(-3630*'BMP P Tracking Table'!$U72),(-(3630*'BMP P Tracking Table'!$U72+20.691*'BMP P Tracking Table'!$Z72-216.711*'BMP P Tracking Table'!$Y72-83.853*'BMP P Tracking Table'!$X72-42.834*'BMP P Tracking Table'!$W72)+SQRT((3630*'BMP P Tracking Table'!$U72+20.691*'BMP P Tracking Table'!$Z72-216.711*'BMP P Tracking Table'!$Y72-83.853*'BMP P Tracking Table'!$X72-42.834*'BMP P Tracking Table'!$W72)^2-(4*(149.919*'BMP P Tracking Table'!$W72+236.676*'BMP P Tracking Table'!$X72+726*'BMP P Tracking Table'!$Y72+996.798*'BMP P Tracking Table'!$Z72)*-'BMP P Tracking Table'!$AB72)))/(2*(149.919*'BMP P Tracking Table'!$W72+236.676*'BMP P Tracking Table'!$X72+726*'BMP P Tracking Table'!$Y72+996.798*'BMP P Tracking Table'!$Z72))))),"")</f>
        <v>0</v>
      </c>
      <c r="AF72" s="175" t="str">
        <f>IFERROR((VLOOKUP(CONCATENATE('BMP P Tracking Table'!$T72," ",'BMP P Tracking Table'!$AC72),'Performance Curves'!$C$1:$L$45,MATCH('BMP P Tracking Table'!$AE72,'Performance Curves'!$E$1:$L$1,1)+2,FALSE)-VLOOKUP(CONCATENATE('BMP P Tracking Table'!$T72," ",'BMP P Tracking Table'!$AC72),'Performance Curves'!$C$1:$L$45,MATCH('BMP P Tracking Table'!$AE72,'Performance Curves'!$E$1:$L$1,1)+1,FALSE)),"")</f>
        <v/>
      </c>
      <c r="AG72" s="175" t="str">
        <f>IFERROR(('BMP P Tracking Table'!$AE72-INDEX('Performance Curves'!$E$1:$L$1,1,MATCH('BMP P Tracking Table'!$AE72,'Performance Curves'!$E$1:$L$1,1)))/(INDEX('Performance Curves'!$E$1:$L$1,1,MATCH('BMP P Tracking Table'!$AE72,'Performance Curves'!$E$1:$L$1,1)+1)-INDEX('Performance Curves'!$E$1:$L$1,1,MATCH('BMP P Tracking Table'!$AE72,'Performance Curves'!$E$1:$L$1,1))),"")</f>
        <v/>
      </c>
      <c r="AH72" s="176" t="str">
        <f>IFERROR(IF('BMP P Tracking Table'!$AE72=2,VLOOKUP(CONCATENATE('BMP P Tracking Table'!$T72," ",'BMP P Tracking Table'!$AC72),'Performance Curves'!$C$1:$L$45,MATCH('BMP P Tracking Table'!$AE72,'Performance Curves'!$E$1:$L$1,1)+1,FALSE),'BMP P Tracking Table'!$AF72*'BMP P Tracking Table'!$AG72+VLOOKUP(CONCATENATE('BMP P Tracking Table'!$T72," ",'BMP P Tracking Table'!$AC72),'Performance Curves'!$C$1:$L$45,MATCH('BMP P Tracking Table'!$AE72,'Performance Curves'!$E$1:$L$1,1)+1,FALSE)),"")</f>
        <v/>
      </c>
      <c r="AI72" s="175" t="str">
        <f>IFERROR('BMP P Tracking Table'!$AH72*'BMP P Tracking Table'!$AD72,"")</f>
        <v/>
      </c>
      <c r="AJ72" s="173">
        <f>AD72*Disconnection!H13</f>
        <v>4.9305311744925469</v>
      </c>
      <c r="AK72" s="173"/>
      <c r="AL72" s="173"/>
      <c r="AM72" s="177"/>
      <c r="AN72" s="178">
        <f t="shared" si="8"/>
        <v>4.9305311744925469</v>
      </c>
      <c r="AO72" s="96"/>
      <c r="AP72" s="96"/>
      <c r="AQ72" s="96"/>
      <c r="AR72" s="96"/>
      <c r="AS72" s="96"/>
      <c r="AT72" s="96"/>
      <c r="AU72" s="96"/>
      <c r="AV72" s="64"/>
      <c r="AW72" s="97"/>
      <c r="AX72" s="97"/>
      <c r="AY72" s="101" t="str">
        <f>IF('BMP P Tracking Table'!$AK72="Yes",IF('BMP P Tracking Table'!$AL72="No",'BMP P Tracking Table'!$U72*VLOOKUP('BMP P Tracking Table'!$Q72,'Loading Rates'!$B$1:$L$24,4,FALSE)+IF('BMP P Tracking Table'!$V72="By HSG",'BMP P Tracking Table'!$W72*VLOOKUP('BMP P Tracking Table'!$Q72,'Loading Rates'!$B$1:$L$24,6,FALSE)+'BMP P Tracking Table'!$X72*VLOOKUP('BMP P Tracking Table'!$Q72,'Loading Rates'!$B$1:$L$24,7,FALSE)+'BMP P Tracking Table'!$Y72*VLOOKUP('BMP P Tracking Table'!$Q72,'Loading Rates'!$B$1:$L$24,8,FALSE)+'BMP P Tracking Table'!$Z72*VLOOKUP('BMP P Tracking Table'!$Q72,'Loading Rates'!$B$1:$L$24,9,FALSE),'BMP P Tracking Table'!$AA72*VLOOKUP('BMP P Tracking Table'!$Q72,'Loading Rates'!$B$1:$L$24,10,FALSE)),'BMP P Tracking Table'!$AO72*VLOOKUP('BMP P Tracking Table'!$Q72,'Loading Rates'!$B$1:$L$24,4,FALSE)+IF('BMP P Tracking Table'!$AP72="By HSG",'BMP P Tracking Table'!$AQ72*VLOOKUP('BMP P Tracking Table'!$Q72,'Loading Rates'!$B$1:$L$24,6,FALSE)+'BMP P Tracking Table'!$AR72*VLOOKUP('BMP P Tracking Table'!$Q72,'Loading Rates'!$B$1:$L$24,7,FALSE)+'BMP P Tracking Table'!$AS72*VLOOKUP('BMP P Tracking Table'!$Q72,'Loading Rates'!$B$1:$L$24,8,FALSE)+'BMP P Tracking Table'!$AT72*VLOOKUP('BMP P Tracking Table'!$Q72,'Loading Rates'!$B$1:$L$24,9,FALSE),'BMP P Tracking Table'!$AU72*VLOOKUP('BMP P Tracking Table'!$Q72,'Loading Rates'!$B$1:$L$24,10,FALSE))),"")</f>
        <v/>
      </c>
      <c r="AZ72" s="101">
        <f>IFERROR(IF('BMP P Tracking Table'!$AL72="Yes",MIN(2,IF('BMP P Tracking Table'!$AP72="Total Pervious",(-(3630*'BMP P Tracking Table'!$AO72+20.691*'BMP P Tracking Table'!$AU72)+SQRT((3630*'BMP P Tracking Table'!$AO72+20.691*'BMP P Tracking Table'!$AU72)^2-(4*(996.798*'BMP P Tracking Table'!$AU72)*-'BMP P Tracking Table'!$AW72)))/(2*(996.798*'BMP P Tracking Table'!$AU72)),IF(SUM('BMP P Tracking Table'!$AQ72:$AT72)=0,'BMP P Tracking Table'!$AU72/(-3630*'BMP P Tracking Table'!$AO72),(-(3630*'BMP P Tracking Table'!$AO72+20.691*'BMP P Tracking Table'!$AT72-216.711*'BMP P Tracking Table'!$AS72-83.853*'BMP P Tracking Table'!$AR72-42.834*'BMP P Tracking Table'!$AQ72)+SQRT((3630*'BMP P Tracking Table'!$AO72+20.691*'BMP P Tracking Table'!$AT72-216.711*'BMP P Tracking Table'!$AS72-83.853*'BMP P Tracking Table'!$AR72-42.834*'BMP P Tracking Table'!$AQ72)^2-(4*(149.919*'BMP P Tracking Table'!$AQ72+236.676*'BMP P Tracking Table'!$AR72+726*'BMP P Tracking Table'!$AS72+996.798*'BMP P Tracking Table'!$AT72)*-'BMP P Tracking Table'!$AW72)))/(2*(149.919*'BMP P Tracking Table'!$AQ72+236.676*'BMP P Tracking Table'!$AR72+726*'BMP P Tracking Table'!$AS72+996.798*'BMP P Tracking Table'!$AT72))))),MIN(2,IF('BMP P Tracking Table'!$AP72="Total Pervious",(-(3630*'BMP P Tracking Table'!$U72+20.691*'BMP P Tracking Table'!$AA72)+SQRT((3630*'BMP P Tracking Table'!$U72+20.691*'BMP P Tracking Table'!$AA72)^2-(4*(996.798*'BMP P Tracking Table'!$AA72)*-'BMP P Tracking Table'!$AW72)))/(2*(996.798*'BMP P Tracking Table'!$AA72)),IF(SUM('BMP P Tracking Table'!$W72:$Z72)=0,'BMP P Tracking Table'!$AW72/(-3630*'BMP P Tracking Table'!$U72),(-(3630*'BMP P Tracking Table'!$U72+20.691*'BMP P Tracking Table'!$Z72-216.711*'BMP P Tracking Table'!$Y72-83.853*'BMP P Tracking Table'!$X72-42.834*'BMP P Tracking Table'!$W72)+SQRT((3630*'BMP P Tracking Table'!$U72+20.691*'BMP P Tracking Table'!$Z72-216.711*'BMP P Tracking Table'!$Y72-83.853*'BMP P Tracking Table'!$X72-42.834*'BMP P Tracking Table'!$W72)^2-(4*(149.919*'BMP P Tracking Table'!$W72+236.676*'BMP P Tracking Table'!$X72+726*'BMP P Tracking Table'!$Y72+996.798*'BMP P Tracking Table'!$Z72)*-'BMP P Tracking Table'!$AW72)))/(2*(149.919*'BMP P Tracking Table'!$W72+236.676*'BMP P Tracking Table'!$X72+726*'BMP P Tracking Table'!$Y72+996.798*'BMP P Tracking Table'!$Z72)))))),"")</f>
        <v>0</v>
      </c>
      <c r="BA72" s="101" t="str">
        <f>IFERROR((VLOOKUP(CONCATENATE('BMP P Tracking Table'!$AV72," ",'BMP P Tracking Table'!$AX72),'Performance Curves'!$C$1:$L$45,MATCH('BMP P Tracking Table'!$AZ72,'Performance Curves'!$E$1:$L$1,1)+2,FALSE)-VLOOKUP(CONCATENATE('BMP P Tracking Table'!$AV72," ",'BMP P Tracking Table'!$AX72),'Performance Curves'!$C$1:$L$45,MATCH('BMP P Tracking Table'!$AZ72,'Performance Curves'!$E$1:$L$1,1)+1,FALSE)),"")</f>
        <v/>
      </c>
      <c r="BB72" s="101" t="str">
        <f>IFERROR(('BMP P Tracking Table'!$AZ72-INDEX('Performance Curves'!$E$1:$L$1,1,MATCH('BMP P Tracking Table'!$AZ72,'Performance Curves'!$E$1:$L$1,1)))/(INDEX('Performance Curves'!$E$1:$L$1,1,MATCH('BMP P Tracking Table'!$AZ72,'Performance Curves'!$E$1:$L$1,1)+1)-INDEX('Performance Curves'!$E$1:$L$1,1,MATCH('BMP P Tracking Table'!$AZ72,'Performance Curves'!$E$1:$L$1,1))),"")</f>
        <v/>
      </c>
      <c r="BC72" s="102" t="str">
        <f>IFERROR(IF('BMP P Tracking Table'!$AZ72=2,VLOOKUP(CONCATENATE('BMP P Tracking Table'!$AV72," ",'BMP P Tracking Table'!$AX72),'Performance Curves'!$C$1:$L$44,MATCH('BMP P Tracking Table'!$AZ72,'Performance Curves'!$E$1:$L$1,1)+1,FALSE),'BMP P Tracking Table'!$BA72*'BMP P Tracking Table'!$BB72+VLOOKUP(CONCATENATE('BMP P Tracking Table'!$AV72," ",'BMP P Tracking Table'!$AX72),'Performance Curves'!$C$1:$L$44,MATCH('BMP P Tracking Table'!$AZ72,'Performance Curves'!$E$1:$L$1,1)+1,FALSE)),"")</f>
        <v/>
      </c>
      <c r="BD72" s="101" t="str">
        <f>IFERROR('BMP P Tracking Table'!$BC72*'BMP P Tracking Table'!$AY72,"")</f>
        <v/>
      </c>
      <c r="BE72" s="96"/>
      <c r="BF72" s="37">
        <f t="shared" si="11"/>
        <v>0</v>
      </c>
      <c r="BK72" s="36" t="str">
        <f t="shared" si="13"/>
        <v>Laplatte River</v>
      </c>
      <c r="BN72" s="36" t="s">
        <v>391</v>
      </c>
    </row>
    <row r="74" spans="1:66" x14ac:dyDescent="0.3">
      <c r="BH74" s="37"/>
    </row>
    <row r="76" spans="1:66" ht="12.6" customHeight="1" x14ac:dyDescent="0.3">
      <c r="A76" s="206"/>
      <c r="B76" s="169"/>
      <c r="C76" s="169"/>
      <c r="D76" s="169"/>
      <c r="E76" s="170"/>
      <c r="F76" s="170"/>
      <c r="G76" s="169"/>
      <c r="H76" s="169"/>
      <c r="I76" s="169"/>
      <c r="J76" s="171"/>
      <c r="K76" s="169"/>
      <c r="L76" s="169"/>
      <c r="M76" s="169"/>
      <c r="N76" s="169"/>
      <c r="O76" s="169"/>
      <c r="P76" s="169"/>
      <c r="Q76" s="169" t="str">
        <f>IFERROR(VLOOKUP('BMP P Tracking Table'!$P76,Dropdowns!$C$2:$E$15,3,FALSE),"")</f>
        <v/>
      </c>
      <c r="R76" s="169" t="str">
        <f>IFERROR(VLOOKUP('BMP P Tracking Table'!$Q76,Dropdowns!$P$3:$Q$23,2,FALSE),"")</f>
        <v/>
      </c>
      <c r="S76" s="169"/>
      <c r="T76" s="169"/>
      <c r="U76" s="169"/>
      <c r="V76" s="169"/>
      <c r="W76" s="169"/>
      <c r="X76" s="169"/>
      <c r="Y76" s="169"/>
      <c r="Z76" s="169"/>
      <c r="AA76" s="169"/>
      <c r="AB76" s="174"/>
      <c r="AC76" s="169"/>
      <c r="AD76" s="175" t="str">
        <f>IFERROR('BMP P Tracking Table'!$U76*VLOOKUP('BMP P Tracking Table'!$Q76,'Loading Rates'!$B$1:$L$24,4,FALSE)+IF('BMP P Tracking Table'!$V76="By HSG",'BMP P Tracking Table'!$W76*VLOOKUP('BMP P Tracking Table'!$Q76,'Loading Rates'!$B$1:$L$24,6,FALSE)+'BMP P Tracking Table'!$X76*VLOOKUP('BMP P Tracking Table'!$Q76,'Loading Rates'!$B$1:$L$24,7,FALSE)+'BMP P Tracking Table'!$Y76*VLOOKUP('BMP P Tracking Table'!$Q76,'Loading Rates'!$B$1:$L$24,8,FALSE)+'BMP P Tracking Table'!$Z76*VLOOKUP('BMP P Tracking Table'!$Q76,'Loading Rates'!$B$1:$L$24,9,FALSE),'BMP P Tracking Table'!$AA76*VLOOKUP('BMP P Tracking Table'!$Q76,'Loading Rates'!$B$1:$L$24,10,FALSE)),"")</f>
        <v/>
      </c>
      <c r="AE76" s="175" t="str">
        <f>IFERROR(MIN(2,IF('BMP P Tracking Table'!$V76="Total Pervious",(-(3630*'BMP P Tracking Table'!$U76+20.691*'BMP P Tracking Table'!$AA76)+SQRT((3630*'BMP P Tracking Table'!$U76+20.691*'BMP P Tracking Table'!$AA76)^2-(4*(996.798*'BMP P Tracking Table'!$AA76)*-'BMP P Tracking Table'!$AB76)))/(2*(996.798*'BMP P Tracking Table'!$AA76)),IF(SUM('BMP P Tracking Table'!$W76:$Z76)=0,'BMP P Tracking Table'!$AB76/(-3630*'BMP P Tracking Table'!$U76),(-(3630*'BMP P Tracking Table'!$U76+20.691*'BMP P Tracking Table'!$Z76-216.711*'BMP P Tracking Table'!$Y76-83.853*'BMP P Tracking Table'!$X76-42.834*'BMP P Tracking Table'!$W76)+SQRT((3630*'BMP P Tracking Table'!$U76+20.691*'BMP P Tracking Table'!$Z76-216.711*'BMP P Tracking Table'!$Y76-83.853*'BMP P Tracking Table'!$X76-42.834*'BMP P Tracking Table'!$W76)^2-(4*(149.919*'BMP P Tracking Table'!$W76+236.676*'BMP P Tracking Table'!$X76+726*'BMP P Tracking Table'!$Y76+996.798*'BMP P Tracking Table'!$Z76)*-'BMP P Tracking Table'!$AB76)))/(2*(149.919*'BMP P Tracking Table'!$W76+236.676*'BMP P Tracking Table'!$X76+726*'BMP P Tracking Table'!$Y76+996.798*'BMP P Tracking Table'!$Z76))))),"")</f>
        <v/>
      </c>
      <c r="AF76" s="175" t="str">
        <f>IFERROR((VLOOKUP(CONCATENATE('BMP P Tracking Table'!$T76," ",'BMP P Tracking Table'!$AC76),'Performance Curves'!$C$1:$L$45,MATCH('BMP P Tracking Table'!$AE76,'Performance Curves'!$E$1:$L$1,1)+2,FALSE)-VLOOKUP(CONCATENATE('BMP P Tracking Table'!$T76," ",'BMP P Tracking Table'!$AC76),'Performance Curves'!$C$1:$L$45,MATCH('BMP P Tracking Table'!$AE76,'Performance Curves'!$E$1:$L$1,1)+1,FALSE)),"")</f>
        <v/>
      </c>
      <c r="AG76" s="175" t="str">
        <f>IFERROR(('BMP P Tracking Table'!$AE76-INDEX('Performance Curves'!$E$1:$L$1,1,MATCH('BMP P Tracking Table'!$AE76,'Performance Curves'!$E$1:$L$1,1)))/(INDEX('Performance Curves'!$E$1:$L$1,1,MATCH('BMP P Tracking Table'!$AE76,'Performance Curves'!$E$1:$L$1,1)+1)-INDEX('Performance Curves'!$E$1:$L$1,1,MATCH('BMP P Tracking Table'!$AE76,'Performance Curves'!$E$1:$L$1,1))),"")</f>
        <v/>
      </c>
      <c r="AH76" s="176" t="str">
        <f>IFERROR(IF('BMP P Tracking Table'!$AE76=2,VLOOKUP(CONCATENATE('BMP P Tracking Table'!$T76," ",'BMP P Tracking Table'!$AC76),'Performance Curves'!$C$1:$L$45,MATCH('BMP P Tracking Table'!$AE76,'Performance Curves'!$E$1:$L$1,1)+1,FALSE),'BMP P Tracking Table'!$AF76*'BMP P Tracking Table'!$AG76+VLOOKUP(CONCATENATE('BMP P Tracking Table'!$T76," ",'BMP P Tracking Table'!$AC76),'Performance Curves'!$C$1:$L$45,MATCH('BMP P Tracking Table'!$AE76,'Performance Curves'!$E$1:$L$1,1)+1,FALSE)),"")</f>
        <v/>
      </c>
      <c r="AI76" s="175" t="str">
        <f>IFERROR('BMP P Tracking Table'!$AH76*'BMP P Tracking Table'!$AD76,"")</f>
        <v/>
      </c>
      <c r="AJ76" s="169"/>
      <c r="AK76" s="173"/>
      <c r="AL76" s="173"/>
      <c r="AM76" s="177"/>
      <c r="AN76" s="178" t="str">
        <f t="shared" si="8"/>
        <v/>
      </c>
      <c r="AO76" s="96"/>
      <c r="AP76" s="96"/>
      <c r="AQ76" s="96"/>
      <c r="AR76" s="96"/>
      <c r="AS76" s="96"/>
      <c r="AT76" s="96"/>
      <c r="AU76" s="96"/>
      <c r="AV76" s="64"/>
      <c r="AW76" s="97"/>
      <c r="AX76" s="97"/>
      <c r="AY76" s="101" t="str">
        <f>IF('BMP P Tracking Table'!$AK76="Yes",IF('BMP P Tracking Table'!$AL76="No",'BMP P Tracking Table'!$U76*VLOOKUP('BMP P Tracking Table'!$Q76,'Loading Rates'!$B$1:$L$24,4,FALSE)+IF('BMP P Tracking Table'!$V76="By HSG",'BMP P Tracking Table'!$W76*VLOOKUP('BMP P Tracking Table'!$Q76,'Loading Rates'!$B$1:$L$24,6,FALSE)+'BMP P Tracking Table'!$X76*VLOOKUP('BMP P Tracking Table'!$Q76,'Loading Rates'!$B$1:$L$24,7,FALSE)+'BMP P Tracking Table'!$Y76*VLOOKUP('BMP P Tracking Table'!$Q76,'Loading Rates'!$B$1:$L$24,8,FALSE)+'BMP P Tracking Table'!$Z76*VLOOKUP('BMP P Tracking Table'!$Q76,'Loading Rates'!$B$1:$L$24,9,FALSE),'BMP P Tracking Table'!$AA76*VLOOKUP('BMP P Tracking Table'!$Q76,'Loading Rates'!$B$1:$L$24,10,FALSE)),'BMP P Tracking Table'!$AO76*VLOOKUP('BMP P Tracking Table'!$Q76,'Loading Rates'!$B$1:$L$24,4,FALSE)+IF('BMP P Tracking Table'!$AP76="By HSG",'BMP P Tracking Table'!$AQ76*VLOOKUP('BMP P Tracking Table'!$Q76,'Loading Rates'!$B$1:$L$24,6,FALSE)+'BMP P Tracking Table'!$AR76*VLOOKUP('BMP P Tracking Table'!$Q76,'Loading Rates'!$B$1:$L$24,7,FALSE)+'BMP P Tracking Table'!$AS76*VLOOKUP('BMP P Tracking Table'!$Q76,'Loading Rates'!$B$1:$L$24,8,FALSE)+'BMP P Tracking Table'!$AT76*VLOOKUP('BMP P Tracking Table'!$Q76,'Loading Rates'!$B$1:$L$24,9,FALSE),'BMP P Tracking Table'!$AU76*VLOOKUP('BMP P Tracking Table'!$Q76,'Loading Rates'!$B$1:$L$24,10,FALSE))),"")</f>
        <v/>
      </c>
      <c r="AZ76" s="101" t="str">
        <f>IFERROR(IF('BMP P Tracking Table'!$AL76="Yes",MIN(2,IF('BMP P Tracking Table'!$AP76="Total Pervious",(-(3630*'BMP P Tracking Table'!$AO76+20.691*'BMP P Tracking Table'!$AU76)+SQRT((3630*'BMP P Tracking Table'!$AO76+20.691*'BMP P Tracking Table'!$AU76)^2-(4*(996.798*'BMP P Tracking Table'!$AU76)*-'BMP P Tracking Table'!$AW76)))/(2*(996.798*'BMP P Tracking Table'!$AU76)),IF(SUM('BMP P Tracking Table'!$AQ76:$AT76)=0,'BMP P Tracking Table'!$AU76/(-3630*'BMP P Tracking Table'!$AO76),(-(3630*'BMP P Tracking Table'!$AO76+20.691*'BMP P Tracking Table'!$AT76-216.711*'BMP P Tracking Table'!$AS76-83.853*'BMP P Tracking Table'!$AR76-42.834*'BMP P Tracking Table'!$AQ76)+SQRT((3630*'BMP P Tracking Table'!$AO76+20.691*'BMP P Tracking Table'!$AT76-216.711*'BMP P Tracking Table'!$AS76-83.853*'BMP P Tracking Table'!$AR76-42.834*'BMP P Tracking Table'!$AQ76)^2-(4*(149.919*'BMP P Tracking Table'!$AQ76+236.676*'BMP P Tracking Table'!$AR76+726*'BMP P Tracking Table'!$AS76+996.798*'BMP P Tracking Table'!$AT76)*-'BMP P Tracking Table'!$AW76)))/(2*(149.919*'BMP P Tracking Table'!$AQ76+236.676*'BMP P Tracking Table'!$AR76+726*'BMP P Tracking Table'!$AS76+996.798*'BMP P Tracking Table'!$AT76))))),MIN(2,IF('BMP P Tracking Table'!$AP76="Total Pervious",(-(3630*'BMP P Tracking Table'!$U76+20.691*'BMP P Tracking Table'!$AA76)+SQRT((3630*'BMP P Tracking Table'!$U76+20.691*'BMP P Tracking Table'!$AA76)^2-(4*(996.798*'BMP P Tracking Table'!$AA76)*-'BMP P Tracking Table'!$AW76)))/(2*(996.798*'BMP P Tracking Table'!$AA76)),IF(SUM('BMP P Tracking Table'!$W76:$Z76)=0,'BMP P Tracking Table'!$AW76/(-3630*'BMP P Tracking Table'!$U76),(-(3630*'BMP P Tracking Table'!$U76+20.691*'BMP P Tracking Table'!$Z76-216.711*'BMP P Tracking Table'!$Y76-83.853*'BMP P Tracking Table'!$X76-42.834*'BMP P Tracking Table'!$W76)+SQRT((3630*'BMP P Tracking Table'!$U76+20.691*'BMP P Tracking Table'!$Z76-216.711*'BMP P Tracking Table'!$Y76-83.853*'BMP P Tracking Table'!$X76-42.834*'BMP P Tracking Table'!$W76)^2-(4*(149.919*'BMP P Tracking Table'!$W76+236.676*'BMP P Tracking Table'!$X76+726*'BMP P Tracking Table'!$Y76+996.798*'BMP P Tracking Table'!$Z76)*-'BMP P Tracking Table'!$AW76)))/(2*(149.919*'BMP P Tracking Table'!$W76+236.676*'BMP P Tracking Table'!$X76+726*'BMP P Tracking Table'!$Y76+996.798*'BMP P Tracking Table'!$Z76)))))),"")</f>
        <v/>
      </c>
      <c r="BA76" s="101" t="str">
        <f>IFERROR((VLOOKUP(CONCATENATE('BMP P Tracking Table'!$AV76," ",'BMP P Tracking Table'!$AX76),'Performance Curves'!$C$1:$L$45,MATCH('BMP P Tracking Table'!$AZ76,'Performance Curves'!$E$1:$L$1,1)+2,FALSE)-VLOOKUP(CONCATENATE('BMP P Tracking Table'!$AV76," ",'BMP P Tracking Table'!$AX76),'Performance Curves'!$C$1:$L$45,MATCH('BMP P Tracking Table'!$AZ76,'Performance Curves'!$E$1:$L$1,1)+1,FALSE)),"")</f>
        <v/>
      </c>
      <c r="BB76" s="101" t="str">
        <f>IFERROR(('BMP P Tracking Table'!$AZ76-INDEX('Performance Curves'!$E$1:$L$1,1,MATCH('BMP P Tracking Table'!$AZ76,'Performance Curves'!$E$1:$L$1,1)))/(INDEX('Performance Curves'!$E$1:$L$1,1,MATCH('BMP P Tracking Table'!$AZ76,'Performance Curves'!$E$1:$L$1,1)+1)-INDEX('Performance Curves'!$E$1:$L$1,1,MATCH('BMP P Tracking Table'!$AZ76,'Performance Curves'!$E$1:$L$1,1))),"")</f>
        <v/>
      </c>
      <c r="BC76" s="102" t="str">
        <f>IFERROR(IF('BMP P Tracking Table'!$AZ76=2,VLOOKUP(CONCATENATE('BMP P Tracking Table'!$AV76," ",'BMP P Tracking Table'!$AX76),'Performance Curves'!$C$1:$L$44,MATCH('BMP P Tracking Table'!$AZ76,'Performance Curves'!$E$1:$L$1,1)+1,FALSE),'BMP P Tracking Table'!$BA76*'BMP P Tracking Table'!$BB76+VLOOKUP(CONCATENATE('BMP P Tracking Table'!$AV76," ",'BMP P Tracking Table'!$AX76),'Performance Curves'!$C$1:$L$44,MATCH('BMP P Tracking Table'!$AZ76,'Performance Curves'!$E$1:$L$1,1)+1,FALSE)),"")</f>
        <v/>
      </c>
      <c r="BD76" s="101" t="str">
        <f>IFERROR('BMP P Tracking Table'!$BC76*'BMP P Tracking Table'!$AY76,"")</f>
        <v/>
      </c>
      <c r="BE76" s="96"/>
      <c r="BF76" s="37">
        <f t="shared" si="11"/>
        <v>0</v>
      </c>
    </row>
    <row r="77" spans="1:66" ht="12.6" customHeight="1" x14ac:dyDescent="0.3">
      <c r="A77" s="206"/>
      <c r="B77" s="169"/>
      <c r="C77" s="169"/>
      <c r="D77" s="169"/>
      <c r="E77" s="170"/>
      <c r="F77" s="170"/>
      <c r="G77" s="169"/>
      <c r="H77" s="169"/>
      <c r="I77" s="169"/>
      <c r="J77" s="171"/>
      <c r="K77" s="169"/>
      <c r="L77" s="169"/>
      <c r="M77" s="169"/>
      <c r="N77" s="169"/>
      <c r="O77" s="169"/>
      <c r="P77" s="169"/>
      <c r="Q77" s="169" t="str">
        <f>IFERROR(VLOOKUP('BMP P Tracking Table'!$P77,Dropdowns!$C$2:$E$15,3,FALSE),"")</f>
        <v/>
      </c>
      <c r="R77" s="169" t="str">
        <f>IFERROR(VLOOKUP('BMP P Tracking Table'!$Q77,Dropdowns!$P$3:$Q$23,2,FALSE),"")</f>
        <v/>
      </c>
      <c r="S77" s="169"/>
      <c r="T77" s="169"/>
      <c r="U77" s="169"/>
      <c r="V77" s="169"/>
      <c r="W77" s="169"/>
      <c r="X77" s="169"/>
      <c r="Y77" s="169"/>
      <c r="Z77" s="169"/>
      <c r="AA77" s="169"/>
      <c r="AB77" s="174"/>
      <c r="AC77" s="169"/>
      <c r="AD77" s="175" t="str">
        <f>IFERROR('BMP P Tracking Table'!$U77*VLOOKUP('BMP P Tracking Table'!$Q77,'Loading Rates'!$B$1:$L$24,4,FALSE)+IF('BMP P Tracking Table'!$V77="By HSG",'BMP P Tracking Table'!$W77*VLOOKUP('BMP P Tracking Table'!$Q77,'Loading Rates'!$B$1:$L$24,6,FALSE)+'BMP P Tracking Table'!$X77*VLOOKUP('BMP P Tracking Table'!$Q77,'Loading Rates'!$B$1:$L$24,7,FALSE)+'BMP P Tracking Table'!$Y77*VLOOKUP('BMP P Tracking Table'!$Q77,'Loading Rates'!$B$1:$L$24,8,FALSE)+'BMP P Tracking Table'!$Z77*VLOOKUP('BMP P Tracking Table'!$Q77,'Loading Rates'!$B$1:$L$24,9,FALSE),'BMP P Tracking Table'!$AA77*VLOOKUP('BMP P Tracking Table'!$Q77,'Loading Rates'!$B$1:$L$24,10,FALSE)),"")</f>
        <v/>
      </c>
      <c r="AE77" s="175" t="str">
        <f>IFERROR(MIN(2,IF('BMP P Tracking Table'!$V77="Total Pervious",(-(3630*'BMP P Tracking Table'!$U77+20.691*'BMP P Tracking Table'!$AA77)+SQRT((3630*'BMP P Tracking Table'!$U77+20.691*'BMP P Tracking Table'!$AA77)^2-(4*(996.798*'BMP P Tracking Table'!$AA77)*-'BMP P Tracking Table'!$AB77)))/(2*(996.798*'BMP P Tracking Table'!$AA77)),IF(SUM('BMP P Tracking Table'!$W77:$Z77)=0,'BMP P Tracking Table'!$AB77/(-3630*'BMP P Tracking Table'!$U77),(-(3630*'BMP P Tracking Table'!$U77+20.691*'BMP P Tracking Table'!$Z77-216.711*'BMP P Tracking Table'!$Y77-83.853*'BMP P Tracking Table'!$X77-42.834*'BMP P Tracking Table'!$W77)+SQRT((3630*'BMP P Tracking Table'!$U77+20.691*'BMP P Tracking Table'!$Z77-216.711*'BMP P Tracking Table'!$Y77-83.853*'BMP P Tracking Table'!$X77-42.834*'BMP P Tracking Table'!$W77)^2-(4*(149.919*'BMP P Tracking Table'!$W77+236.676*'BMP P Tracking Table'!$X77+726*'BMP P Tracking Table'!$Y77+996.798*'BMP P Tracking Table'!$Z77)*-'BMP P Tracking Table'!$AB77)))/(2*(149.919*'BMP P Tracking Table'!$W77+236.676*'BMP P Tracking Table'!$X77+726*'BMP P Tracking Table'!$Y77+996.798*'BMP P Tracking Table'!$Z77))))),"")</f>
        <v/>
      </c>
      <c r="AF77" s="175" t="str">
        <f>IFERROR((VLOOKUP(CONCATENATE('BMP P Tracking Table'!$T77," ",'BMP P Tracking Table'!$AC77),'Performance Curves'!$C$1:$L$45,MATCH('BMP P Tracking Table'!$AE77,'Performance Curves'!$E$1:$L$1,1)+2,FALSE)-VLOOKUP(CONCATENATE('BMP P Tracking Table'!$T77," ",'BMP P Tracking Table'!$AC77),'Performance Curves'!$C$1:$L$45,MATCH('BMP P Tracking Table'!$AE77,'Performance Curves'!$E$1:$L$1,1)+1,FALSE)),"")</f>
        <v/>
      </c>
      <c r="AG77" s="175" t="str">
        <f>IFERROR(('BMP P Tracking Table'!$AE77-INDEX('Performance Curves'!$E$1:$L$1,1,MATCH('BMP P Tracking Table'!$AE77,'Performance Curves'!$E$1:$L$1,1)))/(INDEX('Performance Curves'!$E$1:$L$1,1,MATCH('BMP P Tracking Table'!$AE77,'Performance Curves'!$E$1:$L$1,1)+1)-INDEX('Performance Curves'!$E$1:$L$1,1,MATCH('BMP P Tracking Table'!$AE77,'Performance Curves'!$E$1:$L$1,1))),"")</f>
        <v/>
      </c>
      <c r="AH77" s="176" t="str">
        <f>IFERROR(IF('BMP P Tracking Table'!$AE77=2,VLOOKUP(CONCATENATE('BMP P Tracking Table'!$T77," ",'BMP P Tracking Table'!$AC77),'Performance Curves'!$C$1:$L$45,MATCH('BMP P Tracking Table'!$AE77,'Performance Curves'!$E$1:$L$1,1)+1,FALSE),'BMP P Tracking Table'!$AF77*'BMP P Tracking Table'!$AG77+VLOOKUP(CONCATENATE('BMP P Tracking Table'!$T77," ",'BMP P Tracking Table'!$AC77),'Performance Curves'!$C$1:$L$45,MATCH('BMP P Tracking Table'!$AE77,'Performance Curves'!$E$1:$L$1,1)+1,FALSE)),"")</f>
        <v/>
      </c>
      <c r="AI77" s="175" t="str">
        <f>IFERROR('BMP P Tracking Table'!$AH77*'BMP P Tracking Table'!$AD77,"")</f>
        <v/>
      </c>
      <c r="AJ77" s="169"/>
      <c r="AK77" s="173"/>
      <c r="AL77" s="173"/>
      <c r="AM77" s="177"/>
      <c r="AN77" s="178" t="str">
        <f t="shared" si="8"/>
        <v/>
      </c>
      <c r="AO77" s="96"/>
      <c r="AP77" s="96"/>
      <c r="AQ77" s="96"/>
      <c r="AR77" s="96"/>
      <c r="AS77" s="96"/>
      <c r="AT77" s="96"/>
      <c r="AU77" s="96"/>
      <c r="AV77" s="64"/>
      <c r="AW77" s="97"/>
      <c r="AX77" s="97"/>
      <c r="AY77" s="101" t="str">
        <f>IF('BMP P Tracking Table'!$AK77="Yes",IF('BMP P Tracking Table'!$AL77="No",'BMP P Tracking Table'!$U77*VLOOKUP('BMP P Tracking Table'!$Q77,'Loading Rates'!$B$1:$L$24,4,FALSE)+IF('BMP P Tracking Table'!$V77="By HSG",'BMP P Tracking Table'!$W77*VLOOKUP('BMP P Tracking Table'!$Q77,'Loading Rates'!$B$1:$L$24,6,FALSE)+'BMP P Tracking Table'!$X77*VLOOKUP('BMP P Tracking Table'!$Q77,'Loading Rates'!$B$1:$L$24,7,FALSE)+'BMP P Tracking Table'!$Y77*VLOOKUP('BMP P Tracking Table'!$Q77,'Loading Rates'!$B$1:$L$24,8,FALSE)+'BMP P Tracking Table'!$Z77*VLOOKUP('BMP P Tracking Table'!$Q77,'Loading Rates'!$B$1:$L$24,9,FALSE),'BMP P Tracking Table'!$AA77*VLOOKUP('BMP P Tracking Table'!$Q77,'Loading Rates'!$B$1:$L$24,10,FALSE)),'BMP P Tracking Table'!$AO77*VLOOKUP('BMP P Tracking Table'!$Q77,'Loading Rates'!$B$1:$L$24,4,FALSE)+IF('BMP P Tracking Table'!$AP77="By HSG",'BMP P Tracking Table'!$AQ77*VLOOKUP('BMP P Tracking Table'!$Q77,'Loading Rates'!$B$1:$L$24,6,FALSE)+'BMP P Tracking Table'!$AR77*VLOOKUP('BMP P Tracking Table'!$Q77,'Loading Rates'!$B$1:$L$24,7,FALSE)+'BMP P Tracking Table'!$AS77*VLOOKUP('BMP P Tracking Table'!$Q77,'Loading Rates'!$B$1:$L$24,8,FALSE)+'BMP P Tracking Table'!$AT77*VLOOKUP('BMP P Tracking Table'!$Q77,'Loading Rates'!$B$1:$L$24,9,FALSE),'BMP P Tracking Table'!$AU77*VLOOKUP('BMP P Tracking Table'!$Q77,'Loading Rates'!$B$1:$L$24,10,FALSE))),"")</f>
        <v/>
      </c>
      <c r="AZ77" s="101" t="str">
        <f>IFERROR(IF('BMP P Tracking Table'!$AL77="Yes",MIN(2,IF('BMP P Tracking Table'!$AP77="Total Pervious",(-(3630*'BMP P Tracking Table'!$AO77+20.691*'BMP P Tracking Table'!$AU77)+SQRT((3630*'BMP P Tracking Table'!$AO77+20.691*'BMP P Tracking Table'!$AU77)^2-(4*(996.798*'BMP P Tracking Table'!$AU77)*-'BMP P Tracking Table'!$AW77)))/(2*(996.798*'BMP P Tracking Table'!$AU77)),IF(SUM('BMP P Tracking Table'!$AQ77:$AT77)=0,'BMP P Tracking Table'!$AU77/(-3630*'BMP P Tracking Table'!$AO77),(-(3630*'BMP P Tracking Table'!$AO77+20.691*'BMP P Tracking Table'!$AT77-216.711*'BMP P Tracking Table'!$AS77-83.853*'BMP P Tracking Table'!$AR77-42.834*'BMP P Tracking Table'!$AQ77)+SQRT((3630*'BMP P Tracking Table'!$AO77+20.691*'BMP P Tracking Table'!$AT77-216.711*'BMP P Tracking Table'!$AS77-83.853*'BMP P Tracking Table'!$AR77-42.834*'BMP P Tracking Table'!$AQ77)^2-(4*(149.919*'BMP P Tracking Table'!$AQ77+236.676*'BMP P Tracking Table'!$AR77+726*'BMP P Tracking Table'!$AS77+996.798*'BMP P Tracking Table'!$AT77)*-'BMP P Tracking Table'!$AW77)))/(2*(149.919*'BMP P Tracking Table'!$AQ77+236.676*'BMP P Tracking Table'!$AR77+726*'BMP P Tracking Table'!$AS77+996.798*'BMP P Tracking Table'!$AT77))))),MIN(2,IF('BMP P Tracking Table'!$AP77="Total Pervious",(-(3630*'BMP P Tracking Table'!$U77+20.691*'BMP P Tracking Table'!$AA77)+SQRT((3630*'BMP P Tracking Table'!$U77+20.691*'BMP P Tracking Table'!$AA77)^2-(4*(996.798*'BMP P Tracking Table'!$AA77)*-'BMP P Tracking Table'!$AW77)))/(2*(996.798*'BMP P Tracking Table'!$AA77)),IF(SUM('BMP P Tracking Table'!$W77:$Z77)=0,'BMP P Tracking Table'!$AW77/(-3630*'BMP P Tracking Table'!$U77),(-(3630*'BMP P Tracking Table'!$U77+20.691*'BMP P Tracking Table'!$Z77-216.711*'BMP P Tracking Table'!$Y77-83.853*'BMP P Tracking Table'!$X77-42.834*'BMP P Tracking Table'!$W77)+SQRT((3630*'BMP P Tracking Table'!$U77+20.691*'BMP P Tracking Table'!$Z77-216.711*'BMP P Tracking Table'!$Y77-83.853*'BMP P Tracking Table'!$X77-42.834*'BMP P Tracking Table'!$W77)^2-(4*(149.919*'BMP P Tracking Table'!$W77+236.676*'BMP P Tracking Table'!$X77+726*'BMP P Tracking Table'!$Y77+996.798*'BMP P Tracking Table'!$Z77)*-'BMP P Tracking Table'!$AW77)))/(2*(149.919*'BMP P Tracking Table'!$W77+236.676*'BMP P Tracking Table'!$X77+726*'BMP P Tracking Table'!$Y77+996.798*'BMP P Tracking Table'!$Z77)))))),"")</f>
        <v/>
      </c>
      <c r="BA77" s="101" t="str">
        <f>IFERROR((VLOOKUP(CONCATENATE('BMP P Tracking Table'!$AV77," ",'BMP P Tracking Table'!$AX77),'Performance Curves'!$C$1:$L$45,MATCH('BMP P Tracking Table'!$AZ77,'Performance Curves'!$E$1:$L$1,1)+2,FALSE)-VLOOKUP(CONCATENATE('BMP P Tracking Table'!$AV77," ",'BMP P Tracking Table'!$AX77),'Performance Curves'!$C$1:$L$45,MATCH('BMP P Tracking Table'!$AZ77,'Performance Curves'!$E$1:$L$1,1)+1,FALSE)),"")</f>
        <v/>
      </c>
      <c r="BB77" s="101" t="str">
        <f>IFERROR(('BMP P Tracking Table'!$AZ77-INDEX('Performance Curves'!$E$1:$L$1,1,MATCH('BMP P Tracking Table'!$AZ77,'Performance Curves'!$E$1:$L$1,1)))/(INDEX('Performance Curves'!$E$1:$L$1,1,MATCH('BMP P Tracking Table'!$AZ77,'Performance Curves'!$E$1:$L$1,1)+1)-INDEX('Performance Curves'!$E$1:$L$1,1,MATCH('BMP P Tracking Table'!$AZ77,'Performance Curves'!$E$1:$L$1,1))),"")</f>
        <v/>
      </c>
      <c r="BC77" s="102" t="str">
        <f>IFERROR(IF('BMP P Tracking Table'!$AZ77=2,VLOOKUP(CONCATENATE('BMP P Tracking Table'!$AV77," ",'BMP P Tracking Table'!$AX77),'Performance Curves'!$C$1:$L$44,MATCH('BMP P Tracking Table'!$AZ77,'Performance Curves'!$E$1:$L$1,1)+1,FALSE),'BMP P Tracking Table'!$BA77*'BMP P Tracking Table'!$BB77+VLOOKUP(CONCATENATE('BMP P Tracking Table'!$AV77," ",'BMP P Tracking Table'!$AX77),'Performance Curves'!$C$1:$L$44,MATCH('BMP P Tracking Table'!$AZ77,'Performance Curves'!$E$1:$L$1,1)+1,FALSE)),"")</f>
        <v/>
      </c>
      <c r="BD77" s="101" t="str">
        <f>IFERROR('BMP P Tracking Table'!$BC77*'BMP P Tracking Table'!$AY77,"")</f>
        <v/>
      </c>
      <c r="BE77" s="96"/>
      <c r="BF77" s="37">
        <f t="shared" si="11"/>
        <v>0</v>
      </c>
    </row>
    <row r="78" spans="1:66" x14ac:dyDescent="0.3">
      <c r="A78" s="166"/>
      <c r="B78" s="169"/>
      <c r="C78" s="169"/>
      <c r="D78" s="169"/>
      <c r="E78" s="170"/>
      <c r="F78" s="170"/>
      <c r="G78" s="169"/>
      <c r="H78" s="169"/>
      <c r="I78" s="169"/>
      <c r="J78" s="171"/>
      <c r="K78" s="169"/>
      <c r="L78" s="169"/>
      <c r="M78" s="169"/>
      <c r="N78" s="169"/>
      <c r="O78" s="169"/>
      <c r="P78" s="169"/>
      <c r="Q78" s="169" t="str">
        <f>IFERROR(VLOOKUP('BMP P Tracking Table'!$P78,Dropdowns!$C$2:$E$15,3,FALSE),"")</f>
        <v/>
      </c>
      <c r="R78" s="169" t="str">
        <f>IFERROR(VLOOKUP('BMP P Tracking Table'!$Q78,Dropdowns!$P$3:$Q$23,2,FALSE),"")</f>
        <v/>
      </c>
      <c r="S78" s="169"/>
      <c r="T78" s="169"/>
      <c r="U78" s="169"/>
      <c r="V78" s="169"/>
      <c r="W78" s="169"/>
      <c r="X78" s="169"/>
      <c r="Y78" s="169"/>
      <c r="Z78" s="169"/>
      <c r="AA78" s="169"/>
      <c r="AB78" s="174"/>
      <c r="AC78" s="169"/>
      <c r="AD78" s="175" t="str">
        <f>IFERROR('BMP P Tracking Table'!$U78*VLOOKUP('BMP P Tracking Table'!$Q78,'Loading Rates'!$B$1:$L$24,4,FALSE)+IF('BMP P Tracking Table'!$V78="By HSG",'BMP P Tracking Table'!$W78*VLOOKUP('BMP P Tracking Table'!$Q78,'Loading Rates'!$B$1:$L$24,6,FALSE)+'BMP P Tracking Table'!$X78*VLOOKUP('BMP P Tracking Table'!$Q78,'Loading Rates'!$B$1:$L$24,7,FALSE)+'BMP P Tracking Table'!$Y78*VLOOKUP('BMP P Tracking Table'!$Q78,'Loading Rates'!$B$1:$L$24,8,FALSE)+'BMP P Tracking Table'!$Z78*VLOOKUP('BMP P Tracking Table'!$Q78,'Loading Rates'!$B$1:$L$24,9,FALSE),'BMP P Tracking Table'!$AA78*VLOOKUP('BMP P Tracking Table'!$Q78,'Loading Rates'!$B$1:$L$24,10,FALSE)),"")</f>
        <v/>
      </c>
      <c r="AE78" s="175" t="str">
        <f>IFERROR(MIN(2,IF('BMP P Tracking Table'!$V78="Total Pervious",(-(3630*'BMP P Tracking Table'!$U78+20.691*'BMP P Tracking Table'!$AA78)+SQRT((3630*'BMP P Tracking Table'!$U78+20.691*'BMP P Tracking Table'!$AA78)^2-(4*(996.798*'BMP P Tracking Table'!$AA78)*-'BMP P Tracking Table'!$AB78)))/(2*(996.798*'BMP P Tracking Table'!$AA78)),IF(SUM('BMP P Tracking Table'!$W78:$Z78)=0,'BMP P Tracking Table'!$AB78/(-3630*'BMP P Tracking Table'!$U78),(-(3630*'BMP P Tracking Table'!$U78+20.691*'BMP P Tracking Table'!$Z78-216.711*'BMP P Tracking Table'!$Y78-83.853*'BMP P Tracking Table'!$X78-42.834*'BMP P Tracking Table'!$W78)+SQRT((3630*'BMP P Tracking Table'!$U78+20.691*'BMP P Tracking Table'!$Z78-216.711*'BMP P Tracking Table'!$Y78-83.853*'BMP P Tracking Table'!$X78-42.834*'BMP P Tracking Table'!$W78)^2-(4*(149.919*'BMP P Tracking Table'!$W78+236.676*'BMP P Tracking Table'!$X78+726*'BMP P Tracking Table'!$Y78+996.798*'BMP P Tracking Table'!$Z78)*-'BMP P Tracking Table'!$AB78)))/(2*(149.919*'BMP P Tracking Table'!$W78+236.676*'BMP P Tracking Table'!$X78+726*'BMP P Tracking Table'!$Y78+996.798*'BMP P Tracking Table'!$Z78))))),"")</f>
        <v/>
      </c>
      <c r="AF78" s="175" t="str">
        <f>IFERROR((VLOOKUP(CONCATENATE('BMP P Tracking Table'!$T78," ",'BMP P Tracking Table'!$AC78),'Performance Curves'!$C$1:$L$45,MATCH('BMP P Tracking Table'!$AE78,'Performance Curves'!$E$1:$L$1,1)+2,FALSE)-VLOOKUP(CONCATENATE('BMP P Tracking Table'!$T78," ",'BMP P Tracking Table'!$AC78),'Performance Curves'!$C$1:$L$45,MATCH('BMP P Tracking Table'!$AE78,'Performance Curves'!$E$1:$L$1,1)+1,FALSE)),"")</f>
        <v/>
      </c>
      <c r="AG78" s="175" t="str">
        <f>IFERROR(('BMP P Tracking Table'!$AE78-INDEX('Performance Curves'!$E$1:$L$1,1,MATCH('BMP P Tracking Table'!$AE78,'Performance Curves'!$E$1:$L$1,1)))/(INDEX('Performance Curves'!$E$1:$L$1,1,MATCH('BMP P Tracking Table'!$AE78,'Performance Curves'!$E$1:$L$1,1)+1)-INDEX('Performance Curves'!$E$1:$L$1,1,MATCH('BMP P Tracking Table'!$AE78,'Performance Curves'!$E$1:$L$1,1))),"")</f>
        <v/>
      </c>
      <c r="AH78" s="176" t="str">
        <f>IFERROR(IF('BMP P Tracking Table'!$AE78=2,VLOOKUP(CONCATENATE('BMP P Tracking Table'!$T78," ",'BMP P Tracking Table'!$AC78),'Performance Curves'!$C$1:$L$45,MATCH('BMP P Tracking Table'!$AE78,'Performance Curves'!$E$1:$L$1,1)+1,FALSE),'BMP P Tracking Table'!$AF78*'BMP P Tracking Table'!$AG78+VLOOKUP(CONCATENATE('BMP P Tracking Table'!$T78," ",'BMP P Tracking Table'!$AC78),'Performance Curves'!$C$1:$L$45,MATCH('BMP P Tracking Table'!$AE78,'Performance Curves'!$E$1:$L$1,1)+1,FALSE)),"")</f>
        <v/>
      </c>
      <c r="AI78" s="175" t="str">
        <f>IFERROR('BMP P Tracking Table'!$AH78*'BMP P Tracking Table'!$AD78,"")</f>
        <v/>
      </c>
      <c r="AJ78" s="169"/>
      <c r="AK78" s="173"/>
      <c r="AL78" s="173"/>
      <c r="AM78" s="177"/>
      <c r="AN78" s="178" t="str">
        <f t="shared" si="8"/>
        <v/>
      </c>
      <c r="AO78" s="96"/>
      <c r="AP78" s="96"/>
      <c r="AQ78" s="96"/>
      <c r="AR78" s="96"/>
      <c r="AS78" s="96"/>
      <c r="AT78" s="96"/>
      <c r="AU78" s="96"/>
      <c r="AV78" s="64"/>
      <c r="AW78" s="97"/>
      <c r="AX78" s="97"/>
      <c r="AY78" s="101" t="str">
        <f>IF('BMP P Tracking Table'!$AK78="Yes",IF('BMP P Tracking Table'!$AL78="No",'BMP P Tracking Table'!$U78*VLOOKUP('BMP P Tracking Table'!$Q78,'Loading Rates'!$B$1:$L$24,4,FALSE)+IF('BMP P Tracking Table'!$V78="By HSG",'BMP P Tracking Table'!$W78*VLOOKUP('BMP P Tracking Table'!$Q78,'Loading Rates'!$B$1:$L$24,6,FALSE)+'BMP P Tracking Table'!$X78*VLOOKUP('BMP P Tracking Table'!$Q78,'Loading Rates'!$B$1:$L$24,7,FALSE)+'BMP P Tracking Table'!$Y78*VLOOKUP('BMP P Tracking Table'!$Q78,'Loading Rates'!$B$1:$L$24,8,FALSE)+'BMP P Tracking Table'!$Z78*VLOOKUP('BMP P Tracking Table'!$Q78,'Loading Rates'!$B$1:$L$24,9,FALSE),'BMP P Tracking Table'!$AA78*VLOOKUP('BMP P Tracking Table'!$Q78,'Loading Rates'!$B$1:$L$24,10,FALSE)),'BMP P Tracking Table'!$AO78*VLOOKUP('BMP P Tracking Table'!$Q78,'Loading Rates'!$B$1:$L$24,4,FALSE)+IF('BMP P Tracking Table'!$AP78="By HSG",'BMP P Tracking Table'!$AQ78*VLOOKUP('BMP P Tracking Table'!$Q78,'Loading Rates'!$B$1:$L$24,6,FALSE)+'BMP P Tracking Table'!$AR78*VLOOKUP('BMP P Tracking Table'!$Q78,'Loading Rates'!$B$1:$L$24,7,FALSE)+'BMP P Tracking Table'!$AS78*VLOOKUP('BMP P Tracking Table'!$Q78,'Loading Rates'!$B$1:$L$24,8,FALSE)+'BMP P Tracking Table'!$AT78*VLOOKUP('BMP P Tracking Table'!$Q78,'Loading Rates'!$B$1:$L$24,9,FALSE),'BMP P Tracking Table'!$AU78*VLOOKUP('BMP P Tracking Table'!$Q78,'Loading Rates'!$B$1:$L$24,10,FALSE))),"")</f>
        <v/>
      </c>
      <c r="AZ78" s="101" t="str">
        <f>IFERROR(IF('BMP P Tracking Table'!$AL78="Yes",MIN(2,IF('BMP P Tracking Table'!$AP78="Total Pervious",(-(3630*'BMP P Tracking Table'!$AO78+20.691*'BMP P Tracking Table'!$AU78)+SQRT((3630*'BMP P Tracking Table'!$AO78+20.691*'BMP P Tracking Table'!$AU78)^2-(4*(996.798*'BMP P Tracking Table'!$AU78)*-'BMP P Tracking Table'!$AW78)))/(2*(996.798*'BMP P Tracking Table'!$AU78)),IF(SUM('BMP P Tracking Table'!$AQ78:$AT78)=0,'BMP P Tracking Table'!$AU78/(-3630*'BMP P Tracking Table'!$AO78),(-(3630*'BMP P Tracking Table'!$AO78+20.691*'BMP P Tracking Table'!$AT78-216.711*'BMP P Tracking Table'!$AS78-83.853*'BMP P Tracking Table'!$AR78-42.834*'BMP P Tracking Table'!$AQ78)+SQRT((3630*'BMP P Tracking Table'!$AO78+20.691*'BMP P Tracking Table'!$AT78-216.711*'BMP P Tracking Table'!$AS78-83.853*'BMP P Tracking Table'!$AR78-42.834*'BMP P Tracking Table'!$AQ78)^2-(4*(149.919*'BMP P Tracking Table'!$AQ78+236.676*'BMP P Tracking Table'!$AR78+726*'BMP P Tracking Table'!$AS78+996.798*'BMP P Tracking Table'!$AT78)*-'BMP P Tracking Table'!$AW78)))/(2*(149.919*'BMP P Tracking Table'!$AQ78+236.676*'BMP P Tracking Table'!$AR78+726*'BMP P Tracking Table'!$AS78+996.798*'BMP P Tracking Table'!$AT78))))),MIN(2,IF('BMP P Tracking Table'!$AP78="Total Pervious",(-(3630*'BMP P Tracking Table'!$U78+20.691*'BMP P Tracking Table'!$AA78)+SQRT((3630*'BMP P Tracking Table'!$U78+20.691*'BMP P Tracking Table'!$AA78)^2-(4*(996.798*'BMP P Tracking Table'!$AA78)*-'BMP P Tracking Table'!$AW78)))/(2*(996.798*'BMP P Tracking Table'!$AA78)),IF(SUM('BMP P Tracking Table'!$W78:$Z78)=0,'BMP P Tracking Table'!$AW78/(-3630*'BMP P Tracking Table'!$U78),(-(3630*'BMP P Tracking Table'!$U78+20.691*'BMP P Tracking Table'!$Z78-216.711*'BMP P Tracking Table'!$Y78-83.853*'BMP P Tracking Table'!$X78-42.834*'BMP P Tracking Table'!$W78)+SQRT((3630*'BMP P Tracking Table'!$U78+20.691*'BMP P Tracking Table'!$Z78-216.711*'BMP P Tracking Table'!$Y78-83.853*'BMP P Tracking Table'!$X78-42.834*'BMP P Tracking Table'!$W78)^2-(4*(149.919*'BMP P Tracking Table'!$W78+236.676*'BMP P Tracking Table'!$X78+726*'BMP P Tracking Table'!$Y78+996.798*'BMP P Tracking Table'!$Z78)*-'BMP P Tracking Table'!$AW78)))/(2*(149.919*'BMP P Tracking Table'!$W78+236.676*'BMP P Tracking Table'!$X78+726*'BMP P Tracking Table'!$Y78+996.798*'BMP P Tracking Table'!$Z78)))))),"")</f>
        <v/>
      </c>
      <c r="BA78" s="101" t="str">
        <f>IFERROR((VLOOKUP(CONCATENATE('BMP P Tracking Table'!$AV78," ",'BMP P Tracking Table'!$AX78),'Performance Curves'!$C$1:$L$45,MATCH('BMP P Tracking Table'!$AZ78,'Performance Curves'!$E$1:$L$1,1)+2,FALSE)-VLOOKUP(CONCATENATE('BMP P Tracking Table'!$AV78," ",'BMP P Tracking Table'!$AX78),'Performance Curves'!$C$1:$L$45,MATCH('BMP P Tracking Table'!$AZ78,'Performance Curves'!$E$1:$L$1,1)+1,FALSE)),"")</f>
        <v/>
      </c>
      <c r="BB78" s="101" t="str">
        <f>IFERROR(('BMP P Tracking Table'!$AZ78-INDEX('Performance Curves'!$E$1:$L$1,1,MATCH('BMP P Tracking Table'!$AZ78,'Performance Curves'!$E$1:$L$1,1)))/(INDEX('Performance Curves'!$E$1:$L$1,1,MATCH('BMP P Tracking Table'!$AZ78,'Performance Curves'!$E$1:$L$1,1)+1)-INDEX('Performance Curves'!$E$1:$L$1,1,MATCH('BMP P Tracking Table'!$AZ78,'Performance Curves'!$E$1:$L$1,1))),"")</f>
        <v/>
      </c>
      <c r="BC78" s="102" t="str">
        <f>IFERROR(IF('BMP P Tracking Table'!$AZ78=2,VLOOKUP(CONCATENATE('BMP P Tracking Table'!$AV78," ",'BMP P Tracking Table'!$AX78),'Performance Curves'!$C$1:$L$44,MATCH('BMP P Tracking Table'!$AZ78,'Performance Curves'!$E$1:$L$1,1)+1,FALSE),'BMP P Tracking Table'!$BA78*'BMP P Tracking Table'!$BB78+VLOOKUP(CONCATENATE('BMP P Tracking Table'!$AV78," ",'BMP P Tracking Table'!$AX78),'Performance Curves'!$C$1:$L$44,MATCH('BMP P Tracking Table'!$AZ78,'Performance Curves'!$E$1:$L$1,1)+1,FALSE)),"")</f>
        <v/>
      </c>
      <c r="BD78" s="101" t="str">
        <f>IFERROR('BMP P Tracking Table'!$BC78*'BMP P Tracking Table'!$AY78,"")</f>
        <v/>
      </c>
      <c r="BE78" s="96"/>
      <c r="BF78" s="37">
        <f t="shared" si="11"/>
        <v>0</v>
      </c>
    </row>
    <row r="79" spans="1:66" x14ac:dyDescent="0.3">
      <c r="A79" s="169"/>
      <c r="B79" s="169"/>
      <c r="C79" s="169"/>
      <c r="D79" s="169"/>
      <c r="E79" s="170"/>
      <c r="F79" s="170"/>
      <c r="G79" s="169"/>
      <c r="H79" s="169"/>
      <c r="I79" s="169"/>
      <c r="J79" s="171"/>
      <c r="K79" s="169"/>
      <c r="L79" s="169"/>
      <c r="M79" s="169"/>
      <c r="N79" s="169"/>
      <c r="O79" s="169"/>
      <c r="P79" s="169"/>
      <c r="Q79" s="169" t="str">
        <f>IFERROR(VLOOKUP('BMP P Tracking Table'!$P79,Dropdowns!$C$2:$E$15,3,FALSE),"")</f>
        <v/>
      </c>
      <c r="R79" s="169" t="str">
        <f>IFERROR(VLOOKUP('BMP P Tracking Table'!$Q79,Dropdowns!$P$3:$Q$23,2,FALSE),"")</f>
        <v/>
      </c>
      <c r="S79" s="169"/>
      <c r="T79" s="169"/>
      <c r="U79" s="169"/>
      <c r="V79" s="169"/>
      <c r="W79" s="169"/>
      <c r="X79" s="169"/>
      <c r="Y79" s="169"/>
      <c r="Z79" s="169"/>
      <c r="AA79" s="169"/>
      <c r="AB79" s="174"/>
      <c r="AC79" s="169"/>
      <c r="AD79" s="175" t="str">
        <f>IFERROR('BMP P Tracking Table'!$U79*VLOOKUP('BMP P Tracking Table'!$Q79,'Loading Rates'!$B$1:$L$24,4,FALSE)+IF('BMP P Tracking Table'!$V79="By HSG",'BMP P Tracking Table'!$W79*VLOOKUP('BMP P Tracking Table'!$Q79,'Loading Rates'!$B$1:$L$24,6,FALSE)+'BMP P Tracking Table'!$X79*VLOOKUP('BMP P Tracking Table'!$Q79,'Loading Rates'!$B$1:$L$24,7,FALSE)+'BMP P Tracking Table'!$Y79*VLOOKUP('BMP P Tracking Table'!$Q79,'Loading Rates'!$B$1:$L$24,8,FALSE)+'BMP P Tracking Table'!$Z79*VLOOKUP('BMP P Tracking Table'!$Q79,'Loading Rates'!$B$1:$L$24,9,FALSE),'BMP P Tracking Table'!$AA79*VLOOKUP('BMP P Tracking Table'!$Q79,'Loading Rates'!$B$1:$L$24,10,FALSE)),"")</f>
        <v/>
      </c>
      <c r="AE79" s="175" t="str">
        <f>IFERROR(MIN(2,IF('BMP P Tracking Table'!$V79="Total Pervious",(-(3630*'BMP P Tracking Table'!$U79+20.691*'BMP P Tracking Table'!$AA79)+SQRT((3630*'BMP P Tracking Table'!$U79+20.691*'BMP P Tracking Table'!$AA79)^2-(4*(996.798*'BMP P Tracking Table'!$AA79)*-'BMP P Tracking Table'!$AB79)))/(2*(996.798*'BMP P Tracking Table'!$AA79)),IF(SUM('BMP P Tracking Table'!$W79:$Z79)=0,'BMP P Tracking Table'!$AB79/(-3630*'BMP P Tracking Table'!$U79),(-(3630*'BMP P Tracking Table'!$U79+20.691*'BMP P Tracking Table'!$Z79-216.711*'BMP P Tracking Table'!$Y79-83.853*'BMP P Tracking Table'!$X79-42.834*'BMP P Tracking Table'!$W79)+SQRT((3630*'BMP P Tracking Table'!$U79+20.691*'BMP P Tracking Table'!$Z79-216.711*'BMP P Tracking Table'!$Y79-83.853*'BMP P Tracking Table'!$X79-42.834*'BMP P Tracking Table'!$W79)^2-(4*(149.919*'BMP P Tracking Table'!$W79+236.676*'BMP P Tracking Table'!$X79+726*'BMP P Tracking Table'!$Y79+996.798*'BMP P Tracking Table'!$Z79)*-'BMP P Tracking Table'!$AB79)))/(2*(149.919*'BMP P Tracking Table'!$W79+236.676*'BMP P Tracking Table'!$X79+726*'BMP P Tracking Table'!$Y79+996.798*'BMP P Tracking Table'!$Z79))))),"")</f>
        <v/>
      </c>
      <c r="AF79" s="175" t="str">
        <f>IFERROR((VLOOKUP(CONCATENATE('BMP P Tracking Table'!$T79," ",'BMP P Tracking Table'!$AC79),'Performance Curves'!$C$1:$L$45,MATCH('BMP P Tracking Table'!$AE79,'Performance Curves'!$E$1:$L$1,1)+2,FALSE)-VLOOKUP(CONCATENATE('BMP P Tracking Table'!$T79," ",'BMP P Tracking Table'!$AC79),'Performance Curves'!$C$1:$L$45,MATCH('BMP P Tracking Table'!$AE79,'Performance Curves'!$E$1:$L$1,1)+1,FALSE)),"")</f>
        <v/>
      </c>
      <c r="AG79" s="175" t="str">
        <f>IFERROR(('BMP P Tracking Table'!$AE79-INDEX('Performance Curves'!$E$1:$L$1,1,MATCH('BMP P Tracking Table'!$AE79,'Performance Curves'!$E$1:$L$1,1)))/(INDEX('Performance Curves'!$E$1:$L$1,1,MATCH('BMP P Tracking Table'!$AE79,'Performance Curves'!$E$1:$L$1,1)+1)-INDEX('Performance Curves'!$E$1:$L$1,1,MATCH('BMP P Tracking Table'!$AE79,'Performance Curves'!$E$1:$L$1,1))),"")</f>
        <v/>
      </c>
      <c r="AH79" s="176" t="str">
        <f>IFERROR(IF('BMP P Tracking Table'!$AE79=2,VLOOKUP(CONCATENATE('BMP P Tracking Table'!$T79," ",'BMP P Tracking Table'!$AC79),'Performance Curves'!$C$1:$L$45,MATCH('BMP P Tracking Table'!$AE79,'Performance Curves'!$E$1:$L$1,1)+1,FALSE),'BMP P Tracking Table'!$AF79*'BMP P Tracking Table'!$AG79+VLOOKUP(CONCATENATE('BMP P Tracking Table'!$T79," ",'BMP P Tracking Table'!$AC79),'Performance Curves'!$C$1:$L$45,MATCH('BMP P Tracking Table'!$AE79,'Performance Curves'!$E$1:$L$1,1)+1,FALSE)),"")</f>
        <v/>
      </c>
      <c r="AI79" s="175" t="str">
        <f>IFERROR('BMP P Tracking Table'!$AH79*'BMP P Tracking Table'!$AD79,"")</f>
        <v/>
      </c>
      <c r="AJ79" s="169"/>
      <c r="AK79" s="173"/>
      <c r="AL79" s="173"/>
      <c r="AM79" s="177"/>
      <c r="AN79" s="178" t="str">
        <f t="shared" si="8"/>
        <v/>
      </c>
      <c r="AO79" s="96"/>
      <c r="AP79" s="96"/>
      <c r="AQ79" s="96"/>
      <c r="AR79" s="96"/>
      <c r="AS79" s="96"/>
      <c r="AT79" s="96"/>
      <c r="AU79" s="96"/>
      <c r="AV79" s="64"/>
      <c r="AW79" s="97"/>
      <c r="AX79" s="97"/>
      <c r="AY79" s="101" t="str">
        <f>IF('BMP P Tracking Table'!$AK79="Yes",IF('BMP P Tracking Table'!$AL79="No",'BMP P Tracking Table'!$U79*VLOOKUP('BMP P Tracking Table'!$Q79,'Loading Rates'!$B$1:$L$24,4,FALSE)+IF('BMP P Tracking Table'!$V79="By HSG",'BMP P Tracking Table'!$W79*VLOOKUP('BMP P Tracking Table'!$Q79,'Loading Rates'!$B$1:$L$24,6,FALSE)+'BMP P Tracking Table'!$X79*VLOOKUP('BMP P Tracking Table'!$Q79,'Loading Rates'!$B$1:$L$24,7,FALSE)+'BMP P Tracking Table'!$Y79*VLOOKUP('BMP P Tracking Table'!$Q79,'Loading Rates'!$B$1:$L$24,8,FALSE)+'BMP P Tracking Table'!$Z79*VLOOKUP('BMP P Tracking Table'!$Q79,'Loading Rates'!$B$1:$L$24,9,FALSE),'BMP P Tracking Table'!$AA79*VLOOKUP('BMP P Tracking Table'!$Q79,'Loading Rates'!$B$1:$L$24,10,FALSE)),'BMP P Tracking Table'!$AO79*VLOOKUP('BMP P Tracking Table'!$Q79,'Loading Rates'!$B$1:$L$24,4,FALSE)+IF('BMP P Tracking Table'!$AP79="By HSG",'BMP P Tracking Table'!$AQ79*VLOOKUP('BMP P Tracking Table'!$Q79,'Loading Rates'!$B$1:$L$24,6,FALSE)+'BMP P Tracking Table'!$AR79*VLOOKUP('BMP P Tracking Table'!$Q79,'Loading Rates'!$B$1:$L$24,7,FALSE)+'BMP P Tracking Table'!$AS79*VLOOKUP('BMP P Tracking Table'!$Q79,'Loading Rates'!$B$1:$L$24,8,FALSE)+'BMP P Tracking Table'!$AT79*VLOOKUP('BMP P Tracking Table'!$Q79,'Loading Rates'!$B$1:$L$24,9,FALSE),'BMP P Tracking Table'!$AU79*VLOOKUP('BMP P Tracking Table'!$Q79,'Loading Rates'!$B$1:$L$24,10,FALSE))),"")</f>
        <v/>
      </c>
      <c r="AZ79" s="101" t="str">
        <f>IFERROR(IF('BMP P Tracking Table'!$AL79="Yes",MIN(2,IF('BMP P Tracking Table'!$AP79="Total Pervious",(-(3630*'BMP P Tracking Table'!$AO79+20.691*'BMP P Tracking Table'!$AU79)+SQRT((3630*'BMP P Tracking Table'!$AO79+20.691*'BMP P Tracking Table'!$AU79)^2-(4*(996.798*'BMP P Tracking Table'!$AU79)*-'BMP P Tracking Table'!$AW79)))/(2*(996.798*'BMP P Tracking Table'!$AU79)),IF(SUM('BMP P Tracking Table'!$AQ79:$AT79)=0,'BMP P Tracking Table'!$AU79/(-3630*'BMP P Tracking Table'!$AO79),(-(3630*'BMP P Tracking Table'!$AO79+20.691*'BMP P Tracking Table'!$AT79-216.711*'BMP P Tracking Table'!$AS79-83.853*'BMP P Tracking Table'!$AR79-42.834*'BMP P Tracking Table'!$AQ79)+SQRT((3630*'BMP P Tracking Table'!$AO79+20.691*'BMP P Tracking Table'!$AT79-216.711*'BMP P Tracking Table'!$AS79-83.853*'BMP P Tracking Table'!$AR79-42.834*'BMP P Tracking Table'!$AQ79)^2-(4*(149.919*'BMP P Tracking Table'!$AQ79+236.676*'BMP P Tracking Table'!$AR79+726*'BMP P Tracking Table'!$AS79+996.798*'BMP P Tracking Table'!$AT79)*-'BMP P Tracking Table'!$AW79)))/(2*(149.919*'BMP P Tracking Table'!$AQ79+236.676*'BMP P Tracking Table'!$AR79+726*'BMP P Tracking Table'!$AS79+996.798*'BMP P Tracking Table'!$AT79))))),MIN(2,IF('BMP P Tracking Table'!$AP79="Total Pervious",(-(3630*'BMP P Tracking Table'!$U79+20.691*'BMP P Tracking Table'!$AA79)+SQRT((3630*'BMP P Tracking Table'!$U79+20.691*'BMP P Tracking Table'!$AA79)^2-(4*(996.798*'BMP P Tracking Table'!$AA79)*-'BMP P Tracking Table'!$AW79)))/(2*(996.798*'BMP P Tracking Table'!$AA79)),IF(SUM('BMP P Tracking Table'!$W79:$Z79)=0,'BMP P Tracking Table'!$AW79/(-3630*'BMP P Tracking Table'!$U79),(-(3630*'BMP P Tracking Table'!$U79+20.691*'BMP P Tracking Table'!$Z79-216.711*'BMP P Tracking Table'!$Y79-83.853*'BMP P Tracking Table'!$X79-42.834*'BMP P Tracking Table'!$W79)+SQRT((3630*'BMP P Tracking Table'!$U79+20.691*'BMP P Tracking Table'!$Z79-216.711*'BMP P Tracking Table'!$Y79-83.853*'BMP P Tracking Table'!$X79-42.834*'BMP P Tracking Table'!$W79)^2-(4*(149.919*'BMP P Tracking Table'!$W79+236.676*'BMP P Tracking Table'!$X79+726*'BMP P Tracking Table'!$Y79+996.798*'BMP P Tracking Table'!$Z79)*-'BMP P Tracking Table'!$AW79)))/(2*(149.919*'BMP P Tracking Table'!$W79+236.676*'BMP P Tracking Table'!$X79+726*'BMP P Tracking Table'!$Y79+996.798*'BMP P Tracking Table'!$Z79)))))),"")</f>
        <v/>
      </c>
      <c r="BA79" s="101" t="str">
        <f>IFERROR((VLOOKUP(CONCATENATE('BMP P Tracking Table'!$AV79," ",'BMP P Tracking Table'!$AX79),'Performance Curves'!$C$1:$L$45,MATCH('BMP P Tracking Table'!$AZ79,'Performance Curves'!$E$1:$L$1,1)+2,FALSE)-VLOOKUP(CONCATENATE('BMP P Tracking Table'!$AV79," ",'BMP P Tracking Table'!$AX79),'Performance Curves'!$C$1:$L$45,MATCH('BMP P Tracking Table'!$AZ79,'Performance Curves'!$E$1:$L$1,1)+1,FALSE)),"")</f>
        <v/>
      </c>
      <c r="BB79" s="101" t="str">
        <f>IFERROR(('BMP P Tracking Table'!$AZ79-INDEX('Performance Curves'!$E$1:$L$1,1,MATCH('BMP P Tracking Table'!$AZ79,'Performance Curves'!$E$1:$L$1,1)))/(INDEX('Performance Curves'!$E$1:$L$1,1,MATCH('BMP P Tracking Table'!$AZ79,'Performance Curves'!$E$1:$L$1,1)+1)-INDEX('Performance Curves'!$E$1:$L$1,1,MATCH('BMP P Tracking Table'!$AZ79,'Performance Curves'!$E$1:$L$1,1))),"")</f>
        <v/>
      </c>
      <c r="BC79" s="102" t="str">
        <f>IFERROR(IF('BMP P Tracking Table'!$AZ79=2,VLOOKUP(CONCATENATE('BMP P Tracking Table'!$AV79," ",'BMP P Tracking Table'!$AX79),'Performance Curves'!$C$1:$L$44,MATCH('BMP P Tracking Table'!$AZ79,'Performance Curves'!$E$1:$L$1,1)+1,FALSE),'BMP P Tracking Table'!$BA79*'BMP P Tracking Table'!$BB79+VLOOKUP(CONCATENATE('BMP P Tracking Table'!$AV79," ",'BMP P Tracking Table'!$AX79),'Performance Curves'!$C$1:$L$44,MATCH('BMP P Tracking Table'!$AZ79,'Performance Curves'!$E$1:$L$1,1)+1,FALSE)),"")</f>
        <v/>
      </c>
      <c r="BD79" s="101" t="str">
        <f>IFERROR('BMP P Tracking Table'!$BC79*'BMP P Tracking Table'!$AY79,"")</f>
        <v/>
      </c>
      <c r="BE79" s="96"/>
      <c r="BF79" s="37">
        <f t="shared" si="11"/>
        <v>0</v>
      </c>
    </row>
    <row r="80" spans="1:66" x14ac:dyDescent="0.3">
      <c r="A80" s="169"/>
      <c r="B80" s="169"/>
      <c r="C80" s="169"/>
      <c r="D80" s="169"/>
      <c r="E80" s="170"/>
      <c r="F80" s="170"/>
      <c r="G80" s="169"/>
      <c r="H80" s="169"/>
      <c r="I80" s="169"/>
      <c r="J80" s="171"/>
      <c r="K80" s="169"/>
      <c r="L80" s="169"/>
      <c r="M80" s="169"/>
      <c r="N80" s="169"/>
      <c r="O80" s="169"/>
      <c r="P80" s="169"/>
      <c r="Q80" s="169" t="str">
        <f>IFERROR(VLOOKUP('BMP P Tracking Table'!$P80,Dropdowns!$C$2:$E$15,3,FALSE),"")</f>
        <v/>
      </c>
      <c r="R80" s="169" t="str">
        <f>IFERROR(VLOOKUP('BMP P Tracking Table'!$Q80,Dropdowns!$P$3:$Q$23,2,FALSE),"")</f>
        <v/>
      </c>
      <c r="S80" s="169"/>
      <c r="T80" s="169"/>
      <c r="U80" s="169"/>
      <c r="V80" s="169"/>
      <c r="W80" s="169"/>
      <c r="X80" s="169"/>
      <c r="Y80" s="169"/>
      <c r="Z80" s="169"/>
      <c r="AA80" s="169"/>
      <c r="AB80" s="174"/>
      <c r="AC80" s="169"/>
      <c r="AD80" s="175" t="str">
        <f>IFERROR('BMP P Tracking Table'!$U80*VLOOKUP('BMP P Tracking Table'!$Q80,'Loading Rates'!$B$1:$L$24,4,FALSE)+IF('BMP P Tracking Table'!$V80="By HSG",'BMP P Tracking Table'!$W80*VLOOKUP('BMP P Tracking Table'!$Q80,'Loading Rates'!$B$1:$L$24,6,FALSE)+'BMP P Tracking Table'!$X80*VLOOKUP('BMP P Tracking Table'!$Q80,'Loading Rates'!$B$1:$L$24,7,FALSE)+'BMP P Tracking Table'!$Y80*VLOOKUP('BMP P Tracking Table'!$Q80,'Loading Rates'!$B$1:$L$24,8,FALSE)+'BMP P Tracking Table'!$Z80*VLOOKUP('BMP P Tracking Table'!$Q80,'Loading Rates'!$B$1:$L$24,9,FALSE),'BMP P Tracking Table'!$AA80*VLOOKUP('BMP P Tracking Table'!$Q80,'Loading Rates'!$B$1:$L$24,10,FALSE)),"")</f>
        <v/>
      </c>
      <c r="AE80" s="175" t="str">
        <f>IFERROR(MIN(2,IF('BMP P Tracking Table'!$V80="Total Pervious",(-(3630*'BMP P Tracking Table'!$U80+20.691*'BMP P Tracking Table'!$AA80)+SQRT((3630*'BMP P Tracking Table'!$U80+20.691*'BMP P Tracking Table'!$AA80)^2-(4*(996.798*'BMP P Tracking Table'!$AA80)*-'BMP P Tracking Table'!$AB80)))/(2*(996.798*'BMP P Tracking Table'!$AA80)),IF(SUM('BMP P Tracking Table'!$W80:$Z80)=0,'BMP P Tracking Table'!$AB80/(-3630*'BMP P Tracking Table'!$U80),(-(3630*'BMP P Tracking Table'!$U80+20.691*'BMP P Tracking Table'!$Z80-216.711*'BMP P Tracking Table'!$Y80-83.853*'BMP P Tracking Table'!$X80-42.834*'BMP P Tracking Table'!$W80)+SQRT((3630*'BMP P Tracking Table'!$U80+20.691*'BMP P Tracking Table'!$Z80-216.711*'BMP P Tracking Table'!$Y80-83.853*'BMP P Tracking Table'!$X80-42.834*'BMP P Tracking Table'!$W80)^2-(4*(149.919*'BMP P Tracking Table'!$W80+236.676*'BMP P Tracking Table'!$X80+726*'BMP P Tracking Table'!$Y80+996.798*'BMP P Tracking Table'!$Z80)*-'BMP P Tracking Table'!$AB80)))/(2*(149.919*'BMP P Tracking Table'!$W80+236.676*'BMP P Tracking Table'!$X80+726*'BMP P Tracking Table'!$Y80+996.798*'BMP P Tracking Table'!$Z80))))),"")</f>
        <v/>
      </c>
      <c r="AF80" s="175" t="str">
        <f>IFERROR((VLOOKUP(CONCATENATE('BMP P Tracking Table'!$T80," ",'BMP P Tracking Table'!$AC80),'Performance Curves'!$C$1:$L$45,MATCH('BMP P Tracking Table'!$AE80,'Performance Curves'!$E$1:$L$1,1)+2,FALSE)-VLOOKUP(CONCATENATE('BMP P Tracking Table'!$T80," ",'BMP P Tracking Table'!$AC80),'Performance Curves'!$C$1:$L$45,MATCH('BMP P Tracking Table'!$AE80,'Performance Curves'!$E$1:$L$1,1)+1,FALSE)),"")</f>
        <v/>
      </c>
      <c r="AG80" s="175" t="str">
        <f>IFERROR(('BMP P Tracking Table'!$AE80-INDEX('Performance Curves'!$E$1:$L$1,1,MATCH('BMP P Tracking Table'!$AE80,'Performance Curves'!$E$1:$L$1,1)))/(INDEX('Performance Curves'!$E$1:$L$1,1,MATCH('BMP P Tracking Table'!$AE80,'Performance Curves'!$E$1:$L$1,1)+1)-INDEX('Performance Curves'!$E$1:$L$1,1,MATCH('BMP P Tracking Table'!$AE80,'Performance Curves'!$E$1:$L$1,1))),"")</f>
        <v/>
      </c>
      <c r="AH80" s="176" t="str">
        <f>IFERROR(IF('BMP P Tracking Table'!$AE80=2,VLOOKUP(CONCATENATE('BMP P Tracking Table'!$T80," ",'BMP P Tracking Table'!$AC80),'Performance Curves'!$C$1:$L$45,MATCH('BMP P Tracking Table'!$AE80,'Performance Curves'!$E$1:$L$1,1)+1,FALSE),'BMP P Tracking Table'!$AF80*'BMP P Tracking Table'!$AG80+VLOOKUP(CONCATENATE('BMP P Tracking Table'!$T80," ",'BMP P Tracking Table'!$AC80),'Performance Curves'!$C$1:$L$45,MATCH('BMP P Tracking Table'!$AE80,'Performance Curves'!$E$1:$L$1,1)+1,FALSE)),"")</f>
        <v/>
      </c>
      <c r="AI80" s="175" t="str">
        <f>IFERROR('BMP P Tracking Table'!$AH80*'BMP P Tracking Table'!$AD80,"")</f>
        <v/>
      </c>
      <c r="AJ80" s="169"/>
      <c r="AK80" s="173"/>
      <c r="AL80" s="173"/>
      <c r="AM80" s="177"/>
      <c r="AN80" s="178" t="str">
        <f t="shared" si="8"/>
        <v/>
      </c>
      <c r="AO80" s="96"/>
      <c r="AP80" s="96"/>
      <c r="AQ80" s="96"/>
      <c r="AR80" s="96"/>
      <c r="AS80" s="96"/>
      <c r="AT80" s="96"/>
      <c r="AU80" s="96"/>
      <c r="AV80" s="64"/>
      <c r="AW80" s="97"/>
      <c r="AX80" s="97"/>
      <c r="AY80" s="101" t="str">
        <f>IF('BMP P Tracking Table'!$AK80="Yes",IF('BMP P Tracking Table'!$AL80="No",'BMP P Tracking Table'!$U80*VLOOKUP('BMP P Tracking Table'!$Q80,'Loading Rates'!$B$1:$L$24,4,FALSE)+IF('BMP P Tracking Table'!$V80="By HSG",'BMP P Tracking Table'!$W80*VLOOKUP('BMP P Tracking Table'!$Q80,'Loading Rates'!$B$1:$L$24,6,FALSE)+'BMP P Tracking Table'!$X80*VLOOKUP('BMP P Tracking Table'!$Q80,'Loading Rates'!$B$1:$L$24,7,FALSE)+'BMP P Tracking Table'!$Y80*VLOOKUP('BMP P Tracking Table'!$Q80,'Loading Rates'!$B$1:$L$24,8,FALSE)+'BMP P Tracking Table'!$Z80*VLOOKUP('BMP P Tracking Table'!$Q80,'Loading Rates'!$B$1:$L$24,9,FALSE),'BMP P Tracking Table'!$AA80*VLOOKUP('BMP P Tracking Table'!$Q80,'Loading Rates'!$B$1:$L$24,10,FALSE)),'BMP P Tracking Table'!$AO80*VLOOKUP('BMP P Tracking Table'!$Q80,'Loading Rates'!$B$1:$L$24,4,FALSE)+IF('BMP P Tracking Table'!$AP80="By HSG",'BMP P Tracking Table'!$AQ80*VLOOKUP('BMP P Tracking Table'!$Q80,'Loading Rates'!$B$1:$L$24,6,FALSE)+'BMP P Tracking Table'!$AR80*VLOOKUP('BMP P Tracking Table'!$Q80,'Loading Rates'!$B$1:$L$24,7,FALSE)+'BMP P Tracking Table'!$AS80*VLOOKUP('BMP P Tracking Table'!$Q80,'Loading Rates'!$B$1:$L$24,8,FALSE)+'BMP P Tracking Table'!$AT80*VLOOKUP('BMP P Tracking Table'!$Q80,'Loading Rates'!$B$1:$L$24,9,FALSE),'BMP P Tracking Table'!$AU80*VLOOKUP('BMP P Tracking Table'!$Q80,'Loading Rates'!$B$1:$L$24,10,FALSE))),"")</f>
        <v/>
      </c>
      <c r="AZ80" s="101" t="str">
        <f>IFERROR(IF('BMP P Tracking Table'!$AL80="Yes",MIN(2,IF('BMP P Tracking Table'!$AP80="Total Pervious",(-(3630*'BMP P Tracking Table'!$AO80+20.691*'BMP P Tracking Table'!$AU80)+SQRT((3630*'BMP P Tracking Table'!$AO80+20.691*'BMP P Tracking Table'!$AU80)^2-(4*(996.798*'BMP P Tracking Table'!$AU80)*-'BMP P Tracking Table'!$AW80)))/(2*(996.798*'BMP P Tracking Table'!$AU80)),IF(SUM('BMP P Tracking Table'!$AQ80:$AT80)=0,'BMP P Tracking Table'!$AU80/(-3630*'BMP P Tracking Table'!$AO80),(-(3630*'BMP P Tracking Table'!$AO80+20.691*'BMP P Tracking Table'!$AT80-216.711*'BMP P Tracking Table'!$AS80-83.853*'BMP P Tracking Table'!$AR80-42.834*'BMP P Tracking Table'!$AQ80)+SQRT((3630*'BMP P Tracking Table'!$AO80+20.691*'BMP P Tracking Table'!$AT80-216.711*'BMP P Tracking Table'!$AS80-83.853*'BMP P Tracking Table'!$AR80-42.834*'BMP P Tracking Table'!$AQ80)^2-(4*(149.919*'BMP P Tracking Table'!$AQ80+236.676*'BMP P Tracking Table'!$AR80+726*'BMP P Tracking Table'!$AS80+996.798*'BMP P Tracking Table'!$AT80)*-'BMP P Tracking Table'!$AW80)))/(2*(149.919*'BMP P Tracking Table'!$AQ80+236.676*'BMP P Tracking Table'!$AR80+726*'BMP P Tracking Table'!$AS80+996.798*'BMP P Tracking Table'!$AT80))))),MIN(2,IF('BMP P Tracking Table'!$AP80="Total Pervious",(-(3630*'BMP P Tracking Table'!$U80+20.691*'BMP P Tracking Table'!$AA80)+SQRT((3630*'BMP P Tracking Table'!$U80+20.691*'BMP P Tracking Table'!$AA80)^2-(4*(996.798*'BMP P Tracking Table'!$AA80)*-'BMP P Tracking Table'!$AW80)))/(2*(996.798*'BMP P Tracking Table'!$AA80)),IF(SUM('BMP P Tracking Table'!$W80:$Z80)=0,'BMP P Tracking Table'!$AW80/(-3630*'BMP P Tracking Table'!$U80),(-(3630*'BMP P Tracking Table'!$U80+20.691*'BMP P Tracking Table'!$Z80-216.711*'BMP P Tracking Table'!$Y80-83.853*'BMP P Tracking Table'!$X80-42.834*'BMP P Tracking Table'!$W80)+SQRT((3630*'BMP P Tracking Table'!$U80+20.691*'BMP P Tracking Table'!$Z80-216.711*'BMP P Tracking Table'!$Y80-83.853*'BMP P Tracking Table'!$X80-42.834*'BMP P Tracking Table'!$W80)^2-(4*(149.919*'BMP P Tracking Table'!$W80+236.676*'BMP P Tracking Table'!$X80+726*'BMP P Tracking Table'!$Y80+996.798*'BMP P Tracking Table'!$Z80)*-'BMP P Tracking Table'!$AW80)))/(2*(149.919*'BMP P Tracking Table'!$W80+236.676*'BMP P Tracking Table'!$X80+726*'BMP P Tracking Table'!$Y80+996.798*'BMP P Tracking Table'!$Z80)))))),"")</f>
        <v/>
      </c>
      <c r="BA80" s="101" t="str">
        <f>IFERROR((VLOOKUP(CONCATENATE('BMP P Tracking Table'!$AV80," ",'BMP P Tracking Table'!$AX80),'Performance Curves'!$C$1:$L$45,MATCH('BMP P Tracking Table'!$AZ80,'Performance Curves'!$E$1:$L$1,1)+2,FALSE)-VLOOKUP(CONCATENATE('BMP P Tracking Table'!$AV80," ",'BMP P Tracking Table'!$AX80),'Performance Curves'!$C$1:$L$45,MATCH('BMP P Tracking Table'!$AZ80,'Performance Curves'!$E$1:$L$1,1)+1,FALSE)),"")</f>
        <v/>
      </c>
      <c r="BB80" s="101" t="str">
        <f>IFERROR(('BMP P Tracking Table'!$AZ80-INDEX('Performance Curves'!$E$1:$L$1,1,MATCH('BMP P Tracking Table'!$AZ80,'Performance Curves'!$E$1:$L$1,1)))/(INDEX('Performance Curves'!$E$1:$L$1,1,MATCH('BMP P Tracking Table'!$AZ80,'Performance Curves'!$E$1:$L$1,1)+1)-INDEX('Performance Curves'!$E$1:$L$1,1,MATCH('BMP P Tracking Table'!$AZ80,'Performance Curves'!$E$1:$L$1,1))),"")</f>
        <v/>
      </c>
      <c r="BC80" s="102" t="str">
        <f>IFERROR(IF('BMP P Tracking Table'!$AZ80=2,VLOOKUP(CONCATENATE('BMP P Tracking Table'!$AV80," ",'BMP P Tracking Table'!$AX80),'Performance Curves'!$C$1:$L$44,MATCH('BMP P Tracking Table'!$AZ80,'Performance Curves'!$E$1:$L$1,1)+1,FALSE),'BMP P Tracking Table'!$BA80*'BMP P Tracking Table'!$BB80+VLOOKUP(CONCATENATE('BMP P Tracking Table'!$AV80," ",'BMP P Tracking Table'!$AX80),'Performance Curves'!$C$1:$L$44,MATCH('BMP P Tracking Table'!$AZ80,'Performance Curves'!$E$1:$L$1,1)+1,FALSE)),"")</f>
        <v/>
      </c>
      <c r="BD80" s="101" t="str">
        <f>IFERROR('BMP P Tracking Table'!$BC80*'BMP P Tracking Table'!$AY80,"")</f>
        <v/>
      </c>
      <c r="BE80" s="96"/>
      <c r="BF80" s="37">
        <f t="shared" si="11"/>
        <v>0</v>
      </c>
    </row>
    <row r="81" spans="1:58" x14ac:dyDescent="0.3">
      <c r="A81" s="169"/>
      <c r="B81" s="169"/>
      <c r="C81" s="169"/>
      <c r="D81" s="169"/>
      <c r="E81" s="170"/>
      <c r="F81" s="170"/>
      <c r="G81" s="169"/>
      <c r="H81" s="169"/>
      <c r="I81" s="169"/>
      <c r="J81" s="171"/>
      <c r="K81" s="169"/>
      <c r="L81" s="169"/>
      <c r="M81" s="169"/>
      <c r="N81" s="169"/>
      <c r="O81" s="169"/>
      <c r="P81" s="169"/>
      <c r="Q81" s="169" t="str">
        <f>IFERROR(VLOOKUP('BMP P Tracking Table'!$P81,Dropdowns!$C$2:$E$15,3,FALSE),"")</f>
        <v/>
      </c>
      <c r="R81" s="169" t="str">
        <f>IFERROR(VLOOKUP('BMP P Tracking Table'!$Q81,Dropdowns!$P$3:$Q$23,2,FALSE),"")</f>
        <v/>
      </c>
      <c r="S81" s="169"/>
      <c r="T81" s="169"/>
      <c r="U81" s="169"/>
      <c r="V81" s="169"/>
      <c r="W81" s="169"/>
      <c r="X81" s="169"/>
      <c r="Y81" s="169"/>
      <c r="Z81" s="169"/>
      <c r="AA81" s="169"/>
      <c r="AB81" s="174"/>
      <c r="AC81" s="169"/>
      <c r="AD81" s="175" t="str">
        <f>IFERROR('BMP P Tracking Table'!$U81*VLOOKUP('BMP P Tracking Table'!$Q81,'Loading Rates'!$B$1:$L$24,4,FALSE)+IF('BMP P Tracking Table'!$V81="By HSG",'BMP P Tracking Table'!$W81*VLOOKUP('BMP P Tracking Table'!$Q81,'Loading Rates'!$B$1:$L$24,6,FALSE)+'BMP P Tracking Table'!$X81*VLOOKUP('BMP P Tracking Table'!$Q81,'Loading Rates'!$B$1:$L$24,7,FALSE)+'BMP P Tracking Table'!$Y81*VLOOKUP('BMP P Tracking Table'!$Q81,'Loading Rates'!$B$1:$L$24,8,FALSE)+'BMP P Tracking Table'!$Z81*VLOOKUP('BMP P Tracking Table'!$Q81,'Loading Rates'!$B$1:$L$24,9,FALSE),'BMP P Tracking Table'!$AA81*VLOOKUP('BMP P Tracking Table'!$Q81,'Loading Rates'!$B$1:$L$24,10,FALSE)),"")</f>
        <v/>
      </c>
      <c r="AE81" s="175" t="str">
        <f>IFERROR(MIN(2,IF('BMP P Tracking Table'!$V81="Total Pervious",(-(3630*'BMP P Tracking Table'!$U81+20.691*'BMP P Tracking Table'!$AA81)+SQRT((3630*'BMP P Tracking Table'!$U81+20.691*'BMP P Tracking Table'!$AA81)^2-(4*(996.798*'BMP P Tracking Table'!$AA81)*-'BMP P Tracking Table'!$AB81)))/(2*(996.798*'BMP P Tracking Table'!$AA81)),IF(SUM('BMP P Tracking Table'!$W81:$Z81)=0,'BMP P Tracking Table'!$AB81/(-3630*'BMP P Tracking Table'!$U81),(-(3630*'BMP P Tracking Table'!$U81+20.691*'BMP P Tracking Table'!$Z81-216.711*'BMP P Tracking Table'!$Y81-83.853*'BMP P Tracking Table'!$X81-42.834*'BMP P Tracking Table'!$W81)+SQRT((3630*'BMP P Tracking Table'!$U81+20.691*'BMP P Tracking Table'!$Z81-216.711*'BMP P Tracking Table'!$Y81-83.853*'BMP P Tracking Table'!$X81-42.834*'BMP P Tracking Table'!$W81)^2-(4*(149.919*'BMP P Tracking Table'!$W81+236.676*'BMP P Tracking Table'!$X81+726*'BMP P Tracking Table'!$Y81+996.798*'BMP P Tracking Table'!$Z81)*-'BMP P Tracking Table'!$AB81)))/(2*(149.919*'BMP P Tracking Table'!$W81+236.676*'BMP P Tracking Table'!$X81+726*'BMP P Tracking Table'!$Y81+996.798*'BMP P Tracking Table'!$Z81))))),"")</f>
        <v/>
      </c>
      <c r="AF81" s="175" t="str">
        <f>IFERROR((VLOOKUP(CONCATENATE('BMP P Tracking Table'!$T81," ",'BMP P Tracking Table'!$AC81),'Performance Curves'!$C$1:$L$45,MATCH('BMP P Tracking Table'!$AE81,'Performance Curves'!$E$1:$L$1,1)+2,FALSE)-VLOOKUP(CONCATENATE('BMP P Tracking Table'!$T81," ",'BMP P Tracking Table'!$AC81),'Performance Curves'!$C$1:$L$45,MATCH('BMP P Tracking Table'!$AE81,'Performance Curves'!$E$1:$L$1,1)+1,FALSE)),"")</f>
        <v/>
      </c>
      <c r="AG81" s="175" t="str">
        <f>IFERROR(('BMP P Tracking Table'!$AE81-INDEX('Performance Curves'!$E$1:$L$1,1,MATCH('BMP P Tracking Table'!$AE81,'Performance Curves'!$E$1:$L$1,1)))/(INDEX('Performance Curves'!$E$1:$L$1,1,MATCH('BMP P Tracking Table'!$AE81,'Performance Curves'!$E$1:$L$1,1)+1)-INDEX('Performance Curves'!$E$1:$L$1,1,MATCH('BMP P Tracking Table'!$AE81,'Performance Curves'!$E$1:$L$1,1))),"")</f>
        <v/>
      </c>
      <c r="AH81" s="176" t="str">
        <f>IFERROR(IF('BMP P Tracking Table'!$AE81=2,VLOOKUP(CONCATENATE('BMP P Tracking Table'!$T81," ",'BMP P Tracking Table'!$AC81),'Performance Curves'!$C$1:$L$45,MATCH('BMP P Tracking Table'!$AE81,'Performance Curves'!$E$1:$L$1,1)+1,FALSE),'BMP P Tracking Table'!$AF81*'BMP P Tracking Table'!$AG81+VLOOKUP(CONCATENATE('BMP P Tracking Table'!$T81," ",'BMP P Tracking Table'!$AC81),'Performance Curves'!$C$1:$L$45,MATCH('BMP P Tracking Table'!$AE81,'Performance Curves'!$E$1:$L$1,1)+1,FALSE)),"")</f>
        <v/>
      </c>
      <c r="AI81" s="175" t="str">
        <f>IFERROR('BMP P Tracking Table'!$AH81*'BMP P Tracking Table'!$AD81,"")</f>
        <v/>
      </c>
      <c r="AJ81" s="169"/>
      <c r="AK81" s="173"/>
      <c r="AL81" s="173"/>
      <c r="AM81" s="177"/>
      <c r="AN81" s="178" t="str">
        <f t="shared" si="8"/>
        <v/>
      </c>
      <c r="AO81" s="96"/>
      <c r="AP81" s="96"/>
      <c r="AQ81" s="96"/>
      <c r="AR81" s="96"/>
      <c r="AS81" s="96"/>
      <c r="AT81" s="96"/>
      <c r="AU81" s="96"/>
      <c r="AV81" s="64"/>
      <c r="AW81" s="97"/>
      <c r="AX81" s="97"/>
      <c r="AY81" s="101" t="str">
        <f>IF('BMP P Tracking Table'!$AK81="Yes",IF('BMP P Tracking Table'!$AL81="No",'BMP P Tracking Table'!$U81*VLOOKUP('BMP P Tracking Table'!$Q81,'Loading Rates'!$B$1:$L$24,4,FALSE)+IF('BMP P Tracking Table'!$V81="By HSG",'BMP P Tracking Table'!$W81*VLOOKUP('BMP P Tracking Table'!$Q81,'Loading Rates'!$B$1:$L$24,6,FALSE)+'BMP P Tracking Table'!$X81*VLOOKUP('BMP P Tracking Table'!$Q81,'Loading Rates'!$B$1:$L$24,7,FALSE)+'BMP P Tracking Table'!$Y81*VLOOKUP('BMP P Tracking Table'!$Q81,'Loading Rates'!$B$1:$L$24,8,FALSE)+'BMP P Tracking Table'!$Z81*VLOOKUP('BMP P Tracking Table'!$Q81,'Loading Rates'!$B$1:$L$24,9,FALSE),'BMP P Tracking Table'!$AA81*VLOOKUP('BMP P Tracking Table'!$Q81,'Loading Rates'!$B$1:$L$24,10,FALSE)),'BMP P Tracking Table'!$AO81*VLOOKUP('BMP P Tracking Table'!$Q81,'Loading Rates'!$B$1:$L$24,4,FALSE)+IF('BMP P Tracking Table'!$AP81="By HSG",'BMP P Tracking Table'!$AQ81*VLOOKUP('BMP P Tracking Table'!$Q81,'Loading Rates'!$B$1:$L$24,6,FALSE)+'BMP P Tracking Table'!$AR81*VLOOKUP('BMP P Tracking Table'!$Q81,'Loading Rates'!$B$1:$L$24,7,FALSE)+'BMP P Tracking Table'!$AS81*VLOOKUP('BMP P Tracking Table'!$Q81,'Loading Rates'!$B$1:$L$24,8,FALSE)+'BMP P Tracking Table'!$AT81*VLOOKUP('BMP P Tracking Table'!$Q81,'Loading Rates'!$B$1:$L$24,9,FALSE),'BMP P Tracking Table'!$AU81*VLOOKUP('BMP P Tracking Table'!$Q81,'Loading Rates'!$B$1:$L$24,10,FALSE))),"")</f>
        <v/>
      </c>
      <c r="AZ81" s="101" t="str">
        <f>IFERROR(IF('BMP P Tracking Table'!$AL81="Yes",MIN(2,IF('BMP P Tracking Table'!$AP81="Total Pervious",(-(3630*'BMP P Tracking Table'!$AO81+20.691*'BMP P Tracking Table'!$AU81)+SQRT((3630*'BMP P Tracking Table'!$AO81+20.691*'BMP P Tracking Table'!$AU81)^2-(4*(996.798*'BMP P Tracking Table'!$AU81)*-'BMP P Tracking Table'!$AW81)))/(2*(996.798*'BMP P Tracking Table'!$AU81)),IF(SUM('BMP P Tracking Table'!$AQ81:$AT81)=0,'BMP P Tracking Table'!$AU81/(-3630*'BMP P Tracking Table'!$AO81),(-(3630*'BMP P Tracking Table'!$AO81+20.691*'BMP P Tracking Table'!$AT81-216.711*'BMP P Tracking Table'!$AS81-83.853*'BMP P Tracking Table'!$AR81-42.834*'BMP P Tracking Table'!$AQ81)+SQRT((3630*'BMP P Tracking Table'!$AO81+20.691*'BMP P Tracking Table'!$AT81-216.711*'BMP P Tracking Table'!$AS81-83.853*'BMP P Tracking Table'!$AR81-42.834*'BMP P Tracking Table'!$AQ81)^2-(4*(149.919*'BMP P Tracking Table'!$AQ81+236.676*'BMP P Tracking Table'!$AR81+726*'BMP P Tracking Table'!$AS81+996.798*'BMP P Tracking Table'!$AT81)*-'BMP P Tracking Table'!$AW81)))/(2*(149.919*'BMP P Tracking Table'!$AQ81+236.676*'BMP P Tracking Table'!$AR81+726*'BMP P Tracking Table'!$AS81+996.798*'BMP P Tracking Table'!$AT81))))),MIN(2,IF('BMP P Tracking Table'!$AP81="Total Pervious",(-(3630*'BMP P Tracking Table'!$U81+20.691*'BMP P Tracking Table'!$AA81)+SQRT((3630*'BMP P Tracking Table'!$U81+20.691*'BMP P Tracking Table'!$AA81)^2-(4*(996.798*'BMP P Tracking Table'!$AA81)*-'BMP P Tracking Table'!$AW81)))/(2*(996.798*'BMP P Tracking Table'!$AA81)),IF(SUM('BMP P Tracking Table'!$W81:$Z81)=0,'BMP P Tracking Table'!$AW81/(-3630*'BMP P Tracking Table'!$U81),(-(3630*'BMP P Tracking Table'!$U81+20.691*'BMP P Tracking Table'!$Z81-216.711*'BMP P Tracking Table'!$Y81-83.853*'BMP P Tracking Table'!$X81-42.834*'BMP P Tracking Table'!$W81)+SQRT((3630*'BMP P Tracking Table'!$U81+20.691*'BMP P Tracking Table'!$Z81-216.711*'BMP P Tracking Table'!$Y81-83.853*'BMP P Tracking Table'!$X81-42.834*'BMP P Tracking Table'!$W81)^2-(4*(149.919*'BMP P Tracking Table'!$W81+236.676*'BMP P Tracking Table'!$X81+726*'BMP P Tracking Table'!$Y81+996.798*'BMP P Tracking Table'!$Z81)*-'BMP P Tracking Table'!$AW81)))/(2*(149.919*'BMP P Tracking Table'!$W81+236.676*'BMP P Tracking Table'!$X81+726*'BMP P Tracking Table'!$Y81+996.798*'BMP P Tracking Table'!$Z81)))))),"")</f>
        <v/>
      </c>
      <c r="BA81" s="101" t="str">
        <f>IFERROR((VLOOKUP(CONCATENATE('BMP P Tracking Table'!$AV81," ",'BMP P Tracking Table'!$AX81),'Performance Curves'!$C$1:$L$45,MATCH('BMP P Tracking Table'!$AZ81,'Performance Curves'!$E$1:$L$1,1)+2,FALSE)-VLOOKUP(CONCATENATE('BMP P Tracking Table'!$AV81," ",'BMP P Tracking Table'!$AX81),'Performance Curves'!$C$1:$L$45,MATCH('BMP P Tracking Table'!$AZ81,'Performance Curves'!$E$1:$L$1,1)+1,FALSE)),"")</f>
        <v/>
      </c>
      <c r="BB81" s="101" t="str">
        <f>IFERROR(('BMP P Tracking Table'!$AZ81-INDEX('Performance Curves'!$E$1:$L$1,1,MATCH('BMP P Tracking Table'!$AZ81,'Performance Curves'!$E$1:$L$1,1)))/(INDEX('Performance Curves'!$E$1:$L$1,1,MATCH('BMP P Tracking Table'!$AZ81,'Performance Curves'!$E$1:$L$1,1)+1)-INDEX('Performance Curves'!$E$1:$L$1,1,MATCH('BMP P Tracking Table'!$AZ81,'Performance Curves'!$E$1:$L$1,1))),"")</f>
        <v/>
      </c>
      <c r="BC81" s="102" t="str">
        <f>IFERROR(IF('BMP P Tracking Table'!$AZ81=2,VLOOKUP(CONCATENATE('BMP P Tracking Table'!$AV81," ",'BMP P Tracking Table'!$AX81),'Performance Curves'!$C$1:$L$44,MATCH('BMP P Tracking Table'!$AZ81,'Performance Curves'!$E$1:$L$1,1)+1,FALSE),'BMP P Tracking Table'!$BA81*'BMP P Tracking Table'!$BB81+VLOOKUP(CONCATENATE('BMP P Tracking Table'!$AV81," ",'BMP P Tracking Table'!$AX81),'Performance Curves'!$C$1:$L$44,MATCH('BMP P Tracking Table'!$AZ81,'Performance Curves'!$E$1:$L$1,1)+1,FALSE)),"")</f>
        <v/>
      </c>
      <c r="BD81" s="101" t="str">
        <f>IFERROR('BMP P Tracking Table'!$BC81*'BMP P Tracking Table'!$AY81,"")</f>
        <v/>
      </c>
      <c r="BE81" s="96"/>
      <c r="BF81" s="37">
        <f t="shared" si="11"/>
        <v>0</v>
      </c>
    </row>
    <row r="82" spans="1:58" x14ac:dyDescent="0.3">
      <c r="A82" s="169"/>
      <c r="B82" s="169"/>
      <c r="C82" s="169"/>
      <c r="D82" s="169"/>
      <c r="E82" s="170"/>
      <c r="F82" s="170"/>
      <c r="G82" s="169"/>
      <c r="H82" s="169"/>
      <c r="I82" s="169"/>
      <c r="J82" s="171"/>
      <c r="K82" s="169"/>
      <c r="L82" s="169"/>
      <c r="M82" s="169"/>
      <c r="N82" s="169"/>
      <c r="O82" s="169"/>
      <c r="P82" s="169"/>
      <c r="Q82" s="169" t="str">
        <f>IFERROR(VLOOKUP('BMP P Tracking Table'!$P82,Dropdowns!$C$2:$E$15,3,FALSE),"")</f>
        <v/>
      </c>
      <c r="R82" s="169" t="str">
        <f>IFERROR(VLOOKUP('BMP P Tracking Table'!$Q82,Dropdowns!$P$3:$Q$23,2,FALSE),"")</f>
        <v/>
      </c>
      <c r="S82" s="169"/>
      <c r="T82" s="169"/>
      <c r="U82" s="169"/>
      <c r="V82" s="169"/>
      <c r="W82" s="169"/>
      <c r="X82" s="169"/>
      <c r="Y82" s="169"/>
      <c r="Z82" s="169"/>
      <c r="AA82" s="169"/>
      <c r="AB82" s="174"/>
      <c r="AC82" s="169"/>
      <c r="AD82" s="175" t="str">
        <f>IFERROR('BMP P Tracking Table'!$U82*VLOOKUP('BMP P Tracking Table'!$Q82,'Loading Rates'!$B$1:$L$24,4,FALSE)+IF('BMP P Tracking Table'!$V82="By HSG",'BMP P Tracking Table'!$W82*VLOOKUP('BMP P Tracking Table'!$Q82,'Loading Rates'!$B$1:$L$24,6,FALSE)+'BMP P Tracking Table'!$X82*VLOOKUP('BMP P Tracking Table'!$Q82,'Loading Rates'!$B$1:$L$24,7,FALSE)+'BMP P Tracking Table'!$Y82*VLOOKUP('BMP P Tracking Table'!$Q82,'Loading Rates'!$B$1:$L$24,8,FALSE)+'BMP P Tracking Table'!$Z82*VLOOKUP('BMP P Tracking Table'!$Q82,'Loading Rates'!$B$1:$L$24,9,FALSE),'BMP P Tracking Table'!$AA82*VLOOKUP('BMP P Tracking Table'!$Q82,'Loading Rates'!$B$1:$L$24,10,FALSE)),"")</f>
        <v/>
      </c>
      <c r="AE82" s="175" t="str">
        <f>IFERROR(MIN(2,IF('BMP P Tracking Table'!$V82="Total Pervious",(-(3630*'BMP P Tracking Table'!$U82+20.691*'BMP P Tracking Table'!$AA82)+SQRT((3630*'BMP P Tracking Table'!$U82+20.691*'BMP P Tracking Table'!$AA82)^2-(4*(996.798*'BMP P Tracking Table'!$AA82)*-'BMP P Tracking Table'!$AB82)))/(2*(996.798*'BMP P Tracking Table'!$AA82)),IF(SUM('BMP P Tracking Table'!$W82:$Z82)=0,'BMP P Tracking Table'!$AB82/(-3630*'BMP P Tracking Table'!$U82),(-(3630*'BMP P Tracking Table'!$U82+20.691*'BMP P Tracking Table'!$Z82-216.711*'BMP P Tracking Table'!$Y82-83.853*'BMP P Tracking Table'!$X82-42.834*'BMP P Tracking Table'!$W82)+SQRT((3630*'BMP P Tracking Table'!$U82+20.691*'BMP P Tracking Table'!$Z82-216.711*'BMP P Tracking Table'!$Y82-83.853*'BMP P Tracking Table'!$X82-42.834*'BMP P Tracking Table'!$W82)^2-(4*(149.919*'BMP P Tracking Table'!$W82+236.676*'BMP P Tracking Table'!$X82+726*'BMP P Tracking Table'!$Y82+996.798*'BMP P Tracking Table'!$Z82)*-'BMP P Tracking Table'!$AB82)))/(2*(149.919*'BMP P Tracking Table'!$W82+236.676*'BMP P Tracking Table'!$X82+726*'BMP P Tracking Table'!$Y82+996.798*'BMP P Tracking Table'!$Z82))))),"")</f>
        <v/>
      </c>
      <c r="AF82" s="175" t="str">
        <f>IFERROR((VLOOKUP(CONCATENATE('BMP P Tracking Table'!$T82," ",'BMP P Tracking Table'!$AC82),'Performance Curves'!$C$1:$L$45,MATCH('BMP P Tracking Table'!$AE82,'Performance Curves'!$E$1:$L$1,1)+2,FALSE)-VLOOKUP(CONCATENATE('BMP P Tracking Table'!$T82," ",'BMP P Tracking Table'!$AC82),'Performance Curves'!$C$1:$L$45,MATCH('BMP P Tracking Table'!$AE82,'Performance Curves'!$E$1:$L$1,1)+1,FALSE)),"")</f>
        <v/>
      </c>
      <c r="AG82" s="175" t="str">
        <f>IFERROR(('BMP P Tracking Table'!$AE82-INDEX('Performance Curves'!$E$1:$L$1,1,MATCH('BMP P Tracking Table'!$AE82,'Performance Curves'!$E$1:$L$1,1)))/(INDEX('Performance Curves'!$E$1:$L$1,1,MATCH('BMP P Tracking Table'!$AE82,'Performance Curves'!$E$1:$L$1,1)+1)-INDEX('Performance Curves'!$E$1:$L$1,1,MATCH('BMP P Tracking Table'!$AE82,'Performance Curves'!$E$1:$L$1,1))),"")</f>
        <v/>
      </c>
      <c r="AH82" s="176" t="str">
        <f>IFERROR(IF('BMP P Tracking Table'!$AE82=2,VLOOKUP(CONCATENATE('BMP P Tracking Table'!$T82," ",'BMP P Tracking Table'!$AC82),'Performance Curves'!$C$1:$L$45,MATCH('BMP P Tracking Table'!$AE82,'Performance Curves'!$E$1:$L$1,1)+1,FALSE),'BMP P Tracking Table'!$AF82*'BMP P Tracking Table'!$AG82+VLOOKUP(CONCATENATE('BMP P Tracking Table'!$T82," ",'BMP P Tracking Table'!$AC82),'Performance Curves'!$C$1:$L$45,MATCH('BMP P Tracking Table'!$AE82,'Performance Curves'!$E$1:$L$1,1)+1,FALSE)),"")</f>
        <v/>
      </c>
      <c r="AI82" s="175" t="str">
        <f>IFERROR('BMP P Tracking Table'!$AH82*'BMP P Tracking Table'!$AD82,"")</f>
        <v/>
      </c>
      <c r="AJ82" s="169"/>
      <c r="AK82" s="173"/>
      <c r="AL82" s="173"/>
      <c r="AM82" s="177"/>
      <c r="AN82" s="178" t="str">
        <f t="shared" si="8"/>
        <v/>
      </c>
      <c r="AO82" s="96"/>
      <c r="AP82" s="96"/>
      <c r="AQ82" s="96"/>
      <c r="AR82" s="96"/>
      <c r="AS82" s="96"/>
      <c r="AT82" s="96"/>
      <c r="AU82" s="96"/>
      <c r="AV82" s="64"/>
      <c r="AW82" s="97"/>
      <c r="AX82" s="97"/>
      <c r="AY82" s="101" t="str">
        <f>IF('BMP P Tracking Table'!$AK82="Yes",IF('BMP P Tracking Table'!$AL82="No",'BMP P Tracking Table'!$U82*VLOOKUP('BMP P Tracking Table'!$Q82,'Loading Rates'!$B$1:$L$24,4,FALSE)+IF('BMP P Tracking Table'!$V82="By HSG",'BMP P Tracking Table'!$W82*VLOOKUP('BMP P Tracking Table'!$Q82,'Loading Rates'!$B$1:$L$24,6,FALSE)+'BMP P Tracking Table'!$X82*VLOOKUP('BMP P Tracking Table'!$Q82,'Loading Rates'!$B$1:$L$24,7,FALSE)+'BMP P Tracking Table'!$Y82*VLOOKUP('BMP P Tracking Table'!$Q82,'Loading Rates'!$B$1:$L$24,8,FALSE)+'BMP P Tracking Table'!$Z82*VLOOKUP('BMP P Tracking Table'!$Q82,'Loading Rates'!$B$1:$L$24,9,FALSE),'BMP P Tracking Table'!$AA82*VLOOKUP('BMP P Tracking Table'!$Q82,'Loading Rates'!$B$1:$L$24,10,FALSE)),'BMP P Tracking Table'!$AO82*VLOOKUP('BMP P Tracking Table'!$Q82,'Loading Rates'!$B$1:$L$24,4,FALSE)+IF('BMP P Tracking Table'!$AP82="By HSG",'BMP P Tracking Table'!$AQ82*VLOOKUP('BMP P Tracking Table'!$Q82,'Loading Rates'!$B$1:$L$24,6,FALSE)+'BMP P Tracking Table'!$AR82*VLOOKUP('BMP P Tracking Table'!$Q82,'Loading Rates'!$B$1:$L$24,7,FALSE)+'BMP P Tracking Table'!$AS82*VLOOKUP('BMP P Tracking Table'!$Q82,'Loading Rates'!$B$1:$L$24,8,FALSE)+'BMP P Tracking Table'!$AT82*VLOOKUP('BMP P Tracking Table'!$Q82,'Loading Rates'!$B$1:$L$24,9,FALSE),'BMP P Tracking Table'!$AU82*VLOOKUP('BMP P Tracking Table'!$Q82,'Loading Rates'!$B$1:$L$24,10,FALSE))),"")</f>
        <v/>
      </c>
      <c r="AZ82" s="101" t="str">
        <f>IFERROR(IF('BMP P Tracking Table'!$AL82="Yes",MIN(2,IF('BMP P Tracking Table'!$AP82="Total Pervious",(-(3630*'BMP P Tracking Table'!$AO82+20.691*'BMP P Tracking Table'!$AU82)+SQRT((3630*'BMP P Tracking Table'!$AO82+20.691*'BMP P Tracking Table'!$AU82)^2-(4*(996.798*'BMP P Tracking Table'!$AU82)*-'BMP P Tracking Table'!$AW82)))/(2*(996.798*'BMP P Tracking Table'!$AU82)),IF(SUM('BMP P Tracking Table'!$AQ82:$AT82)=0,'BMP P Tracking Table'!$AU82/(-3630*'BMP P Tracking Table'!$AO82),(-(3630*'BMP P Tracking Table'!$AO82+20.691*'BMP P Tracking Table'!$AT82-216.711*'BMP P Tracking Table'!$AS82-83.853*'BMP P Tracking Table'!$AR82-42.834*'BMP P Tracking Table'!$AQ82)+SQRT((3630*'BMP P Tracking Table'!$AO82+20.691*'BMP P Tracking Table'!$AT82-216.711*'BMP P Tracking Table'!$AS82-83.853*'BMP P Tracking Table'!$AR82-42.834*'BMP P Tracking Table'!$AQ82)^2-(4*(149.919*'BMP P Tracking Table'!$AQ82+236.676*'BMP P Tracking Table'!$AR82+726*'BMP P Tracking Table'!$AS82+996.798*'BMP P Tracking Table'!$AT82)*-'BMP P Tracking Table'!$AW82)))/(2*(149.919*'BMP P Tracking Table'!$AQ82+236.676*'BMP P Tracking Table'!$AR82+726*'BMP P Tracking Table'!$AS82+996.798*'BMP P Tracking Table'!$AT82))))),MIN(2,IF('BMP P Tracking Table'!$AP82="Total Pervious",(-(3630*'BMP P Tracking Table'!$U82+20.691*'BMP P Tracking Table'!$AA82)+SQRT((3630*'BMP P Tracking Table'!$U82+20.691*'BMP P Tracking Table'!$AA82)^2-(4*(996.798*'BMP P Tracking Table'!$AA82)*-'BMP P Tracking Table'!$AW82)))/(2*(996.798*'BMP P Tracking Table'!$AA82)),IF(SUM('BMP P Tracking Table'!$W82:$Z82)=0,'BMP P Tracking Table'!$AW82/(-3630*'BMP P Tracking Table'!$U82),(-(3630*'BMP P Tracking Table'!$U82+20.691*'BMP P Tracking Table'!$Z82-216.711*'BMP P Tracking Table'!$Y82-83.853*'BMP P Tracking Table'!$X82-42.834*'BMP P Tracking Table'!$W82)+SQRT((3630*'BMP P Tracking Table'!$U82+20.691*'BMP P Tracking Table'!$Z82-216.711*'BMP P Tracking Table'!$Y82-83.853*'BMP P Tracking Table'!$X82-42.834*'BMP P Tracking Table'!$W82)^2-(4*(149.919*'BMP P Tracking Table'!$W82+236.676*'BMP P Tracking Table'!$X82+726*'BMP P Tracking Table'!$Y82+996.798*'BMP P Tracking Table'!$Z82)*-'BMP P Tracking Table'!$AW82)))/(2*(149.919*'BMP P Tracking Table'!$W82+236.676*'BMP P Tracking Table'!$X82+726*'BMP P Tracking Table'!$Y82+996.798*'BMP P Tracking Table'!$Z82)))))),"")</f>
        <v/>
      </c>
      <c r="BA82" s="101" t="str">
        <f>IFERROR((VLOOKUP(CONCATENATE('BMP P Tracking Table'!$AV82," ",'BMP P Tracking Table'!$AX82),'Performance Curves'!$C$1:$L$45,MATCH('BMP P Tracking Table'!$AZ82,'Performance Curves'!$E$1:$L$1,1)+2,FALSE)-VLOOKUP(CONCATENATE('BMP P Tracking Table'!$AV82," ",'BMP P Tracking Table'!$AX82),'Performance Curves'!$C$1:$L$45,MATCH('BMP P Tracking Table'!$AZ82,'Performance Curves'!$E$1:$L$1,1)+1,FALSE)),"")</f>
        <v/>
      </c>
      <c r="BB82" s="101" t="str">
        <f>IFERROR(('BMP P Tracking Table'!$AZ82-INDEX('Performance Curves'!$E$1:$L$1,1,MATCH('BMP P Tracking Table'!$AZ82,'Performance Curves'!$E$1:$L$1,1)))/(INDEX('Performance Curves'!$E$1:$L$1,1,MATCH('BMP P Tracking Table'!$AZ82,'Performance Curves'!$E$1:$L$1,1)+1)-INDEX('Performance Curves'!$E$1:$L$1,1,MATCH('BMP P Tracking Table'!$AZ82,'Performance Curves'!$E$1:$L$1,1))),"")</f>
        <v/>
      </c>
      <c r="BC82" s="102" t="str">
        <f>IFERROR(IF('BMP P Tracking Table'!$AZ82=2,VLOOKUP(CONCATENATE('BMP P Tracking Table'!$AV82," ",'BMP P Tracking Table'!$AX82),'Performance Curves'!$C$1:$L$44,MATCH('BMP P Tracking Table'!$AZ82,'Performance Curves'!$E$1:$L$1,1)+1,FALSE),'BMP P Tracking Table'!$BA82*'BMP P Tracking Table'!$BB82+VLOOKUP(CONCATENATE('BMP P Tracking Table'!$AV82," ",'BMP P Tracking Table'!$AX82),'Performance Curves'!$C$1:$L$44,MATCH('BMP P Tracking Table'!$AZ82,'Performance Curves'!$E$1:$L$1,1)+1,FALSE)),"")</f>
        <v/>
      </c>
      <c r="BD82" s="101" t="str">
        <f>IFERROR('BMP P Tracking Table'!$BC82*'BMP P Tracking Table'!$AY82,"")</f>
        <v/>
      </c>
      <c r="BE82" s="96"/>
      <c r="BF82" s="37">
        <f t="shared" si="11"/>
        <v>0</v>
      </c>
    </row>
    <row r="83" spans="1:58" x14ac:dyDescent="0.3">
      <c r="A83" s="169"/>
      <c r="B83" s="169"/>
      <c r="C83" s="169"/>
      <c r="D83" s="169"/>
      <c r="E83" s="170"/>
      <c r="F83" s="170"/>
      <c r="G83" s="169"/>
      <c r="H83" s="169"/>
      <c r="I83" s="169"/>
      <c r="J83" s="171"/>
      <c r="K83" s="169"/>
      <c r="L83" s="169"/>
      <c r="M83" s="169"/>
      <c r="N83" s="169"/>
      <c r="O83" s="169"/>
      <c r="P83" s="169"/>
      <c r="Q83" s="169" t="str">
        <f>IFERROR(VLOOKUP('BMP P Tracking Table'!$P83,Dropdowns!$C$2:$E$15,3,FALSE),"")</f>
        <v/>
      </c>
      <c r="R83" s="169" t="str">
        <f>IFERROR(VLOOKUP('BMP P Tracking Table'!$Q83,Dropdowns!$P$3:$Q$23,2,FALSE),"")</f>
        <v/>
      </c>
      <c r="S83" s="169"/>
      <c r="T83" s="169"/>
      <c r="U83" s="169"/>
      <c r="V83" s="169"/>
      <c r="W83" s="169"/>
      <c r="X83" s="169"/>
      <c r="Y83" s="169"/>
      <c r="Z83" s="169"/>
      <c r="AA83" s="169"/>
      <c r="AB83" s="174"/>
      <c r="AC83" s="169"/>
      <c r="AD83" s="175" t="str">
        <f>IFERROR('BMP P Tracking Table'!$U83*VLOOKUP('BMP P Tracking Table'!$Q83,'Loading Rates'!$B$1:$L$24,4,FALSE)+IF('BMP P Tracking Table'!$V83="By HSG",'BMP P Tracking Table'!$W83*VLOOKUP('BMP P Tracking Table'!$Q83,'Loading Rates'!$B$1:$L$24,6,FALSE)+'BMP P Tracking Table'!$X83*VLOOKUP('BMP P Tracking Table'!$Q83,'Loading Rates'!$B$1:$L$24,7,FALSE)+'BMP P Tracking Table'!$Y83*VLOOKUP('BMP P Tracking Table'!$Q83,'Loading Rates'!$B$1:$L$24,8,FALSE)+'BMP P Tracking Table'!$Z83*VLOOKUP('BMP P Tracking Table'!$Q83,'Loading Rates'!$B$1:$L$24,9,FALSE),'BMP P Tracking Table'!$AA83*VLOOKUP('BMP P Tracking Table'!$Q83,'Loading Rates'!$B$1:$L$24,10,FALSE)),"")</f>
        <v/>
      </c>
      <c r="AE83" s="175" t="str">
        <f>IFERROR(MIN(2,IF('BMP P Tracking Table'!$V83="Total Pervious",(-(3630*'BMP P Tracking Table'!$U83+20.691*'BMP P Tracking Table'!$AA83)+SQRT((3630*'BMP P Tracking Table'!$U83+20.691*'BMP P Tracking Table'!$AA83)^2-(4*(996.798*'BMP P Tracking Table'!$AA83)*-'BMP P Tracking Table'!$AB83)))/(2*(996.798*'BMP P Tracking Table'!$AA83)),IF(SUM('BMP P Tracking Table'!$W83:$Z83)=0,'BMP P Tracking Table'!$AB83/(-3630*'BMP P Tracking Table'!$U83),(-(3630*'BMP P Tracking Table'!$U83+20.691*'BMP P Tracking Table'!$Z83-216.711*'BMP P Tracking Table'!$Y83-83.853*'BMP P Tracking Table'!$X83-42.834*'BMP P Tracking Table'!$W83)+SQRT((3630*'BMP P Tracking Table'!$U83+20.691*'BMP P Tracking Table'!$Z83-216.711*'BMP P Tracking Table'!$Y83-83.853*'BMP P Tracking Table'!$X83-42.834*'BMP P Tracking Table'!$W83)^2-(4*(149.919*'BMP P Tracking Table'!$W83+236.676*'BMP P Tracking Table'!$X83+726*'BMP P Tracking Table'!$Y83+996.798*'BMP P Tracking Table'!$Z83)*-'BMP P Tracking Table'!$AB83)))/(2*(149.919*'BMP P Tracking Table'!$W83+236.676*'BMP P Tracking Table'!$X83+726*'BMP P Tracking Table'!$Y83+996.798*'BMP P Tracking Table'!$Z83))))),"")</f>
        <v/>
      </c>
      <c r="AF83" s="175" t="str">
        <f>IFERROR((VLOOKUP(CONCATENATE('BMP P Tracking Table'!$T83," ",'BMP P Tracking Table'!$AC83),'Performance Curves'!$C$1:$L$45,MATCH('BMP P Tracking Table'!$AE83,'Performance Curves'!$E$1:$L$1,1)+2,FALSE)-VLOOKUP(CONCATENATE('BMP P Tracking Table'!$T83," ",'BMP P Tracking Table'!$AC83),'Performance Curves'!$C$1:$L$45,MATCH('BMP P Tracking Table'!$AE83,'Performance Curves'!$E$1:$L$1,1)+1,FALSE)),"")</f>
        <v/>
      </c>
      <c r="AG83" s="175" t="str">
        <f>IFERROR(('BMP P Tracking Table'!$AE83-INDEX('Performance Curves'!$E$1:$L$1,1,MATCH('BMP P Tracking Table'!$AE83,'Performance Curves'!$E$1:$L$1,1)))/(INDEX('Performance Curves'!$E$1:$L$1,1,MATCH('BMP P Tracking Table'!$AE83,'Performance Curves'!$E$1:$L$1,1)+1)-INDEX('Performance Curves'!$E$1:$L$1,1,MATCH('BMP P Tracking Table'!$AE83,'Performance Curves'!$E$1:$L$1,1))),"")</f>
        <v/>
      </c>
      <c r="AH83" s="176" t="str">
        <f>IFERROR(IF('BMP P Tracking Table'!$AE83=2,VLOOKUP(CONCATENATE('BMP P Tracking Table'!$T83," ",'BMP P Tracking Table'!$AC83),'Performance Curves'!$C$1:$L$45,MATCH('BMP P Tracking Table'!$AE83,'Performance Curves'!$E$1:$L$1,1)+1,FALSE),'BMP P Tracking Table'!$AF83*'BMP P Tracking Table'!$AG83+VLOOKUP(CONCATENATE('BMP P Tracking Table'!$T83," ",'BMP P Tracking Table'!$AC83),'Performance Curves'!$C$1:$L$45,MATCH('BMP P Tracking Table'!$AE83,'Performance Curves'!$E$1:$L$1,1)+1,FALSE)),"")</f>
        <v/>
      </c>
      <c r="AI83" s="175" t="str">
        <f>IFERROR('BMP P Tracking Table'!$AH83*'BMP P Tracking Table'!$AD83,"")</f>
        <v/>
      </c>
      <c r="AJ83" s="169"/>
      <c r="AK83" s="173"/>
      <c r="AL83" s="173"/>
      <c r="AM83" s="177"/>
      <c r="AN83" s="178" t="str">
        <f t="shared" si="8"/>
        <v/>
      </c>
      <c r="AO83" s="96"/>
      <c r="AP83" s="96"/>
      <c r="AQ83" s="96"/>
      <c r="AR83" s="96"/>
      <c r="AS83" s="96"/>
      <c r="AT83" s="96"/>
      <c r="AU83" s="96"/>
      <c r="AV83" s="64"/>
      <c r="AW83" s="97"/>
      <c r="AX83" s="97"/>
      <c r="AY83" s="101" t="str">
        <f>IF('BMP P Tracking Table'!$AK83="Yes",IF('BMP P Tracking Table'!$AL83="No",'BMP P Tracking Table'!$U83*VLOOKUP('BMP P Tracking Table'!$Q83,'Loading Rates'!$B$1:$L$24,4,FALSE)+IF('BMP P Tracking Table'!$V83="By HSG",'BMP P Tracking Table'!$W83*VLOOKUP('BMP P Tracking Table'!$Q83,'Loading Rates'!$B$1:$L$24,6,FALSE)+'BMP P Tracking Table'!$X83*VLOOKUP('BMP P Tracking Table'!$Q83,'Loading Rates'!$B$1:$L$24,7,FALSE)+'BMP P Tracking Table'!$Y83*VLOOKUP('BMP P Tracking Table'!$Q83,'Loading Rates'!$B$1:$L$24,8,FALSE)+'BMP P Tracking Table'!$Z83*VLOOKUP('BMP P Tracking Table'!$Q83,'Loading Rates'!$B$1:$L$24,9,FALSE),'BMP P Tracking Table'!$AA83*VLOOKUP('BMP P Tracking Table'!$Q83,'Loading Rates'!$B$1:$L$24,10,FALSE)),'BMP P Tracking Table'!$AO83*VLOOKUP('BMP P Tracking Table'!$Q83,'Loading Rates'!$B$1:$L$24,4,FALSE)+IF('BMP P Tracking Table'!$AP83="By HSG",'BMP P Tracking Table'!$AQ83*VLOOKUP('BMP P Tracking Table'!$Q83,'Loading Rates'!$B$1:$L$24,6,FALSE)+'BMP P Tracking Table'!$AR83*VLOOKUP('BMP P Tracking Table'!$Q83,'Loading Rates'!$B$1:$L$24,7,FALSE)+'BMP P Tracking Table'!$AS83*VLOOKUP('BMP P Tracking Table'!$Q83,'Loading Rates'!$B$1:$L$24,8,FALSE)+'BMP P Tracking Table'!$AT83*VLOOKUP('BMP P Tracking Table'!$Q83,'Loading Rates'!$B$1:$L$24,9,FALSE),'BMP P Tracking Table'!$AU83*VLOOKUP('BMP P Tracking Table'!$Q83,'Loading Rates'!$B$1:$L$24,10,FALSE))),"")</f>
        <v/>
      </c>
      <c r="AZ83" s="101" t="str">
        <f>IFERROR(IF('BMP P Tracking Table'!$AL83="Yes",MIN(2,IF('BMP P Tracking Table'!$AP83="Total Pervious",(-(3630*'BMP P Tracking Table'!$AO83+20.691*'BMP P Tracking Table'!$AU83)+SQRT((3630*'BMP P Tracking Table'!$AO83+20.691*'BMP P Tracking Table'!$AU83)^2-(4*(996.798*'BMP P Tracking Table'!$AU83)*-'BMP P Tracking Table'!$AW83)))/(2*(996.798*'BMP P Tracking Table'!$AU83)),IF(SUM('BMP P Tracking Table'!$AQ83:$AT83)=0,'BMP P Tracking Table'!$AU83/(-3630*'BMP P Tracking Table'!$AO83),(-(3630*'BMP P Tracking Table'!$AO83+20.691*'BMP P Tracking Table'!$AT83-216.711*'BMP P Tracking Table'!$AS83-83.853*'BMP P Tracking Table'!$AR83-42.834*'BMP P Tracking Table'!$AQ83)+SQRT((3630*'BMP P Tracking Table'!$AO83+20.691*'BMP P Tracking Table'!$AT83-216.711*'BMP P Tracking Table'!$AS83-83.853*'BMP P Tracking Table'!$AR83-42.834*'BMP P Tracking Table'!$AQ83)^2-(4*(149.919*'BMP P Tracking Table'!$AQ83+236.676*'BMP P Tracking Table'!$AR83+726*'BMP P Tracking Table'!$AS83+996.798*'BMP P Tracking Table'!$AT83)*-'BMP P Tracking Table'!$AW83)))/(2*(149.919*'BMP P Tracking Table'!$AQ83+236.676*'BMP P Tracking Table'!$AR83+726*'BMP P Tracking Table'!$AS83+996.798*'BMP P Tracking Table'!$AT83))))),MIN(2,IF('BMP P Tracking Table'!$AP83="Total Pervious",(-(3630*'BMP P Tracking Table'!$U83+20.691*'BMP P Tracking Table'!$AA83)+SQRT((3630*'BMP P Tracking Table'!$U83+20.691*'BMP P Tracking Table'!$AA83)^2-(4*(996.798*'BMP P Tracking Table'!$AA83)*-'BMP P Tracking Table'!$AW83)))/(2*(996.798*'BMP P Tracking Table'!$AA83)),IF(SUM('BMP P Tracking Table'!$W83:$Z83)=0,'BMP P Tracking Table'!$AW83/(-3630*'BMP P Tracking Table'!$U83),(-(3630*'BMP P Tracking Table'!$U83+20.691*'BMP P Tracking Table'!$Z83-216.711*'BMP P Tracking Table'!$Y83-83.853*'BMP P Tracking Table'!$X83-42.834*'BMP P Tracking Table'!$W83)+SQRT((3630*'BMP P Tracking Table'!$U83+20.691*'BMP P Tracking Table'!$Z83-216.711*'BMP P Tracking Table'!$Y83-83.853*'BMP P Tracking Table'!$X83-42.834*'BMP P Tracking Table'!$W83)^2-(4*(149.919*'BMP P Tracking Table'!$W83+236.676*'BMP P Tracking Table'!$X83+726*'BMP P Tracking Table'!$Y83+996.798*'BMP P Tracking Table'!$Z83)*-'BMP P Tracking Table'!$AW83)))/(2*(149.919*'BMP P Tracking Table'!$W83+236.676*'BMP P Tracking Table'!$X83+726*'BMP P Tracking Table'!$Y83+996.798*'BMP P Tracking Table'!$Z83)))))),"")</f>
        <v/>
      </c>
      <c r="BA83" s="101" t="str">
        <f>IFERROR((VLOOKUP(CONCATENATE('BMP P Tracking Table'!$AV83," ",'BMP P Tracking Table'!$AX83),'Performance Curves'!$C$1:$L$45,MATCH('BMP P Tracking Table'!$AZ83,'Performance Curves'!$E$1:$L$1,1)+2,FALSE)-VLOOKUP(CONCATENATE('BMP P Tracking Table'!$AV83," ",'BMP P Tracking Table'!$AX83),'Performance Curves'!$C$1:$L$45,MATCH('BMP P Tracking Table'!$AZ83,'Performance Curves'!$E$1:$L$1,1)+1,FALSE)),"")</f>
        <v/>
      </c>
      <c r="BB83" s="101" t="str">
        <f>IFERROR(('BMP P Tracking Table'!$AZ83-INDEX('Performance Curves'!$E$1:$L$1,1,MATCH('BMP P Tracking Table'!$AZ83,'Performance Curves'!$E$1:$L$1,1)))/(INDEX('Performance Curves'!$E$1:$L$1,1,MATCH('BMP P Tracking Table'!$AZ83,'Performance Curves'!$E$1:$L$1,1)+1)-INDEX('Performance Curves'!$E$1:$L$1,1,MATCH('BMP P Tracking Table'!$AZ83,'Performance Curves'!$E$1:$L$1,1))),"")</f>
        <v/>
      </c>
      <c r="BC83" s="102" t="str">
        <f>IFERROR(IF('BMP P Tracking Table'!$AZ83=2,VLOOKUP(CONCATENATE('BMP P Tracking Table'!$AV83," ",'BMP P Tracking Table'!$AX83),'Performance Curves'!$C$1:$L$44,MATCH('BMP P Tracking Table'!$AZ83,'Performance Curves'!$E$1:$L$1,1)+1,FALSE),'BMP P Tracking Table'!$BA83*'BMP P Tracking Table'!$BB83+VLOOKUP(CONCATENATE('BMP P Tracking Table'!$AV83," ",'BMP P Tracking Table'!$AX83),'Performance Curves'!$C$1:$L$44,MATCH('BMP P Tracking Table'!$AZ83,'Performance Curves'!$E$1:$L$1,1)+1,FALSE)),"")</f>
        <v/>
      </c>
      <c r="BD83" s="101" t="str">
        <f>IFERROR('BMP P Tracking Table'!$BC83*'BMP P Tracking Table'!$AY83,"")</f>
        <v/>
      </c>
      <c r="BE83" s="96"/>
      <c r="BF83" s="37">
        <f t="shared" si="11"/>
        <v>0</v>
      </c>
    </row>
    <row r="84" spans="1:58" x14ac:dyDescent="0.3">
      <c r="A84" s="169"/>
      <c r="B84" s="169"/>
      <c r="C84" s="169"/>
      <c r="D84" s="169"/>
      <c r="E84" s="170"/>
      <c r="F84" s="170"/>
      <c r="G84" s="169"/>
      <c r="H84" s="169"/>
      <c r="I84" s="169"/>
      <c r="J84" s="171"/>
      <c r="K84" s="169"/>
      <c r="L84" s="169"/>
      <c r="M84" s="169"/>
      <c r="N84" s="169"/>
      <c r="O84" s="169"/>
      <c r="P84" s="169"/>
      <c r="Q84" s="169" t="str">
        <f>IFERROR(VLOOKUP('BMP P Tracking Table'!$P84,Dropdowns!$C$2:$E$15,3,FALSE),"")</f>
        <v/>
      </c>
      <c r="R84" s="169" t="str">
        <f>IFERROR(VLOOKUP('BMP P Tracking Table'!$Q84,Dropdowns!$P$3:$Q$23,2,FALSE),"")</f>
        <v/>
      </c>
      <c r="S84" s="169"/>
      <c r="T84" s="169"/>
      <c r="U84" s="169"/>
      <c r="V84" s="169"/>
      <c r="W84" s="169"/>
      <c r="X84" s="169"/>
      <c r="Y84" s="169"/>
      <c r="Z84" s="169"/>
      <c r="AA84" s="169"/>
      <c r="AB84" s="174"/>
      <c r="AC84" s="169"/>
      <c r="AD84" s="175" t="str">
        <f>IFERROR('BMP P Tracking Table'!$U84*VLOOKUP('BMP P Tracking Table'!$Q84,'Loading Rates'!$B$1:$L$24,4,FALSE)+IF('BMP P Tracking Table'!$V84="By HSG",'BMP P Tracking Table'!$W84*VLOOKUP('BMP P Tracking Table'!$Q84,'Loading Rates'!$B$1:$L$24,6,FALSE)+'BMP P Tracking Table'!$X84*VLOOKUP('BMP P Tracking Table'!$Q84,'Loading Rates'!$B$1:$L$24,7,FALSE)+'BMP P Tracking Table'!$Y84*VLOOKUP('BMP P Tracking Table'!$Q84,'Loading Rates'!$B$1:$L$24,8,FALSE)+'BMP P Tracking Table'!$Z84*VLOOKUP('BMP P Tracking Table'!$Q84,'Loading Rates'!$B$1:$L$24,9,FALSE),'BMP P Tracking Table'!$AA84*VLOOKUP('BMP P Tracking Table'!$Q84,'Loading Rates'!$B$1:$L$24,10,FALSE)),"")</f>
        <v/>
      </c>
      <c r="AE84" s="175" t="str">
        <f>IFERROR(MIN(2,IF('BMP P Tracking Table'!$V84="Total Pervious",(-(3630*'BMP P Tracking Table'!$U84+20.691*'BMP P Tracking Table'!$AA84)+SQRT((3630*'BMP P Tracking Table'!$U84+20.691*'BMP P Tracking Table'!$AA84)^2-(4*(996.798*'BMP P Tracking Table'!$AA84)*-'BMP P Tracking Table'!$AB84)))/(2*(996.798*'BMP P Tracking Table'!$AA84)),IF(SUM('BMP P Tracking Table'!$W84:$Z84)=0,'BMP P Tracking Table'!$AB84/(-3630*'BMP P Tracking Table'!$U84),(-(3630*'BMP P Tracking Table'!$U84+20.691*'BMP P Tracking Table'!$Z84-216.711*'BMP P Tracking Table'!$Y84-83.853*'BMP P Tracking Table'!$X84-42.834*'BMP P Tracking Table'!$W84)+SQRT((3630*'BMP P Tracking Table'!$U84+20.691*'BMP P Tracking Table'!$Z84-216.711*'BMP P Tracking Table'!$Y84-83.853*'BMP P Tracking Table'!$X84-42.834*'BMP P Tracking Table'!$W84)^2-(4*(149.919*'BMP P Tracking Table'!$W84+236.676*'BMP P Tracking Table'!$X84+726*'BMP P Tracking Table'!$Y84+996.798*'BMP P Tracking Table'!$Z84)*-'BMP P Tracking Table'!$AB84)))/(2*(149.919*'BMP P Tracking Table'!$W84+236.676*'BMP P Tracking Table'!$X84+726*'BMP P Tracking Table'!$Y84+996.798*'BMP P Tracking Table'!$Z84))))),"")</f>
        <v/>
      </c>
      <c r="AF84" s="175" t="str">
        <f>IFERROR((VLOOKUP(CONCATENATE('BMP P Tracking Table'!$T84," ",'BMP P Tracking Table'!$AC84),'Performance Curves'!$C$1:$L$45,MATCH('BMP P Tracking Table'!$AE84,'Performance Curves'!$E$1:$L$1,1)+2,FALSE)-VLOOKUP(CONCATENATE('BMP P Tracking Table'!$T84," ",'BMP P Tracking Table'!$AC84),'Performance Curves'!$C$1:$L$45,MATCH('BMP P Tracking Table'!$AE84,'Performance Curves'!$E$1:$L$1,1)+1,FALSE)),"")</f>
        <v/>
      </c>
      <c r="AG84" s="175" t="str">
        <f>IFERROR(('BMP P Tracking Table'!$AE84-INDEX('Performance Curves'!$E$1:$L$1,1,MATCH('BMP P Tracking Table'!$AE84,'Performance Curves'!$E$1:$L$1,1)))/(INDEX('Performance Curves'!$E$1:$L$1,1,MATCH('BMP P Tracking Table'!$AE84,'Performance Curves'!$E$1:$L$1,1)+1)-INDEX('Performance Curves'!$E$1:$L$1,1,MATCH('BMP P Tracking Table'!$AE84,'Performance Curves'!$E$1:$L$1,1))),"")</f>
        <v/>
      </c>
      <c r="AH84" s="176" t="str">
        <f>IFERROR(IF('BMP P Tracking Table'!$AE84=2,VLOOKUP(CONCATENATE('BMP P Tracking Table'!$T84," ",'BMP P Tracking Table'!$AC84),'Performance Curves'!$C$1:$L$45,MATCH('BMP P Tracking Table'!$AE84,'Performance Curves'!$E$1:$L$1,1)+1,FALSE),'BMP P Tracking Table'!$AF84*'BMP P Tracking Table'!$AG84+VLOOKUP(CONCATENATE('BMP P Tracking Table'!$T84," ",'BMP P Tracking Table'!$AC84),'Performance Curves'!$C$1:$L$45,MATCH('BMP P Tracking Table'!$AE84,'Performance Curves'!$E$1:$L$1,1)+1,FALSE)),"")</f>
        <v/>
      </c>
      <c r="AI84" s="175" t="str">
        <f>IFERROR('BMP P Tracking Table'!$AH84*'BMP P Tracking Table'!$AD84,"")</f>
        <v/>
      </c>
      <c r="AJ84" s="169"/>
      <c r="AK84" s="173"/>
      <c r="AL84" s="173"/>
      <c r="AM84" s="177"/>
      <c r="AN84" s="178" t="str">
        <f t="shared" si="8"/>
        <v/>
      </c>
      <c r="AO84" s="96"/>
      <c r="AP84" s="96"/>
      <c r="AQ84" s="96"/>
      <c r="AR84" s="96"/>
      <c r="AS84" s="96"/>
      <c r="AT84" s="96"/>
      <c r="AU84" s="96"/>
      <c r="AV84" s="64"/>
      <c r="AW84" s="97"/>
      <c r="AX84" s="97"/>
      <c r="AY84" s="101" t="str">
        <f>IF('BMP P Tracking Table'!$AK84="Yes",IF('BMP P Tracking Table'!$AL84="No",'BMP P Tracking Table'!$U84*VLOOKUP('BMP P Tracking Table'!$Q84,'Loading Rates'!$B$1:$L$24,4,FALSE)+IF('BMP P Tracking Table'!$V84="By HSG",'BMP P Tracking Table'!$W84*VLOOKUP('BMP P Tracking Table'!$Q84,'Loading Rates'!$B$1:$L$24,6,FALSE)+'BMP P Tracking Table'!$X84*VLOOKUP('BMP P Tracking Table'!$Q84,'Loading Rates'!$B$1:$L$24,7,FALSE)+'BMP P Tracking Table'!$Y84*VLOOKUP('BMP P Tracking Table'!$Q84,'Loading Rates'!$B$1:$L$24,8,FALSE)+'BMP P Tracking Table'!$Z84*VLOOKUP('BMP P Tracking Table'!$Q84,'Loading Rates'!$B$1:$L$24,9,FALSE),'BMP P Tracking Table'!$AA84*VLOOKUP('BMP P Tracking Table'!$Q84,'Loading Rates'!$B$1:$L$24,10,FALSE)),'BMP P Tracking Table'!$AO84*VLOOKUP('BMP P Tracking Table'!$Q84,'Loading Rates'!$B$1:$L$24,4,FALSE)+IF('BMP P Tracking Table'!$AP84="By HSG",'BMP P Tracking Table'!$AQ84*VLOOKUP('BMP P Tracking Table'!$Q84,'Loading Rates'!$B$1:$L$24,6,FALSE)+'BMP P Tracking Table'!$AR84*VLOOKUP('BMP P Tracking Table'!$Q84,'Loading Rates'!$B$1:$L$24,7,FALSE)+'BMP P Tracking Table'!$AS84*VLOOKUP('BMP P Tracking Table'!$Q84,'Loading Rates'!$B$1:$L$24,8,FALSE)+'BMP P Tracking Table'!$AT84*VLOOKUP('BMP P Tracking Table'!$Q84,'Loading Rates'!$B$1:$L$24,9,FALSE),'BMP P Tracking Table'!$AU84*VLOOKUP('BMP P Tracking Table'!$Q84,'Loading Rates'!$B$1:$L$24,10,FALSE))),"")</f>
        <v/>
      </c>
      <c r="AZ84" s="101" t="str">
        <f>IFERROR(IF('BMP P Tracking Table'!$AL84="Yes",MIN(2,IF('BMP P Tracking Table'!$AP84="Total Pervious",(-(3630*'BMP P Tracking Table'!$AO84+20.691*'BMP P Tracking Table'!$AU84)+SQRT((3630*'BMP P Tracking Table'!$AO84+20.691*'BMP P Tracking Table'!$AU84)^2-(4*(996.798*'BMP P Tracking Table'!$AU84)*-'BMP P Tracking Table'!$AW84)))/(2*(996.798*'BMP P Tracking Table'!$AU84)),IF(SUM('BMP P Tracking Table'!$AQ84:$AT84)=0,'BMP P Tracking Table'!$AU84/(-3630*'BMP P Tracking Table'!$AO84),(-(3630*'BMP P Tracking Table'!$AO84+20.691*'BMP P Tracking Table'!$AT84-216.711*'BMP P Tracking Table'!$AS84-83.853*'BMP P Tracking Table'!$AR84-42.834*'BMP P Tracking Table'!$AQ84)+SQRT((3630*'BMP P Tracking Table'!$AO84+20.691*'BMP P Tracking Table'!$AT84-216.711*'BMP P Tracking Table'!$AS84-83.853*'BMP P Tracking Table'!$AR84-42.834*'BMP P Tracking Table'!$AQ84)^2-(4*(149.919*'BMP P Tracking Table'!$AQ84+236.676*'BMP P Tracking Table'!$AR84+726*'BMP P Tracking Table'!$AS84+996.798*'BMP P Tracking Table'!$AT84)*-'BMP P Tracking Table'!$AW84)))/(2*(149.919*'BMP P Tracking Table'!$AQ84+236.676*'BMP P Tracking Table'!$AR84+726*'BMP P Tracking Table'!$AS84+996.798*'BMP P Tracking Table'!$AT84))))),MIN(2,IF('BMP P Tracking Table'!$AP84="Total Pervious",(-(3630*'BMP P Tracking Table'!$U84+20.691*'BMP P Tracking Table'!$AA84)+SQRT((3630*'BMP P Tracking Table'!$U84+20.691*'BMP P Tracking Table'!$AA84)^2-(4*(996.798*'BMP P Tracking Table'!$AA84)*-'BMP P Tracking Table'!$AW84)))/(2*(996.798*'BMP P Tracking Table'!$AA84)),IF(SUM('BMP P Tracking Table'!$W84:$Z84)=0,'BMP P Tracking Table'!$AW84/(-3630*'BMP P Tracking Table'!$U84),(-(3630*'BMP P Tracking Table'!$U84+20.691*'BMP P Tracking Table'!$Z84-216.711*'BMP P Tracking Table'!$Y84-83.853*'BMP P Tracking Table'!$X84-42.834*'BMP P Tracking Table'!$W84)+SQRT((3630*'BMP P Tracking Table'!$U84+20.691*'BMP P Tracking Table'!$Z84-216.711*'BMP P Tracking Table'!$Y84-83.853*'BMP P Tracking Table'!$X84-42.834*'BMP P Tracking Table'!$W84)^2-(4*(149.919*'BMP P Tracking Table'!$W84+236.676*'BMP P Tracking Table'!$X84+726*'BMP P Tracking Table'!$Y84+996.798*'BMP P Tracking Table'!$Z84)*-'BMP P Tracking Table'!$AW84)))/(2*(149.919*'BMP P Tracking Table'!$W84+236.676*'BMP P Tracking Table'!$X84+726*'BMP P Tracking Table'!$Y84+996.798*'BMP P Tracking Table'!$Z84)))))),"")</f>
        <v/>
      </c>
      <c r="BA84" s="101" t="str">
        <f>IFERROR((VLOOKUP(CONCATENATE('BMP P Tracking Table'!$AV84," ",'BMP P Tracking Table'!$AX84),'Performance Curves'!$C$1:$L$45,MATCH('BMP P Tracking Table'!$AZ84,'Performance Curves'!$E$1:$L$1,1)+2,FALSE)-VLOOKUP(CONCATENATE('BMP P Tracking Table'!$AV84," ",'BMP P Tracking Table'!$AX84),'Performance Curves'!$C$1:$L$45,MATCH('BMP P Tracking Table'!$AZ84,'Performance Curves'!$E$1:$L$1,1)+1,FALSE)),"")</f>
        <v/>
      </c>
      <c r="BB84" s="101" t="str">
        <f>IFERROR(('BMP P Tracking Table'!$AZ84-INDEX('Performance Curves'!$E$1:$L$1,1,MATCH('BMP P Tracking Table'!$AZ84,'Performance Curves'!$E$1:$L$1,1)))/(INDEX('Performance Curves'!$E$1:$L$1,1,MATCH('BMP P Tracking Table'!$AZ84,'Performance Curves'!$E$1:$L$1,1)+1)-INDEX('Performance Curves'!$E$1:$L$1,1,MATCH('BMP P Tracking Table'!$AZ84,'Performance Curves'!$E$1:$L$1,1))),"")</f>
        <v/>
      </c>
      <c r="BC84" s="102" t="str">
        <f>IFERROR(IF('BMP P Tracking Table'!$AZ84=2,VLOOKUP(CONCATENATE('BMP P Tracking Table'!$AV84," ",'BMP P Tracking Table'!$AX84),'Performance Curves'!$C$1:$L$44,MATCH('BMP P Tracking Table'!$AZ84,'Performance Curves'!$E$1:$L$1,1)+1,FALSE),'BMP P Tracking Table'!$BA84*'BMP P Tracking Table'!$BB84+VLOOKUP(CONCATENATE('BMP P Tracking Table'!$AV84," ",'BMP P Tracking Table'!$AX84),'Performance Curves'!$C$1:$L$44,MATCH('BMP P Tracking Table'!$AZ84,'Performance Curves'!$E$1:$L$1,1)+1,FALSE)),"")</f>
        <v/>
      </c>
      <c r="BD84" s="101" t="str">
        <f>IFERROR('BMP P Tracking Table'!$BC84*'BMP P Tracking Table'!$AY84,"")</f>
        <v/>
      </c>
      <c r="BE84" s="96"/>
      <c r="BF84" s="37">
        <f t="shared" si="11"/>
        <v>0</v>
      </c>
    </row>
    <row r="85" spans="1:58" x14ac:dyDescent="0.3">
      <c r="A85" s="169"/>
      <c r="B85" s="169"/>
      <c r="C85" s="169"/>
      <c r="D85" s="169"/>
      <c r="E85" s="170"/>
      <c r="F85" s="170"/>
      <c r="G85" s="169"/>
      <c r="H85" s="169"/>
      <c r="I85" s="169"/>
      <c r="J85" s="171"/>
      <c r="K85" s="169"/>
      <c r="L85" s="169"/>
      <c r="M85" s="169"/>
      <c r="N85" s="169"/>
      <c r="O85" s="169"/>
      <c r="P85" s="169"/>
      <c r="Q85" s="169" t="str">
        <f>IFERROR(VLOOKUP('BMP P Tracking Table'!$P85,Dropdowns!$C$2:$E$15,3,FALSE),"")</f>
        <v/>
      </c>
      <c r="R85" s="169" t="str">
        <f>IFERROR(VLOOKUP('BMP P Tracking Table'!$Q85,Dropdowns!$P$3:$Q$23,2,FALSE),"")</f>
        <v/>
      </c>
      <c r="S85" s="169"/>
      <c r="T85" s="169"/>
      <c r="U85" s="169"/>
      <c r="V85" s="169"/>
      <c r="W85" s="169"/>
      <c r="X85" s="169"/>
      <c r="Y85" s="169"/>
      <c r="Z85" s="169"/>
      <c r="AA85" s="169"/>
      <c r="AB85" s="174"/>
      <c r="AC85" s="169"/>
      <c r="AD85" s="175" t="str">
        <f>IFERROR('BMP P Tracking Table'!$U85*VLOOKUP('BMP P Tracking Table'!$Q85,'Loading Rates'!$B$1:$L$24,4,FALSE)+IF('BMP P Tracking Table'!$V85="By HSG",'BMP P Tracking Table'!$W85*VLOOKUP('BMP P Tracking Table'!$Q85,'Loading Rates'!$B$1:$L$24,6,FALSE)+'BMP P Tracking Table'!$X85*VLOOKUP('BMP P Tracking Table'!$Q85,'Loading Rates'!$B$1:$L$24,7,FALSE)+'BMP P Tracking Table'!$Y85*VLOOKUP('BMP P Tracking Table'!$Q85,'Loading Rates'!$B$1:$L$24,8,FALSE)+'BMP P Tracking Table'!$Z85*VLOOKUP('BMP P Tracking Table'!$Q85,'Loading Rates'!$B$1:$L$24,9,FALSE),'BMP P Tracking Table'!$AA85*VLOOKUP('BMP P Tracking Table'!$Q85,'Loading Rates'!$B$1:$L$24,10,FALSE)),"")</f>
        <v/>
      </c>
      <c r="AE85" s="175" t="str">
        <f>IFERROR(MIN(2,IF('BMP P Tracking Table'!$V85="Total Pervious",(-(3630*'BMP P Tracking Table'!$U85+20.691*'BMP P Tracking Table'!$AA85)+SQRT((3630*'BMP P Tracking Table'!$U85+20.691*'BMP P Tracking Table'!$AA85)^2-(4*(996.798*'BMP P Tracking Table'!$AA85)*-'BMP P Tracking Table'!$AB85)))/(2*(996.798*'BMP P Tracking Table'!$AA85)),IF(SUM('BMP P Tracking Table'!$W85:$Z85)=0,'BMP P Tracking Table'!$AB85/(-3630*'BMP P Tracking Table'!$U85),(-(3630*'BMP P Tracking Table'!$U85+20.691*'BMP P Tracking Table'!$Z85-216.711*'BMP P Tracking Table'!$Y85-83.853*'BMP P Tracking Table'!$X85-42.834*'BMP P Tracking Table'!$W85)+SQRT((3630*'BMP P Tracking Table'!$U85+20.691*'BMP P Tracking Table'!$Z85-216.711*'BMP P Tracking Table'!$Y85-83.853*'BMP P Tracking Table'!$X85-42.834*'BMP P Tracking Table'!$W85)^2-(4*(149.919*'BMP P Tracking Table'!$W85+236.676*'BMP P Tracking Table'!$X85+726*'BMP P Tracking Table'!$Y85+996.798*'BMP P Tracking Table'!$Z85)*-'BMP P Tracking Table'!$AB85)))/(2*(149.919*'BMP P Tracking Table'!$W85+236.676*'BMP P Tracking Table'!$X85+726*'BMP P Tracking Table'!$Y85+996.798*'BMP P Tracking Table'!$Z85))))),"")</f>
        <v/>
      </c>
      <c r="AF85" s="175" t="str">
        <f>IFERROR((VLOOKUP(CONCATENATE('BMP P Tracking Table'!$T85," ",'BMP P Tracking Table'!$AC85),'Performance Curves'!$C$1:$L$45,MATCH('BMP P Tracking Table'!$AE85,'Performance Curves'!$E$1:$L$1,1)+2,FALSE)-VLOOKUP(CONCATENATE('BMP P Tracking Table'!$T85," ",'BMP P Tracking Table'!$AC85),'Performance Curves'!$C$1:$L$45,MATCH('BMP P Tracking Table'!$AE85,'Performance Curves'!$E$1:$L$1,1)+1,FALSE)),"")</f>
        <v/>
      </c>
      <c r="AG85" s="175" t="str">
        <f>IFERROR(('BMP P Tracking Table'!$AE85-INDEX('Performance Curves'!$E$1:$L$1,1,MATCH('BMP P Tracking Table'!$AE85,'Performance Curves'!$E$1:$L$1,1)))/(INDEX('Performance Curves'!$E$1:$L$1,1,MATCH('BMP P Tracking Table'!$AE85,'Performance Curves'!$E$1:$L$1,1)+1)-INDEX('Performance Curves'!$E$1:$L$1,1,MATCH('BMP P Tracking Table'!$AE85,'Performance Curves'!$E$1:$L$1,1))),"")</f>
        <v/>
      </c>
      <c r="AH85" s="176" t="str">
        <f>IFERROR(IF('BMP P Tracking Table'!$AE85=2,VLOOKUP(CONCATENATE('BMP P Tracking Table'!$T85," ",'BMP P Tracking Table'!$AC85),'Performance Curves'!$C$1:$L$45,MATCH('BMP P Tracking Table'!$AE85,'Performance Curves'!$E$1:$L$1,1)+1,FALSE),'BMP P Tracking Table'!$AF85*'BMP P Tracking Table'!$AG85+VLOOKUP(CONCATENATE('BMP P Tracking Table'!$T85," ",'BMP P Tracking Table'!$AC85),'Performance Curves'!$C$1:$L$45,MATCH('BMP P Tracking Table'!$AE85,'Performance Curves'!$E$1:$L$1,1)+1,FALSE)),"")</f>
        <v/>
      </c>
      <c r="AI85" s="175" t="str">
        <f>IFERROR('BMP P Tracking Table'!$AH85*'BMP P Tracking Table'!$AD85,"")</f>
        <v/>
      </c>
      <c r="AJ85" s="169"/>
      <c r="AK85" s="173"/>
      <c r="AL85" s="173"/>
      <c r="AM85" s="177"/>
      <c r="AN85" s="178" t="str">
        <f t="shared" si="8"/>
        <v/>
      </c>
      <c r="AO85" s="96"/>
      <c r="AP85" s="96"/>
      <c r="AQ85" s="96"/>
      <c r="AR85" s="96"/>
      <c r="AS85" s="96"/>
      <c r="AT85" s="96"/>
      <c r="AU85" s="96"/>
      <c r="AV85" s="64"/>
      <c r="AW85" s="97"/>
      <c r="AX85" s="97"/>
      <c r="AY85" s="101" t="str">
        <f>IF('BMP P Tracking Table'!$AK85="Yes",IF('BMP P Tracking Table'!$AL85="No",'BMP P Tracking Table'!$U85*VLOOKUP('BMP P Tracking Table'!$Q85,'Loading Rates'!$B$1:$L$24,4,FALSE)+IF('BMP P Tracking Table'!$V85="By HSG",'BMP P Tracking Table'!$W85*VLOOKUP('BMP P Tracking Table'!$Q85,'Loading Rates'!$B$1:$L$24,6,FALSE)+'BMP P Tracking Table'!$X85*VLOOKUP('BMP P Tracking Table'!$Q85,'Loading Rates'!$B$1:$L$24,7,FALSE)+'BMP P Tracking Table'!$Y85*VLOOKUP('BMP P Tracking Table'!$Q85,'Loading Rates'!$B$1:$L$24,8,FALSE)+'BMP P Tracking Table'!$Z85*VLOOKUP('BMP P Tracking Table'!$Q85,'Loading Rates'!$B$1:$L$24,9,FALSE),'BMP P Tracking Table'!$AA85*VLOOKUP('BMP P Tracking Table'!$Q85,'Loading Rates'!$B$1:$L$24,10,FALSE)),'BMP P Tracking Table'!$AO85*VLOOKUP('BMP P Tracking Table'!$Q85,'Loading Rates'!$B$1:$L$24,4,FALSE)+IF('BMP P Tracking Table'!$AP85="By HSG",'BMP P Tracking Table'!$AQ85*VLOOKUP('BMP P Tracking Table'!$Q85,'Loading Rates'!$B$1:$L$24,6,FALSE)+'BMP P Tracking Table'!$AR85*VLOOKUP('BMP P Tracking Table'!$Q85,'Loading Rates'!$B$1:$L$24,7,FALSE)+'BMP P Tracking Table'!$AS85*VLOOKUP('BMP P Tracking Table'!$Q85,'Loading Rates'!$B$1:$L$24,8,FALSE)+'BMP P Tracking Table'!$AT85*VLOOKUP('BMP P Tracking Table'!$Q85,'Loading Rates'!$B$1:$L$24,9,FALSE),'BMP P Tracking Table'!$AU85*VLOOKUP('BMP P Tracking Table'!$Q85,'Loading Rates'!$B$1:$L$24,10,FALSE))),"")</f>
        <v/>
      </c>
      <c r="AZ85" s="101" t="str">
        <f>IFERROR(IF('BMP P Tracking Table'!$AL85="Yes",MIN(2,IF('BMP P Tracking Table'!$AP85="Total Pervious",(-(3630*'BMP P Tracking Table'!$AO85+20.691*'BMP P Tracking Table'!$AU85)+SQRT((3630*'BMP P Tracking Table'!$AO85+20.691*'BMP P Tracking Table'!$AU85)^2-(4*(996.798*'BMP P Tracking Table'!$AU85)*-'BMP P Tracking Table'!$AW85)))/(2*(996.798*'BMP P Tracking Table'!$AU85)),IF(SUM('BMP P Tracking Table'!$AQ85:$AT85)=0,'BMP P Tracking Table'!$AU85/(-3630*'BMP P Tracking Table'!$AO85),(-(3630*'BMP P Tracking Table'!$AO85+20.691*'BMP P Tracking Table'!$AT85-216.711*'BMP P Tracking Table'!$AS85-83.853*'BMP P Tracking Table'!$AR85-42.834*'BMP P Tracking Table'!$AQ85)+SQRT((3630*'BMP P Tracking Table'!$AO85+20.691*'BMP P Tracking Table'!$AT85-216.711*'BMP P Tracking Table'!$AS85-83.853*'BMP P Tracking Table'!$AR85-42.834*'BMP P Tracking Table'!$AQ85)^2-(4*(149.919*'BMP P Tracking Table'!$AQ85+236.676*'BMP P Tracking Table'!$AR85+726*'BMP P Tracking Table'!$AS85+996.798*'BMP P Tracking Table'!$AT85)*-'BMP P Tracking Table'!$AW85)))/(2*(149.919*'BMP P Tracking Table'!$AQ85+236.676*'BMP P Tracking Table'!$AR85+726*'BMP P Tracking Table'!$AS85+996.798*'BMP P Tracking Table'!$AT85))))),MIN(2,IF('BMP P Tracking Table'!$AP85="Total Pervious",(-(3630*'BMP P Tracking Table'!$U85+20.691*'BMP P Tracking Table'!$AA85)+SQRT((3630*'BMP P Tracking Table'!$U85+20.691*'BMP P Tracking Table'!$AA85)^2-(4*(996.798*'BMP P Tracking Table'!$AA85)*-'BMP P Tracking Table'!$AW85)))/(2*(996.798*'BMP P Tracking Table'!$AA85)),IF(SUM('BMP P Tracking Table'!$W85:$Z85)=0,'BMP P Tracking Table'!$AW85/(-3630*'BMP P Tracking Table'!$U85),(-(3630*'BMP P Tracking Table'!$U85+20.691*'BMP P Tracking Table'!$Z85-216.711*'BMP P Tracking Table'!$Y85-83.853*'BMP P Tracking Table'!$X85-42.834*'BMP P Tracking Table'!$W85)+SQRT((3630*'BMP P Tracking Table'!$U85+20.691*'BMP P Tracking Table'!$Z85-216.711*'BMP P Tracking Table'!$Y85-83.853*'BMP P Tracking Table'!$X85-42.834*'BMP P Tracking Table'!$W85)^2-(4*(149.919*'BMP P Tracking Table'!$W85+236.676*'BMP P Tracking Table'!$X85+726*'BMP P Tracking Table'!$Y85+996.798*'BMP P Tracking Table'!$Z85)*-'BMP P Tracking Table'!$AW85)))/(2*(149.919*'BMP P Tracking Table'!$W85+236.676*'BMP P Tracking Table'!$X85+726*'BMP P Tracking Table'!$Y85+996.798*'BMP P Tracking Table'!$Z85)))))),"")</f>
        <v/>
      </c>
      <c r="BA85" s="101" t="str">
        <f>IFERROR((VLOOKUP(CONCATENATE('BMP P Tracking Table'!$AV85," ",'BMP P Tracking Table'!$AX85),'Performance Curves'!$C$1:$L$45,MATCH('BMP P Tracking Table'!$AZ85,'Performance Curves'!$E$1:$L$1,1)+2,FALSE)-VLOOKUP(CONCATENATE('BMP P Tracking Table'!$AV85," ",'BMP P Tracking Table'!$AX85),'Performance Curves'!$C$1:$L$45,MATCH('BMP P Tracking Table'!$AZ85,'Performance Curves'!$E$1:$L$1,1)+1,FALSE)),"")</f>
        <v/>
      </c>
      <c r="BB85" s="101" t="str">
        <f>IFERROR(('BMP P Tracking Table'!$AZ85-INDEX('Performance Curves'!$E$1:$L$1,1,MATCH('BMP P Tracking Table'!$AZ85,'Performance Curves'!$E$1:$L$1,1)))/(INDEX('Performance Curves'!$E$1:$L$1,1,MATCH('BMP P Tracking Table'!$AZ85,'Performance Curves'!$E$1:$L$1,1)+1)-INDEX('Performance Curves'!$E$1:$L$1,1,MATCH('BMP P Tracking Table'!$AZ85,'Performance Curves'!$E$1:$L$1,1))),"")</f>
        <v/>
      </c>
      <c r="BC85" s="102" t="str">
        <f>IFERROR(IF('BMP P Tracking Table'!$AZ85=2,VLOOKUP(CONCATENATE('BMP P Tracking Table'!$AV85," ",'BMP P Tracking Table'!$AX85),'Performance Curves'!$C$1:$L$44,MATCH('BMP P Tracking Table'!$AZ85,'Performance Curves'!$E$1:$L$1,1)+1,FALSE),'BMP P Tracking Table'!$BA85*'BMP P Tracking Table'!$BB85+VLOOKUP(CONCATENATE('BMP P Tracking Table'!$AV85," ",'BMP P Tracking Table'!$AX85),'Performance Curves'!$C$1:$L$44,MATCH('BMP P Tracking Table'!$AZ85,'Performance Curves'!$E$1:$L$1,1)+1,FALSE)),"")</f>
        <v/>
      </c>
      <c r="BD85" s="101" t="str">
        <f>IFERROR('BMP P Tracking Table'!$BC85*'BMP P Tracking Table'!$AY85,"")</f>
        <v/>
      </c>
      <c r="BE85" s="96"/>
      <c r="BF85" s="37">
        <f t="shared" si="11"/>
        <v>0</v>
      </c>
    </row>
    <row r="86" spans="1:58" x14ac:dyDescent="0.3">
      <c r="A86" s="169"/>
      <c r="B86" s="169"/>
      <c r="C86" s="169"/>
      <c r="D86" s="169"/>
      <c r="E86" s="170"/>
      <c r="F86" s="170"/>
      <c r="G86" s="169"/>
      <c r="H86" s="169"/>
      <c r="I86" s="169"/>
      <c r="J86" s="171"/>
      <c r="K86" s="169"/>
      <c r="L86" s="169"/>
      <c r="M86" s="169"/>
      <c r="N86" s="169"/>
      <c r="O86" s="169"/>
      <c r="P86" s="169"/>
      <c r="Q86" s="169" t="str">
        <f>IFERROR(VLOOKUP('BMP P Tracking Table'!$P86,Dropdowns!$C$2:$E$15,3,FALSE),"")</f>
        <v/>
      </c>
      <c r="R86" s="169" t="str">
        <f>IFERROR(VLOOKUP('BMP P Tracking Table'!$Q86,Dropdowns!$P$3:$Q$23,2,FALSE),"")</f>
        <v/>
      </c>
      <c r="S86" s="169"/>
      <c r="T86" s="169"/>
      <c r="U86" s="169"/>
      <c r="V86" s="169"/>
      <c r="W86" s="169"/>
      <c r="X86" s="169"/>
      <c r="Y86" s="169"/>
      <c r="Z86" s="169"/>
      <c r="AA86" s="169"/>
      <c r="AB86" s="174"/>
      <c r="AC86" s="169"/>
      <c r="AD86" s="175" t="str">
        <f>IFERROR('BMP P Tracking Table'!$U86*VLOOKUP('BMP P Tracking Table'!$Q86,'Loading Rates'!$B$1:$L$24,4,FALSE)+IF('BMP P Tracking Table'!$V86="By HSG",'BMP P Tracking Table'!$W86*VLOOKUP('BMP P Tracking Table'!$Q86,'Loading Rates'!$B$1:$L$24,6,FALSE)+'BMP P Tracking Table'!$X86*VLOOKUP('BMP P Tracking Table'!$Q86,'Loading Rates'!$B$1:$L$24,7,FALSE)+'BMP P Tracking Table'!$Y86*VLOOKUP('BMP P Tracking Table'!$Q86,'Loading Rates'!$B$1:$L$24,8,FALSE)+'BMP P Tracking Table'!$Z86*VLOOKUP('BMP P Tracking Table'!$Q86,'Loading Rates'!$B$1:$L$24,9,FALSE),'BMP P Tracking Table'!$AA86*VLOOKUP('BMP P Tracking Table'!$Q86,'Loading Rates'!$B$1:$L$24,10,FALSE)),"")</f>
        <v/>
      </c>
      <c r="AE86" s="175" t="str">
        <f>IFERROR(MIN(2,IF('BMP P Tracking Table'!$V86="Total Pervious",(-(3630*'BMP P Tracking Table'!$U86+20.691*'BMP P Tracking Table'!$AA86)+SQRT((3630*'BMP P Tracking Table'!$U86+20.691*'BMP P Tracking Table'!$AA86)^2-(4*(996.798*'BMP P Tracking Table'!$AA86)*-'BMP P Tracking Table'!$AB86)))/(2*(996.798*'BMP P Tracking Table'!$AA86)),IF(SUM('BMP P Tracking Table'!$W86:$Z86)=0,'BMP P Tracking Table'!$AB86/(-3630*'BMP P Tracking Table'!$U86),(-(3630*'BMP P Tracking Table'!$U86+20.691*'BMP P Tracking Table'!$Z86-216.711*'BMP P Tracking Table'!$Y86-83.853*'BMP P Tracking Table'!$X86-42.834*'BMP P Tracking Table'!$W86)+SQRT((3630*'BMP P Tracking Table'!$U86+20.691*'BMP P Tracking Table'!$Z86-216.711*'BMP P Tracking Table'!$Y86-83.853*'BMP P Tracking Table'!$X86-42.834*'BMP P Tracking Table'!$W86)^2-(4*(149.919*'BMP P Tracking Table'!$W86+236.676*'BMP P Tracking Table'!$X86+726*'BMP P Tracking Table'!$Y86+996.798*'BMP P Tracking Table'!$Z86)*-'BMP P Tracking Table'!$AB86)))/(2*(149.919*'BMP P Tracking Table'!$W86+236.676*'BMP P Tracking Table'!$X86+726*'BMP P Tracking Table'!$Y86+996.798*'BMP P Tracking Table'!$Z86))))),"")</f>
        <v/>
      </c>
      <c r="AF86" s="175" t="str">
        <f>IFERROR((VLOOKUP(CONCATENATE('BMP P Tracking Table'!$T86," ",'BMP P Tracking Table'!$AC86),'Performance Curves'!$C$1:$L$45,MATCH('BMP P Tracking Table'!$AE86,'Performance Curves'!$E$1:$L$1,1)+2,FALSE)-VLOOKUP(CONCATENATE('BMP P Tracking Table'!$T86," ",'BMP P Tracking Table'!$AC86),'Performance Curves'!$C$1:$L$45,MATCH('BMP P Tracking Table'!$AE86,'Performance Curves'!$E$1:$L$1,1)+1,FALSE)),"")</f>
        <v/>
      </c>
      <c r="AG86" s="175" t="str">
        <f>IFERROR(('BMP P Tracking Table'!$AE86-INDEX('Performance Curves'!$E$1:$L$1,1,MATCH('BMP P Tracking Table'!$AE86,'Performance Curves'!$E$1:$L$1,1)))/(INDEX('Performance Curves'!$E$1:$L$1,1,MATCH('BMP P Tracking Table'!$AE86,'Performance Curves'!$E$1:$L$1,1)+1)-INDEX('Performance Curves'!$E$1:$L$1,1,MATCH('BMP P Tracking Table'!$AE86,'Performance Curves'!$E$1:$L$1,1))),"")</f>
        <v/>
      </c>
      <c r="AH86" s="176" t="str">
        <f>IFERROR(IF('BMP P Tracking Table'!$AE86=2,VLOOKUP(CONCATENATE('BMP P Tracking Table'!$T86," ",'BMP P Tracking Table'!$AC86),'Performance Curves'!$C$1:$L$45,MATCH('BMP P Tracking Table'!$AE86,'Performance Curves'!$E$1:$L$1,1)+1,FALSE),'BMP P Tracking Table'!$AF86*'BMP P Tracking Table'!$AG86+VLOOKUP(CONCATENATE('BMP P Tracking Table'!$T86," ",'BMP P Tracking Table'!$AC86),'Performance Curves'!$C$1:$L$45,MATCH('BMP P Tracking Table'!$AE86,'Performance Curves'!$E$1:$L$1,1)+1,FALSE)),"")</f>
        <v/>
      </c>
      <c r="AI86" s="175" t="str">
        <f>IFERROR('BMP P Tracking Table'!$AH86*'BMP P Tracking Table'!$AD86,"")</f>
        <v/>
      </c>
      <c r="AJ86" s="169"/>
      <c r="AK86" s="173"/>
      <c r="AL86" s="173"/>
      <c r="AM86" s="177"/>
      <c r="AN86" s="178" t="str">
        <f t="shared" si="8"/>
        <v/>
      </c>
      <c r="AO86" s="96"/>
      <c r="AP86" s="96"/>
      <c r="AQ86" s="96"/>
      <c r="AR86" s="96"/>
      <c r="AS86" s="96"/>
      <c r="AT86" s="96"/>
      <c r="AU86" s="96"/>
      <c r="AV86" s="64"/>
      <c r="AW86" s="97"/>
      <c r="AX86" s="97"/>
      <c r="AY86" s="101" t="str">
        <f>IF('BMP P Tracking Table'!$AK86="Yes",IF('BMP P Tracking Table'!$AL86="No",'BMP P Tracking Table'!$U86*VLOOKUP('BMP P Tracking Table'!$Q86,'Loading Rates'!$B$1:$L$24,4,FALSE)+IF('BMP P Tracking Table'!$V86="By HSG",'BMP P Tracking Table'!$W86*VLOOKUP('BMP P Tracking Table'!$Q86,'Loading Rates'!$B$1:$L$24,6,FALSE)+'BMP P Tracking Table'!$X86*VLOOKUP('BMP P Tracking Table'!$Q86,'Loading Rates'!$B$1:$L$24,7,FALSE)+'BMP P Tracking Table'!$Y86*VLOOKUP('BMP P Tracking Table'!$Q86,'Loading Rates'!$B$1:$L$24,8,FALSE)+'BMP P Tracking Table'!$Z86*VLOOKUP('BMP P Tracking Table'!$Q86,'Loading Rates'!$B$1:$L$24,9,FALSE),'BMP P Tracking Table'!$AA86*VLOOKUP('BMP P Tracking Table'!$Q86,'Loading Rates'!$B$1:$L$24,10,FALSE)),'BMP P Tracking Table'!$AO86*VLOOKUP('BMP P Tracking Table'!$Q86,'Loading Rates'!$B$1:$L$24,4,FALSE)+IF('BMP P Tracking Table'!$AP86="By HSG",'BMP P Tracking Table'!$AQ86*VLOOKUP('BMP P Tracking Table'!$Q86,'Loading Rates'!$B$1:$L$24,6,FALSE)+'BMP P Tracking Table'!$AR86*VLOOKUP('BMP P Tracking Table'!$Q86,'Loading Rates'!$B$1:$L$24,7,FALSE)+'BMP P Tracking Table'!$AS86*VLOOKUP('BMP P Tracking Table'!$Q86,'Loading Rates'!$B$1:$L$24,8,FALSE)+'BMP P Tracking Table'!$AT86*VLOOKUP('BMP P Tracking Table'!$Q86,'Loading Rates'!$B$1:$L$24,9,FALSE),'BMP P Tracking Table'!$AU86*VLOOKUP('BMP P Tracking Table'!$Q86,'Loading Rates'!$B$1:$L$24,10,FALSE))),"")</f>
        <v/>
      </c>
      <c r="AZ86" s="101" t="str">
        <f>IFERROR(IF('BMP P Tracking Table'!$AL86="Yes",MIN(2,IF('BMP P Tracking Table'!$AP86="Total Pervious",(-(3630*'BMP P Tracking Table'!$AO86+20.691*'BMP P Tracking Table'!$AU86)+SQRT((3630*'BMP P Tracking Table'!$AO86+20.691*'BMP P Tracking Table'!$AU86)^2-(4*(996.798*'BMP P Tracking Table'!$AU86)*-'BMP P Tracking Table'!$AW86)))/(2*(996.798*'BMP P Tracking Table'!$AU86)),IF(SUM('BMP P Tracking Table'!$AQ86:$AT86)=0,'BMP P Tracking Table'!$AU86/(-3630*'BMP P Tracking Table'!$AO86),(-(3630*'BMP P Tracking Table'!$AO86+20.691*'BMP P Tracking Table'!$AT86-216.711*'BMP P Tracking Table'!$AS86-83.853*'BMP P Tracking Table'!$AR86-42.834*'BMP P Tracking Table'!$AQ86)+SQRT((3630*'BMP P Tracking Table'!$AO86+20.691*'BMP P Tracking Table'!$AT86-216.711*'BMP P Tracking Table'!$AS86-83.853*'BMP P Tracking Table'!$AR86-42.834*'BMP P Tracking Table'!$AQ86)^2-(4*(149.919*'BMP P Tracking Table'!$AQ86+236.676*'BMP P Tracking Table'!$AR86+726*'BMP P Tracking Table'!$AS86+996.798*'BMP P Tracking Table'!$AT86)*-'BMP P Tracking Table'!$AW86)))/(2*(149.919*'BMP P Tracking Table'!$AQ86+236.676*'BMP P Tracking Table'!$AR86+726*'BMP P Tracking Table'!$AS86+996.798*'BMP P Tracking Table'!$AT86))))),MIN(2,IF('BMP P Tracking Table'!$AP86="Total Pervious",(-(3630*'BMP P Tracking Table'!$U86+20.691*'BMP P Tracking Table'!$AA86)+SQRT((3630*'BMP P Tracking Table'!$U86+20.691*'BMP P Tracking Table'!$AA86)^2-(4*(996.798*'BMP P Tracking Table'!$AA86)*-'BMP P Tracking Table'!$AW86)))/(2*(996.798*'BMP P Tracking Table'!$AA86)),IF(SUM('BMP P Tracking Table'!$W86:$Z86)=0,'BMP P Tracking Table'!$AW86/(-3630*'BMP P Tracking Table'!$U86),(-(3630*'BMP P Tracking Table'!$U86+20.691*'BMP P Tracking Table'!$Z86-216.711*'BMP P Tracking Table'!$Y86-83.853*'BMP P Tracking Table'!$X86-42.834*'BMP P Tracking Table'!$W86)+SQRT((3630*'BMP P Tracking Table'!$U86+20.691*'BMP P Tracking Table'!$Z86-216.711*'BMP P Tracking Table'!$Y86-83.853*'BMP P Tracking Table'!$X86-42.834*'BMP P Tracking Table'!$W86)^2-(4*(149.919*'BMP P Tracking Table'!$W86+236.676*'BMP P Tracking Table'!$X86+726*'BMP P Tracking Table'!$Y86+996.798*'BMP P Tracking Table'!$Z86)*-'BMP P Tracking Table'!$AW86)))/(2*(149.919*'BMP P Tracking Table'!$W86+236.676*'BMP P Tracking Table'!$X86+726*'BMP P Tracking Table'!$Y86+996.798*'BMP P Tracking Table'!$Z86)))))),"")</f>
        <v/>
      </c>
      <c r="BA86" s="101" t="str">
        <f>IFERROR((VLOOKUP(CONCATENATE('BMP P Tracking Table'!$AV86," ",'BMP P Tracking Table'!$AX86),'Performance Curves'!$C$1:$L$45,MATCH('BMP P Tracking Table'!$AZ86,'Performance Curves'!$E$1:$L$1,1)+2,FALSE)-VLOOKUP(CONCATENATE('BMP P Tracking Table'!$AV86," ",'BMP P Tracking Table'!$AX86),'Performance Curves'!$C$1:$L$45,MATCH('BMP P Tracking Table'!$AZ86,'Performance Curves'!$E$1:$L$1,1)+1,FALSE)),"")</f>
        <v/>
      </c>
      <c r="BB86" s="101" t="str">
        <f>IFERROR(('BMP P Tracking Table'!$AZ86-INDEX('Performance Curves'!$E$1:$L$1,1,MATCH('BMP P Tracking Table'!$AZ86,'Performance Curves'!$E$1:$L$1,1)))/(INDEX('Performance Curves'!$E$1:$L$1,1,MATCH('BMP P Tracking Table'!$AZ86,'Performance Curves'!$E$1:$L$1,1)+1)-INDEX('Performance Curves'!$E$1:$L$1,1,MATCH('BMP P Tracking Table'!$AZ86,'Performance Curves'!$E$1:$L$1,1))),"")</f>
        <v/>
      </c>
      <c r="BC86" s="102" t="str">
        <f>IFERROR(IF('BMP P Tracking Table'!$AZ86=2,VLOOKUP(CONCATENATE('BMP P Tracking Table'!$AV86," ",'BMP P Tracking Table'!$AX86),'Performance Curves'!$C$1:$L$44,MATCH('BMP P Tracking Table'!$AZ86,'Performance Curves'!$E$1:$L$1,1)+1,FALSE),'BMP P Tracking Table'!$BA86*'BMP P Tracking Table'!$BB86+VLOOKUP(CONCATENATE('BMP P Tracking Table'!$AV86," ",'BMP P Tracking Table'!$AX86),'Performance Curves'!$C$1:$L$44,MATCH('BMP P Tracking Table'!$AZ86,'Performance Curves'!$E$1:$L$1,1)+1,FALSE)),"")</f>
        <v/>
      </c>
      <c r="BD86" s="101" t="str">
        <f>IFERROR('BMP P Tracking Table'!$BC86*'BMP P Tracking Table'!$AY86,"")</f>
        <v/>
      </c>
      <c r="BE86" s="91"/>
      <c r="BF86" s="37">
        <f t="shared" si="11"/>
        <v>0</v>
      </c>
    </row>
    <row r="87" spans="1:58" x14ac:dyDescent="0.3">
      <c r="A87" s="169"/>
      <c r="B87" s="169"/>
      <c r="C87" s="169"/>
      <c r="D87" s="169"/>
      <c r="E87" s="170"/>
      <c r="F87" s="170"/>
      <c r="G87" s="169"/>
      <c r="H87" s="169"/>
      <c r="I87" s="169"/>
      <c r="J87" s="171"/>
      <c r="K87" s="169"/>
      <c r="L87" s="169"/>
      <c r="M87" s="169"/>
      <c r="N87" s="169"/>
      <c r="O87" s="169"/>
      <c r="P87" s="169"/>
      <c r="Q87" s="169" t="str">
        <f>IFERROR(VLOOKUP('BMP P Tracking Table'!$P87,Dropdowns!$C$2:$E$15,3,FALSE),"")</f>
        <v/>
      </c>
      <c r="R87" s="169" t="str">
        <f>IFERROR(VLOOKUP('BMP P Tracking Table'!$Q87,Dropdowns!$P$3:$Q$23,2,FALSE),"")</f>
        <v/>
      </c>
      <c r="S87" s="169"/>
      <c r="T87" s="169"/>
      <c r="U87" s="169"/>
      <c r="V87" s="169"/>
      <c r="W87" s="169"/>
      <c r="X87" s="169"/>
      <c r="Y87" s="169"/>
      <c r="Z87" s="169"/>
      <c r="AA87" s="169"/>
      <c r="AB87" s="174"/>
      <c r="AC87" s="169"/>
      <c r="AD87" s="175" t="str">
        <f>IFERROR('BMP P Tracking Table'!$U87*VLOOKUP('BMP P Tracking Table'!$Q87,'Loading Rates'!$B$1:$L$24,4,FALSE)+IF('BMP P Tracking Table'!$V87="By HSG",'BMP P Tracking Table'!$W87*VLOOKUP('BMP P Tracking Table'!$Q87,'Loading Rates'!$B$1:$L$24,6,FALSE)+'BMP P Tracking Table'!$X87*VLOOKUP('BMP P Tracking Table'!$Q87,'Loading Rates'!$B$1:$L$24,7,FALSE)+'BMP P Tracking Table'!$Y87*VLOOKUP('BMP P Tracking Table'!$Q87,'Loading Rates'!$B$1:$L$24,8,FALSE)+'BMP P Tracking Table'!$Z87*VLOOKUP('BMP P Tracking Table'!$Q87,'Loading Rates'!$B$1:$L$24,9,FALSE),'BMP P Tracking Table'!$AA87*VLOOKUP('BMP P Tracking Table'!$Q87,'Loading Rates'!$B$1:$L$24,10,FALSE)),"")</f>
        <v/>
      </c>
      <c r="AE87" s="175" t="str">
        <f>IFERROR(MIN(2,IF('BMP P Tracking Table'!$V87="Total Pervious",(-(3630*'BMP P Tracking Table'!$U87+20.691*'BMP P Tracking Table'!$AA87)+SQRT((3630*'BMP P Tracking Table'!$U87+20.691*'BMP P Tracking Table'!$AA87)^2-(4*(996.798*'BMP P Tracking Table'!$AA87)*-'BMP P Tracking Table'!$AB87)))/(2*(996.798*'BMP P Tracking Table'!$AA87)),IF(SUM('BMP P Tracking Table'!$W87:$Z87)=0,'BMP P Tracking Table'!$AB87/(-3630*'BMP P Tracking Table'!$U87),(-(3630*'BMP P Tracking Table'!$U87+20.691*'BMP P Tracking Table'!$Z87-216.711*'BMP P Tracking Table'!$Y87-83.853*'BMP P Tracking Table'!$X87-42.834*'BMP P Tracking Table'!$W87)+SQRT((3630*'BMP P Tracking Table'!$U87+20.691*'BMP P Tracking Table'!$Z87-216.711*'BMP P Tracking Table'!$Y87-83.853*'BMP P Tracking Table'!$X87-42.834*'BMP P Tracking Table'!$W87)^2-(4*(149.919*'BMP P Tracking Table'!$W87+236.676*'BMP P Tracking Table'!$X87+726*'BMP P Tracking Table'!$Y87+996.798*'BMP P Tracking Table'!$Z87)*-'BMP P Tracking Table'!$AB87)))/(2*(149.919*'BMP P Tracking Table'!$W87+236.676*'BMP P Tracking Table'!$X87+726*'BMP P Tracking Table'!$Y87+996.798*'BMP P Tracking Table'!$Z87))))),"")</f>
        <v/>
      </c>
      <c r="AF87" s="175" t="str">
        <f>IFERROR((VLOOKUP(CONCATENATE('BMP P Tracking Table'!$T87," ",'BMP P Tracking Table'!$AC87),'Performance Curves'!$C$1:$L$45,MATCH('BMP P Tracking Table'!$AE87,'Performance Curves'!$E$1:$L$1,1)+2,FALSE)-VLOOKUP(CONCATENATE('BMP P Tracking Table'!$T87," ",'BMP P Tracking Table'!$AC87),'Performance Curves'!$C$1:$L$45,MATCH('BMP P Tracking Table'!$AE87,'Performance Curves'!$E$1:$L$1,1)+1,FALSE)),"")</f>
        <v/>
      </c>
      <c r="AG87" s="175" t="str">
        <f>IFERROR(('BMP P Tracking Table'!$AE87-INDEX('Performance Curves'!$E$1:$L$1,1,MATCH('BMP P Tracking Table'!$AE87,'Performance Curves'!$E$1:$L$1,1)))/(INDEX('Performance Curves'!$E$1:$L$1,1,MATCH('BMP P Tracking Table'!$AE87,'Performance Curves'!$E$1:$L$1,1)+1)-INDEX('Performance Curves'!$E$1:$L$1,1,MATCH('BMP P Tracking Table'!$AE87,'Performance Curves'!$E$1:$L$1,1))),"")</f>
        <v/>
      </c>
      <c r="AH87" s="176" t="str">
        <f>IFERROR(IF('BMP P Tracking Table'!$AE87=2,VLOOKUP(CONCATENATE('BMP P Tracking Table'!$T87," ",'BMP P Tracking Table'!$AC87),'Performance Curves'!$C$1:$L$45,MATCH('BMP P Tracking Table'!$AE87,'Performance Curves'!$E$1:$L$1,1)+1,FALSE),'BMP P Tracking Table'!$AF87*'BMP P Tracking Table'!$AG87+VLOOKUP(CONCATENATE('BMP P Tracking Table'!$T87," ",'BMP P Tracking Table'!$AC87),'Performance Curves'!$C$1:$L$45,MATCH('BMP P Tracking Table'!$AE87,'Performance Curves'!$E$1:$L$1,1)+1,FALSE)),"")</f>
        <v/>
      </c>
      <c r="AI87" s="175" t="str">
        <f>IFERROR('BMP P Tracking Table'!$AH87*'BMP P Tracking Table'!$AD87,"")</f>
        <v/>
      </c>
      <c r="AJ87" s="169"/>
      <c r="AK87" s="173"/>
      <c r="AL87" s="173"/>
      <c r="AM87" s="177"/>
      <c r="AN87" s="178" t="str">
        <f t="shared" si="8"/>
        <v/>
      </c>
      <c r="AO87" s="96"/>
      <c r="AP87" s="96"/>
      <c r="AQ87" s="96"/>
      <c r="AR87" s="96"/>
      <c r="AS87" s="96"/>
      <c r="AT87" s="96"/>
      <c r="AU87" s="96"/>
      <c r="AV87" s="64"/>
      <c r="AW87" s="97"/>
      <c r="AX87" s="97"/>
      <c r="AY87" s="101" t="str">
        <f>IF('BMP P Tracking Table'!$AK87="Yes",IF('BMP P Tracking Table'!$AL87="No",'BMP P Tracking Table'!$U87*VLOOKUP('BMP P Tracking Table'!$Q87,'Loading Rates'!$B$1:$L$24,4,FALSE)+IF('BMP P Tracking Table'!$V87="By HSG",'BMP P Tracking Table'!$W87*VLOOKUP('BMP P Tracking Table'!$Q87,'Loading Rates'!$B$1:$L$24,6,FALSE)+'BMP P Tracking Table'!$X87*VLOOKUP('BMP P Tracking Table'!$Q87,'Loading Rates'!$B$1:$L$24,7,FALSE)+'BMP P Tracking Table'!$Y87*VLOOKUP('BMP P Tracking Table'!$Q87,'Loading Rates'!$B$1:$L$24,8,FALSE)+'BMP P Tracking Table'!$Z87*VLOOKUP('BMP P Tracking Table'!$Q87,'Loading Rates'!$B$1:$L$24,9,FALSE),'BMP P Tracking Table'!$AA87*VLOOKUP('BMP P Tracking Table'!$Q87,'Loading Rates'!$B$1:$L$24,10,FALSE)),'BMP P Tracking Table'!$AO87*VLOOKUP('BMP P Tracking Table'!$Q87,'Loading Rates'!$B$1:$L$24,4,FALSE)+IF('BMP P Tracking Table'!$AP87="By HSG",'BMP P Tracking Table'!$AQ87*VLOOKUP('BMP P Tracking Table'!$Q87,'Loading Rates'!$B$1:$L$24,6,FALSE)+'BMP P Tracking Table'!$AR87*VLOOKUP('BMP P Tracking Table'!$Q87,'Loading Rates'!$B$1:$L$24,7,FALSE)+'BMP P Tracking Table'!$AS87*VLOOKUP('BMP P Tracking Table'!$Q87,'Loading Rates'!$B$1:$L$24,8,FALSE)+'BMP P Tracking Table'!$AT87*VLOOKUP('BMP P Tracking Table'!$Q87,'Loading Rates'!$B$1:$L$24,9,FALSE),'BMP P Tracking Table'!$AU87*VLOOKUP('BMP P Tracking Table'!$Q87,'Loading Rates'!$B$1:$L$24,10,FALSE))),"")</f>
        <v/>
      </c>
      <c r="AZ87" s="101" t="str">
        <f>IFERROR(IF('BMP P Tracking Table'!$AL87="Yes",MIN(2,IF('BMP P Tracking Table'!$AP87="Total Pervious",(-(3630*'BMP P Tracking Table'!$AO87+20.691*'BMP P Tracking Table'!$AU87)+SQRT((3630*'BMP P Tracking Table'!$AO87+20.691*'BMP P Tracking Table'!$AU87)^2-(4*(996.798*'BMP P Tracking Table'!$AU87)*-'BMP P Tracking Table'!$AW87)))/(2*(996.798*'BMP P Tracking Table'!$AU87)),IF(SUM('BMP P Tracking Table'!$AQ87:$AT87)=0,'BMP P Tracking Table'!$AU87/(-3630*'BMP P Tracking Table'!$AO87),(-(3630*'BMP P Tracking Table'!$AO87+20.691*'BMP P Tracking Table'!$AT87-216.711*'BMP P Tracking Table'!$AS87-83.853*'BMP P Tracking Table'!$AR87-42.834*'BMP P Tracking Table'!$AQ87)+SQRT((3630*'BMP P Tracking Table'!$AO87+20.691*'BMP P Tracking Table'!$AT87-216.711*'BMP P Tracking Table'!$AS87-83.853*'BMP P Tracking Table'!$AR87-42.834*'BMP P Tracking Table'!$AQ87)^2-(4*(149.919*'BMP P Tracking Table'!$AQ87+236.676*'BMP P Tracking Table'!$AR87+726*'BMP P Tracking Table'!$AS87+996.798*'BMP P Tracking Table'!$AT87)*-'BMP P Tracking Table'!$AW87)))/(2*(149.919*'BMP P Tracking Table'!$AQ87+236.676*'BMP P Tracking Table'!$AR87+726*'BMP P Tracking Table'!$AS87+996.798*'BMP P Tracking Table'!$AT87))))),MIN(2,IF('BMP P Tracking Table'!$AP87="Total Pervious",(-(3630*'BMP P Tracking Table'!$U87+20.691*'BMP P Tracking Table'!$AA87)+SQRT((3630*'BMP P Tracking Table'!$U87+20.691*'BMP P Tracking Table'!$AA87)^2-(4*(996.798*'BMP P Tracking Table'!$AA87)*-'BMP P Tracking Table'!$AW87)))/(2*(996.798*'BMP P Tracking Table'!$AA87)),IF(SUM('BMP P Tracking Table'!$W87:$Z87)=0,'BMP P Tracking Table'!$AW87/(-3630*'BMP P Tracking Table'!$U87),(-(3630*'BMP P Tracking Table'!$U87+20.691*'BMP P Tracking Table'!$Z87-216.711*'BMP P Tracking Table'!$Y87-83.853*'BMP P Tracking Table'!$X87-42.834*'BMP P Tracking Table'!$W87)+SQRT((3630*'BMP P Tracking Table'!$U87+20.691*'BMP P Tracking Table'!$Z87-216.711*'BMP P Tracking Table'!$Y87-83.853*'BMP P Tracking Table'!$X87-42.834*'BMP P Tracking Table'!$W87)^2-(4*(149.919*'BMP P Tracking Table'!$W87+236.676*'BMP P Tracking Table'!$X87+726*'BMP P Tracking Table'!$Y87+996.798*'BMP P Tracking Table'!$Z87)*-'BMP P Tracking Table'!$AW87)))/(2*(149.919*'BMP P Tracking Table'!$W87+236.676*'BMP P Tracking Table'!$X87+726*'BMP P Tracking Table'!$Y87+996.798*'BMP P Tracking Table'!$Z87)))))),"")</f>
        <v/>
      </c>
      <c r="BA87" s="101" t="str">
        <f>IFERROR((VLOOKUP(CONCATENATE('BMP P Tracking Table'!$AV87," ",'BMP P Tracking Table'!$AX87),'Performance Curves'!$C$1:$L$45,MATCH('BMP P Tracking Table'!$AZ87,'Performance Curves'!$E$1:$L$1,1)+2,FALSE)-VLOOKUP(CONCATENATE('BMP P Tracking Table'!$AV87," ",'BMP P Tracking Table'!$AX87),'Performance Curves'!$C$1:$L$45,MATCH('BMP P Tracking Table'!$AZ87,'Performance Curves'!$E$1:$L$1,1)+1,FALSE)),"")</f>
        <v/>
      </c>
      <c r="BB87" s="101" t="str">
        <f>IFERROR(('BMP P Tracking Table'!$AZ87-INDEX('Performance Curves'!$E$1:$L$1,1,MATCH('BMP P Tracking Table'!$AZ87,'Performance Curves'!$E$1:$L$1,1)))/(INDEX('Performance Curves'!$E$1:$L$1,1,MATCH('BMP P Tracking Table'!$AZ87,'Performance Curves'!$E$1:$L$1,1)+1)-INDEX('Performance Curves'!$E$1:$L$1,1,MATCH('BMP P Tracking Table'!$AZ87,'Performance Curves'!$E$1:$L$1,1))),"")</f>
        <v/>
      </c>
      <c r="BC87" s="102" t="str">
        <f>IFERROR(IF('BMP P Tracking Table'!$AZ87=2,VLOOKUP(CONCATENATE('BMP P Tracking Table'!$AV87," ",'BMP P Tracking Table'!$AX87),'Performance Curves'!$C$1:$L$44,MATCH('BMP P Tracking Table'!$AZ87,'Performance Curves'!$E$1:$L$1,1)+1,FALSE),'BMP P Tracking Table'!$BA87*'BMP P Tracking Table'!$BB87+VLOOKUP(CONCATENATE('BMP P Tracking Table'!$AV87," ",'BMP P Tracking Table'!$AX87),'Performance Curves'!$C$1:$L$44,MATCH('BMP P Tracking Table'!$AZ87,'Performance Curves'!$E$1:$L$1,1)+1,FALSE)),"")</f>
        <v/>
      </c>
      <c r="BD87" s="101" t="str">
        <f>IFERROR('BMP P Tracking Table'!$BC87*'BMP P Tracking Table'!$AY87,"")</f>
        <v/>
      </c>
      <c r="BE87" s="96"/>
      <c r="BF87" s="37">
        <f t="shared" si="11"/>
        <v>0</v>
      </c>
    </row>
    <row r="88" spans="1:58" x14ac:dyDescent="0.3">
      <c r="A88" s="169"/>
      <c r="B88" s="169"/>
      <c r="C88" s="169"/>
      <c r="D88" s="169"/>
      <c r="E88" s="170"/>
      <c r="F88" s="170"/>
      <c r="G88" s="169"/>
      <c r="H88" s="169"/>
      <c r="I88" s="169"/>
      <c r="J88" s="171"/>
      <c r="K88" s="169"/>
      <c r="L88" s="169"/>
      <c r="M88" s="169"/>
      <c r="N88" s="169"/>
      <c r="O88" s="169"/>
      <c r="P88" s="169"/>
      <c r="Q88" s="169" t="str">
        <f>IFERROR(VLOOKUP('BMP P Tracking Table'!$P88,Dropdowns!$C$2:$E$15,3,FALSE),"")</f>
        <v/>
      </c>
      <c r="R88" s="169" t="str">
        <f>IFERROR(VLOOKUP('BMP P Tracking Table'!$Q88,Dropdowns!$P$3:$Q$23,2,FALSE),"")</f>
        <v/>
      </c>
      <c r="S88" s="169"/>
      <c r="T88" s="169"/>
      <c r="U88" s="169"/>
      <c r="V88" s="169"/>
      <c r="W88" s="169"/>
      <c r="X88" s="169"/>
      <c r="Y88" s="169"/>
      <c r="Z88" s="169"/>
      <c r="AA88" s="169"/>
      <c r="AB88" s="174"/>
      <c r="AC88" s="169"/>
      <c r="AD88" s="175" t="str">
        <f>IFERROR('BMP P Tracking Table'!$U88*VLOOKUP('BMP P Tracking Table'!$Q88,'Loading Rates'!$B$1:$L$24,4,FALSE)+IF('BMP P Tracking Table'!$V88="By HSG",'BMP P Tracking Table'!$W88*VLOOKUP('BMP P Tracking Table'!$Q88,'Loading Rates'!$B$1:$L$24,6,FALSE)+'BMP P Tracking Table'!$X88*VLOOKUP('BMP P Tracking Table'!$Q88,'Loading Rates'!$B$1:$L$24,7,FALSE)+'BMP P Tracking Table'!$Y88*VLOOKUP('BMP P Tracking Table'!$Q88,'Loading Rates'!$B$1:$L$24,8,FALSE)+'BMP P Tracking Table'!$Z88*VLOOKUP('BMP P Tracking Table'!$Q88,'Loading Rates'!$B$1:$L$24,9,FALSE),'BMP P Tracking Table'!$AA88*VLOOKUP('BMP P Tracking Table'!$Q88,'Loading Rates'!$B$1:$L$24,10,FALSE)),"")</f>
        <v/>
      </c>
      <c r="AE88" s="175" t="str">
        <f>IFERROR(MIN(2,IF('BMP P Tracking Table'!$V88="Total Pervious",(-(3630*'BMP P Tracking Table'!$U88+20.691*'BMP P Tracking Table'!$AA88)+SQRT((3630*'BMP P Tracking Table'!$U88+20.691*'BMP P Tracking Table'!$AA88)^2-(4*(996.798*'BMP P Tracking Table'!$AA88)*-'BMP P Tracking Table'!$AB88)))/(2*(996.798*'BMP P Tracking Table'!$AA88)),IF(SUM('BMP P Tracking Table'!$W88:$Z88)=0,'BMP P Tracking Table'!$AB88/(-3630*'BMP P Tracking Table'!$U88),(-(3630*'BMP P Tracking Table'!$U88+20.691*'BMP P Tracking Table'!$Z88-216.711*'BMP P Tracking Table'!$Y88-83.853*'BMP P Tracking Table'!$X88-42.834*'BMP P Tracking Table'!$W88)+SQRT((3630*'BMP P Tracking Table'!$U88+20.691*'BMP P Tracking Table'!$Z88-216.711*'BMP P Tracking Table'!$Y88-83.853*'BMP P Tracking Table'!$X88-42.834*'BMP P Tracking Table'!$W88)^2-(4*(149.919*'BMP P Tracking Table'!$W88+236.676*'BMP P Tracking Table'!$X88+726*'BMP P Tracking Table'!$Y88+996.798*'BMP P Tracking Table'!$Z88)*-'BMP P Tracking Table'!$AB88)))/(2*(149.919*'BMP P Tracking Table'!$W88+236.676*'BMP P Tracking Table'!$X88+726*'BMP P Tracking Table'!$Y88+996.798*'BMP P Tracking Table'!$Z88))))),"")</f>
        <v/>
      </c>
      <c r="AF88" s="175" t="str">
        <f>IFERROR((VLOOKUP(CONCATENATE('BMP P Tracking Table'!$T88," ",'BMP P Tracking Table'!$AC88),'Performance Curves'!$C$1:$L$45,MATCH('BMP P Tracking Table'!$AE88,'Performance Curves'!$E$1:$L$1,1)+2,FALSE)-VLOOKUP(CONCATENATE('BMP P Tracking Table'!$T88," ",'BMP P Tracking Table'!$AC88),'Performance Curves'!$C$1:$L$45,MATCH('BMP P Tracking Table'!$AE88,'Performance Curves'!$E$1:$L$1,1)+1,FALSE)),"")</f>
        <v/>
      </c>
      <c r="AG88" s="175" t="str">
        <f>IFERROR(('BMP P Tracking Table'!$AE88-INDEX('Performance Curves'!$E$1:$L$1,1,MATCH('BMP P Tracking Table'!$AE88,'Performance Curves'!$E$1:$L$1,1)))/(INDEX('Performance Curves'!$E$1:$L$1,1,MATCH('BMP P Tracking Table'!$AE88,'Performance Curves'!$E$1:$L$1,1)+1)-INDEX('Performance Curves'!$E$1:$L$1,1,MATCH('BMP P Tracking Table'!$AE88,'Performance Curves'!$E$1:$L$1,1))),"")</f>
        <v/>
      </c>
      <c r="AH88" s="176" t="str">
        <f>IFERROR(IF('BMP P Tracking Table'!$AE88=2,VLOOKUP(CONCATENATE('BMP P Tracking Table'!$T88," ",'BMP P Tracking Table'!$AC88),'Performance Curves'!$C$1:$L$45,MATCH('BMP P Tracking Table'!$AE88,'Performance Curves'!$E$1:$L$1,1)+1,FALSE),'BMP P Tracking Table'!$AF88*'BMP P Tracking Table'!$AG88+VLOOKUP(CONCATENATE('BMP P Tracking Table'!$T88," ",'BMP P Tracking Table'!$AC88),'Performance Curves'!$C$1:$L$45,MATCH('BMP P Tracking Table'!$AE88,'Performance Curves'!$E$1:$L$1,1)+1,FALSE)),"")</f>
        <v/>
      </c>
      <c r="AI88" s="175" t="str">
        <f>IFERROR('BMP P Tracking Table'!$AH88*'BMP P Tracking Table'!$AD88,"")</f>
        <v/>
      </c>
      <c r="AJ88" s="169"/>
      <c r="AK88" s="173"/>
      <c r="AL88" s="173"/>
      <c r="AM88" s="177"/>
      <c r="AN88" s="178" t="str">
        <f t="shared" si="8"/>
        <v/>
      </c>
      <c r="AO88" s="96"/>
      <c r="AP88" s="96"/>
      <c r="AQ88" s="96"/>
      <c r="AR88" s="96"/>
      <c r="AS88" s="96"/>
      <c r="AT88" s="96"/>
      <c r="AU88" s="96"/>
      <c r="AV88" s="64"/>
      <c r="AW88" s="97"/>
      <c r="AX88" s="97"/>
      <c r="AY88" s="101" t="str">
        <f>IF('BMP P Tracking Table'!$AK88="Yes",IF('BMP P Tracking Table'!$AL88="No",'BMP P Tracking Table'!$U88*VLOOKUP('BMP P Tracking Table'!$Q88,'Loading Rates'!$B$1:$L$24,4,FALSE)+IF('BMP P Tracking Table'!$V88="By HSG",'BMP P Tracking Table'!$W88*VLOOKUP('BMP P Tracking Table'!$Q88,'Loading Rates'!$B$1:$L$24,6,FALSE)+'BMP P Tracking Table'!$X88*VLOOKUP('BMP P Tracking Table'!$Q88,'Loading Rates'!$B$1:$L$24,7,FALSE)+'BMP P Tracking Table'!$Y88*VLOOKUP('BMP P Tracking Table'!$Q88,'Loading Rates'!$B$1:$L$24,8,FALSE)+'BMP P Tracking Table'!$Z88*VLOOKUP('BMP P Tracking Table'!$Q88,'Loading Rates'!$B$1:$L$24,9,FALSE),'BMP P Tracking Table'!$AA88*VLOOKUP('BMP P Tracking Table'!$Q88,'Loading Rates'!$B$1:$L$24,10,FALSE)),'BMP P Tracking Table'!$AO88*VLOOKUP('BMP P Tracking Table'!$Q88,'Loading Rates'!$B$1:$L$24,4,FALSE)+IF('BMP P Tracking Table'!$AP88="By HSG",'BMP P Tracking Table'!$AQ88*VLOOKUP('BMP P Tracking Table'!$Q88,'Loading Rates'!$B$1:$L$24,6,FALSE)+'BMP P Tracking Table'!$AR88*VLOOKUP('BMP P Tracking Table'!$Q88,'Loading Rates'!$B$1:$L$24,7,FALSE)+'BMP P Tracking Table'!$AS88*VLOOKUP('BMP P Tracking Table'!$Q88,'Loading Rates'!$B$1:$L$24,8,FALSE)+'BMP P Tracking Table'!$AT88*VLOOKUP('BMP P Tracking Table'!$Q88,'Loading Rates'!$B$1:$L$24,9,FALSE),'BMP P Tracking Table'!$AU88*VLOOKUP('BMP P Tracking Table'!$Q88,'Loading Rates'!$B$1:$L$24,10,FALSE))),"")</f>
        <v/>
      </c>
      <c r="AZ88" s="101" t="str">
        <f>IFERROR(IF('BMP P Tracking Table'!$AL88="Yes",MIN(2,IF('BMP P Tracking Table'!$AP88="Total Pervious",(-(3630*'BMP P Tracking Table'!$AO88+20.691*'BMP P Tracking Table'!$AU88)+SQRT((3630*'BMP P Tracking Table'!$AO88+20.691*'BMP P Tracking Table'!$AU88)^2-(4*(996.798*'BMP P Tracking Table'!$AU88)*-'BMP P Tracking Table'!$AW88)))/(2*(996.798*'BMP P Tracking Table'!$AU88)),IF(SUM('BMP P Tracking Table'!$AQ88:$AT88)=0,'BMP P Tracking Table'!$AU88/(-3630*'BMP P Tracking Table'!$AO88),(-(3630*'BMP P Tracking Table'!$AO88+20.691*'BMP P Tracking Table'!$AT88-216.711*'BMP P Tracking Table'!$AS88-83.853*'BMP P Tracking Table'!$AR88-42.834*'BMP P Tracking Table'!$AQ88)+SQRT((3630*'BMP P Tracking Table'!$AO88+20.691*'BMP P Tracking Table'!$AT88-216.711*'BMP P Tracking Table'!$AS88-83.853*'BMP P Tracking Table'!$AR88-42.834*'BMP P Tracking Table'!$AQ88)^2-(4*(149.919*'BMP P Tracking Table'!$AQ88+236.676*'BMP P Tracking Table'!$AR88+726*'BMP P Tracking Table'!$AS88+996.798*'BMP P Tracking Table'!$AT88)*-'BMP P Tracking Table'!$AW88)))/(2*(149.919*'BMP P Tracking Table'!$AQ88+236.676*'BMP P Tracking Table'!$AR88+726*'BMP P Tracking Table'!$AS88+996.798*'BMP P Tracking Table'!$AT88))))),MIN(2,IF('BMP P Tracking Table'!$AP88="Total Pervious",(-(3630*'BMP P Tracking Table'!$U88+20.691*'BMP P Tracking Table'!$AA88)+SQRT((3630*'BMP P Tracking Table'!$U88+20.691*'BMP P Tracking Table'!$AA88)^2-(4*(996.798*'BMP P Tracking Table'!$AA88)*-'BMP P Tracking Table'!$AW88)))/(2*(996.798*'BMP P Tracking Table'!$AA88)),IF(SUM('BMP P Tracking Table'!$W88:$Z88)=0,'BMP P Tracking Table'!$AW88/(-3630*'BMP P Tracking Table'!$U88),(-(3630*'BMP P Tracking Table'!$U88+20.691*'BMP P Tracking Table'!$Z88-216.711*'BMP P Tracking Table'!$Y88-83.853*'BMP P Tracking Table'!$X88-42.834*'BMP P Tracking Table'!$W88)+SQRT((3630*'BMP P Tracking Table'!$U88+20.691*'BMP P Tracking Table'!$Z88-216.711*'BMP P Tracking Table'!$Y88-83.853*'BMP P Tracking Table'!$X88-42.834*'BMP P Tracking Table'!$W88)^2-(4*(149.919*'BMP P Tracking Table'!$W88+236.676*'BMP P Tracking Table'!$X88+726*'BMP P Tracking Table'!$Y88+996.798*'BMP P Tracking Table'!$Z88)*-'BMP P Tracking Table'!$AW88)))/(2*(149.919*'BMP P Tracking Table'!$W88+236.676*'BMP P Tracking Table'!$X88+726*'BMP P Tracking Table'!$Y88+996.798*'BMP P Tracking Table'!$Z88)))))),"")</f>
        <v/>
      </c>
      <c r="BA88" s="101" t="str">
        <f>IFERROR((VLOOKUP(CONCATENATE('BMP P Tracking Table'!$AV88," ",'BMP P Tracking Table'!$AX88),'Performance Curves'!$C$1:$L$45,MATCH('BMP P Tracking Table'!$AZ88,'Performance Curves'!$E$1:$L$1,1)+2,FALSE)-VLOOKUP(CONCATENATE('BMP P Tracking Table'!$AV88," ",'BMP P Tracking Table'!$AX88),'Performance Curves'!$C$1:$L$45,MATCH('BMP P Tracking Table'!$AZ88,'Performance Curves'!$E$1:$L$1,1)+1,FALSE)),"")</f>
        <v/>
      </c>
      <c r="BB88" s="101" t="str">
        <f>IFERROR(('BMP P Tracking Table'!$AZ88-INDEX('Performance Curves'!$E$1:$L$1,1,MATCH('BMP P Tracking Table'!$AZ88,'Performance Curves'!$E$1:$L$1,1)))/(INDEX('Performance Curves'!$E$1:$L$1,1,MATCH('BMP P Tracking Table'!$AZ88,'Performance Curves'!$E$1:$L$1,1)+1)-INDEX('Performance Curves'!$E$1:$L$1,1,MATCH('BMP P Tracking Table'!$AZ88,'Performance Curves'!$E$1:$L$1,1))),"")</f>
        <v/>
      </c>
      <c r="BC88" s="102" t="str">
        <f>IFERROR(IF('BMP P Tracking Table'!$AZ88=2,VLOOKUP(CONCATENATE('BMP P Tracking Table'!$AV88," ",'BMP P Tracking Table'!$AX88),'Performance Curves'!$C$1:$L$44,MATCH('BMP P Tracking Table'!$AZ88,'Performance Curves'!$E$1:$L$1,1)+1,FALSE),'BMP P Tracking Table'!$BA88*'BMP P Tracking Table'!$BB88+VLOOKUP(CONCATENATE('BMP P Tracking Table'!$AV88," ",'BMP P Tracking Table'!$AX88),'Performance Curves'!$C$1:$L$44,MATCH('BMP P Tracking Table'!$AZ88,'Performance Curves'!$E$1:$L$1,1)+1,FALSE)),"")</f>
        <v/>
      </c>
      <c r="BD88" s="101" t="str">
        <f>IFERROR('BMP P Tracking Table'!$BC88*'BMP P Tracking Table'!$AY88,"")</f>
        <v/>
      </c>
      <c r="BE88" s="96"/>
      <c r="BF88" s="37">
        <f t="shared" si="11"/>
        <v>0</v>
      </c>
    </row>
    <row r="89" spans="1:58" x14ac:dyDescent="0.3">
      <c r="A89" s="169"/>
      <c r="B89" s="169"/>
      <c r="C89" s="169"/>
      <c r="D89" s="169"/>
      <c r="E89" s="170"/>
      <c r="F89" s="170"/>
      <c r="G89" s="169"/>
      <c r="H89" s="169"/>
      <c r="I89" s="169"/>
      <c r="J89" s="171"/>
      <c r="K89" s="169"/>
      <c r="L89" s="169"/>
      <c r="M89" s="169"/>
      <c r="N89" s="169"/>
      <c r="O89" s="169"/>
      <c r="P89" s="169"/>
      <c r="Q89" s="169" t="str">
        <f>IFERROR(VLOOKUP('BMP P Tracking Table'!$P89,Dropdowns!$C$2:$E$15,3,FALSE),"")</f>
        <v/>
      </c>
      <c r="R89" s="169" t="str">
        <f>IFERROR(VLOOKUP('BMP P Tracking Table'!$Q89,Dropdowns!$P$3:$Q$23,2,FALSE),"")</f>
        <v/>
      </c>
      <c r="S89" s="169"/>
      <c r="T89" s="169"/>
      <c r="U89" s="169"/>
      <c r="V89" s="169"/>
      <c r="W89" s="169"/>
      <c r="X89" s="169"/>
      <c r="Y89" s="169"/>
      <c r="Z89" s="169"/>
      <c r="AA89" s="169"/>
      <c r="AB89" s="174"/>
      <c r="AC89" s="169"/>
      <c r="AD89" s="175" t="str">
        <f>IFERROR('BMP P Tracking Table'!$U89*VLOOKUP('BMP P Tracking Table'!$Q89,'Loading Rates'!$B$1:$L$24,4,FALSE)+IF('BMP P Tracking Table'!$V89="By HSG",'BMP P Tracking Table'!$W89*VLOOKUP('BMP P Tracking Table'!$Q89,'Loading Rates'!$B$1:$L$24,6,FALSE)+'BMP P Tracking Table'!$X89*VLOOKUP('BMP P Tracking Table'!$Q89,'Loading Rates'!$B$1:$L$24,7,FALSE)+'BMP P Tracking Table'!$Y89*VLOOKUP('BMP P Tracking Table'!$Q89,'Loading Rates'!$B$1:$L$24,8,FALSE)+'BMP P Tracking Table'!$Z89*VLOOKUP('BMP P Tracking Table'!$Q89,'Loading Rates'!$B$1:$L$24,9,FALSE),'BMP P Tracking Table'!$AA89*VLOOKUP('BMP P Tracking Table'!$Q89,'Loading Rates'!$B$1:$L$24,10,FALSE)),"")</f>
        <v/>
      </c>
      <c r="AE89" s="175" t="str">
        <f>IFERROR(MIN(2,IF('BMP P Tracking Table'!$V89="Total Pervious",(-(3630*'BMP P Tracking Table'!$U89+20.691*'BMP P Tracking Table'!$AA89)+SQRT((3630*'BMP P Tracking Table'!$U89+20.691*'BMP P Tracking Table'!$AA89)^2-(4*(996.798*'BMP P Tracking Table'!$AA89)*-'BMP P Tracking Table'!$AB89)))/(2*(996.798*'BMP P Tracking Table'!$AA89)),IF(SUM('BMP P Tracking Table'!$W89:$Z89)=0,'BMP P Tracking Table'!$AB89/(-3630*'BMP P Tracking Table'!$U89),(-(3630*'BMP P Tracking Table'!$U89+20.691*'BMP P Tracking Table'!$Z89-216.711*'BMP P Tracking Table'!$Y89-83.853*'BMP P Tracking Table'!$X89-42.834*'BMP P Tracking Table'!$W89)+SQRT((3630*'BMP P Tracking Table'!$U89+20.691*'BMP P Tracking Table'!$Z89-216.711*'BMP P Tracking Table'!$Y89-83.853*'BMP P Tracking Table'!$X89-42.834*'BMP P Tracking Table'!$W89)^2-(4*(149.919*'BMP P Tracking Table'!$W89+236.676*'BMP P Tracking Table'!$X89+726*'BMP P Tracking Table'!$Y89+996.798*'BMP P Tracking Table'!$Z89)*-'BMP P Tracking Table'!$AB89)))/(2*(149.919*'BMP P Tracking Table'!$W89+236.676*'BMP P Tracking Table'!$X89+726*'BMP P Tracking Table'!$Y89+996.798*'BMP P Tracking Table'!$Z89))))),"")</f>
        <v/>
      </c>
      <c r="AF89" s="175" t="str">
        <f>IFERROR((VLOOKUP(CONCATENATE('BMP P Tracking Table'!$T89," ",'BMP P Tracking Table'!$AC89),'Performance Curves'!$C$1:$L$45,MATCH('BMP P Tracking Table'!$AE89,'Performance Curves'!$E$1:$L$1,1)+2,FALSE)-VLOOKUP(CONCATENATE('BMP P Tracking Table'!$T89," ",'BMP P Tracking Table'!$AC89),'Performance Curves'!$C$1:$L$45,MATCH('BMP P Tracking Table'!$AE89,'Performance Curves'!$E$1:$L$1,1)+1,FALSE)),"")</f>
        <v/>
      </c>
      <c r="AG89" s="175" t="str">
        <f>IFERROR(('BMP P Tracking Table'!$AE89-INDEX('Performance Curves'!$E$1:$L$1,1,MATCH('BMP P Tracking Table'!$AE89,'Performance Curves'!$E$1:$L$1,1)))/(INDEX('Performance Curves'!$E$1:$L$1,1,MATCH('BMP P Tracking Table'!$AE89,'Performance Curves'!$E$1:$L$1,1)+1)-INDEX('Performance Curves'!$E$1:$L$1,1,MATCH('BMP P Tracking Table'!$AE89,'Performance Curves'!$E$1:$L$1,1))),"")</f>
        <v/>
      </c>
      <c r="AH89" s="176" t="str">
        <f>IFERROR(IF('BMP P Tracking Table'!$AE89=2,VLOOKUP(CONCATENATE('BMP P Tracking Table'!$T89," ",'BMP P Tracking Table'!$AC89),'Performance Curves'!$C$1:$L$45,MATCH('BMP P Tracking Table'!$AE89,'Performance Curves'!$E$1:$L$1,1)+1,FALSE),'BMP P Tracking Table'!$AF89*'BMP P Tracking Table'!$AG89+VLOOKUP(CONCATENATE('BMP P Tracking Table'!$T89," ",'BMP P Tracking Table'!$AC89),'Performance Curves'!$C$1:$L$45,MATCH('BMP P Tracking Table'!$AE89,'Performance Curves'!$E$1:$L$1,1)+1,FALSE)),"")</f>
        <v/>
      </c>
      <c r="AI89" s="175" t="str">
        <f>IFERROR('BMP P Tracking Table'!$AH89*'BMP P Tracking Table'!$AD89,"")</f>
        <v/>
      </c>
      <c r="AJ89" s="169"/>
      <c r="AK89" s="173"/>
      <c r="AL89" s="173"/>
      <c r="AM89" s="177"/>
      <c r="AN89" s="178" t="str">
        <f t="shared" si="8"/>
        <v/>
      </c>
      <c r="AO89" s="96"/>
      <c r="AP89" s="96"/>
      <c r="AQ89" s="96"/>
      <c r="AR89" s="96"/>
      <c r="AS89" s="96"/>
      <c r="AT89" s="96"/>
      <c r="AU89" s="96"/>
      <c r="AV89" s="64"/>
      <c r="AW89" s="97"/>
      <c r="AX89" s="97"/>
      <c r="AY89" s="101" t="str">
        <f>IF('BMP P Tracking Table'!$AK89="Yes",IF('BMP P Tracking Table'!$AL89="No",'BMP P Tracking Table'!$U89*VLOOKUP('BMP P Tracking Table'!$Q89,'Loading Rates'!$B$1:$L$24,4,FALSE)+IF('BMP P Tracking Table'!$V89="By HSG",'BMP P Tracking Table'!$W89*VLOOKUP('BMP P Tracking Table'!$Q89,'Loading Rates'!$B$1:$L$24,6,FALSE)+'BMP P Tracking Table'!$X89*VLOOKUP('BMP P Tracking Table'!$Q89,'Loading Rates'!$B$1:$L$24,7,FALSE)+'BMP P Tracking Table'!$Y89*VLOOKUP('BMP P Tracking Table'!$Q89,'Loading Rates'!$B$1:$L$24,8,FALSE)+'BMP P Tracking Table'!$Z89*VLOOKUP('BMP P Tracking Table'!$Q89,'Loading Rates'!$B$1:$L$24,9,FALSE),'BMP P Tracking Table'!$AA89*VLOOKUP('BMP P Tracking Table'!$Q89,'Loading Rates'!$B$1:$L$24,10,FALSE)),'BMP P Tracking Table'!$AO89*VLOOKUP('BMP P Tracking Table'!$Q89,'Loading Rates'!$B$1:$L$24,4,FALSE)+IF('BMP P Tracking Table'!$AP89="By HSG",'BMP P Tracking Table'!$AQ89*VLOOKUP('BMP P Tracking Table'!$Q89,'Loading Rates'!$B$1:$L$24,6,FALSE)+'BMP P Tracking Table'!$AR89*VLOOKUP('BMP P Tracking Table'!$Q89,'Loading Rates'!$B$1:$L$24,7,FALSE)+'BMP P Tracking Table'!$AS89*VLOOKUP('BMP P Tracking Table'!$Q89,'Loading Rates'!$B$1:$L$24,8,FALSE)+'BMP P Tracking Table'!$AT89*VLOOKUP('BMP P Tracking Table'!$Q89,'Loading Rates'!$B$1:$L$24,9,FALSE),'BMP P Tracking Table'!$AU89*VLOOKUP('BMP P Tracking Table'!$Q89,'Loading Rates'!$B$1:$L$24,10,FALSE))),"")</f>
        <v/>
      </c>
      <c r="AZ89" s="101" t="str">
        <f>IFERROR(IF('BMP P Tracking Table'!$AL89="Yes",MIN(2,IF('BMP P Tracking Table'!$AP89="Total Pervious",(-(3630*'BMP P Tracking Table'!$AO89+20.691*'BMP P Tracking Table'!$AU89)+SQRT((3630*'BMP P Tracking Table'!$AO89+20.691*'BMP P Tracking Table'!$AU89)^2-(4*(996.798*'BMP P Tracking Table'!$AU89)*-'BMP P Tracking Table'!$AW89)))/(2*(996.798*'BMP P Tracking Table'!$AU89)),IF(SUM('BMP P Tracking Table'!$AQ89:$AT89)=0,'BMP P Tracking Table'!$AU89/(-3630*'BMP P Tracking Table'!$AO89),(-(3630*'BMP P Tracking Table'!$AO89+20.691*'BMP P Tracking Table'!$AT89-216.711*'BMP P Tracking Table'!$AS89-83.853*'BMP P Tracking Table'!$AR89-42.834*'BMP P Tracking Table'!$AQ89)+SQRT((3630*'BMP P Tracking Table'!$AO89+20.691*'BMP P Tracking Table'!$AT89-216.711*'BMP P Tracking Table'!$AS89-83.853*'BMP P Tracking Table'!$AR89-42.834*'BMP P Tracking Table'!$AQ89)^2-(4*(149.919*'BMP P Tracking Table'!$AQ89+236.676*'BMP P Tracking Table'!$AR89+726*'BMP P Tracking Table'!$AS89+996.798*'BMP P Tracking Table'!$AT89)*-'BMP P Tracking Table'!$AW89)))/(2*(149.919*'BMP P Tracking Table'!$AQ89+236.676*'BMP P Tracking Table'!$AR89+726*'BMP P Tracking Table'!$AS89+996.798*'BMP P Tracking Table'!$AT89))))),MIN(2,IF('BMP P Tracking Table'!$AP89="Total Pervious",(-(3630*'BMP P Tracking Table'!$U89+20.691*'BMP P Tracking Table'!$AA89)+SQRT((3630*'BMP P Tracking Table'!$U89+20.691*'BMP P Tracking Table'!$AA89)^2-(4*(996.798*'BMP P Tracking Table'!$AA89)*-'BMP P Tracking Table'!$AW89)))/(2*(996.798*'BMP P Tracking Table'!$AA89)),IF(SUM('BMP P Tracking Table'!$W89:$Z89)=0,'BMP P Tracking Table'!$AW89/(-3630*'BMP P Tracking Table'!$U89),(-(3630*'BMP P Tracking Table'!$U89+20.691*'BMP P Tracking Table'!$Z89-216.711*'BMP P Tracking Table'!$Y89-83.853*'BMP P Tracking Table'!$X89-42.834*'BMP P Tracking Table'!$W89)+SQRT((3630*'BMP P Tracking Table'!$U89+20.691*'BMP P Tracking Table'!$Z89-216.711*'BMP P Tracking Table'!$Y89-83.853*'BMP P Tracking Table'!$X89-42.834*'BMP P Tracking Table'!$W89)^2-(4*(149.919*'BMP P Tracking Table'!$W89+236.676*'BMP P Tracking Table'!$X89+726*'BMP P Tracking Table'!$Y89+996.798*'BMP P Tracking Table'!$Z89)*-'BMP P Tracking Table'!$AW89)))/(2*(149.919*'BMP P Tracking Table'!$W89+236.676*'BMP P Tracking Table'!$X89+726*'BMP P Tracking Table'!$Y89+996.798*'BMP P Tracking Table'!$Z89)))))),"")</f>
        <v/>
      </c>
      <c r="BA89" s="101" t="str">
        <f>IFERROR((VLOOKUP(CONCATENATE('BMP P Tracking Table'!$AV89," ",'BMP P Tracking Table'!$AX89),'Performance Curves'!$C$1:$L$45,MATCH('BMP P Tracking Table'!$AZ89,'Performance Curves'!$E$1:$L$1,1)+2,FALSE)-VLOOKUP(CONCATENATE('BMP P Tracking Table'!$AV89," ",'BMP P Tracking Table'!$AX89),'Performance Curves'!$C$1:$L$45,MATCH('BMP P Tracking Table'!$AZ89,'Performance Curves'!$E$1:$L$1,1)+1,FALSE)),"")</f>
        <v/>
      </c>
      <c r="BB89" s="101" t="str">
        <f>IFERROR(('BMP P Tracking Table'!$AZ89-INDEX('Performance Curves'!$E$1:$L$1,1,MATCH('BMP P Tracking Table'!$AZ89,'Performance Curves'!$E$1:$L$1,1)))/(INDEX('Performance Curves'!$E$1:$L$1,1,MATCH('BMP P Tracking Table'!$AZ89,'Performance Curves'!$E$1:$L$1,1)+1)-INDEX('Performance Curves'!$E$1:$L$1,1,MATCH('BMP P Tracking Table'!$AZ89,'Performance Curves'!$E$1:$L$1,1))),"")</f>
        <v/>
      </c>
      <c r="BC89" s="102" t="str">
        <f>IFERROR(IF('BMP P Tracking Table'!$AZ89=2,VLOOKUP(CONCATENATE('BMP P Tracking Table'!$AV89," ",'BMP P Tracking Table'!$AX89),'Performance Curves'!$C$1:$L$44,MATCH('BMP P Tracking Table'!$AZ89,'Performance Curves'!$E$1:$L$1,1)+1,FALSE),'BMP P Tracking Table'!$BA89*'BMP P Tracking Table'!$BB89+VLOOKUP(CONCATENATE('BMP P Tracking Table'!$AV89," ",'BMP P Tracking Table'!$AX89),'Performance Curves'!$C$1:$L$44,MATCH('BMP P Tracking Table'!$AZ89,'Performance Curves'!$E$1:$L$1,1)+1,FALSE)),"")</f>
        <v/>
      </c>
      <c r="BD89" s="101" t="str">
        <f>IFERROR('BMP P Tracking Table'!$BC89*'BMP P Tracking Table'!$AY89,"")</f>
        <v/>
      </c>
      <c r="BE89" s="96"/>
      <c r="BF89" s="37">
        <f t="shared" si="11"/>
        <v>0</v>
      </c>
    </row>
    <row r="90" spans="1:58" x14ac:dyDescent="0.3">
      <c r="A90" s="169"/>
      <c r="B90" s="169"/>
      <c r="C90" s="169"/>
      <c r="D90" s="169"/>
      <c r="E90" s="170"/>
      <c r="F90" s="170"/>
      <c r="G90" s="169"/>
      <c r="H90" s="169"/>
      <c r="I90" s="169"/>
      <c r="J90" s="171"/>
      <c r="K90" s="169"/>
      <c r="L90" s="169"/>
      <c r="M90" s="169"/>
      <c r="N90" s="169"/>
      <c r="O90" s="169"/>
      <c r="P90" s="169"/>
      <c r="Q90" s="169" t="str">
        <f>IFERROR(VLOOKUP('BMP P Tracking Table'!$P90,Dropdowns!$C$2:$E$15,3,FALSE),"")</f>
        <v/>
      </c>
      <c r="R90" s="169" t="str">
        <f>IFERROR(VLOOKUP('BMP P Tracking Table'!$Q90,Dropdowns!$P$3:$Q$23,2,FALSE),"")</f>
        <v/>
      </c>
      <c r="S90" s="169"/>
      <c r="T90" s="169"/>
      <c r="U90" s="169"/>
      <c r="V90" s="169"/>
      <c r="W90" s="169"/>
      <c r="X90" s="169"/>
      <c r="Y90" s="169"/>
      <c r="Z90" s="169"/>
      <c r="AA90" s="169"/>
      <c r="AB90" s="174"/>
      <c r="AC90" s="169"/>
      <c r="AD90" s="175" t="str">
        <f>IFERROR('BMP P Tracking Table'!$U90*VLOOKUP('BMP P Tracking Table'!$Q90,'Loading Rates'!$B$1:$L$24,4,FALSE)+IF('BMP P Tracking Table'!$V90="By HSG",'BMP P Tracking Table'!$W90*VLOOKUP('BMP P Tracking Table'!$Q90,'Loading Rates'!$B$1:$L$24,6,FALSE)+'BMP P Tracking Table'!$X90*VLOOKUP('BMP P Tracking Table'!$Q90,'Loading Rates'!$B$1:$L$24,7,FALSE)+'BMP P Tracking Table'!$Y90*VLOOKUP('BMP P Tracking Table'!$Q90,'Loading Rates'!$B$1:$L$24,8,FALSE)+'BMP P Tracking Table'!$Z90*VLOOKUP('BMP P Tracking Table'!$Q90,'Loading Rates'!$B$1:$L$24,9,FALSE),'BMP P Tracking Table'!$AA90*VLOOKUP('BMP P Tracking Table'!$Q90,'Loading Rates'!$B$1:$L$24,10,FALSE)),"")</f>
        <v/>
      </c>
      <c r="AE90" s="175" t="str">
        <f>IFERROR(MIN(2,IF('BMP P Tracking Table'!$V90="Total Pervious",(-(3630*'BMP P Tracking Table'!$U90+20.691*'BMP P Tracking Table'!$AA90)+SQRT((3630*'BMP P Tracking Table'!$U90+20.691*'BMP P Tracking Table'!$AA90)^2-(4*(996.798*'BMP P Tracking Table'!$AA90)*-'BMP P Tracking Table'!$AB90)))/(2*(996.798*'BMP P Tracking Table'!$AA90)),IF(SUM('BMP P Tracking Table'!$W90:$Z90)=0,'BMP P Tracking Table'!$AB90/(-3630*'BMP P Tracking Table'!$U90),(-(3630*'BMP P Tracking Table'!$U90+20.691*'BMP P Tracking Table'!$Z90-216.711*'BMP P Tracking Table'!$Y90-83.853*'BMP P Tracking Table'!$X90-42.834*'BMP P Tracking Table'!$W90)+SQRT((3630*'BMP P Tracking Table'!$U90+20.691*'BMP P Tracking Table'!$Z90-216.711*'BMP P Tracking Table'!$Y90-83.853*'BMP P Tracking Table'!$X90-42.834*'BMP P Tracking Table'!$W90)^2-(4*(149.919*'BMP P Tracking Table'!$W90+236.676*'BMP P Tracking Table'!$X90+726*'BMP P Tracking Table'!$Y90+996.798*'BMP P Tracking Table'!$Z90)*-'BMP P Tracking Table'!$AB90)))/(2*(149.919*'BMP P Tracking Table'!$W90+236.676*'BMP P Tracking Table'!$X90+726*'BMP P Tracking Table'!$Y90+996.798*'BMP P Tracking Table'!$Z90))))),"")</f>
        <v/>
      </c>
      <c r="AF90" s="175" t="str">
        <f>IFERROR((VLOOKUP(CONCATENATE('BMP P Tracking Table'!$T90," ",'BMP P Tracking Table'!$AC90),'Performance Curves'!$C$1:$L$45,MATCH('BMP P Tracking Table'!$AE90,'Performance Curves'!$E$1:$L$1,1)+2,FALSE)-VLOOKUP(CONCATENATE('BMP P Tracking Table'!$T90," ",'BMP P Tracking Table'!$AC90),'Performance Curves'!$C$1:$L$45,MATCH('BMP P Tracking Table'!$AE90,'Performance Curves'!$E$1:$L$1,1)+1,FALSE)),"")</f>
        <v/>
      </c>
      <c r="AG90" s="175" t="str">
        <f>IFERROR(('BMP P Tracking Table'!$AE90-INDEX('Performance Curves'!$E$1:$L$1,1,MATCH('BMP P Tracking Table'!$AE90,'Performance Curves'!$E$1:$L$1,1)))/(INDEX('Performance Curves'!$E$1:$L$1,1,MATCH('BMP P Tracking Table'!$AE90,'Performance Curves'!$E$1:$L$1,1)+1)-INDEX('Performance Curves'!$E$1:$L$1,1,MATCH('BMP P Tracking Table'!$AE90,'Performance Curves'!$E$1:$L$1,1))),"")</f>
        <v/>
      </c>
      <c r="AH90" s="176" t="str">
        <f>IFERROR(IF('BMP P Tracking Table'!$AE90=2,VLOOKUP(CONCATENATE('BMP P Tracking Table'!$T90," ",'BMP P Tracking Table'!$AC90),'Performance Curves'!$C$1:$L$45,MATCH('BMP P Tracking Table'!$AE90,'Performance Curves'!$E$1:$L$1,1)+1,FALSE),'BMP P Tracking Table'!$AF90*'BMP P Tracking Table'!$AG90+VLOOKUP(CONCATENATE('BMP P Tracking Table'!$T90," ",'BMP P Tracking Table'!$AC90),'Performance Curves'!$C$1:$L$45,MATCH('BMP P Tracking Table'!$AE90,'Performance Curves'!$E$1:$L$1,1)+1,FALSE)),"")</f>
        <v/>
      </c>
      <c r="AI90" s="175" t="str">
        <f>IFERROR('BMP P Tracking Table'!$AH90*'BMP P Tracking Table'!$AD90,"")</f>
        <v/>
      </c>
      <c r="AJ90" s="169"/>
      <c r="AK90" s="173"/>
      <c r="AL90" s="173"/>
      <c r="AM90" s="177"/>
      <c r="AN90" s="178" t="str">
        <f t="shared" ref="AN90:AN153" si="14">IF(AK90="Yes",IF(BF90&gt;0,IF(ISBLANK(AJ90),AI90,AJ90)-IF(ISBLANK(BE90),BD90,BE90),"Enter Info --&gt;"),IF(ISBLANK(AJ90),AI90,AJ90))</f>
        <v/>
      </c>
      <c r="AO90" s="96"/>
      <c r="AP90" s="96"/>
      <c r="AQ90" s="96"/>
      <c r="AR90" s="96"/>
      <c r="AS90" s="96"/>
      <c r="AT90" s="96"/>
      <c r="AU90" s="96"/>
      <c r="AV90" s="64"/>
      <c r="AW90" s="97"/>
      <c r="AX90" s="97"/>
      <c r="AY90" s="101" t="str">
        <f>IF('BMP P Tracking Table'!$AK90="Yes",IF('BMP P Tracking Table'!$AL90="No",'BMP P Tracking Table'!$U90*VLOOKUP('BMP P Tracking Table'!$Q90,'Loading Rates'!$B$1:$L$24,4,FALSE)+IF('BMP P Tracking Table'!$V90="By HSG",'BMP P Tracking Table'!$W90*VLOOKUP('BMP P Tracking Table'!$Q90,'Loading Rates'!$B$1:$L$24,6,FALSE)+'BMP P Tracking Table'!$X90*VLOOKUP('BMP P Tracking Table'!$Q90,'Loading Rates'!$B$1:$L$24,7,FALSE)+'BMP P Tracking Table'!$Y90*VLOOKUP('BMP P Tracking Table'!$Q90,'Loading Rates'!$B$1:$L$24,8,FALSE)+'BMP P Tracking Table'!$Z90*VLOOKUP('BMP P Tracking Table'!$Q90,'Loading Rates'!$B$1:$L$24,9,FALSE),'BMP P Tracking Table'!$AA90*VLOOKUP('BMP P Tracking Table'!$Q90,'Loading Rates'!$B$1:$L$24,10,FALSE)),'BMP P Tracking Table'!$AO90*VLOOKUP('BMP P Tracking Table'!$Q90,'Loading Rates'!$B$1:$L$24,4,FALSE)+IF('BMP P Tracking Table'!$AP90="By HSG",'BMP P Tracking Table'!$AQ90*VLOOKUP('BMP P Tracking Table'!$Q90,'Loading Rates'!$B$1:$L$24,6,FALSE)+'BMP P Tracking Table'!$AR90*VLOOKUP('BMP P Tracking Table'!$Q90,'Loading Rates'!$B$1:$L$24,7,FALSE)+'BMP P Tracking Table'!$AS90*VLOOKUP('BMP P Tracking Table'!$Q90,'Loading Rates'!$B$1:$L$24,8,FALSE)+'BMP P Tracking Table'!$AT90*VLOOKUP('BMP P Tracking Table'!$Q90,'Loading Rates'!$B$1:$L$24,9,FALSE),'BMP P Tracking Table'!$AU90*VLOOKUP('BMP P Tracking Table'!$Q90,'Loading Rates'!$B$1:$L$24,10,FALSE))),"")</f>
        <v/>
      </c>
      <c r="AZ90" s="101" t="str">
        <f>IFERROR(IF('BMP P Tracking Table'!$AL90="Yes",MIN(2,IF('BMP P Tracking Table'!$AP90="Total Pervious",(-(3630*'BMP P Tracking Table'!$AO90+20.691*'BMP P Tracking Table'!$AU90)+SQRT((3630*'BMP P Tracking Table'!$AO90+20.691*'BMP P Tracking Table'!$AU90)^2-(4*(996.798*'BMP P Tracking Table'!$AU90)*-'BMP P Tracking Table'!$AW90)))/(2*(996.798*'BMP P Tracking Table'!$AU90)),IF(SUM('BMP P Tracking Table'!$AQ90:$AT90)=0,'BMP P Tracking Table'!$AU90/(-3630*'BMP P Tracking Table'!$AO90),(-(3630*'BMP P Tracking Table'!$AO90+20.691*'BMP P Tracking Table'!$AT90-216.711*'BMP P Tracking Table'!$AS90-83.853*'BMP P Tracking Table'!$AR90-42.834*'BMP P Tracking Table'!$AQ90)+SQRT((3630*'BMP P Tracking Table'!$AO90+20.691*'BMP P Tracking Table'!$AT90-216.711*'BMP P Tracking Table'!$AS90-83.853*'BMP P Tracking Table'!$AR90-42.834*'BMP P Tracking Table'!$AQ90)^2-(4*(149.919*'BMP P Tracking Table'!$AQ90+236.676*'BMP P Tracking Table'!$AR90+726*'BMP P Tracking Table'!$AS90+996.798*'BMP P Tracking Table'!$AT90)*-'BMP P Tracking Table'!$AW90)))/(2*(149.919*'BMP P Tracking Table'!$AQ90+236.676*'BMP P Tracking Table'!$AR90+726*'BMP P Tracking Table'!$AS90+996.798*'BMP P Tracking Table'!$AT90))))),MIN(2,IF('BMP P Tracking Table'!$AP90="Total Pervious",(-(3630*'BMP P Tracking Table'!$U90+20.691*'BMP P Tracking Table'!$AA90)+SQRT((3630*'BMP P Tracking Table'!$U90+20.691*'BMP P Tracking Table'!$AA90)^2-(4*(996.798*'BMP P Tracking Table'!$AA90)*-'BMP P Tracking Table'!$AW90)))/(2*(996.798*'BMP P Tracking Table'!$AA90)),IF(SUM('BMP P Tracking Table'!$W90:$Z90)=0,'BMP P Tracking Table'!$AW90/(-3630*'BMP P Tracking Table'!$U90),(-(3630*'BMP P Tracking Table'!$U90+20.691*'BMP P Tracking Table'!$Z90-216.711*'BMP P Tracking Table'!$Y90-83.853*'BMP P Tracking Table'!$X90-42.834*'BMP P Tracking Table'!$W90)+SQRT((3630*'BMP P Tracking Table'!$U90+20.691*'BMP P Tracking Table'!$Z90-216.711*'BMP P Tracking Table'!$Y90-83.853*'BMP P Tracking Table'!$X90-42.834*'BMP P Tracking Table'!$W90)^2-(4*(149.919*'BMP P Tracking Table'!$W90+236.676*'BMP P Tracking Table'!$X90+726*'BMP P Tracking Table'!$Y90+996.798*'BMP P Tracking Table'!$Z90)*-'BMP P Tracking Table'!$AW90)))/(2*(149.919*'BMP P Tracking Table'!$W90+236.676*'BMP P Tracking Table'!$X90+726*'BMP P Tracking Table'!$Y90+996.798*'BMP P Tracking Table'!$Z90)))))),"")</f>
        <v/>
      </c>
      <c r="BA90" s="101" t="str">
        <f>IFERROR((VLOOKUP(CONCATENATE('BMP P Tracking Table'!$AV90," ",'BMP P Tracking Table'!$AX90),'Performance Curves'!$C$1:$L$45,MATCH('BMP P Tracking Table'!$AZ90,'Performance Curves'!$E$1:$L$1,1)+2,FALSE)-VLOOKUP(CONCATENATE('BMP P Tracking Table'!$AV90," ",'BMP P Tracking Table'!$AX90),'Performance Curves'!$C$1:$L$45,MATCH('BMP P Tracking Table'!$AZ90,'Performance Curves'!$E$1:$L$1,1)+1,FALSE)),"")</f>
        <v/>
      </c>
      <c r="BB90" s="101" t="str">
        <f>IFERROR(('BMP P Tracking Table'!$AZ90-INDEX('Performance Curves'!$E$1:$L$1,1,MATCH('BMP P Tracking Table'!$AZ90,'Performance Curves'!$E$1:$L$1,1)))/(INDEX('Performance Curves'!$E$1:$L$1,1,MATCH('BMP P Tracking Table'!$AZ90,'Performance Curves'!$E$1:$L$1,1)+1)-INDEX('Performance Curves'!$E$1:$L$1,1,MATCH('BMP P Tracking Table'!$AZ90,'Performance Curves'!$E$1:$L$1,1))),"")</f>
        <v/>
      </c>
      <c r="BC90" s="102" t="str">
        <f>IFERROR(IF('BMP P Tracking Table'!$AZ90=2,VLOOKUP(CONCATENATE('BMP P Tracking Table'!$AV90," ",'BMP P Tracking Table'!$AX90),'Performance Curves'!$C$1:$L$44,MATCH('BMP P Tracking Table'!$AZ90,'Performance Curves'!$E$1:$L$1,1)+1,FALSE),'BMP P Tracking Table'!$BA90*'BMP P Tracking Table'!$BB90+VLOOKUP(CONCATENATE('BMP P Tracking Table'!$AV90," ",'BMP P Tracking Table'!$AX90),'Performance Curves'!$C$1:$L$44,MATCH('BMP P Tracking Table'!$AZ90,'Performance Curves'!$E$1:$L$1,1)+1,FALSE)),"")</f>
        <v/>
      </c>
      <c r="BD90" s="101" t="str">
        <f>IFERROR('BMP P Tracking Table'!$BC90*'BMP P Tracking Table'!$AY90,"")</f>
        <v/>
      </c>
      <c r="BE90" s="96"/>
      <c r="BF90" s="37">
        <f t="shared" si="11"/>
        <v>0</v>
      </c>
    </row>
    <row r="91" spans="1:58" x14ac:dyDescent="0.3">
      <c r="A91" s="169"/>
      <c r="B91" s="169"/>
      <c r="C91" s="169"/>
      <c r="D91" s="169"/>
      <c r="E91" s="170"/>
      <c r="F91" s="170"/>
      <c r="G91" s="169"/>
      <c r="H91" s="169"/>
      <c r="I91" s="169"/>
      <c r="J91" s="171"/>
      <c r="K91" s="169"/>
      <c r="L91" s="169"/>
      <c r="M91" s="169"/>
      <c r="N91" s="169"/>
      <c r="O91" s="169"/>
      <c r="P91" s="169"/>
      <c r="Q91" s="169" t="str">
        <f>IFERROR(VLOOKUP('BMP P Tracking Table'!$P91,Dropdowns!$C$2:$E$15,3,FALSE),"")</f>
        <v/>
      </c>
      <c r="R91" s="169" t="str">
        <f>IFERROR(VLOOKUP('BMP P Tracking Table'!$Q91,Dropdowns!$P$3:$Q$23,2,FALSE),"")</f>
        <v/>
      </c>
      <c r="S91" s="169"/>
      <c r="T91" s="169"/>
      <c r="U91" s="169"/>
      <c r="V91" s="169"/>
      <c r="W91" s="169"/>
      <c r="X91" s="169"/>
      <c r="Y91" s="169"/>
      <c r="Z91" s="169"/>
      <c r="AA91" s="169"/>
      <c r="AB91" s="174"/>
      <c r="AC91" s="169"/>
      <c r="AD91" s="175" t="str">
        <f>IFERROR('BMP P Tracking Table'!$U91*VLOOKUP('BMP P Tracking Table'!$Q91,'Loading Rates'!$B$1:$L$24,4,FALSE)+IF('BMP P Tracking Table'!$V91="By HSG",'BMP P Tracking Table'!$W91*VLOOKUP('BMP P Tracking Table'!$Q91,'Loading Rates'!$B$1:$L$24,6,FALSE)+'BMP P Tracking Table'!$X91*VLOOKUP('BMP P Tracking Table'!$Q91,'Loading Rates'!$B$1:$L$24,7,FALSE)+'BMP P Tracking Table'!$Y91*VLOOKUP('BMP P Tracking Table'!$Q91,'Loading Rates'!$B$1:$L$24,8,FALSE)+'BMP P Tracking Table'!$Z91*VLOOKUP('BMP P Tracking Table'!$Q91,'Loading Rates'!$B$1:$L$24,9,FALSE),'BMP P Tracking Table'!$AA91*VLOOKUP('BMP P Tracking Table'!$Q91,'Loading Rates'!$B$1:$L$24,10,FALSE)),"")</f>
        <v/>
      </c>
      <c r="AE91" s="175" t="str">
        <f>IFERROR(MIN(2,IF('BMP P Tracking Table'!$V91="Total Pervious",(-(3630*'BMP P Tracking Table'!$U91+20.691*'BMP P Tracking Table'!$AA91)+SQRT((3630*'BMP P Tracking Table'!$U91+20.691*'BMP P Tracking Table'!$AA91)^2-(4*(996.798*'BMP P Tracking Table'!$AA91)*-'BMP P Tracking Table'!$AB91)))/(2*(996.798*'BMP P Tracking Table'!$AA91)),IF(SUM('BMP P Tracking Table'!$W91:$Z91)=0,'BMP P Tracking Table'!$AB91/(-3630*'BMP P Tracking Table'!$U91),(-(3630*'BMP P Tracking Table'!$U91+20.691*'BMP P Tracking Table'!$Z91-216.711*'BMP P Tracking Table'!$Y91-83.853*'BMP P Tracking Table'!$X91-42.834*'BMP P Tracking Table'!$W91)+SQRT((3630*'BMP P Tracking Table'!$U91+20.691*'BMP P Tracking Table'!$Z91-216.711*'BMP P Tracking Table'!$Y91-83.853*'BMP P Tracking Table'!$X91-42.834*'BMP P Tracking Table'!$W91)^2-(4*(149.919*'BMP P Tracking Table'!$W91+236.676*'BMP P Tracking Table'!$X91+726*'BMP P Tracking Table'!$Y91+996.798*'BMP P Tracking Table'!$Z91)*-'BMP P Tracking Table'!$AB91)))/(2*(149.919*'BMP P Tracking Table'!$W91+236.676*'BMP P Tracking Table'!$X91+726*'BMP P Tracking Table'!$Y91+996.798*'BMP P Tracking Table'!$Z91))))),"")</f>
        <v/>
      </c>
      <c r="AF91" s="175" t="str">
        <f>IFERROR((VLOOKUP(CONCATENATE('BMP P Tracking Table'!$T91," ",'BMP P Tracking Table'!$AC91),'Performance Curves'!$C$1:$L$45,MATCH('BMP P Tracking Table'!$AE91,'Performance Curves'!$E$1:$L$1,1)+2,FALSE)-VLOOKUP(CONCATENATE('BMP P Tracking Table'!$T91," ",'BMP P Tracking Table'!$AC91),'Performance Curves'!$C$1:$L$45,MATCH('BMP P Tracking Table'!$AE91,'Performance Curves'!$E$1:$L$1,1)+1,FALSE)),"")</f>
        <v/>
      </c>
      <c r="AG91" s="175" t="str">
        <f>IFERROR(('BMP P Tracking Table'!$AE91-INDEX('Performance Curves'!$E$1:$L$1,1,MATCH('BMP P Tracking Table'!$AE91,'Performance Curves'!$E$1:$L$1,1)))/(INDEX('Performance Curves'!$E$1:$L$1,1,MATCH('BMP P Tracking Table'!$AE91,'Performance Curves'!$E$1:$L$1,1)+1)-INDEX('Performance Curves'!$E$1:$L$1,1,MATCH('BMP P Tracking Table'!$AE91,'Performance Curves'!$E$1:$L$1,1))),"")</f>
        <v/>
      </c>
      <c r="AH91" s="176" t="str">
        <f>IFERROR(IF('BMP P Tracking Table'!$AE91=2,VLOOKUP(CONCATENATE('BMP P Tracking Table'!$T91," ",'BMP P Tracking Table'!$AC91),'Performance Curves'!$C$1:$L$45,MATCH('BMP P Tracking Table'!$AE91,'Performance Curves'!$E$1:$L$1,1)+1,FALSE),'BMP P Tracking Table'!$AF91*'BMP P Tracking Table'!$AG91+VLOOKUP(CONCATENATE('BMP P Tracking Table'!$T91," ",'BMP P Tracking Table'!$AC91),'Performance Curves'!$C$1:$L$45,MATCH('BMP P Tracking Table'!$AE91,'Performance Curves'!$E$1:$L$1,1)+1,FALSE)),"")</f>
        <v/>
      </c>
      <c r="AI91" s="175" t="str">
        <f>IFERROR('BMP P Tracking Table'!$AH91*'BMP P Tracking Table'!$AD91,"")</f>
        <v/>
      </c>
      <c r="AJ91" s="169"/>
      <c r="AK91" s="173"/>
      <c r="AL91" s="173"/>
      <c r="AM91" s="177"/>
      <c r="AN91" s="178" t="str">
        <f t="shared" si="14"/>
        <v/>
      </c>
      <c r="AO91" s="96"/>
      <c r="AP91" s="96"/>
      <c r="AQ91" s="96"/>
      <c r="AR91" s="96"/>
      <c r="AS91" s="96"/>
      <c r="AT91" s="96"/>
      <c r="AU91" s="96"/>
      <c r="AV91" s="64"/>
      <c r="AW91" s="97"/>
      <c r="AX91" s="97"/>
      <c r="AY91" s="101" t="str">
        <f>IF('BMP P Tracking Table'!$AK91="Yes",IF('BMP P Tracking Table'!$AL91="No",'BMP P Tracking Table'!$U91*VLOOKUP('BMP P Tracking Table'!$Q91,'Loading Rates'!$B$1:$L$24,4,FALSE)+IF('BMP P Tracking Table'!$V91="By HSG",'BMP P Tracking Table'!$W91*VLOOKUP('BMP P Tracking Table'!$Q91,'Loading Rates'!$B$1:$L$24,6,FALSE)+'BMP P Tracking Table'!$X91*VLOOKUP('BMP P Tracking Table'!$Q91,'Loading Rates'!$B$1:$L$24,7,FALSE)+'BMP P Tracking Table'!$Y91*VLOOKUP('BMP P Tracking Table'!$Q91,'Loading Rates'!$B$1:$L$24,8,FALSE)+'BMP P Tracking Table'!$Z91*VLOOKUP('BMP P Tracking Table'!$Q91,'Loading Rates'!$B$1:$L$24,9,FALSE),'BMP P Tracking Table'!$AA91*VLOOKUP('BMP P Tracking Table'!$Q91,'Loading Rates'!$B$1:$L$24,10,FALSE)),'BMP P Tracking Table'!$AO91*VLOOKUP('BMP P Tracking Table'!$Q91,'Loading Rates'!$B$1:$L$24,4,FALSE)+IF('BMP P Tracking Table'!$AP91="By HSG",'BMP P Tracking Table'!$AQ91*VLOOKUP('BMP P Tracking Table'!$Q91,'Loading Rates'!$B$1:$L$24,6,FALSE)+'BMP P Tracking Table'!$AR91*VLOOKUP('BMP P Tracking Table'!$Q91,'Loading Rates'!$B$1:$L$24,7,FALSE)+'BMP P Tracking Table'!$AS91*VLOOKUP('BMP P Tracking Table'!$Q91,'Loading Rates'!$B$1:$L$24,8,FALSE)+'BMP P Tracking Table'!$AT91*VLOOKUP('BMP P Tracking Table'!$Q91,'Loading Rates'!$B$1:$L$24,9,FALSE),'BMP P Tracking Table'!$AU91*VLOOKUP('BMP P Tracking Table'!$Q91,'Loading Rates'!$B$1:$L$24,10,FALSE))),"")</f>
        <v/>
      </c>
      <c r="AZ91" s="101" t="str">
        <f>IFERROR(IF('BMP P Tracking Table'!$AL91="Yes",MIN(2,IF('BMP P Tracking Table'!$AP91="Total Pervious",(-(3630*'BMP P Tracking Table'!$AO91+20.691*'BMP P Tracking Table'!$AU91)+SQRT((3630*'BMP P Tracking Table'!$AO91+20.691*'BMP P Tracking Table'!$AU91)^2-(4*(996.798*'BMP P Tracking Table'!$AU91)*-'BMP P Tracking Table'!$AW91)))/(2*(996.798*'BMP P Tracking Table'!$AU91)),IF(SUM('BMP P Tracking Table'!$AQ91:$AT91)=0,'BMP P Tracking Table'!$AU91/(-3630*'BMP P Tracking Table'!$AO91),(-(3630*'BMP P Tracking Table'!$AO91+20.691*'BMP P Tracking Table'!$AT91-216.711*'BMP P Tracking Table'!$AS91-83.853*'BMP P Tracking Table'!$AR91-42.834*'BMP P Tracking Table'!$AQ91)+SQRT((3630*'BMP P Tracking Table'!$AO91+20.691*'BMP P Tracking Table'!$AT91-216.711*'BMP P Tracking Table'!$AS91-83.853*'BMP P Tracking Table'!$AR91-42.834*'BMP P Tracking Table'!$AQ91)^2-(4*(149.919*'BMP P Tracking Table'!$AQ91+236.676*'BMP P Tracking Table'!$AR91+726*'BMP P Tracking Table'!$AS91+996.798*'BMP P Tracking Table'!$AT91)*-'BMP P Tracking Table'!$AW91)))/(2*(149.919*'BMP P Tracking Table'!$AQ91+236.676*'BMP P Tracking Table'!$AR91+726*'BMP P Tracking Table'!$AS91+996.798*'BMP P Tracking Table'!$AT91))))),MIN(2,IF('BMP P Tracking Table'!$AP91="Total Pervious",(-(3630*'BMP P Tracking Table'!$U91+20.691*'BMP P Tracking Table'!$AA91)+SQRT((3630*'BMP P Tracking Table'!$U91+20.691*'BMP P Tracking Table'!$AA91)^2-(4*(996.798*'BMP P Tracking Table'!$AA91)*-'BMP P Tracking Table'!$AW91)))/(2*(996.798*'BMP P Tracking Table'!$AA91)),IF(SUM('BMP P Tracking Table'!$W91:$Z91)=0,'BMP P Tracking Table'!$AW91/(-3630*'BMP P Tracking Table'!$U91),(-(3630*'BMP P Tracking Table'!$U91+20.691*'BMP P Tracking Table'!$Z91-216.711*'BMP P Tracking Table'!$Y91-83.853*'BMP P Tracking Table'!$X91-42.834*'BMP P Tracking Table'!$W91)+SQRT((3630*'BMP P Tracking Table'!$U91+20.691*'BMP P Tracking Table'!$Z91-216.711*'BMP P Tracking Table'!$Y91-83.853*'BMP P Tracking Table'!$X91-42.834*'BMP P Tracking Table'!$W91)^2-(4*(149.919*'BMP P Tracking Table'!$W91+236.676*'BMP P Tracking Table'!$X91+726*'BMP P Tracking Table'!$Y91+996.798*'BMP P Tracking Table'!$Z91)*-'BMP P Tracking Table'!$AW91)))/(2*(149.919*'BMP P Tracking Table'!$W91+236.676*'BMP P Tracking Table'!$X91+726*'BMP P Tracking Table'!$Y91+996.798*'BMP P Tracking Table'!$Z91)))))),"")</f>
        <v/>
      </c>
      <c r="BA91" s="101" t="str">
        <f>IFERROR((VLOOKUP(CONCATENATE('BMP P Tracking Table'!$AV91," ",'BMP P Tracking Table'!$AX91),'Performance Curves'!$C$1:$L$45,MATCH('BMP P Tracking Table'!$AZ91,'Performance Curves'!$E$1:$L$1,1)+2,FALSE)-VLOOKUP(CONCATENATE('BMP P Tracking Table'!$AV91," ",'BMP P Tracking Table'!$AX91),'Performance Curves'!$C$1:$L$45,MATCH('BMP P Tracking Table'!$AZ91,'Performance Curves'!$E$1:$L$1,1)+1,FALSE)),"")</f>
        <v/>
      </c>
      <c r="BB91" s="101" t="str">
        <f>IFERROR(('BMP P Tracking Table'!$AZ91-INDEX('Performance Curves'!$E$1:$L$1,1,MATCH('BMP P Tracking Table'!$AZ91,'Performance Curves'!$E$1:$L$1,1)))/(INDEX('Performance Curves'!$E$1:$L$1,1,MATCH('BMP P Tracking Table'!$AZ91,'Performance Curves'!$E$1:$L$1,1)+1)-INDEX('Performance Curves'!$E$1:$L$1,1,MATCH('BMP P Tracking Table'!$AZ91,'Performance Curves'!$E$1:$L$1,1))),"")</f>
        <v/>
      </c>
      <c r="BC91" s="102" t="str">
        <f>IFERROR(IF('BMP P Tracking Table'!$AZ91=2,VLOOKUP(CONCATENATE('BMP P Tracking Table'!$AV91," ",'BMP P Tracking Table'!$AX91),'Performance Curves'!$C$1:$L$44,MATCH('BMP P Tracking Table'!$AZ91,'Performance Curves'!$E$1:$L$1,1)+1,FALSE),'BMP P Tracking Table'!$BA91*'BMP P Tracking Table'!$BB91+VLOOKUP(CONCATENATE('BMP P Tracking Table'!$AV91," ",'BMP P Tracking Table'!$AX91),'Performance Curves'!$C$1:$L$44,MATCH('BMP P Tracking Table'!$AZ91,'Performance Curves'!$E$1:$L$1,1)+1,FALSE)),"")</f>
        <v/>
      </c>
      <c r="BD91" s="101" t="str">
        <f>IFERROR('BMP P Tracking Table'!$BC91*'BMP P Tracking Table'!$AY91,"")</f>
        <v/>
      </c>
      <c r="BE91" s="96"/>
      <c r="BF91" s="37">
        <f t="shared" si="11"/>
        <v>0</v>
      </c>
    </row>
    <row r="92" spans="1:58" x14ac:dyDescent="0.3">
      <c r="A92" s="169"/>
      <c r="B92" s="169"/>
      <c r="C92" s="169"/>
      <c r="D92" s="169"/>
      <c r="E92" s="170"/>
      <c r="F92" s="170"/>
      <c r="G92" s="169"/>
      <c r="H92" s="169"/>
      <c r="I92" s="169"/>
      <c r="J92" s="171"/>
      <c r="K92" s="169"/>
      <c r="L92" s="169"/>
      <c r="M92" s="169"/>
      <c r="N92" s="169"/>
      <c r="O92" s="169"/>
      <c r="P92" s="169"/>
      <c r="Q92" s="169" t="str">
        <f>IFERROR(VLOOKUP('BMP P Tracking Table'!$P92,Dropdowns!$C$2:$E$15,3,FALSE),"")</f>
        <v/>
      </c>
      <c r="R92" s="169" t="str">
        <f>IFERROR(VLOOKUP('BMP P Tracking Table'!$Q92,Dropdowns!$P$3:$Q$23,2,FALSE),"")</f>
        <v/>
      </c>
      <c r="S92" s="169"/>
      <c r="T92" s="169"/>
      <c r="U92" s="169"/>
      <c r="V92" s="169"/>
      <c r="W92" s="169"/>
      <c r="X92" s="169"/>
      <c r="Y92" s="169"/>
      <c r="Z92" s="169"/>
      <c r="AA92" s="169"/>
      <c r="AB92" s="174"/>
      <c r="AC92" s="169"/>
      <c r="AD92" s="175" t="str">
        <f>IFERROR('BMP P Tracking Table'!$U92*VLOOKUP('BMP P Tracking Table'!$Q92,'Loading Rates'!$B$1:$L$24,4,FALSE)+IF('BMP P Tracking Table'!$V92="By HSG",'BMP P Tracking Table'!$W92*VLOOKUP('BMP P Tracking Table'!$Q92,'Loading Rates'!$B$1:$L$24,6,FALSE)+'BMP P Tracking Table'!$X92*VLOOKUP('BMP P Tracking Table'!$Q92,'Loading Rates'!$B$1:$L$24,7,FALSE)+'BMP P Tracking Table'!$Y92*VLOOKUP('BMP P Tracking Table'!$Q92,'Loading Rates'!$B$1:$L$24,8,FALSE)+'BMP P Tracking Table'!$Z92*VLOOKUP('BMP P Tracking Table'!$Q92,'Loading Rates'!$B$1:$L$24,9,FALSE),'BMP P Tracking Table'!$AA92*VLOOKUP('BMP P Tracking Table'!$Q92,'Loading Rates'!$B$1:$L$24,10,FALSE)),"")</f>
        <v/>
      </c>
      <c r="AE92" s="175" t="str">
        <f>IFERROR(MIN(2,IF('BMP P Tracking Table'!$V92="Total Pervious",(-(3630*'BMP P Tracking Table'!$U92+20.691*'BMP P Tracking Table'!$AA92)+SQRT((3630*'BMP P Tracking Table'!$U92+20.691*'BMP P Tracking Table'!$AA92)^2-(4*(996.798*'BMP P Tracking Table'!$AA92)*-'BMP P Tracking Table'!$AB92)))/(2*(996.798*'BMP P Tracking Table'!$AA92)),IF(SUM('BMP P Tracking Table'!$W92:$Z92)=0,'BMP P Tracking Table'!$AB92/(-3630*'BMP P Tracking Table'!$U92),(-(3630*'BMP P Tracking Table'!$U92+20.691*'BMP P Tracking Table'!$Z92-216.711*'BMP P Tracking Table'!$Y92-83.853*'BMP P Tracking Table'!$X92-42.834*'BMP P Tracking Table'!$W92)+SQRT((3630*'BMP P Tracking Table'!$U92+20.691*'BMP P Tracking Table'!$Z92-216.711*'BMP P Tracking Table'!$Y92-83.853*'BMP P Tracking Table'!$X92-42.834*'BMP P Tracking Table'!$W92)^2-(4*(149.919*'BMP P Tracking Table'!$W92+236.676*'BMP P Tracking Table'!$X92+726*'BMP P Tracking Table'!$Y92+996.798*'BMP P Tracking Table'!$Z92)*-'BMP P Tracking Table'!$AB92)))/(2*(149.919*'BMP P Tracking Table'!$W92+236.676*'BMP P Tracking Table'!$X92+726*'BMP P Tracking Table'!$Y92+996.798*'BMP P Tracking Table'!$Z92))))),"")</f>
        <v/>
      </c>
      <c r="AF92" s="175" t="str">
        <f>IFERROR((VLOOKUP(CONCATENATE('BMP P Tracking Table'!$T92," ",'BMP P Tracking Table'!$AC92),'Performance Curves'!$C$1:$L$45,MATCH('BMP P Tracking Table'!$AE92,'Performance Curves'!$E$1:$L$1,1)+2,FALSE)-VLOOKUP(CONCATENATE('BMP P Tracking Table'!$T92," ",'BMP P Tracking Table'!$AC92),'Performance Curves'!$C$1:$L$45,MATCH('BMP P Tracking Table'!$AE92,'Performance Curves'!$E$1:$L$1,1)+1,FALSE)),"")</f>
        <v/>
      </c>
      <c r="AG92" s="175" t="str">
        <f>IFERROR(('BMP P Tracking Table'!$AE92-INDEX('Performance Curves'!$E$1:$L$1,1,MATCH('BMP P Tracking Table'!$AE92,'Performance Curves'!$E$1:$L$1,1)))/(INDEX('Performance Curves'!$E$1:$L$1,1,MATCH('BMP P Tracking Table'!$AE92,'Performance Curves'!$E$1:$L$1,1)+1)-INDEX('Performance Curves'!$E$1:$L$1,1,MATCH('BMP P Tracking Table'!$AE92,'Performance Curves'!$E$1:$L$1,1))),"")</f>
        <v/>
      </c>
      <c r="AH92" s="176" t="str">
        <f>IFERROR(IF('BMP P Tracking Table'!$AE92=2,VLOOKUP(CONCATENATE('BMP P Tracking Table'!$T92," ",'BMP P Tracking Table'!$AC92),'Performance Curves'!$C$1:$L$45,MATCH('BMP P Tracking Table'!$AE92,'Performance Curves'!$E$1:$L$1,1)+1,FALSE),'BMP P Tracking Table'!$AF92*'BMP P Tracking Table'!$AG92+VLOOKUP(CONCATENATE('BMP P Tracking Table'!$T92," ",'BMP P Tracking Table'!$AC92),'Performance Curves'!$C$1:$L$45,MATCH('BMP P Tracking Table'!$AE92,'Performance Curves'!$E$1:$L$1,1)+1,FALSE)),"")</f>
        <v/>
      </c>
      <c r="AI92" s="175" t="str">
        <f>IFERROR('BMP P Tracking Table'!$AH92*'BMP P Tracking Table'!$AD92,"")</f>
        <v/>
      </c>
      <c r="AJ92" s="169"/>
      <c r="AK92" s="173"/>
      <c r="AL92" s="173"/>
      <c r="AM92" s="177"/>
      <c r="AN92" s="178" t="str">
        <f t="shared" si="14"/>
        <v/>
      </c>
      <c r="AO92" s="96"/>
      <c r="AP92" s="96"/>
      <c r="AQ92" s="96"/>
      <c r="AR92" s="96"/>
      <c r="AS92" s="96"/>
      <c r="AT92" s="96"/>
      <c r="AU92" s="96"/>
      <c r="AV92" s="64"/>
      <c r="AW92" s="97"/>
      <c r="AX92" s="97"/>
      <c r="AY92" s="101" t="str">
        <f>IF('BMP P Tracking Table'!$AK92="Yes",IF('BMP P Tracking Table'!$AL92="No",'BMP P Tracking Table'!$U92*VLOOKUP('BMP P Tracking Table'!$Q92,'Loading Rates'!$B$1:$L$24,4,FALSE)+IF('BMP P Tracking Table'!$V92="By HSG",'BMP P Tracking Table'!$W92*VLOOKUP('BMP P Tracking Table'!$Q92,'Loading Rates'!$B$1:$L$24,6,FALSE)+'BMP P Tracking Table'!$X92*VLOOKUP('BMP P Tracking Table'!$Q92,'Loading Rates'!$B$1:$L$24,7,FALSE)+'BMP P Tracking Table'!$Y92*VLOOKUP('BMP P Tracking Table'!$Q92,'Loading Rates'!$B$1:$L$24,8,FALSE)+'BMP P Tracking Table'!$Z92*VLOOKUP('BMP P Tracking Table'!$Q92,'Loading Rates'!$B$1:$L$24,9,FALSE),'BMP P Tracking Table'!$AA92*VLOOKUP('BMP P Tracking Table'!$Q92,'Loading Rates'!$B$1:$L$24,10,FALSE)),'BMP P Tracking Table'!$AO92*VLOOKUP('BMP P Tracking Table'!$Q92,'Loading Rates'!$B$1:$L$24,4,FALSE)+IF('BMP P Tracking Table'!$AP92="By HSG",'BMP P Tracking Table'!$AQ92*VLOOKUP('BMP P Tracking Table'!$Q92,'Loading Rates'!$B$1:$L$24,6,FALSE)+'BMP P Tracking Table'!$AR92*VLOOKUP('BMP P Tracking Table'!$Q92,'Loading Rates'!$B$1:$L$24,7,FALSE)+'BMP P Tracking Table'!$AS92*VLOOKUP('BMP P Tracking Table'!$Q92,'Loading Rates'!$B$1:$L$24,8,FALSE)+'BMP P Tracking Table'!$AT92*VLOOKUP('BMP P Tracking Table'!$Q92,'Loading Rates'!$B$1:$L$24,9,FALSE),'BMP P Tracking Table'!$AU92*VLOOKUP('BMP P Tracking Table'!$Q92,'Loading Rates'!$B$1:$L$24,10,FALSE))),"")</f>
        <v/>
      </c>
      <c r="AZ92" s="101" t="str">
        <f>IFERROR(IF('BMP P Tracking Table'!$AL92="Yes",MIN(2,IF('BMP P Tracking Table'!$AP92="Total Pervious",(-(3630*'BMP P Tracking Table'!$AO92+20.691*'BMP P Tracking Table'!$AU92)+SQRT((3630*'BMP P Tracking Table'!$AO92+20.691*'BMP P Tracking Table'!$AU92)^2-(4*(996.798*'BMP P Tracking Table'!$AU92)*-'BMP P Tracking Table'!$AW92)))/(2*(996.798*'BMP P Tracking Table'!$AU92)),IF(SUM('BMP P Tracking Table'!$AQ92:$AT92)=0,'BMP P Tracking Table'!$AU92/(-3630*'BMP P Tracking Table'!$AO92),(-(3630*'BMP P Tracking Table'!$AO92+20.691*'BMP P Tracking Table'!$AT92-216.711*'BMP P Tracking Table'!$AS92-83.853*'BMP P Tracking Table'!$AR92-42.834*'BMP P Tracking Table'!$AQ92)+SQRT((3630*'BMP P Tracking Table'!$AO92+20.691*'BMP P Tracking Table'!$AT92-216.711*'BMP P Tracking Table'!$AS92-83.853*'BMP P Tracking Table'!$AR92-42.834*'BMP P Tracking Table'!$AQ92)^2-(4*(149.919*'BMP P Tracking Table'!$AQ92+236.676*'BMP P Tracking Table'!$AR92+726*'BMP P Tracking Table'!$AS92+996.798*'BMP P Tracking Table'!$AT92)*-'BMP P Tracking Table'!$AW92)))/(2*(149.919*'BMP P Tracking Table'!$AQ92+236.676*'BMP P Tracking Table'!$AR92+726*'BMP P Tracking Table'!$AS92+996.798*'BMP P Tracking Table'!$AT92))))),MIN(2,IF('BMP P Tracking Table'!$AP92="Total Pervious",(-(3630*'BMP P Tracking Table'!$U92+20.691*'BMP P Tracking Table'!$AA92)+SQRT((3630*'BMP P Tracking Table'!$U92+20.691*'BMP P Tracking Table'!$AA92)^2-(4*(996.798*'BMP P Tracking Table'!$AA92)*-'BMP P Tracking Table'!$AW92)))/(2*(996.798*'BMP P Tracking Table'!$AA92)),IF(SUM('BMP P Tracking Table'!$W92:$Z92)=0,'BMP P Tracking Table'!$AW92/(-3630*'BMP P Tracking Table'!$U92),(-(3630*'BMP P Tracking Table'!$U92+20.691*'BMP P Tracking Table'!$Z92-216.711*'BMP P Tracking Table'!$Y92-83.853*'BMP P Tracking Table'!$X92-42.834*'BMP P Tracking Table'!$W92)+SQRT((3630*'BMP P Tracking Table'!$U92+20.691*'BMP P Tracking Table'!$Z92-216.711*'BMP P Tracking Table'!$Y92-83.853*'BMP P Tracking Table'!$X92-42.834*'BMP P Tracking Table'!$W92)^2-(4*(149.919*'BMP P Tracking Table'!$W92+236.676*'BMP P Tracking Table'!$X92+726*'BMP P Tracking Table'!$Y92+996.798*'BMP P Tracking Table'!$Z92)*-'BMP P Tracking Table'!$AW92)))/(2*(149.919*'BMP P Tracking Table'!$W92+236.676*'BMP P Tracking Table'!$X92+726*'BMP P Tracking Table'!$Y92+996.798*'BMP P Tracking Table'!$Z92)))))),"")</f>
        <v/>
      </c>
      <c r="BA92" s="101" t="str">
        <f>IFERROR((VLOOKUP(CONCATENATE('BMP P Tracking Table'!$AV92," ",'BMP P Tracking Table'!$AX92),'Performance Curves'!$C$1:$L$45,MATCH('BMP P Tracking Table'!$AZ92,'Performance Curves'!$E$1:$L$1,1)+2,FALSE)-VLOOKUP(CONCATENATE('BMP P Tracking Table'!$AV92," ",'BMP P Tracking Table'!$AX92),'Performance Curves'!$C$1:$L$45,MATCH('BMP P Tracking Table'!$AZ92,'Performance Curves'!$E$1:$L$1,1)+1,FALSE)),"")</f>
        <v/>
      </c>
      <c r="BB92" s="101" t="str">
        <f>IFERROR(('BMP P Tracking Table'!$AZ92-INDEX('Performance Curves'!$E$1:$L$1,1,MATCH('BMP P Tracking Table'!$AZ92,'Performance Curves'!$E$1:$L$1,1)))/(INDEX('Performance Curves'!$E$1:$L$1,1,MATCH('BMP P Tracking Table'!$AZ92,'Performance Curves'!$E$1:$L$1,1)+1)-INDEX('Performance Curves'!$E$1:$L$1,1,MATCH('BMP P Tracking Table'!$AZ92,'Performance Curves'!$E$1:$L$1,1))),"")</f>
        <v/>
      </c>
      <c r="BC92" s="102" t="str">
        <f>IFERROR(IF('BMP P Tracking Table'!$AZ92=2,VLOOKUP(CONCATENATE('BMP P Tracking Table'!$AV92," ",'BMP P Tracking Table'!$AX92),'Performance Curves'!$C$1:$L$44,MATCH('BMP P Tracking Table'!$AZ92,'Performance Curves'!$E$1:$L$1,1)+1,FALSE),'BMP P Tracking Table'!$BA92*'BMP P Tracking Table'!$BB92+VLOOKUP(CONCATENATE('BMP P Tracking Table'!$AV92," ",'BMP P Tracking Table'!$AX92),'Performance Curves'!$C$1:$L$44,MATCH('BMP P Tracking Table'!$AZ92,'Performance Curves'!$E$1:$L$1,1)+1,FALSE)),"")</f>
        <v/>
      </c>
      <c r="BD92" s="101" t="str">
        <f>IFERROR('BMP P Tracking Table'!$BC92*'BMP P Tracking Table'!$AY92,"")</f>
        <v/>
      </c>
      <c r="BE92" s="96"/>
      <c r="BF92" s="37">
        <f t="shared" ref="BF92:BF155" si="15">IFERROR(BD92+BE92,0)</f>
        <v>0</v>
      </c>
    </row>
    <row r="93" spans="1:58" x14ac:dyDescent="0.3">
      <c r="A93" s="169"/>
      <c r="B93" s="169"/>
      <c r="C93" s="169"/>
      <c r="D93" s="169"/>
      <c r="E93" s="170"/>
      <c r="F93" s="170"/>
      <c r="G93" s="169"/>
      <c r="H93" s="169"/>
      <c r="I93" s="169"/>
      <c r="J93" s="171"/>
      <c r="K93" s="169"/>
      <c r="L93" s="169"/>
      <c r="M93" s="169"/>
      <c r="N93" s="169"/>
      <c r="O93" s="169"/>
      <c r="P93" s="169"/>
      <c r="Q93" s="169" t="str">
        <f>IFERROR(VLOOKUP('BMP P Tracking Table'!$P93,Dropdowns!$C$2:$E$15,3,FALSE),"")</f>
        <v/>
      </c>
      <c r="R93" s="169" t="str">
        <f>IFERROR(VLOOKUP('BMP P Tracking Table'!$Q93,Dropdowns!$P$3:$Q$23,2,FALSE),"")</f>
        <v/>
      </c>
      <c r="S93" s="169"/>
      <c r="T93" s="169"/>
      <c r="U93" s="169"/>
      <c r="V93" s="169"/>
      <c r="W93" s="169"/>
      <c r="X93" s="169"/>
      <c r="Y93" s="169"/>
      <c r="Z93" s="169"/>
      <c r="AA93" s="169"/>
      <c r="AB93" s="174"/>
      <c r="AC93" s="169"/>
      <c r="AD93" s="175" t="str">
        <f>IFERROR('BMP P Tracking Table'!$U93*VLOOKUP('BMP P Tracking Table'!$Q93,'Loading Rates'!$B$1:$L$24,4,FALSE)+IF('BMP P Tracking Table'!$V93="By HSG",'BMP P Tracking Table'!$W93*VLOOKUP('BMP P Tracking Table'!$Q93,'Loading Rates'!$B$1:$L$24,6,FALSE)+'BMP P Tracking Table'!$X93*VLOOKUP('BMP P Tracking Table'!$Q93,'Loading Rates'!$B$1:$L$24,7,FALSE)+'BMP P Tracking Table'!$Y93*VLOOKUP('BMP P Tracking Table'!$Q93,'Loading Rates'!$B$1:$L$24,8,FALSE)+'BMP P Tracking Table'!$Z93*VLOOKUP('BMP P Tracking Table'!$Q93,'Loading Rates'!$B$1:$L$24,9,FALSE),'BMP P Tracking Table'!$AA93*VLOOKUP('BMP P Tracking Table'!$Q93,'Loading Rates'!$B$1:$L$24,10,FALSE)),"")</f>
        <v/>
      </c>
      <c r="AE93" s="175" t="str">
        <f>IFERROR(MIN(2,IF('BMP P Tracking Table'!$V93="Total Pervious",(-(3630*'BMP P Tracking Table'!$U93+20.691*'BMP P Tracking Table'!$AA93)+SQRT((3630*'BMP P Tracking Table'!$U93+20.691*'BMP P Tracking Table'!$AA93)^2-(4*(996.798*'BMP P Tracking Table'!$AA93)*-'BMP P Tracking Table'!$AB93)))/(2*(996.798*'BMP P Tracking Table'!$AA93)),IF(SUM('BMP P Tracking Table'!$W93:$Z93)=0,'BMP P Tracking Table'!$AB93/(-3630*'BMP P Tracking Table'!$U93),(-(3630*'BMP P Tracking Table'!$U93+20.691*'BMP P Tracking Table'!$Z93-216.711*'BMP P Tracking Table'!$Y93-83.853*'BMP P Tracking Table'!$X93-42.834*'BMP P Tracking Table'!$W93)+SQRT((3630*'BMP P Tracking Table'!$U93+20.691*'BMP P Tracking Table'!$Z93-216.711*'BMP P Tracking Table'!$Y93-83.853*'BMP P Tracking Table'!$X93-42.834*'BMP P Tracking Table'!$W93)^2-(4*(149.919*'BMP P Tracking Table'!$W93+236.676*'BMP P Tracking Table'!$X93+726*'BMP P Tracking Table'!$Y93+996.798*'BMP P Tracking Table'!$Z93)*-'BMP P Tracking Table'!$AB93)))/(2*(149.919*'BMP P Tracking Table'!$W93+236.676*'BMP P Tracking Table'!$X93+726*'BMP P Tracking Table'!$Y93+996.798*'BMP P Tracking Table'!$Z93))))),"")</f>
        <v/>
      </c>
      <c r="AF93" s="175" t="str">
        <f>IFERROR((VLOOKUP(CONCATENATE('BMP P Tracking Table'!$T93," ",'BMP P Tracking Table'!$AC93),'Performance Curves'!$C$1:$L$45,MATCH('BMP P Tracking Table'!$AE93,'Performance Curves'!$E$1:$L$1,1)+2,FALSE)-VLOOKUP(CONCATENATE('BMP P Tracking Table'!$T93," ",'BMP P Tracking Table'!$AC93),'Performance Curves'!$C$1:$L$45,MATCH('BMP P Tracking Table'!$AE93,'Performance Curves'!$E$1:$L$1,1)+1,FALSE)),"")</f>
        <v/>
      </c>
      <c r="AG93" s="175" t="str">
        <f>IFERROR(('BMP P Tracking Table'!$AE93-INDEX('Performance Curves'!$E$1:$L$1,1,MATCH('BMP P Tracking Table'!$AE93,'Performance Curves'!$E$1:$L$1,1)))/(INDEX('Performance Curves'!$E$1:$L$1,1,MATCH('BMP P Tracking Table'!$AE93,'Performance Curves'!$E$1:$L$1,1)+1)-INDEX('Performance Curves'!$E$1:$L$1,1,MATCH('BMP P Tracking Table'!$AE93,'Performance Curves'!$E$1:$L$1,1))),"")</f>
        <v/>
      </c>
      <c r="AH93" s="176" t="str">
        <f>IFERROR(IF('BMP P Tracking Table'!$AE93=2,VLOOKUP(CONCATENATE('BMP P Tracking Table'!$T93," ",'BMP P Tracking Table'!$AC93),'Performance Curves'!$C$1:$L$45,MATCH('BMP P Tracking Table'!$AE93,'Performance Curves'!$E$1:$L$1,1)+1,FALSE),'BMP P Tracking Table'!$AF93*'BMP P Tracking Table'!$AG93+VLOOKUP(CONCATENATE('BMP P Tracking Table'!$T93," ",'BMP P Tracking Table'!$AC93),'Performance Curves'!$C$1:$L$45,MATCH('BMP P Tracking Table'!$AE93,'Performance Curves'!$E$1:$L$1,1)+1,FALSE)),"")</f>
        <v/>
      </c>
      <c r="AI93" s="175" t="str">
        <f>IFERROR('BMP P Tracking Table'!$AH93*'BMP P Tracking Table'!$AD93,"")</f>
        <v/>
      </c>
      <c r="AJ93" s="169"/>
      <c r="AK93" s="173"/>
      <c r="AL93" s="173"/>
      <c r="AM93" s="177"/>
      <c r="AN93" s="178" t="str">
        <f t="shared" si="14"/>
        <v/>
      </c>
      <c r="AO93" s="96"/>
      <c r="AP93" s="96"/>
      <c r="AQ93" s="96"/>
      <c r="AR93" s="96"/>
      <c r="AS93" s="96"/>
      <c r="AT93" s="96"/>
      <c r="AU93" s="96"/>
      <c r="AV93" s="64"/>
      <c r="AW93" s="97"/>
      <c r="AX93" s="97"/>
      <c r="AY93" s="101" t="str">
        <f>IF('BMP P Tracking Table'!$AK93="Yes",IF('BMP P Tracking Table'!$AL93="No",'BMP P Tracking Table'!$U93*VLOOKUP('BMP P Tracking Table'!$Q93,'Loading Rates'!$B$1:$L$24,4,FALSE)+IF('BMP P Tracking Table'!$V93="By HSG",'BMP P Tracking Table'!$W93*VLOOKUP('BMP P Tracking Table'!$Q93,'Loading Rates'!$B$1:$L$24,6,FALSE)+'BMP P Tracking Table'!$X93*VLOOKUP('BMP P Tracking Table'!$Q93,'Loading Rates'!$B$1:$L$24,7,FALSE)+'BMP P Tracking Table'!$Y93*VLOOKUP('BMP P Tracking Table'!$Q93,'Loading Rates'!$B$1:$L$24,8,FALSE)+'BMP P Tracking Table'!$Z93*VLOOKUP('BMP P Tracking Table'!$Q93,'Loading Rates'!$B$1:$L$24,9,FALSE),'BMP P Tracking Table'!$AA93*VLOOKUP('BMP P Tracking Table'!$Q93,'Loading Rates'!$B$1:$L$24,10,FALSE)),'BMP P Tracking Table'!$AO93*VLOOKUP('BMP P Tracking Table'!$Q93,'Loading Rates'!$B$1:$L$24,4,FALSE)+IF('BMP P Tracking Table'!$AP93="By HSG",'BMP P Tracking Table'!$AQ93*VLOOKUP('BMP P Tracking Table'!$Q93,'Loading Rates'!$B$1:$L$24,6,FALSE)+'BMP P Tracking Table'!$AR93*VLOOKUP('BMP P Tracking Table'!$Q93,'Loading Rates'!$B$1:$L$24,7,FALSE)+'BMP P Tracking Table'!$AS93*VLOOKUP('BMP P Tracking Table'!$Q93,'Loading Rates'!$B$1:$L$24,8,FALSE)+'BMP P Tracking Table'!$AT93*VLOOKUP('BMP P Tracking Table'!$Q93,'Loading Rates'!$B$1:$L$24,9,FALSE),'BMP P Tracking Table'!$AU93*VLOOKUP('BMP P Tracking Table'!$Q93,'Loading Rates'!$B$1:$L$24,10,FALSE))),"")</f>
        <v/>
      </c>
      <c r="AZ93" s="101" t="str">
        <f>IFERROR(IF('BMP P Tracking Table'!$AL93="Yes",MIN(2,IF('BMP P Tracking Table'!$AP93="Total Pervious",(-(3630*'BMP P Tracking Table'!$AO93+20.691*'BMP P Tracking Table'!$AU93)+SQRT((3630*'BMP P Tracking Table'!$AO93+20.691*'BMP P Tracking Table'!$AU93)^2-(4*(996.798*'BMP P Tracking Table'!$AU93)*-'BMP P Tracking Table'!$AW93)))/(2*(996.798*'BMP P Tracking Table'!$AU93)),IF(SUM('BMP P Tracking Table'!$AQ93:$AT93)=0,'BMP P Tracking Table'!$AU93/(-3630*'BMP P Tracking Table'!$AO93),(-(3630*'BMP P Tracking Table'!$AO93+20.691*'BMP P Tracking Table'!$AT93-216.711*'BMP P Tracking Table'!$AS93-83.853*'BMP P Tracking Table'!$AR93-42.834*'BMP P Tracking Table'!$AQ93)+SQRT((3630*'BMP P Tracking Table'!$AO93+20.691*'BMP P Tracking Table'!$AT93-216.711*'BMP P Tracking Table'!$AS93-83.853*'BMP P Tracking Table'!$AR93-42.834*'BMP P Tracking Table'!$AQ93)^2-(4*(149.919*'BMP P Tracking Table'!$AQ93+236.676*'BMP P Tracking Table'!$AR93+726*'BMP P Tracking Table'!$AS93+996.798*'BMP P Tracking Table'!$AT93)*-'BMP P Tracking Table'!$AW93)))/(2*(149.919*'BMP P Tracking Table'!$AQ93+236.676*'BMP P Tracking Table'!$AR93+726*'BMP P Tracking Table'!$AS93+996.798*'BMP P Tracking Table'!$AT93))))),MIN(2,IF('BMP P Tracking Table'!$AP93="Total Pervious",(-(3630*'BMP P Tracking Table'!$U93+20.691*'BMP P Tracking Table'!$AA93)+SQRT((3630*'BMP P Tracking Table'!$U93+20.691*'BMP P Tracking Table'!$AA93)^2-(4*(996.798*'BMP P Tracking Table'!$AA93)*-'BMP P Tracking Table'!$AW93)))/(2*(996.798*'BMP P Tracking Table'!$AA93)),IF(SUM('BMP P Tracking Table'!$W93:$Z93)=0,'BMP P Tracking Table'!$AW93/(-3630*'BMP P Tracking Table'!$U93),(-(3630*'BMP P Tracking Table'!$U93+20.691*'BMP P Tracking Table'!$Z93-216.711*'BMP P Tracking Table'!$Y93-83.853*'BMP P Tracking Table'!$X93-42.834*'BMP P Tracking Table'!$W93)+SQRT((3630*'BMP P Tracking Table'!$U93+20.691*'BMP P Tracking Table'!$Z93-216.711*'BMP P Tracking Table'!$Y93-83.853*'BMP P Tracking Table'!$X93-42.834*'BMP P Tracking Table'!$W93)^2-(4*(149.919*'BMP P Tracking Table'!$W93+236.676*'BMP P Tracking Table'!$X93+726*'BMP P Tracking Table'!$Y93+996.798*'BMP P Tracking Table'!$Z93)*-'BMP P Tracking Table'!$AW93)))/(2*(149.919*'BMP P Tracking Table'!$W93+236.676*'BMP P Tracking Table'!$X93+726*'BMP P Tracking Table'!$Y93+996.798*'BMP P Tracking Table'!$Z93)))))),"")</f>
        <v/>
      </c>
      <c r="BA93" s="101" t="str">
        <f>IFERROR((VLOOKUP(CONCATENATE('BMP P Tracking Table'!$AV93," ",'BMP P Tracking Table'!$AX93),'Performance Curves'!$C$1:$L$45,MATCH('BMP P Tracking Table'!$AZ93,'Performance Curves'!$E$1:$L$1,1)+2,FALSE)-VLOOKUP(CONCATENATE('BMP P Tracking Table'!$AV93," ",'BMP P Tracking Table'!$AX93),'Performance Curves'!$C$1:$L$45,MATCH('BMP P Tracking Table'!$AZ93,'Performance Curves'!$E$1:$L$1,1)+1,FALSE)),"")</f>
        <v/>
      </c>
      <c r="BB93" s="101" t="str">
        <f>IFERROR(('BMP P Tracking Table'!$AZ93-INDEX('Performance Curves'!$E$1:$L$1,1,MATCH('BMP P Tracking Table'!$AZ93,'Performance Curves'!$E$1:$L$1,1)))/(INDEX('Performance Curves'!$E$1:$L$1,1,MATCH('BMP P Tracking Table'!$AZ93,'Performance Curves'!$E$1:$L$1,1)+1)-INDEX('Performance Curves'!$E$1:$L$1,1,MATCH('BMP P Tracking Table'!$AZ93,'Performance Curves'!$E$1:$L$1,1))),"")</f>
        <v/>
      </c>
      <c r="BC93" s="102" t="str">
        <f>IFERROR(IF('BMP P Tracking Table'!$AZ93=2,VLOOKUP(CONCATENATE('BMP P Tracking Table'!$AV93," ",'BMP P Tracking Table'!$AX93),'Performance Curves'!$C$1:$L$44,MATCH('BMP P Tracking Table'!$AZ93,'Performance Curves'!$E$1:$L$1,1)+1,FALSE),'BMP P Tracking Table'!$BA93*'BMP P Tracking Table'!$BB93+VLOOKUP(CONCATENATE('BMP P Tracking Table'!$AV93," ",'BMP P Tracking Table'!$AX93),'Performance Curves'!$C$1:$L$44,MATCH('BMP P Tracking Table'!$AZ93,'Performance Curves'!$E$1:$L$1,1)+1,FALSE)),"")</f>
        <v/>
      </c>
      <c r="BD93" s="101" t="str">
        <f>IFERROR('BMP P Tracking Table'!$BC93*'BMP P Tracking Table'!$AY93,"")</f>
        <v/>
      </c>
      <c r="BE93" s="96"/>
      <c r="BF93" s="37">
        <f t="shared" si="15"/>
        <v>0</v>
      </c>
    </row>
    <row r="94" spans="1:58" x14ac:dyDescent="0.3">
      <c r="A94" s="169"/>
      <c r="B94" s="169"/>
      <c r="C94" s="169"/>
      <c r="D94" s="169"/>
      <c r="E94" s="170"/>
      <c r="F94" s="170"/>
      <c r="G94" s="169"/>
      <c r="H94" s="169"/>
      <c r="I94" s="169"/>
      <c r="J94" s="171"/>
      <c r="K94" s="169"/>
      <c r="L94" s="169"/>
      <c r="M94" s="169"/>
      <c r="N94" s="169"/>
      <c r="O94" s="169"/>
      <c r="P94" s="169"/>
      <c r="Q94" s="169" t="str">
        <f>IFERROR(VLOOKUP('BMP P Tracking Table'!$P94,Dropdowns!$C$2:$E$15,3,FALSE),"")</f>
        <v/>
      </c>
      <c r="R94" s="169" t="str">
        <f>IFERROR(VLOOKUP('BMP P Tracking Table'!$Q94,Dropdowns!$P$3:$Q$23,2,FALSE),"")</f>
        <v/>
      </c>
      <c r="S94" s="169"/>
      <c r="T94" s="169"/>
      <c r="U94" s="169"/>
      <c r="V94" s="169"/>
      <c r="W94" s="169"/>
      <c r="X94" s="169"/>
      <c r="Y94" s="169"/>
      <c r="Z94" s="169"/>
      <c r="AA94" s="169"/>
      <c r="AB94" s="174"/>
      <c r="AC94" s="169"/>
      <c r="AD94" s="175" t="str">
        <f>IFERROR('BMP P Tracking Table'!$U94*VLOOKUP('BMP P Tracking Table'!$Q94,'Loading Rates'!$B$1:$L$24,4,FALSE)+IF('BMP P Tracking Table'!$V94="By HSG",'BMP P Tracking Table'!$W94*VLOOKUP('BMP P Tracking Table'!$Q94,'Loading Rates'!$B$1:$L$24,6,FALSE)+'BMP P Tracking Table'!$X94*VLOOKUP('BMP P Tracking Table'!$Q94,'Loading Rates'!$B$1:$L$24,7,FALSE)+'BMP P Tracking Table'!$Y94*VLOOKUP('BMP P Tracking Table'!$Q94,'Loading Rates'!$B$1:$L$24,8,FALSE)+'BMP P Tracking Table'!$Z94*VLOOKUP('BMP P Tracking Table'!$Q94,'Loading Rates'!$B$1:$L$24,9,FALSE),'BMP P Tracking Table'!$AA94*VLOOKUP('BMP P Tracking Table'!$Q94,'Loading Rates'!$B$1:$L$24,10,FALSE)),"")</f>
        <v/>
      </c>
      <c r="AE94" s="175" t="str">
        <f>IFERROR(MIN(2,IF('BMP P Tracking Table'!$V94="Total Pervious",(-(3630*'BMP P Tracking Table'!$U94+20.691*'BMP P Tracking Table'!$AA94)+SQRT((3630*'BMP P Tracking Table'!$U94+20.691*'BMP P Tracking Table'!$AA94)^2-(4*(996.798*'BMP P Tracking Table'!$AA94)*-'BMP P Tracking Table'!$AB94)))/(2*(996.798*'BMP P Tracking Table'!$AA94)),IF(SUM('BMP P Tracking Table'!$W94:$Z94)=0,'BMP P Tracking Table'!$AB94/(-3630*'BMP P Tracking Table'!$U94),(-(3630*'BMP P Tracking Table'!$U94+20.691*'BMP P Tracking Table'!$Z94-216.711*'BMP P Tracking Table'!$Y94-83.853*'BMP P Tracking Table'!$X94-42.834*'BMP P Tracking Table'!$W94)+SQRT((3630*'BMP P Tracking Table'!$U94+20.691*'BMP P Tracking Table'!$Z94-216.711*'BMP P Tracking Table'!$Y94-83.853*'BMP P Tracking Table'!$X94-42.834*'BMP P Tracking Table'!$W94)^2-(4*(149.919*'BMP P Tracking Table'!$W94+236.676*'BMP P Tracking Table'!$X94+726*'BMP P Tracking Table'!$Y94+996.798*'BMP P Tracking Table'!$Z94)*-'BMP P Tracking Table'!$AB94)))/(2*(149.919*'BMP P Tracking Table'!$W94+236.676*'BMP P Tracking Table'!$X94+726*'BMP P Tracking Table'!$Y94+996.798*'BMP P Tracking Table'!$Z94))))),"")</f>
        <v/>
      </c>
      <c r="AF94" s="175" t="str">
        <f>IFERROR((VLOOKUP(CONCATENATE('BMP P Tracking Table'!$T94," ",'BMP P Tracking Table'!$AC94),'Performance Curves'!$C$1:$L$45,MATCH('BMP P Tracking Table'!$AE94,'Performance Curves'!$E$1:$L$1,1)+2,FALSE)-VLOOKUP(CONCATENATE('BMP P Tracking Table'!$T94," ",'BMP P Tracking Table'!$AC94),'Performance Curves'!$C$1:$L$45,MATCH('BMP P Tracking Table'!$AE94,'Performance Curves'!$E$1:$L$1,1)+1,FALSE)),"")</f>
        <v/>
      </c>
      <c r="AG94" s="175" t="str">
        <f>IFERROR(('BMP P Tracking Table'!$AE94-INDEX('Performance Curves'!$E$1:$L$1,1,MATCH('BMP P Tracking Table'!$AE94,'Performance Curves'!$E$1:$L$1,1)))/(INDEX('Performance Curves'!$E$1:$L$1,1,MATCH('BMP P Tracking Table'!$AE94,'Performance Curves'!$E$1:$L$1,1)+1)-INDEX('Performance Curves'!$E$1:$L$1,1,MATCH('BMP P Tracking Table'!$AE94,'Performance Curves'!$E$1:$L$1,1))),"")</f>
        <v/>
      </c>
      <c r="AH94" s="176" t="str">
        <f>IFERROR(IF('BMP P Tracking Table'!$AE94=2,VLOOKUP(CONCATENATE('BMP P Tracking Table'!$T94," ",'BMP P Tracking Table'!$AC94),'Performance Curves'!$C$1:$L$45,MATCH('BMP P Tracking Table'!$AE94,'Performance Curves'!$E$1:$L$1,1)+1,FALSE),'BMP P Tracking Table'!$AF94*'BMP P Tracking Table'!$AG94+VLOOKUP(CONCATENATE('BMP P Tracking Table'!$T94," ",'BMP P Tracking Table'!$AC94),'Performance Curves'!$C$1:$L$45,MATCH('BMP P Tracking Table'!$AE94,'Performance Curves'!$E$1:$L$1,1)+1,FALSE)),"")</f>
        <v/>
      </c>
      <c r="AI94" s="175" t="str">
        <f>IFERROR('BMP P Tracking Table'!$AH94*'BMP P Tracking Table'!$AD94,"")</f>
        <v/>
      </c>
      <c r="AJ94" s="169"/>
      <c r="AK94" s="173"/>
      <c r="AL94" s="173"/>
      <c r="AM94" s="177"/>
      <c r="AN94" s="178" t="str">
        <f t="shared" si="14"/>
        <v/>
      </c>
      <c r="AO94" s="96"/>
      <c r="AP94" s="96"/>
      <c r="AQ94" s="96"/>
      <c r="AR94" s="96"/>
      <c r="AS94" s="96"/>
      <c r="AT94" s="96"/>
      <c r="AU94" s="96"/>
      <c r="AV94" s="64"/>
      <c r="AW94" s="97"/>
      <c r="AX94" s="97"/>
      <c r="AY94" s="101" t="str">
        <f>IF('BMP P Tracking Table'!$AK94="Yes",IF('BMP P Tracking Table'!$AL94="No",'BMP P Tracking Table'!$U94*VLOOKUP('BMP P Tracking Table'!$Q94,'Loading Rates'!$B$1:$L$24,4,FALSE)+IF('BMP P Tracking Table'!$V94="By HSG",'BMP P Tracking Table'!$W94*VLOOKUP('BMP P Tracking Table'!$Q94,'Loading Rates'!$B$1:$L$24,6,FALSE)+'BMP P Tracking Table'!$X94*VLOOKUP('BMP P Tracking Table'!$Q94,'Loading Rates'!$B$1:$L$24,7,FALSE)+'BMP P Tracking Table'!$Y94*VLOOKUP('BMP P Tracking Table'!$Q94,'Loading Rates'!$B$1:$L$24,8,FALSE)+'BMP P Tracking Table'!$Z94*VLOOKUP('BMP P Tracking Table'!$Q94,'Loading Rates'!$B$1:$L$24,9,FALSE),'BMP P Tracking Table'!$AA94*VLOOKUP('BMP P Tracking Table'!$Q94,'Loading Rates'!$B$1:$L$24,10,FALSE)),'BMP P Tracking Table'!$AO94*VLOOKUP('BMP P Tracking Table'!$Q94,'Loading Rates'!$B$1:$L$24,4,FALSE)+IF('BMP P Tracking Table'!$AP94="By HSG",'BMP P Tracking Table'!$AQ94*VLOOKUP('BMP P Tracking Table'!$Q94,'Loading Rates'!$B$1:$L$24,6,FALSE)+'BMP P Tracking Table'!$AR94*VLOOKUP('BMP P Tracking Table'!$Q94,'Loading Rates'!$B$1:$L$24,7,FALSE)+'BMP P Tracking Table'!$AS94*VLOOKUP('BMP P Tracking Table'!$Q94,'Loading Rates'!$B$1:$L$24,8,FALSE)+'BMP P Tracking Table'!$AT94*VLOOKUP('BMP P Tracking Table'!$Q94,'Loading Rates'!$B$1:$L$24,9,FALSE),'BMP P Tracking Table'!$AU94*VLOOKUP('BMP P Tracking Table'!$Q94,'Loading Rates'!$B$1:$L$24,10,FALSE))),"")</f>
        <v/>
      </c>
      <c r="AZ94" s="101" t="str">
        <f>IFERROR(IF('BMP P Tracking Table'!$AL94="Yes",MIN(2,IF('BMP P Tracking Table'!$AP94="Total Pervious",(-(3630*'BMP P Tracking Table'!$AO94+20.691*'BMP P Tracking Table'!$AU94)+SQRT((3630*'BMP P Tracking Table'!$AO94+20.691*'BMP P Tracking Table'!$AU94)^2-(4*(996.798*'BMP P Tracking Table'!$AU94)*-'BMP P Tracking Table'!$AW94)))/(2*(996.798*'BMP P Tracking Table'!$AU94)),IF(SUM('BMP P Tracking Table'!$AQ94:$AT94)=0,'BMP P Tracking Table'!$AU94/(-3630*'BMP P Tracking Table'!$AO94),(-(3630*'BMP P Tracking Table'!$AO94+20.691*'BMP P Tracking Table'!$AT94-216.711*'BMP P Tracking Table'!$AS94-83.853*'BMP P Tracking Table'!$AR94-42.834*'BMP P Tracking Table'!$AQ94)+SQRT((3630*'BMP P Tracking Table'!$AO94+20.691*'BMP P Tracking Table'!$AT94-216.711*'BMP P Tracking Table'!$AS94-83.853*'BMP P Tracking Table'!$AR94-42.834*'BMP P Tracking Table'!$AQ94)^2-(4*(149.919*'BMP P Tracking Table'!$AQ94+236.676*'BMP P Tracking Table'!$AR94+726*'BMP P Tracking Table'!$AS94+996.798*'BMP P Tracking Table'!$AT94)*-'BMP P Tracking Table'!$AW94)))/(2*(149.919*'BMP P Tracking Table'!$AQ94+236.676*'BMP P Tracking Table'!$AR94+726*'BMP P Tracking Table'!$AS94+996.798*'BMP P Tracking Table'!$AT94))))),MIN(2,IF('BMP P Tracking Table'!$AP94="Total Pervious",(-(3630*'BMP P Tracking Table'!$U94+20.691*'BMP P Tracking Table'!$AA94)+SQRT((3630*'BMP P Tracking Table'!$U94+20.691*'BMP P Tracking Table'!$AA94)^2-(4*(996.798*'BMP P Tracking Table'!$AA94)*-'BMP P Tracking Table'!$AW94)))/(2*(996.798*'BMP P Tracking Table'!$AA94)),IF(SUM('BMP P Tracking Table'!$W94:$Z94)=0,'BMP P Tracking Table'!$AW94/(-3630*'BMP P Tracking Table'!$U94),(-(3630*'BMP P Tracking Table'!$U94+20.691*'BMP P Tracking Table'!$Z94-216.711*'BMP P Tracking Table'!$Y94-83.853*'BMP P Tracking Table'!$X94-42.834*'BMP P Tracking Table'!$W94)+SQRT((3630*'BMP P Tracking Table'!$U94+20.691*'BMP P Tracking Table'!$Z94-216.711*'BMP P Tracking Table'!$Y94-83.853*'BMP P Tracking Table'!$X94-42.834*'BMP P Tracking Table'!$W94)^2-(4*(149.919*'BMP P Tracking Table'!$W94+236.676*'BMP P Tracking Table'!$X94+726*'BMP P Tracking Table'!$Y94+996.798*'BMP P Tracking Table'!$Z94)*-'BMP P Tracking Table'!$AW94)))/(2*(149.919*'BMP P Tracking Table'!$W94+236.676*'BMP P Tracking Table'!$X94+726*'BMP P Tracking Table'!$Y94+996.798*'BMP P Tracking Table'!$Z94)))))),"")</f>
        <v/>
      </c>
      <c r="BA94" s="101" t="str">
        <f>IFERROR((VLOOKUP(CONCATENATE('BMP P Tracking Table'!$AV94," ",'BMP P Tracking Table'!$AX94),'Performance Curves'!$C$1:$L$45,MATCH('BMP P Tracking Table'!$AZ94,'Performance Curves'!$E$1:$L$1,1)+2,FALSE)-VLOOKUP(CONCATENATE('BMP P Tracking Table'!$AV94," ",'BMP P Tracking Table'!$AX94),'Performance Curves'!$C$1:$L$45,MATCH('BMP P Tracking Table'!$AZ94,'Performance Curves'!$E$1:$L$1,1)+1,FALSE)),"")</f>
        <v/>
      </c>
      <c r="BB94" s="101" t="str">
        <f>IFERROR(('BMP P Tracking Table'!$AZ94-INDEX('Performance Curves'!$E$1:$L$1,1,MATCH('BMP P Tracking Table'!$AZ94,'Performance Curves'!$E$1:$L$1,1)))/(INDEX('Performance Curves'!$E$1:$L$1,1,MATCH('BMP P Tracking Table'!$AZ94,'Performance Curves'!$E$1:$L$1,1)+1)-INDEX('Performance Curves'!$E$1:$L$1,1,MATCH('BMP P Tracking Table'!$AZ94,'Performance Curves'!$E$1:$L$1,1))),"")</f>
        <v/>
      </c>
      <c r="BC94" s="102" t="str">
        <f>IFERROR(IF('BMP P Tracking Table'!$AZ94=2,VLOOKUP(CONCATENATE('BMP P Tracking Table'!$AV94," ",'BMP P Tracking Table'!$AX94),'Performance Curves'!$C$1:$L$44,MATCH('BMP P Tracking Table'!$AZ94,'Performance Curves'!$E$1:$L$1,1)+1,FALSE),'BMP P Tracking Table'!$BA94*'BMP P Tracking Table'!$BB94+VLOOKUP(CONCATENATE('BMP P Tracking Table'!$AV94," ",'BMP P Tracking Table'!$AX94),'Performance Curves'!$C$1:$L$44,MATCH('BMP P Tracking Table'!$AZ94,'Performance Curves'!$E$1:$L$1,1)+1,FALSE)),"")</f>
        <v/>
      </c>
      <c r="BD94" s="101" t="str">
        <f>IFERROR('BMP P Tracking Table'!$BC94*'BMP P Tracking Table'!$AY94,"")</f>
        <v/>
      </c>
      <c r="BE94" s="96"/>
      <c r="BF94" s="37">
        <f t="shared" si="15"/>
        <v>0</v>
      </c>
    </row>
    <row r="95" spans="1:58" x14ac:dyDescent="0.3">
      <c r="A95" s="169"/>
      <c r="B95" s="169"/>
      <c r="C95" s="169"/>
      <c r="D95" s="169"/>
      <c r="E95" s="170"/>
      <c r="F95" s="170"/>
      <c r="G95" s="169"/>
      <c r="H95" s="169"/>
      <c r="I95" s="169"/>
      <c r="J95" s="171"/>
      <c r="K95" s="169"/>
      <c r="L95" s="169"/>
      <c r="M95" s="169"/>
      <c r="N95" s="169"/>
      <c r="O95" s="169"/>
      <c r="P95" s="169"/>
      <c r="Q95" s="169" t="str">
        <f>IFERROR(VLOOKUP('BMP P Tracking Table'!$P95,Dropdowns!$C$2:$E$15,3,FALSE),"")</f>
        <v/>
      </c>
      <c r="R95" s="169" t="str">
        <f>IFERROR(VLOOKUP('BMP P Tracking Table'!$Q95,Dropdowns!$P$3:$Q$23,2,FALSE),"")</f>
        <v/>
      </c>
      <c r="S95" s="169"/>
      <c r="T95" s="169"/>
      <c r="U95" s="169"/>
      <c r="V95" s="169"/>
      <c r="W95" s="169"/>
      <c r="X95" s="169"/>
      <c r="Y95" s="169"/>
      <c r="Z95" s="169"/>
      <c r="AA95" s="169"/>
      <c r="AB95" s="174"/>
      <c r="AC95" s="169"/>
      <c r="AD95" s="175" t="str">
        <f>IFERROR('BMP P Tracking Table'!$U95*VLOOKUP('BMP P Tracking Table'!$Q95,'Loading Rates'!$B$1:$L$24,4,FALSE)+IF('BMP P Tracking Table'!$V95="By HSG",'BMP P Tracking Table'!$W95*VLOOKUP('BMP P Tracking Table'!$Q95,'Loading Rates'!$B$1:$L$24,6,FALSE)+'BMP P Tracking Table'!$X95*VLOOKUP('BMP P Tracking Table'!$Q95,'Loading Rates'!$B$1:$L$24,7,FALSE)+'BMP P Tracking Table'!$Y95*VLOOKUP('BMP P Tracking Table'!$Q95,'Loading Rates'!$B$1:$L$24,8,FALSE)+'BMP P Tracking Table'!$Z95*VLOOKUP('BMP P Tracking Table'!$Q95,'Loading Rates'!$B$1:$L$24,9,FALSE),'BMP P Tracking Table'!$AA95*VLOOKUP('BMP P Tracking Table'!$Q95,'Loading Rates'!$B$1:$L$24,10,FALSE)),"")</f>
        <v/>
      </c>
      <c r="AE95" s="175" t="str">
        <f>IFERROR(MIN(2,IF('BMP P Tracking Table'!$V95="Total Pervious",(-(3630*'BMP P Tracking Table'!$U95+20.691*'BMP P Tracking Table'!$AA95)+SQRT((3630*'BMP P Tracking Table'!$U95+20.691*'BMP P Tracking Table'!$AA95)^2-(4*(996.798*'BMP P Tracking Table'!$AA95)*-'BMP P Tracking Table'!$AB95)))/(2*(996.798*'BMP P Tracking Table'!$AA95)),IF(SUM('BMP P Tracking Table'!$W95:$Z95)=0,'BMP P Tracking Table'!$AB95/(-3630*'BMP P Tracking Table'!$U95),(-(3630*'BMP P Tracking Table'!$U95+20.691*'BMP P Tracking Table'!$Z95-216.711*'BMP P Tracking Table'!$Y95-83.853*'BMP P Tracking Table'!$X95-42.834*'BMP P Tracking Table'!$W95)+SQRT((3630*'BMP P Tracking Table'!$U95+20.691*'BMP P Tracking Table'!$Z95-216.711*'BMP P Tracking Table'!$Y95-83.853*'BMP P Tracking Table'!$X95-42.834*'BMP P Tracking Table'!$W95)^2-(4*(149.919*'BMP P Tracking Table'!$W95+236.676*'BMP P Tracking Table'!$X95+726*'BMP P Tracking Table'!$Y95+996.798*'BMP P Tracking Table'!$Z95)*-'BMP P Tracking Table'!$AB95)))/(2*(149.919*'BMP P Tracking Table'!$W95+236.676*'BMP P Tracking Table'!$X95+726*'BMP P Tracking Table'!$Y95+996.798*'BMP P Tracking Table'!$Z95))))),"")</f>
        <v/>
      </c>
      <c r="AF95" s="175" t="str">
        <f>IFERROR((VLOOKUP(CONCATENATE('BMP P Tracking Table'!$T95," ",'BMP P Tracking Table'!$AC95),'Performance Curves'!$C$1:$L$45,MATCH('BMP P Tracking Table'!$AE95,'Performance Curves'!$E$1:$L$1,1)+2,FALSE)-VLOOKUP(CONCATENATE('BMP P Tracking Table'!$T95," ",'BMP P Tracking Table'!$AC95),'Performance Curves'!$C$1:$L$45,MATCH('BMP P Tracking Table'!$AE95,'Performance Curves'!$E$1:$L$1,1)+1,FALSE)),"")</f>
        <v/>
      </c>
      <c r="AG95" s="175" t="str">
        <f>IFERROR(('BMP P Tracking Table'!$AE95-INDEX('Performance Curves'!$E$1:$L$1,1,MATCH('BMP P Tracking Table'!$AE95,'Performance Curves'!$E$1:$L$1,1)))/(INDEX('Performance Curves'!$E$1:$L$1,1,MATCH('BMP P Tracking Table'!$AE95,'Performance Curves'!$E$1:$L$1,1)+1)-INDEX('Performance Curves'!$E$1:$L$1,1,MATCH('BMP P Tracking Table'!$AE95,'Performance Curves'!$E$1:$L$1,1))),"")</f>
        <v/>
      </c>
      <c r="AH95" s="176" t="str">
        <f>IFERROR(IF('BMP P Tracking Table'!$AE95=2,VLOOKUP(CONCATENATE('BMP P Tracking Table'!$T95," ",'BMP P Tracking Table'!$AC95),'Performance Curves'!$C$1:$L$45,MATCH('BMP P Tracking Table'!$AE95,'Performance Curves'!$E$1:$L$1,1)+1,FALSE),'BMP P Tracking Table'!$AF95*'BMP P Tracking Table'!$AG95+VLOOKUP(CONCATENATE('BMP P Tracking Table'!$T95," ",'BMP P Tracking Table'!$AC95),'Performance Curves'!$C$1:$L$45,MATCH('BMP P Tracking Table'!$AE95,'Performance Curves'!$E$1:$L$1,1)+1,FALSE)),"")</f>
        <v/>
      </c>
      <c r="AI95" s="175" t="str">
        <f>IFERROR('BMP P Tracking Table'!$AH95*'BMP P Tracking Table'!$AD95,"")</f>
        <v/>
      </c>
      <c r="AJ95" s="169"/>
      <c r="AK95" s="173"/>
      <c r="AL95" s="173"/>
      <c r="AM95" s="177"/>
      <c r="AN95" s="178" t="str">
        <f t="shared" si="14"/>
        <v/>
      </c>
      <c r="AO95" s="96"/>
      <c r="AP95" s="96"/>
      <c r="AQ95" s="96"/>
      <c r="AR95" s="96"/>
      <c r="AS95" s="96"/>
      <c r="AT95" s="96"/>
      <c r="AU95" s="96"/>
      <c r="AV95" s="64"/>
      <c r="AW95" s="97"/>
      <c r="AX95" s="97"/>
      <c r="AY95" s="101" t="str">
        <f>IF('BMP P Tracking Table'!$AK95="Yes",IF('BMP P Tracking Table'!$AL95="No",'BMP P Tracking Table'!$U95*VLOOKUP('BMP P Tracking Table'!$Q95,'Loading Rates'!$B$1:$L$24,4,FALSE)+IF('BMP P Tracking Table'!$V95="By HSG",'BMP P Tracking Table'!$W95*VLOOKUP('BMP P Tracking Table'!$Q95,'Loading Rates'!$B$1:$L$24,6,FALSE)+'BMP P Tracking Table'!$X95*VLOOKUP('BMP P Tracking Table'!$Q95,'Loading Rates'!$B$1:$L$24,7,FALSE)+'BMP P Tracking Table'!$Y95*VLOOKUP('BMP P Tracking Table'!$Q95,'Loading Rates'!$B$1:$L$24,8,FALSE)+'BMP P Tracking Table'!$Z95*VLOOKUP('BMP P Tracking Table'!$Q95,'Loading Rates'!$B$1:$L$24,9,FALSE),'BMP P Tracking Table'!$AA95*VLOOKUP('BMP P Tracking Table'!$Q95,'Loading Rates'!$B$1:$L$24,10,FALSE)),'BMP P Tracking Table'!$AO95*VLOOKUP('BMP P Tracking Table'!$Q95,'Loading Rates'!$B$1:$L$24,4,FALSE)+IF('BMP P Tracking Table'!$AP95="By HSG",'BMP P Tracking Table'!$AQ95*VLOOKUP('BMP P Tracking Table'!$Q95,'Loading Rates'!$B$1:$L$24,6,FALSE)+'BMP P Tracking Table'!$AR95*VLOOKUP('BMP P Tracking Table'!$Q95,'Loading Rates'!$B$1:$L$24,7,FALSE)+'BMP P Tracking Table'!$AS95*VLOOKUP('BMP P Tracking Table'!$Q95,'Loading Rates'!$B$1:$L$24,8,FALSE)+'BMP P Tracking Table'!$AT95*VLOOKUP('BMP P Tracking Table'!$Q95,'Loading Rates'!$B$1:$L$24,9,FALSE),'BMP P Tracking Table'!$AU95*VLOOKUP('BMP P Tracking Table'!$Q95,'Loading Rates'!$B$1:$L$24,10,FALSE))),"")</f>
        <v/>
      </c>
      <c r="AZ95" s="101" t="str">
        <f>IFERROR(IF('BMP P Tracking Table'!$AL95="Yes",MIN(2,IF('BMP P Tracking Table'!$AP95="Total Pervious",(-(3630*'BMP P Tracking Table'!$AO95+20.691*'BMP P Tracking Table'!$AU95)+SQRT((3630*'BMP P Tracking Table'!$AO95+20.691*'BMP P Tracking Table'!$AU95)^2-(4*(996.798*'BMP P Tracking Table'!$AU95)*-'BMP P Tracking Table'!$AW95)))/(2*(996.798*'BMP P Tracking Table'!$AU95)),IF(SUM('BMP P Tracking Table'!$AQ95:$AT95)=0,'BMP P Tracking Table'!$AU95/(-3630*'BMP P Tracking Table'!$AO95),(-(3630*'BMP P Tracking Table'!$AO95+20.691*'BMP P Tracking Table'!$AT95-216.711*'BMP P Tracking Table'!$AS95-83.853*'BMP P Tracking Table'!$AR95-42.834*'BMP P Tracking Table'!$AQ95)+SQRT((3630*'BMP P Tracking Table'!$AO95+20.691*'BMP P Tracking Table'!$AT95-216.711*'BMP P Tracking Table'!$AS95-83.853*'BMP P Tracking Table'!$AR95-42.834*'BMP P Tracking Table'!$AQ95)^2-(4*(149.919*'BMP P Tracking Table'!$AQ95+236.676*'BMP P Tracking Table'!$AR95+726*'BMP P Tracking Table'!$AS95+996.798*'BMP P Tracking Table'!$AT95)*-'BMP P Tracking Table'!$AW95)))/(2*(149.919*'BMP P Tracking Table'!$AQ95+236.676*'BMP P Tracking Table'!$AR95+726*'BMP P Tracking Table'!$AS95+996.798*'BMP P Tracking Table'!$AT95))))),MIN(2,IF('BMP P Tracking Table'!$AP95="Total Pervious",(-(3630*'BMP P Tracking Table'!$U95+20.691*'BMP P Tracking Table'!$AA95)+SQRT((3630*'BMP P Tracking Table'!$U95+20.691*'BMP P Tracking Table'!$AA95)^2-(4*(996.798*'BMP P Tracking Table'!$AA95)*-'BMP P Tracking Table'!$AW95)))/(2*(996.798*'BMP P Tracking Table'!$AA95)),IF(SUM('BMP P Tracking Table'!$W95:$Z95)=0,'BMP P Tracking Table'!$AW95/(-3630*'BMP P Tracking Table'!$U95),(-(3630*'BMP P Tracking Table'!$U95+20.691*'BMP P Tracking Table'!$Z95-216.711*'BMP P Tracking Table'!$Y95-83.853*'BMP P Tracking Table'!$X95-42.834*'BMP P Tracking Table'!$W95)+SQRT((3630*'BMP P Tracking Table'!$U95+20.691*'BMP P Tracking Table'!$Z95-216.711*'BMP P Tracking Table'!$Y95-83.853*'BMP P Tracking Table'!$X95-42.834*'BMP P Tracking Table'!$W95)^2-(4*(149.919*'BMP P Tracking Table'!$W95+236.676*'BMP P Tracking Table'!$X95+726*'BMP P Tracking Table'!$Y95+996.798*'BMP P Tracking Table'!$Z95)*-'BMP P Tracking Table'!$AW95)))/(2*(149.919*'BMP P Tracking Table'!$W95+236.676*'BMP P Tracking Table'!$X95+726*'BMP P Tracking Table'!$Y95+996.798*'BMP P Tracking Table'!$Z95)))))),"")</f>
        <v/>
      </c>
      <c r="BA95" s="101" t="str">
        <f>IFERROR((VLOOKUP(CONCATENATE('BMP P Tracking Table'!$AV95," ",'BMP P Tracking Table'!$AX95),'Performance Curves'!$C$1:$L$45,MATCH('BMP P Tracking Table'!$AZ95,'Performance Curves'!$E$1:$L$1,1)+2,FALSE)-VLOOKUP(CONCATENATE('BMP P Tracking Table'!$AV95," ",'BMP P Tracking Table'!$AX95),'Performance Curves'!$C$1:$L$45,MATCH('BMP P Tracking Table'!$AZ95,'Performance Curves'!$E$1:$L$1,1)+1,FALSE)),"")</f>
        <v/>
      </c>
      <c r="BB95" s="101" t="str">
        <f>IFERROR(('BMP P Tracking Table'!$AZ95-INDEX('Performance Curves'!$E$1:$L$1,1,MATCH('BMP P Tracking Table'!$AZ95,'Performance Curves'!$E$1:$L$1,1)))/(INDEX('Performance Curves'!$E$1:$L$1,1,MATCH('BMP P Tracking Table'!$AZ95,'Performance Curves'!$E$1:$L$1,1)+1)-INDEX('Performance Curves'!$E$1:$L$1,1,MATCH('BMP P Tracking Table'!$AZ95,'Performance Curves'!$E$1:$L$1,1))),"")</f>
        <v/>
      </c>
      <c r="BC95" s="102" t="str">
        <f>IFERROR(IF('BMP P Tracking Table'!$AZ95=2,VLOOKUP(CONCATENATE('BMP P Tracking Table'!$AV95," ",'BMP P Tracking Table'!$AX95),'Performance Curves'!$C$1:$L$44,MATCH('BMP P Tracking Table'!$AZ95,'Performance Curves'!$E$1:$L$1,1)+1,FALSE),'BMP P Tracking Table'!$BA95*'BMP P Tracking Table'!$BB95+VLOOKUP(CONCATENATE('BMP P Tracking Table'!$AV95," ",'BMP P Tracking Table'!$AX95),'Performance Curves'!$C$1:$L$44,MATCH('BMP P Tracking Table'!$AZ95,'Performance Curves'!$E$1:$L$1,1)+1,FALSE)),"")</f>
        <v/>
      </c>
      <c r="BD95" s="101" t="str">
        <f>IFERROR('BMP P Tracking Table'!$BC95*'BMP P Tracking Table'!$AY95,"")</f>
        <v/>
      </c>
      <c r="BE95" s="96"/>
      <c r="BF95" s="37">
        <f t="shared" si="15"/>
        <v>0</v>
      </c>
    </row>
    <row r="96" spans="1:58" x14ac:dyDescent="0.3">
      <c r="A96" s="169"/>
      <c r="B96" s="169"/>
      <c r="C96" s="169"/>
      <c r="D96" s="169"/>
      <c r="E96" s="170"/>
      <c r="F96" s="170"/>
      <c r="G96" s="169"/>
      <c r="H96" s="169"/>
      <c r="I96" s="169"/>
      <c r="J96" s="171"/>
      <c r="K96" s="169"/>
      <c r="L96" s="169"/>
      <c r="M96" s="169"/>
      <c r="N96" s="169"/>
      <c r="O96" s="169"/>
      <c r="P96" s="169"/>
      <c r="Q96" s="169" t="str">
        <f>IFERROR(VLOOKUP('BMP P Tracking Table'!$P96,Dropdowns!$C$2:$E$15,3,FALSE),"")</f>
        <v/>
      </c>
      <c r="R96" s="169" t="str">
        <f>IFERROR(VLOOKUP('BMP P Tracking Table'!$Q96,Dropdowns!$P$3:$Q$23,2,FALSE),"")</f>
        <v/>
      </c>
      <c r="S96" s="169"/>
      <c r="T96" s="169"/>
      <c r="U96" s="169"/>
      <c r="V96" s="169"/>
      <c r="W96" s="169"/>
      <c r="X96" s="169"/>
      <c r="Y96" s="169"/>
      <c r="Z96" s="169"/>
      <c r="AA96" s="169"/>
      <c r="AB96" s="174"/>
      <c r="AC96" s="169"/>
      <c r="AD96" s="175" t="str">
        <f>IFERROR('BMP P Tracking Table'!$U96*VLOOKUP('BMP P Tracking Table'!$Q96,'Loading Rates'!$B$1:$L$24,4,FALSE)+IF('BMP P Tracking Table'!$V96="By HSG",'BMP P Tracking Table'!$W96*VLOOKUP('BMP P Tracking Table'!$Q96,'Loading Rates'!$B$1:$L$24,6,FALSE)+'BMP P Tracking Table'!$X96*VLOOKUP('BMP P Tracking Table'!$Q96,'Loading Rates'!$B$1:$L$24,7,FALSE)+'BMP P Tracking Table'!$Y96*VLOOKUP('BMP P Tracking Table'!$Q96,'Loading Rates'!$B$1:$L$24,8,FALSE)+'BMP P Tracking Table'!$Z96*VLOOKUP('BMP P Tracking Table'!$Q96,'Loading Rates'!$B$1:$L$24,9,FALSE),'BMP P Tracking Table'!$AA96*VLOOKUP('BMP P Tracking Table'!$Q96,'Loading Rates'!$B$1:$L$24,10,FALSE)),"")</f>
        <v/>
      </c>
      <c r="AE96" s="175" t="str">
        <f>IFERROR(MIN(2,IF('BMP P Tracking Table'!$V96="Total Pervious",(-(3630*'BMP P Tracking Table'!$U96+20.691*'BMP P Tracking Table'!$AA96)+SQRT((3630*'BMP P Tracking Table'!$U96+20.691*'BMP P Tracking Table'!$AA96)^2-(4*(996.798*'BMP P Tracking Table'!$AA96)*-'BMP P Tracking Table'!$AB96)))/(2*(996.798*'BMP P Tracking Table'!$AA96)),IF(SUM('BMP P Tracking Table'!$W96:$Z96)=0,'BMP P Tracking Table'!$AB96/(-3630*'BMP P Tracking Table'!$U96),(-(3630*'BMP P Tracking Table'!$U96+20.691*'BMP P Tracking Table'!$Z96-216.711*'BMP P Tracking Table'!$Y96-83.853*'BMP P Tracking Table'!$X96-42.834*'BMP P Tracking Table'!$W96)+SQRT((3630*'BMP P Tracking Table'!$U96+20.691*'BMP P Tracking Table'!$Z96-216.711*'BMP P Tracking Table'!$Y96-83.853*'BMP P Tracking Table'!$X96-42.834*'BMP P Tracking Table'!$W96)^2-(4*(149.919*'BMP P Tracking Table'!$W96+236.676*'BMP P Tracking Table'!$X96+726*'BMP P Tracking Table'!$Y96+996.798*'BMP P Tracking Table'!$Z96)*-'BMP P Tracking Table'!$AB96)))/(2*(149.919*'BMP P Tracking Table'!$W96+236.676*'BMP P Tracking Table'!$X96+726*'BMP P Tracking Table'!$Y96+996.798*'BMP P Tracking Table'!$Z96))))),"")</f>
        <v/>
      </c>
      <c r="AF96" s="175" t="str">
        <f>IFERROR((VLOOKUP(CONCATENATE('BMP P Tracking Table'!$T96," ",'BMP P Tracking Table'!$AC96),'Performance Curves'!$C$1:$L$45,MATCH('BMP P Tracking Table'!$AE96,'Performance Curves'!$E$1:$L$1,1)+2,FALSE)-VLOOKUP(CONCATENATE('BMP P Tracking Table'!$T96," ",'BMP P Tracking Table'!$AC96),'Performance Curves'!$C$1:$L$45,MATCH('BMP P Tracking Table'!$AE96,'Performance Curves'!$E$1:$L$1,1)+1,FALSE)),"")</f>
        <v/>
      </c>
      <c r="AG96" s="175" t="str">
        <f>IFERROR(('BMP P Tracking Table'!$AE96-INDEX('Performance Curves'!$E$1:$L$1,1,MATCH('BMP P Tracking Table'!$AE96,'Performance Curves'!$E$1:$L$1,1)))/(INDEX('Performance Curves'!$E$1:$L$1,1,MATCH('BMP P Tracking Table'!$AE96,'Performance Curves'!$E$1:$L$1,1)+1)-INDEX('Performance Curves'!$E$1:$L$1,1,MATCH('BMP P Tracking Table'!$AE96,'Performance Curves'!$E$1:$L$1,1))),"")</f>
        <v/>
      </c>
      <c r="AH96" s="176" t="str">
        <f>IFERROR(IF('BMP P Tracking Table'!$AE96=2,VLOOKUP(CONCATENATE('BMP P Tracking Table'!$T96," ",'BMP P Tracking Table'!$AC96),'Performance Curves'!$C$1:$L$45,MATCH('BMP P Tracking Table'!$AE96,'Performance Curves'!$E$1:$L$1,1)+1,FALSE),'BMP P Tracking Table'!$AF96*'BMP P Tracking Table'!$AG96+VLOOKUP(CONCATENATE('BMP P Tracking Table'!$T96," ",'BMP P Tracking Table'!$AC96),'Performance Curves'!$C$1:$L$45,MATCH('BMP P Tracking Table'!$AE96,'Performance Curves'!$E$1:$L$1,1)+1,FALSE)),"")</f>
        <v/>
      </c>
      <c r="AI96" s="175" t="str">
        <f>IFERROR('BMP P Tracking Table'!$AH96*'BMP P Tracking Table'!$AD96,"")</f>
        <v/>
      </c>
      <c r="AJ96" s="169"/>
      <c r="AK96" s="173"/>
      <c r="AL96" s="173"/>
      <c r="AM96" s="177"/>
      <c r="AN96" s="178" t="str">
        <f t="shared" si="14"/>
        <v/>
      </c>
      <c r="AO96" s="96"/>
      <c r="AP96" s="96"/>
      <c r="AQ96" s="96"/>
      <c r="AR96" s="96"/>
      <c r="AS96" s="96"/>
      <c r="AT96" s="96"/>
      <c r="AU96" s="96"/>
      <c r="AV96" s="64"/>
      <c r="AW96" s="97"/>
      <c r="AX96" s="97"/>
      <c r="AY96" s="101" t="str">
        <f>IF('BMP P Tracking Table'!$AK96="Yes",IF('BMP P Tracking Table'!$AL96="No",'BMP P Tracking Table'!$U96*VLOOKUP('BMP P Tracking Table'!$Q96,'Loading Rates'!$B$1:$L$24,4,FALSE)+IF('BMP P Tracking Table'!$V96="By HSG",'BMP P Tracking Table'!$W96*VLOOKUP('BMP P Tracking Table'!$Q96,'Loading Rates'!$B$1:$L$24,6,FALSE)+'BMP P Tracking Table'!$X96*VLOOKUP('BMP P Tracking Table'!$Q96,'Loading Rates'!$B$1:$L$24,7,FALSE)+'BMP P Tracking Table'!$Y96*VLOOKUP('BMP P Tracking Table'!$Q96,'Loading Rates'!$B$1:$L$24,8,FALSE)+'BMP P Tracking Table'!$Z96*VLOOKUP('BMP P Tracking Table'!$Q96,'Loading Rates'!$B$1:$L$24,9,FALSE),'BMP P Tracking Table'!$AA96*VLOOKUP('BMP P Tracking Table'!$Q96,'Loading Rates'!$B$1:$L$24,10,FALSE)),'BMP P Tracking Table'!$AO96*VLOOKUP('BMP P Tracking Table'!$Q96,'Loading Rates'!$B$1:$L$24,4,FALSE)+IF('BMP P Tracking Table'!$AP96="By HSG",'BMP P Tracking Table'!$AQ96*VLOOKUP('BMP P Tracking Table'!$Q96,'Loading Rates'!$B$1:$L$24,6,FALSE)+'BMP P Tracking Table'!$AR96*VLOOKUP('BMP P Tracking Table'!$Q96,'Loading Rates'!$B$1:$L$24,7,FALSE)+'BMP P Tracking Table'!$AS96*VLOOKUP('BMP P Tracking Table'!$Q96,'Loading Rates'!$B$1:$L$24,8,FALSE)+'BMP P Tracking Table'!$AT96*VLOOKUP('BMP P Tracking Table'!$Q96,'Loading Rates'!$B$1:$L$24,9,FALSE),'BMP P Tracking Table'!$AU96*VLOOKUP('BMP P Tracking Table'!$Q96,'Loading Rates'!$B$1:$L$24,10,FALSE))),"")</f>
        <v/>
      </c>
      <c r="AZ96" s="101" t="str">
        <f>IFERROR(IF('BMP P Tracking Table'!$AL96="Yes",MIN(2,IF('BMP P Tracking Table'!$AP96="Total Pervious",(-(3630*'BMP P Tracking Table'!$AO96+20.691*'BMP P Tracking Table'!$AU96)+SQRT((3630*'BMP P Tracking Table'!$AO96+20.691*'BMP P Tracking Table'!$AU96)^2-(4*(996.798*'BMP P Tracking Table'!$AU96)*-'BMP P Tracking Table'!$AW96)))/(2*(996.798*'BMP P Tracking Table'!$AU96)),IF(SUM('BMP P Tracking Table'!$AQ96:$AT96)=0,'BMP P Tracking Table'!$AU96/(-3630*'BMP P Tracking Table'!$AO96),(-(3630*'BMP P Tracking Table'!$AO96+20.691*'BMP P Tracking Table'!$AT96-216.711*'BMP P Tracking Table'!$AS96-83.853*'BMP P Tracking Table'!$AR96-42.834*'BMP P Tracking Table'!$AQ96)+SQRT((3630*'BMP P Tracking Table'!$AO96+20.691*'BMP P Tracking Table'!$AT96-216.711*'BMP P Tracking Table'!$AS96-83.853*'BMP P Tracking Table'!$AR96-42.834*'BMP P Tracking Table'!$AQ96)^2-(4*(149.919*'BMP P Tracking Table'!$AQ96+236.676*'BMP P Tracking Table'!$AR96+726*'BMP P Tracking Table'!$AS96+996.798*'BMP P Tracking Table'!$AT96)*-'BMP P Tracking Table'!$AW96)))/(2*(149.919*'BMP P Tracking Table'!$AQ96+236.676*'BMP P Tracking Table'!$AR96+726*'BMP P Tracking Table'!$AS96+996.798*'BMP P Tracking Table'!$AT96))))),MIN(2,IF('BMP P Tracking Table'!$AP96="Total Pervious",(-(3630*'BMP P Tracking Table'!$U96+20.691*'BMP P Tracking Table'!$AA96)+SQRT((3630*'BMP P Tracking Table'!$U96+20.691*'BMP P Tracking Table'!$AA96)^2-(4*(996.798*'BMP P Tracking Table'!$AA96)*-'BMP P Tracking Table'!$AW96)))/(2*(996.798*'BMP P Tracking Table'!$AA96)),IF(SUM('BMP P Tracking Table'!$W96:$Z96)=0,'BMP P Tracking Table'!$AW96/(-3630*'BMP P Tracking Table'!$U96),(-(3630*'BMP P Tracking Table'!$U96+20.691*'BMP P Tracking Table'!$Z96-216.711*'BMP P Tracking Table'!$Y96-83.853*'BMP P Tracking Table'!$X96-42.834*'BMP P Tracking Table'!$W96)+SQRT((3630*'BMP P Tracking Table'!$U96+20.691*'BMP P Tracking Table'!$Z96-216.711*'BMP P Tracking Table'!$Y96-83.853*'BMP P Tracking Table'!$X96-42.834*'BMP P Tracking Table'!$W96)^2-(4*(149.919*'BMP P Tracking Table'!$W96+236.676*'BMP P Tracking Table'!$X96+726*'BMP P Tracking Table'!$Y96+996.798*'BMP P Tracking Table'!$Z96)*-'BMP P Tracking Table'!$AW96)))/(2*(149.919*'BMP P Tracking Table'!$W96+236.676*'BMP P Tracking Table'!$X96+726*'BMP P Tracking Table'!$Y96+996.798*'BMP P Tracking Table'!$Z96)))))),"")</f>
        <v/>
      </c>
      <c r="BA96" s="101" t="str">
        <f>IFERROR((VLOOKUP(CONCATENATE('BMP P Tracking Table'!$AV96," ",'BMP P Tracking Table'!$AX96),'Performance Curves'!$C$1:$L$45,MATCH('BMP P Tracking Table'!$AZ96,'Performance Curves'!$E$1:$L$1,1)+2,FALSE)-VLOOKUP(CONCATENATE('BMP P Tracking Table'!$AV96," ",'BMP P Tracking Table'!$AX96),'Performance Curves'!$C$1:$L$45,MATCH('BMP P Tracking Table'!$AZ96,'Performance Curves'!$E$1:$L$1,1)+1,FALSE)),"")</f>
        <v/>
      </c>
      <c r="BB96" s="101" t="str">
        <f>IFERROR(('BMP P Tracking Table'!$AZ96-INDEX('Performance Curves'!$E$1:$L$1,1,MATCH('BMP P Tracking Table'!$AZ96,'Performance Curves'!$E$1:$L$1,1)))/(INDEX('Performance Curves'!$E$1:$L$1,1,MATCH('BMP P Tracking Table'!$AZ96,'Performance Curves'!$E$1:$L$1,1)+1)-INDEX('Performance Curves'!$E$1:$L$1,1,MATCH('BMP P Tracking Table'!$AZ96,'Performance Curves'!$E$1:$L$1,1))),"")</f>
        <v/>
      </c>
      <c r="BC96" s="102" t="str">
        <f>IFERROR(IF('BMP P Tracking Table'!$AZ96=2,VLOOKUP(CONCATENATE('BMP P Tracking Table'!$AV96," ",'BMP P Tracking Table'!$AX96),'Performance Curves'!$C$1:$L$44,MATCH('BMP P Tracking Table'!$AZ96,'Performance Curves'!$E$1:$L$1,1)+1,FALSE),'BMP P Tracking Table'!$BA96*'BMP P Tracking Table'!$BB96+VLOOKUP(CONCATENATE('BMP P Tracking Table'!$AV96," ",'BMP P Tracking Table'!$AX96),'Performance Curves'!$C$1:$L$44,MATCH('BMP P Tracking Table'!$AZ96,'Performance Curves'!$E$1:$L$1,1)+1,FALSE)),"")</f>
        <v/>
      </c>
      <c r="BD96" s="101" t="str">
        <f>IFERROR('BMP P Tracking Table'!$BC96*'BMP P Tracking Table'!$AY96,"")</f>
        <v/>
      </c>
      <c r="BE96" s="96"/>
      <c r="BF96" s="37">
        <f t="shared" si="15"/>
        <v>0</v>
      </c>
    </row>
    <row r="97" spans="1:58" x14ac:dyDescent="0.3">
      <c r="A97" s="169"/>
      <c r="B97" s="169"/>
      <c r="C97" s="169"/>
      <c r="D97" s="169"/>
      <c r="E97" s="170"/>
      <c r="F97" s="170"/>
      <c r="G97" s="169"/>
      <c r="H97" s="169"/>
      <c r="I97" s="169"/>
      <c r="J97" s="171"/>
      <c r="K97" s="169"/>
      <c r="L97" s="169"/>
      <c r="M97" s="169"/>
      <c r="N97" s="169"/>
      <c r="O97" s="169"/>
      <c r="P97" s="169"/>
      <c r="Q97" s="169" t="str">
        <f>IFERROR(VLOOKUP('BMP P Tracking Table'!$P97,Dropdowns!$C$2:$E$15,3,FALSE),"")</f>
        <v/>
      </c>
      <c r="R97" s="169" t="str">
        <f>IFERROR(VLOOKUP('BMP P Tracking Table'!$Q97,Dropdowns!$P$3:$Q$23,2,FALSE),"")</f>
        <v/>
      </c>
      <c r="S97" s="169"/>
      <c r="T97" s="169"/>
      <c r="U97" s="169"/>
      <c r="V97" s="169"/>
      <c r="W97" s="169"/>
      <c r="X97" s="169"/>
      <c r="Y97" s="169"/>
      <c r="Z97" s="169"/>
      <c r="AA97" s="169"/>
      <c r="AB97" s="174"/>
      <c r="AC97" s="169"/>
      <c r="AD97" s="175" t="str">
        <f>IFERROR('BMP P Tracking Table'!$U97*VLOOKUP('BMP P Tracking Table'!$Q97,'Loading Rates'!$B$1:$L$24,4,FALSE)+IF('BMP P Tracking Table'!$V97="By HSG",'BMP P Tracking Table'!$W97*VLOOKUP('BMP P Tracking Table'!$Q97,'Loading Rates'!$B$1:$L$24,6,FALSE)+'BMP P Tracking Table'!$X97*VLOOKUP('BMP P Tracking Table'!$Q97,'Loading Rates'!$B$1:$L$24,7,FALSE)+'BMP P Tracking Table'!$Y97*VLOOKUP('BMP P Tracking Table'!$Q97,'Loading Rates'!$B$1:$L$24,8,FALSE)+'BMP P Tracking Table'!$Z97*VLOOKUP('BMP P Tracking Table'!$Q97,'Loading Rates'!$B$1:$L$24,9,FALSE),'BMP P Tracking Table'!$AA97*VLOOKUP('BMP P Tracking Table'!$Q97,'Loading Rates'!$B$1:$L$24,10,FALSE)),"")</f>
        <v/>
      </c>
      <c r="AE97" s="175" t="str">
        <f>IFERROR(MIN(2,IF('BMP P Tracking Table'!$V97="Total Pervious",(-(3630*'BMP P Tracking Table'!$U97+20.691*'BMP P Tracking Table'!$AA97)+SQRT((3630*'BMP P Tracking Table'!$U97+20.691*'BMP P Tracking Table'!$AA97)^2-(4*(996.798*'BMP P Tracking Table'!$AA97)*-'BMP P Tracking Table'!$AB97)))/(2*(996.798*'BMP P Tracking Table'!$AA97)),IF(SUM('BMP P Tracking Table'!$W97:$Z97)=0,'BMP P Tracking Table'!$AB97/(-3630*'BMP P Tracking Table'!$U97),(-(3630*'BMP P Tracking Table'!$U97+20.691*'BMP P Tracking Table'!$Z97-216.711*'BMP P Tracking Table'!$Y97-83.853*'BMP P Tracking Table'!$X97-42.834*'BMP P Tracking Table'!$W97)+SQRT((3630*'BMP P Tracking Table'!$U97+20.691*'BMP P Tracking Table'!$Z97-216.711*'BMP P Tracking Table'!$Y97-83.853*'BMP P Tracking Table'!$X97-42.834*'BMP P Tracking Table'!$W97)^2-(4*(149.919*'BMP P Tracking Table'!$W97+236.676*'BMP P Tracking Table'!$X97+726*'BMP P Tracking Table'!$Y97+996.798*'BMP P Tracking Table'!$Z97)*-'BMP P Tracking Table'!$AB97)))/(2*(149.919*'BMP P Tracking Table'!$W97+236.676*'BMP P Tracking Table'!$X97+726*'BMP P Tracking Table'!$Y97+996.798*'BMP P Tracking Table'!$Z97))))),"")</f>
        <v/>
      </c>
      <c r="AF97" s="175" t="str">
        <f>IFERROR((VLOOKUP(CONCATENATE('BMP P Tracking Table'!$T97," ",'BMP P Tracking Table'!$AC97),'Performance Curves'!$C$1:$L$45,MATCH('BMP P Tracking Table'!$AE97,'Performance Curves'!$E$1:$L$1,1)+2,FALSE)-VLOOKUP(CONCATENATE('BMP P Tracking Table'!$T97," ",'BMP P Tracking Table'!$AC97),'Performance Curves'!$C$1:$L$45,MATCH('BMP P Tracking Table'!$AE97,'Performance Curves'!$E$1:$L$1,1)+1,FALSE)),"")</f>
        <v/>
      </c>
      <c r="AG97" s="175" t="str">
        <f>IFERROR(('BMP P Tracking Table'!$AE97-INDEX('Performance Curves'!$E$1:$L$1,1,MATCH('BMP P Tracking Table'!$AE97,'Performance Curves'!$E$1:$L$1,1)))/(INDEX('Performance Curves'!$E$1:$L$1,1,MATCH('BMP P Tracking Table'!$AE97,'Performance Curves'!$E$1:$L$1,1)+1)-INDEX('Performance Curves'!$E$1:$L$1,1,MATCH('BMP P Tracking Table'!$AE97,'Performance Curves'!$E$1:$L$1,1))),"")</f>
        <v/>
      </c>
      <c r="AH97" s="176" t="str">
        <f>IFERROR(IF('BMP P Tracking Table'!$AE97=2,VLOOKUP(CONCATENATE('BMP P Tracking Table'!$T97," ",'BMP P Tracking Table'!$AC97),'Performance Curves'!$C$1:$L$45,MATCH('BMP P Tracking Table'!$AE97,'Performance Curves'!$E$1:$L$1,1)+1,FALSE),'BMP P Tracking Table'!$AF97*'BMP P Tracking Table'!$AG97+VLOOKUP(CONCATENATE('BMP P Tracking Table'!$T97," ",'BMP P Tracking Table'!$AC97),'Performance Curves'!$C$1:$L$45,MATCH('BMP P Tracking Table'!$AE97,'Performance Curves'!$E$1:$L$1,1)+1,FALSE)),"")</f>
        <v/>
      </c>
      <c r="AI97" s="175" t="str">
        <f>IFERROR('BMP P Tracking Table'!$AH97*'BMP P Tracking Table'!$AD97,"")</f>
        <v/>
      </c>
      <c r="AJ97" s="169"/>
      <c r="AK97" s="173"/>
      <c r="AL97" s="173"/>
      <c r="AM97" s="177"/>
      <c r="AN97" s="178" t="str">
        <f t="shared" si="14"/>
        <v/>
      </c>
      <c r="AO97" s="96"/>
      <c r="AP97" s="96"/>
      <c r="AQ97" s="96"/>
      <c r="AR97" s="96"/>
      <c r="AS97" s="96"/>
      <c r="AT97" s="96"/>
      <c r="AU97" s="96"/>
      <c r="AV97" s="64"/>
      <c r="AW97" s="97"/>
      <c r="AX97" s="97"/>
      <c r="AY97" s="101" t="str">
        <f>IF('BMP P Tracking Table'!$AK97="Yes",IF('BMP P Tracking Table'!$AL97="No",'BMP P Tracking Table'!$U97*VLOOKUP('BMP P Tracking Table'!$Q97,'Loading Rates'!$B$1:$L$24,4,FALSE)+IF('BMP P Tracking Table'!$V97="By HSG",'BMP P Tracking Table'!$W97*VLOOKUP('BMP P Tracking Table'!$Q97,'Loading Rates'!$B$1:$L$24,6,FALSE)+'BMP P Tracking Table'!$X97*VLOOKUP('BMP P Tracking Table'!$Q97,'Loading Rates'!$B$1:$L$24,7,FALSE)+'BMP P Tracking Table'!$Y97*VLOOKUP('BMP P Tracking Table'!$Q97,'Loading Rates'!$B$1:$L$24,8,FALSE)+'BMP P Tracking Table'!$Z97*VLOOKUP('BMP P Tracking Table'!$Q97,'Loading Rates'!$B$1:$L$24,9,FALSE),'BMP P Tracking Table'!$AA97*VLOOKUP('BMP P Tracking Table'!$Q97,'Loading Rates'!$B$1:$L$24,10,FALSE)),'BMP P Tracking Table'!$AO97*VLOOKUP('BMP P Tracking Table'!$Q97,'Loading Rates'!$B$1:$L$24,4,FALSE)+IF('BMP P Tracking Table'!$AP97="By HSG",'BMP P Tracking Table'!$AQ97*VLOOKUP('BMP P Tracking Table'!$Q97,'Loading Rates'!$B$1:$L$24,6,FALSE)+'BMP P Tracking Table'!$AR97*VLOOKUP('BMP P Tracking Table'!$Q97,'Loading Rates'!$B$1:$L$24,7,FALSE)+'BMP P Tracking Table'!$AS97*VLOOKUP('BMP P Tracking Table'!$Q97,'Loading Rates'!$B$1:$L$24,8,FALSE)+'BMP P Tracking Table'!$AT97*VLOOKUP('BMP P Tracking Table'!$Q97,'Loading Rates'!$B$1:$L$24,9,FALSE),'BMP P Tracking Table'!$AU97*VLOOKUP('BMP P Tracking Table'!$Q97,'Loading Rates'!$B$1:$L$24,10,FALSE))),"")</f>
        <v/>
      </c>
      <c r="AZ97" s="101" t="str">
        <f>IFERROR(IF('BMP P Tracking Table'!$AL97="Yes",MIN(2,IF('BMP P Tracking Table'!$AP97="Total Pervious",(-(3630*'BMP P Tracking Table'!$AO97+20.691*'BMP P Tracking Table'!$AU97)+SQRT((3630*'BMP P Tracking Table'!$AO97+20.691*'BMP P Tracking Table'!$AU97)^2-(4*(996.798*'BMP P Tracking Table'!$AU97)*-'BMP P Tracking Table'!$AW97)))/(2*(996.798*'BMP P Tracking Table'!$AU97)),IF(SUM('BMP P Tracking Table'!$AQ97:$AT97)=0,'BMP P Tracking Table'!$AU97/(-3630*'BMP P Tracking Table'!$AO97),(-(3630*'BMP P Tracking Table'!$AO97+20.691*'BMP P Tracking Table'!$AT97-216.711*'BMP P Tracking Table'!$AS97-83.853*'BMP P Tracking Table'!$AR97-42.834*'BMP P Tracking Table'!$AQ97)+SQRT((3630*'BMP P Tracking Table'!$AO97+20.691*'BMP P Tracking Table'!$AT97-216.711*'BMP P Tracking Table'!$AS97-83.853*'BMP P Tracking Table'!$AR97-42.834*'BMP P Tracking Table'!$AQ97)^2-(4*(149.919*'BMP P Tracking Table'!$AQ97+236.676*'BMP P Tracking Table'!$AR97+726*'BMP P Tracking Table'!$AS97+996.798*'BMP P Tracking Table'!$AT97)*-'BMP P Tracking Table'!$AW97)))/(2*(149.919*'BMP P Tracking Table'!$AQ97+236.676*'BMP P Tracking Table'!$AR97+726*'BMP P Tracking Table'!$AS97+996.798*'BMP P Tracking Table'!$AT97))))),MIN(2,IF('BMP P Tracking Table'!$AP97="Total Pervious",(-(3630*'BMP P Tracking Table'!$U97+20.691*'BMP P Tracking Table'!$AA97)+SQRT((3630*'BMP P Tracking Table'!$U97+20.691*'BMP P Tracking Table'!$AA97)^2-(4*(996.798*'BMP P Tracking Table'!$AA97)*-'BMP P Tracking Table'!$AW97)))/(2*(996.798*'BMP P Tracking Table'!$AA97)),IF(SUM('BMP P Tracking Table'!$W97:$Z97)=0,'BMP P Tracking Table'!$AW97/(-3630*'BMP P Tracking Table'!$U97),(-(3630*'BMP P Tracking Table'!$U97+20.691*'BMP P Tracking Table'!$Z97-216.711*'BMP P Tracking Table'!$Y97-83.853*'BMP P Tracking Table'!$X97-42.834*'BMP P Tracking Table'!$W97)+SQRT((3630*'BMP P Tracking Table'!$U97+20.691*'BMP P Tracking Table'!$Z97-216.711*'BMP P Tracking Table'!$Y97-83.853*'BMP P Tracking Table'!$X97-42.834*'BMP P Tracking Table'!$W97)^2-(4*(149.919*'BMP P Tracking Table'!$W97+236.676*'BMP P Tracking Table'!$X97+726*'BMP P Tracking Table'!$Y97+996.798*'BMP P Tracking Table'!$Z97)*-'BMP P Tracking Table'!$AW97)))/(2*(149.919*'BMP P Tracking Table'!$W97+236.676*'BMP P Tracking Table'!$X97+726*'BMP P Tracking Table'!$Y97+996.798*'BMP P Tracking Table'!$Z97)))))),"")</f>
        <v/>
      </c>
      <c r="BA97" s="101" t="str">
        <f>IFERROR((VLOOKUP(CONCATENATE('BMP P Tracking Table'!$AV97," ",'BMP P Tracking Table'!$AX97),'Performance Curves'!$C$1:$L$45,MATCH('BMP P Tracking Table'!$AZ97,'Performance Curves'!$E$1:$L$1,1)+2,FALSE)-VLOOKUP(CONCATENATE('BMP P Tracking Table'!$AV97," ",'BMP P Tracking Table'!$AX97),'Performance Curves'!$C$1:$L$45,MATCH('BMP P Tracking Table'!$AZ97,'Performance Curves'!$E$1:$L$1,1)+1,FALSE)),"")</f>
        <v/>
      </c>
      <c r="BB97" s="101" t="str">
        <f>IFERROR(('BMP P Tracking Table'!$AZ97-INDEX('Performance Curves'!$E$1:$L$1,1,MATCH('BMP P Tracking Table'!$AZ97,'Performance Curves'!$E$1:$L$1,1)))/(INDEX('Performance Curves'!$E$1:$L$1,1,MATCH('BMP P Tracking Table'!$AZ97,'Performance Curves'!$E$1:$L$1,1)+1)-INDEX('Performance Curves'!$E$1:$L$1,1,MATCH('BMP P Tracking Table'!$AZ97,'Performance Curves'!$E$1:$L$1,1))),"")</f>
        <v/>
      </c>
      <c r="BC97" s="102" t="str">
        <f>IFERROR(IF('BMP P Tracking Table'!$AZ97=2,VLOOKUP(CONCATENATE('BMP P Tracking Table'!$AV97," ",'BMP P Tracking Table'!$AX97),'Performance Curves'!$C$1:$L$44,MATCH('BMP P Tracking Table'!$AZ97,'Performance Curves'!$E$1:$L$1,1)+1,FALSE),'BMP P Tracking Table'!$BA97*'BMP P Tracking Table'!$BB97+VLOOKUP(CONCATENATE('BMP P Tracking Table'!$AV97," ",'BMP P Tracking Table'!$AX97),'Performance Curves'!$C$1:$L$44,MATCH('BMP P Tracking Table'!$AZ97,'Performance Curves'!$E$1:$L$1,1)+1,FALSE)),"")</f>
        <v/>
      </c>
      <c r="BD97" s="101" t="str">
        <f>IFERROR('BMP P Tracking Table'!$BC97*'BMP P Tracking Table'!$AY97,"")</f>
        <v/>
      </c>
      <c r="BE97" s="96"/>
      <c r="BF97" s="37">
        <f t="shared" si="15"/>
        <v>0</v>
      </c>
    </row>
    <row r="98" spans="1:58" x14ac:dyDescent="0.3">
      <c r="A98" s="169"/>
      <c r="B98" s="169"/>
      <c r="C98" s="169"/>
      <c r="D98" s="169"/>
      <c r="E98" s="170"/>
      <c r="F98" s="170"/>
      <c r="G98" s="169"/>
      <c r="H98" s="169"/>
      <c r="I98" s="169"/>
      <c r="J98" s="171"/>
      <c r="K98" s="169"/>
      <c r="L98" s="169"/>
      <c r="M98" s="169"/>
      <c r="N98" s="169"/>
      <c r="O98" s="169"/>
      <c r="P98" s="169"/>
      <c r="Q98" s="169" t="str">
        <f>IFERROR(VLOOKUP('BMP P Tracking Table'!$P98,Dropdowns!$C$2:$E$15,3,FALSE),"")</f>
        <v/>
      </c>
      <c r="R98" s="169" t="str">
        <f>IFERROR(VLOOKUP('BMP P Tracking Table'!$Q98,Dropdowns!$P$3:$Q$23,2,FALSE),"")</f>
        <v/>
      </c>
      <c r="S98" s="169"/>
      <c r="T98" s="169"/>
      <c r="U98" s="169"/>
      <c r="V98" s="169"/>
      <c r="W98" s="169"/>
      <c r="X98" s="169"/>
      <c r="Y98" s="169"/>
      <c r="Z98" s="169"/>
      <c r="AA98" s="169"/>
      <c r="AB98" s="174"/>
      <c r="AC98" s="169"/>
      <c r="AD98" s="175" t="str">
        <f>IFERROR('BMP P Tracking Table'!$U98*VLOOKUP('BMP P Tracking Table'!$Q98,'Loading Rates'!$B$1:$L$24,4,FALSE)+IF('BMP P Tracking Table'!$V98="By HSG",'BMP P Tracking Table'!$W98*VLOOKUP('BMP P Tracking Table'!$Q98,'Loading Rates'!$B$1:$L$24,6,FALSE)+'BMP P Tracking Table'!$X98*VLOOKUP('BMP P Tracking Table'!$Q98,'Loading Rates'!$B$1:$L$24,7,FALSE)+'BMP P Tracking Table'!$Y98*VLOOKUP('BMP P Tracking Table'!$Q98,'Loading Rates'!$B$1:$L$24,8,FALSE)+'BMP P Tracking Table'!$Z98*VLOOKUP('BMP P Tracking Table'!$Q98,'Loading Rates'!$B$1:$L$24,9,FALSE),'BMP P Tracking Table'!$AA98*VLOOKUP('BMP P Tracking Table'!$Q98,'Loading Rates'!$B$1:$L$24,10,FALSE)),"")</f>
        <v/>
      </c>
      <c r="AE98" s="175" t="str">
        <f>IFERROR(MIN(2,IF('BMP P Tracking Table'!$V98="Total Pervious",(-(3630*'BMP P Tracking Table'!$U98+20.691*'BMP P Tracking Table'!$AA98)+SQRT((3630*'BMP P Tracking Table'!$U98+20.691*'BMP P Tracking Table'!$AA98)^2-(4*(996.798*'BMP P Tracking Table'!$AA98)*-'BMP P Tracking Table'!$AB98)))/(2*(996.798*'BMP P Tracking Table'!$AA98)),IF(SUM('BMP P Tracking Table'!$W98:$Z98)=0,'BMP P Tracking Table'!$AB98/(-3630*'BMP P Tracking Table'!$U98),(-(3630*'BMP P Tracking Table'!$U98+20.691*'BMP P Tracking Table'!$Z98-216.711*'BMP P Tracking Table'!$Y98-83.853*'BMP P Tracking Table'!$X98-42.834*'BMP P Tracking Table'!$W98)+SQRT((3630*'BMP P Tracking Table'!$U98+20.691*'BMP P Tracking Table'!$Z98-216.711*'BMP P Tracking Table'!$Y98-83.853*'BMP P Tracking Table'!$X98-42.834*'BMP P Tracking Table'!$W98)^2-(4*(149.919*'BMP P Tracking Table'!$W98+236.676*'BMP P Tracking Table'!$X98+726*'BMP P Tracking Table'!$Y98+996.798*'BMP P Tracking Table'!$Z98)*-'BMP P Tracking Table'!$AB98)))/(2*(149.919*'BMP P Tracking Table'!$W98+236.676*'BMP P Tracking Table'!$X98+726*'BMP P Tracking Table'!$Y98+996.798*'BMP P Tracking Table'!$Z98))))),"")</f>
        <v/>
      </c>
      <c r="AF98" s="175" t="str">
        <f>IFERROR((VLOOKUP(CONCATENATE('BMP P Tracking Table'!$T98," ",'BMP P Tracking Table'!$AC98),'Performance Curves'!$C$1:$L$45,MATCH('BMP P Tracking Table'!$AE98,'Performance Curves'!$E$1:$L$1,1)+2,FALSE)-VLOOKUP(CONCATENATE('BMP P Tracking Table'!$T98," ",'BMP P Tracking Table'!$AC98),'Performance Curves'!$C$1:$L$45,MATCH('BMP P Tracking Table'!$AE98,'Performance Curves'!$E$1:$L$1,1)+1,FALSE)),"")</f>
        <v/>
      </c>
      <c r="AG98" s="175" t="str">
        <f>IFERROR(('BMP P Tracking Table'!$AE98-INDEX('Performance Curves'!$E$1:$L$1,1,MATCH('BMP P Tracking Table'!$AE98,'Performance Curves'!$E$1:$L$1,1)))/(INDEX('Performance Curves'!$E$1:$L$1,1,MATCH('BMP P Tracking Table'!$AE98,'Performance Curves'!$E$1:$L$1,1)+1)-INDEX('Performance Curves'!$E$1:$L$1,1,MATCH('BMP P Tracking Table'!$AE98,'Performance Curves'!$E$1:$L$1,1))),"")</f>
        <v/>
      </c>
      <c r="AH98" s="176" t="str">
        <f>IFERROR(IF('BMP P Tracking Table'!$AE98=2,VLOOKUP(CONCATENATE('BMP P Tracking Table'!$T98," ",'BMP P Tracking Table'!$AC98),'Performance Curves'!$C$1:$L$45,MATCH('BMP P Tracking Table'!$AE98,'Performance Curves'!$E$1:$L$1,1)+1,FALSE),'BMP P Tracking Table'!$AF98*'BMP P Tracking Table'!$AG98+VLOOKUP(CONCATENATE('BMP P Tracking Table'!$T98," ",'BMP P Tracking Table'!$AC98),'Performance Curves'!$C$1:$L$45,MATCH('BMP P Tracking Table'!$AE98,'Performance Curves'!$E$1:$L$1,1)+1,FALSE)),"")</f>
        <v/>
      </c>
      <c r="AI98" s="175" t="str">
        <f>IFERROR('BMP P Tracking Table'!$AH98*'BMP P Tracking Table'!$AD98,"")</f>
        <v/>
      </c>
      <c r="AJ98" s="169"/>
      <c r="AK98" s="173"/>
      <c r="AL98" s="173"/>
      <c r="AM98" s="177"/>
      <c r="AN98" s="178" t="str">
        <f t="shared" si="14"/>
        <v/>
      </c>
      <c r="AO98" s="96"/>
      <c r="AP98" s="96"/>
      <c r="AQ98" s="96"/>
      <c r="AR98" s="96"/>
      <c r="AS98" s="96"/>
      <c r="AT98" s="96"/>
      <c r="AU98" s="96"/>
      <c r="AV98" s="64"/>
      <c r="AW98" s="97"/>
      <c r="AX98" s="97"/>
      <c r="AY98" s="101" t="str">
        <f>IF('BMP P Tracking Table'!$AK98="Yes",IF('BMP P Tracking Table'!$AL98="No",'BMP P Tracking Table'!$U98*VLOOKUP('BMP P Tracking Table'!$Q98,'Loading Rates'!$B$1:$L$24,4,FALSE)+IF('BMP P Tracking Table'!$V98="By HSG",'BMP P Tracking Table'!$W98*VLOOKUP('BMP P Tracking Table'!$Q98,'Loading Rates'!$B$1:$L$24,6,FALSE)+'BMP P Tracking Table'!$X98*VLOOKUP('BMP P Tracking Table'!$Q98,'Loading Rates'!$B$1:$L$24,7,FALSE)+'BMP P Tracking Table'!$Y98*VLOOKUP('BMP P Tracking Table'!$Q98,'Loading Rates'!$B$1:$L$24,8,FALSE)+'BMP P Tracking Table'!$Z98*VLOOKUP('BMP P Tracking Table'!$Q98,'Loading Rates'!$B$1:$L$24,9,FALSE),'BMP P Tracking Table'!$AA98*VLOOKUP('BMP P Tracking Table'!$Q98,'Loading Rates'!$B$1:$L$24,10,FALSE)),'BMP P Tracking Table'!$AO98*VLOOKUP('BMP P Tracking Table'!$Q98,'Loading Rates'!$B$1:$L$24,4,FALSE)+IF('BMP P Tracking Table'!$AP98="By HSG",'BMP P Tracking Table'!$AQ98*VLOOKUP('BMP P Tracking Table'!$Q98,'Loading Rates'!$B$1:$L$24,6,FALSE)+'BMP P Tracking Table'!$AR98*VLOOKUP('BMP P Tracking Table'!$Q98,'Loading Rates'!$B$1:$L$24,7,FALSE)+'BMP P Tracking Table'!$AS98*VLOOKUP('BMP P Tracking Table'!$Q98,'Loading Rates'!$B$1:$L$24,8,FALSE)+'BMP P Tracking Table'!$AT98*VLOOKUP('BMP P Tracking Table'!$Q98,'Loading Rates'!$B$1:$L$24,9,FALSE),'BMP P Tracking Table'!$AU98*VLOOKUP('BMP P Tracking Table'!$Q98,'Loading Rates'!$B$1:$L$24,10,FALSE))),"")</f>
        <v/>
      </c>
      <c r="AZ98" s="101" t="str">
        <f>IFERROR(IF('BMP P Tracking Table'!$AL98="Yes",MIN(2,IF('BMP P Tracking Table'!$AP98="Total Pervious",(-(3630*'BMP P Tracking Table'!$AO98+20.691*'BMP P Tracking Table'!$AU98)+SQRT((3630*'BMP P Tracking Table'!$AO98+20.691*'BMP P Tracking Table'!$AU98)^2-(4*(996.798*'BMP P Tracking Table'!$AU98)*-'BMP P Tracking Table'!$AW98)))/(2*(996.798*'BMP P Tracking Table'!$AU98)),IF(SUM('BMP P Tracking Table'!$AQ98:$AT98)=0,'BMP P Tracking Table'!$AU98/(-3630*'BMP P Tracking Table'!$AO98),(-(3630*'BMP P Tracking Table'!$AO98+20.691*'BMP P Tracking Table'!$AT98-216.711*'BMP P Tracking Table'!$AS98-83.853*'BMP P Tracking Table'!$AR98-42.834*'BMP P Tracking Table'!$AQ98)+SQRT((3630*'BMP P Tracking Table'!$AO98+20.691*'BMP P Tracking Table'!$AT98-216.711*'BMP P Tracking Table'!$AS98-83.853*'BMP P Tracking Table'!$AR98-42.834*'BMP P Tracking Table'!$AQ98)^2-(4*(149.919*'BMP P Tracking Table'!$AQ98+236.676*'BMP P Tracking Table'!$AR98+726*'BMP P Tracking Table'!$AS98+996.798*'BMP P Tracking Table'!$AT98)*-'BMP P Tracking Table'!$AW98)))/(2*(149.919*'BMP P Tracking Table'!$AQ98+236.676*'BMP P Tracking Table'!$AR98+726*'BMP P Tracking Table'!$AS98+996.798*'BMP P Tracking Table'!$AT98))))),MIN(2,IF('BMP P Tracking Table'!$AP98="Total Pervious",(-(3630*'BMP P Tracking Table'!$U98+20.691*'BMP P Tracking Table'!$AA98)+SQRT((3630*'BMP P Tracking Table'!$U98+20.691*'BMP P Tracking Table'!$AA98)^2-(4*(996.798*'BMP P Tracking Table'!$AA98)*-'BMP P Tracking Table'!$AW98)))/(2*(996.798*'BMP P Tracking Table'!$AA98)),IF(SUM('BMP P Tracking Table'!$W98:$Z98)=0,'BMP P Tracking Table'!$AW98/(-3630*'BMP P Tracking Table'!$U98),(-(3630*'BMP P Tracking Table'!$U98+20.691*'BMP P Tracking Table'!$Z98-216.711*'BMP P Tracking Table'!$Y98-83.853*'BMP P Tracking Table'!$X98-42.834*'BMP P Tracking Table'!$W98)+SQRT((3630*'BMP P Tracking Table'!$U98+20.691*'BMP P Tracking Table'!$Z98-216.711*'BMP P Tracking Table'!$Y98-83.853*'BMP P Tracking Table'!$X98-42.834*'BMP P Tracking Table'!$W98)^2-(4*(149.919*'BMP P Tracking Table'!$W98+236.676*'BMP P Tracking Table'!$X98+726*'BMP P Tracking Table'!$Y98+996.798*'BMP P Tracking Table'!$Z98)*-'BMP P Tracking Table'!$AW98)))/(2*(149.919*'BMP P Tracking Table'!$W98+236.676*'BMP P Tracking Table'!$X98+726*'BMP P Tracking Table'!$Y98+996.798*'BMP P Tracking Table'!$Z98)))))),"")</f>
        <v/>
      </c>
      <c r="BA98" s="101" t="str">
        <f>IFERROR((VLOOKUP(CONCATENATE('BMP P Tracking Table'!$AV98," ",'BMP P Tracking Table'!$AX98),'Performance Curves'!$C$1:$L$45,MATCH('BMP P Tracking Table'!$AZ98,'Performance Curves'!$E$1:$L$1,1)+2,FALSE)-VLOOKUP(CONCATENATE('BMP P Tracking Table'!$AV98," ",'BMP P Tracking Table'!$AX98),'Performance Curves'!$C$1:$L$45,MATCH('BMP P Tracking Table'!$AZ98,'Performance Curves'!$E$1:$L$1,1)+1,FALSE)),"")</f>
        <v/>
      </c>
      <c r="BB98" s="101" t="str">
        <f>IFERROR(('BMP P Tracking Table'!$AZ98-INDEX('Performance Curves'!$E$1:$L$1,1,MATCH('BMP P Tracking Table'!$AZ98,'Performance Curves'!$E$1:$L$1,1)))/(INDEX('Performance Curves'!$E$1:$L$1,1,MATCH('BMP P Tracking Table'!$AZ98,'Performance Curves'!$E$1:$L$1,1)+1)-INDEX('Performance Curves'!$E$1:$L$1,1,MATCH('BMP P Tracking Table'!$AZ98,'Performance Curves'!$E$1:$L$1,1))),"")</f>
        <v/>
      </c>
      <c r="BC98" s="102" t="str">
        <f>IFERROR(IF('BMP P Tracking Table'!$AZ98=2,VLOOKUP(CONCATENATE('BMP P Tracking Table'!$AV98," ",'BMP P Tracking Table'!$AX98),'Performance Curves'!$C$1:$L$44,MATCH('BMP P Tracking Table'!$AZ98,'Performance Curves'!$E$1:$L$1,1)+1,FALSE),'BMP P Tracking Table'!$BA98*'BMP P Tracking Table'!$BB98+VLOOKUP(CONCATENATE('BMP P Tracking Table'!$AV98," ",'BMP P Tracking Table'!$AX98),'Performance Curves'!$C$1:$L$44,MATCH('BMP P Tracking Table'!$AZ98,'Performance Curves'!$E$1:$L$1,1)+1,FALSE)),"")</f>
        <v/>
      </c>
      <c r="BD98" s="101" t="str">
        <f>IFERROR('BMP P Tracking Table'!$BC98*'BMP P Tracking Table'!$AY98,"")</f>
        <v/>
      </c>
      <c r="BE98" s="96"/>
      <c r="BF98" s="37">
        <f t="shared" si="15"/>
        <v>0</v>
      </c>
    </row>
    <row r="99" spans="1:58" x14ac:dyDescent="0.3">
      <c r="A99" s="169"/>
      <c r="B99" s="169"/>
      <c r="C99" s="169"/>
      <c r="D99" s="169"/>
      <c r="E99" s="170"/>
      <c r="F99" s="170"/>
      <c r="G99" s="169"/>
      <c r="H99" s="169"/>
      <c r="I99" s="169"/>
      <c r="J99" s="171"/>
      <c r="K99" s="169"/>
      <c r="L99" s="169"/>
      <c r="M99" s="169"/>
      <c r="N99" s="169"/>
      <c r="O99" s="169"/>
      <c r="P99" s="169"/>
      <c r="Q99" s="169" t="str">
        <f>IFERROR(VLOOKUP('BMP P Tracking Table'!$P99,Dropdowns!$C$2:$E$15,3,FALSE),"")</f>
        <v/>
      </c>
      <c r="R99" s="169" t="str">
        <f>IFERROR(VLOOKUP('BMP P Tracking Table'!$Q99,Dropdowns!$P$3:$Q$23,2,FALSE),"")</f>
        <v/>
      </c>
      <c r="S99" s="169"/>
      <c r="T99" s="169"/>
      <c r="U99" s="169"/>
      <c r="V99" s="169"/>
      <c r="W99" s="169"/>
      <c r="X99" s="169"/>
      <c r="Y99" s="169"/>
      <c r="Z99" s="169"/>
      <c r="AA99" s="169"/>
      <c r="AB99" s="174"/>
      <c r="AC99" s="169"/>
      <c r="AD99" s="175" t="str">
        <f>IFERROR('BMP P Tracking Table'!$U99*VLOOKUP('BMP P Tracking Table'!$Q99,'Loading Rates'!$B$1:$L$24,4,FALSE)+IF('BMP P Tracking Table'!$V99="By HSG",'BMP P Tracking Table'!$W99*VLOOKUP('BMP P Tracking Table'!$Q99,'Loading Rates'!$B$1:$L$24,6,FALSE)+'BMP P Tracking Table'!$X99*VLOOKUP('BMP P Tracking Table'!$Q99,'Loading Rates'!$B$1:$L$24,7,FALSE)+'BMP P Tracking Table'!$Y99*VLOOKUP('BMP P Tracking Table'!$Q99,'Loading Rates'!$B$1:$L$24,8,FALSE)+'BMP P Tracking Table'!$Z99*VLOOKUP('BMP P Tracking Table'!$Q99,'Loading Rates'!$B$1:$L$24,9,FALSE),'BMP P Tracking Table'!$AA99*VLOOKUP('BMP P Tracking Table'!$Q99,'Loading Rates'!$B$1:$L$24,10,FALSE)),"")</f>
        <v/>
      </c>
      <c r="AE99" s="175" t="str">
        <f>IFERROR(MIN(2,IF('BMP P Tracking Table'!$V99="Total Pervious",(-(3630*'BMP P Tracking Table'!$U99+20.691*'BMP P Tracking Table'!$AA99)+SQRT((3630*'BMP P Tracking Table'!$U99+20.691*'BMP P Tracking Table'!$AA99)^2-(4*(996.798*'BMP P Tracking Table'!$AA99)*-'BMP P Tracking Table'!$AB99)))/(2*(996.798*'BMP P Tracking Table'!$AA99)),IF(SUM('BMP P Tracking Table'!$W99:$Z99)=0,'BMP P Tracking Table'!$AB99/(-3630*'BMP P Tracking Table'!$U99),(-(3630*'BMP P Tracking Table'!$U99+20.691*'BMP P Tracking Table'!$Z99-216.711*'BMP P Tracking Table'!$Y99-83.853*'BMP P Tracking Table'!$X99-42.834*'BMP P Tracking Table'!$W99)+SQRT((3630*'BMP P Tracking Table'!$U99+20.691*'BMP P Tracking Table'!$Z99-216.711*'BMP P Tracking Table'!$Y99-83.853*'BMP P Tracking Table'!$X99-42.834*'BMP P Tracking Table'!$W99)^2-(4*(149.919*'BMP P Tracking Table'!$W99+236.676*'BMP P Tracking Table'!$X99+726*'BMP P Tracking Table'!$Y99+996.798*'BMP P Tracking Table'!$Z99)*-'BMP P Tracking Table'!$AB99)))/(2*(149.919*'BMP P Tracking Table'!$W99+236.676*'BMP P Tracking Table'!$X99+726*'BMP P Tracking Table'!$Y99+996.798*'BMP P Tracking Table'!$Z99))))),"")</f>
        <v/>
      </c>
      <c r="AF99" s="175" t="str">
        <f>IFERROR((VLOOKUP(CONCATENATE('BMP P Tracking Table'!$T99," ",'BMP P Tracking Table'!$AC99),'Performance Curves'!$C$1:$L$45,MATCH('BMP P Tracking Table'!$AE99,'Performance Curves'!$E$1:$L$1,1)+2,FALSE)-VLOOKUP(CONCATENATE('BMP P Tracking Table'!$T99," ",'BMP P Tracking Table'!$AC99),'Performance Curves'!$C$1:$L$45,MATCH('BMP P Tracking Table'!$AE99,'Performance Curves'!$E$1:$L$1,1)+1,FALSE)),"")</f>
        <v/>
      </c>
      <c r="AG99" s="175" t="str">
        <f>IFERROR(('BMP P Tracking Table'!$AE99-INDEX('Performance Curves'!$E$1:$L$1,1,MATCH('BMP P Tracking Table'!$AE99,'Performance Curves'!$E$1:$L$1,1)))/(INDEX('Performance Curves'!$E$1:$L$1,1,MATCH('BMP P Tracking Table'!$AE99,'Performance Curves'!$E$1:$L$1,1)+1)-INDEX('Performance Curves'!$E$1:$L$1,1,MATCH('BMP P Tracking Table'!$AE99,'Performance Curves'!$E$1:$L$1,1))),"")</f>
        <v/>
      </c>
      <c r="AH99" s="176" t="str">
        <f>IFERROR(IF('BMP P Tracking Table'!$AE99=2,VLOOKUP(CONCATENATE('BMP P Tracking Table'!$T99," ",'BMP P Tracking Table'!$AC99),'Performance Curves'!$C$1:$L$45,MATCH('BMP P Tracking Table'!$AE99,'Performance Curves'!$E$1:$L$1,1)+1,FALSE),'BMP P Tracking Table'!$AF99*'BMP P Tracking Table'!$AG99+VLOOKUP(CONCATENATE('BMP P Tracking Table'!$T99," ",'BMP P Tracking Table'!$AC99),'Performance Curves'!$C$1:$L$45,MATCH('BMP P Tracking Table'!$AE99,'Performance Curves'!$E$1:$L$1,1)+1,FALSE)),"")</f>
        <v/>
      </c>
      <c r="AI99" s="175" t="str">
        <f>IFERROR('BMP P Tracking Table'!$AH99*'BMP P Tracking Table'!$AD99,"")</f>
        <v/>
      </c>
      <c r="AJ99" s="169"/>
      <c r="AK99" s="173"/>
      <c r="AL99" s="173"/>
      <c r="AM99" s="177"/>
      <c r="AN99" s="178" t="str">
        <f t="shared" si="14"/>
        <v/>
      </c>
      <c r="AO99" s="96"/>
      <c r="AP99" s="96"/>
      <c r="AQ99" s="96"/>
      <c r="AR99" s="96"/>
      <c r="AS99" s="96"/>
      <c r="AT99" s="96"/>
      <c r="AU99" s="96"/>
      <c r="AV99" s="64"/>
      <c r="AW99" s="97"/>
      <c r="AX99" s="97"/>
      <c r="AY99" s="101" t="str">
        <f>IF('BMP P Tracking Table'!$AK99="Yes",IF('BMP P Tracking Table'!$AL99="No",'BMP P Tracking Table'!$U99*VLOOKUP('BMP P Tracking Table'!$Q99,'Loading Rates'!$B$1:$L$24,4,FALSE)+IF('BMP P Tracking Table'!$V99="By HSG",'BMP P Tracking Table'!$W99*VLOOKUP('BMP P Tracking Table'!$Q99,'Loading Rates'!$B$1:$L$24,6,FALSE)+'BMP P Tracking Table'!$X99*VLOOKUP('BMP P Tracking Table'!$Q99,'Loading Rates'!$B$1:$L$24,7,FALSE)+'BMP P Tracking Table'!$Y99*VLOOKUP('BMP P Tracking Table'!$Q99,'Loading Rates'!$B$1:$L$24,8,FALSE)+'BMP P Tracking Table'!$Z99*VLOOKUP('BMP P Tracking Table'!$Q99,'Loading Rates'!$B$1:$L$24,9,FALSE),'BMP P Tracking Table'!$AA99*VLOOKUP('BMP P Tracking Table'!$Q99,'Loading Rates'!$B$1:$L$24,10,FALSE)),'BMP P Tracking Table'!$AO99*VLOOKUP('BMP P Tracking Table'!$Q99,'Loading Rates'!$B$1:$L$24,4,FALSE)+IF('BMP P Tracking Table'!$AP99="By HSG",'BMP P Tracking Table'!$AQ99*VLOOKUP('BMP P Tracking Table'!$Q99,'Loading Rates'!$B$1:$L$24,6,FALSE)+'BMP P Tracking Table'!$AR99*VLOOKUP('BMP P Tracking Table'!$Q99,'Loading Rates'!$B$1:$L$24,7,FALSE)+'BMP P Tracking Table'!$AS99*VLOOKUP('BMP P Tracking Table'!$Q99,'Loading Rates'!$B$1:$L$24,8,FALSE)+'BMP P Tracking Table'!$AT99*VLOOKUP('BMP P Tracking Table'!$Q99,'Loading Rates'!$B$1:$L$24,9,FALSE),'BMP P Tracking Table'!$AU99*VLOOKUP('BMP P Tracking Table'!$Q99,'Loading Rates'!$B$1:$L$24,10,FALSE))),"")</f>
        <v/>
      </c>
      <c r="AZ99" s="101" t="str">
        <f>IFERROR(IF('BMP P Tracking Table'!$AL99="Yes",MIN(2,IF('BMP P Tracking Table'!$AP99="Total Pervious",(-(3630*'BMP P Tracking Table'!$AO99+20.691*'BMP P Tracking Table'!$AU99)+SQRT((3630*'BMP P Tracking Table'!$AO99+20.691*'BMP P Tracking Table'!$AU99)^2-(4*(996.798*'BMP P Tracking Table'!$AU99)*-'BMP P Tracking Table'!$AW99)))/(2*(996.798*'BMP P Tracking Table'!$AU99)),IF(SUM('BMP P Tracking Table'!$AQ99:$AT99)=0,'BMP P Tracking Table'!$AU99/(-3630*'BMP P Tracking Table'!$AO99),(-(3630*'BMP P Tracking Table'!$AO99+20.691*'BMP P Tracking Table'!$AT99-216.711*'BMP P Tracking Table'!$AS99-83.853*'BMP P Tracking Table'!$AR99-42.834*'BMP P Tracking Table'!$AQ99)+SQRT((3630*'BMP P Tracking Table'!$AO99+20.691*'BMP P Tracking Table'!$AT99-216.711*'BMP P Tracking Table'!$AS99-83.853*'BMP P Tracking Table'!$AR99-42.834*'BMP P Tracking Table'!$AQ99)^2-(4*(149.919*'BMP P Tracking Table'!$AQ99+236.676*'BMP P Tracking Table'!$AR99+726*'BMP P Tracking Table'!$AS99+996.798*'BMP P Tracking Table'!$AT99)*-'BMP P Tracking Table'!$AW99)))/(2*(149.919*'BMP P Tracking Table'!$AQ99+236.676*'BMP P Tracking Table'!$AR99+726*'BMP P Tracking Table'!$AS99+996.798*'BMP P Tracking Table'!$AT99))))),MIN(2,IF('BMP P Tracking Table'!$AP99="Total Pervious",(-(3630*'BMP P Tracking Table'!$U99+20.691*'BMP P Tracking Table'!$AA99)+SQRT((3630*'BMP P Tracking Table'!$U99+20.691*'BMP P Tracking Table'!$AA99)^2-(4*(996.798*'BMP P Tracking Table'!$AA99)*-'BMP P Tracking Table'!$AW99)))/(2*(996.798*'BMP P Tracking Table'!$AA99)),IF(SUM('BMP P Tracking Table'!$W99:$Z99)=0,'BMP P Tracking Table'!$AW99/(-3630*'BMP P Tracking Table'!$U99),(-(3630*'BMP P Tracking Table'!$U99+20.691*'BMP P Tracking Table'!$Z99-216.711*'BMP P Tracking Table'!$Y99-83.853*'BMP P Tracking Table'!$X99-42.834*'BMP P Tracking Table'!$W99)+SQRT((3630*'BMP P Tracking Table'!$U99+20.691*'BMP P Tracking Table'!$Z99-216.711*'BMP P Tracking Table'!$Y99-83.853*'BMP P Tracking Table'!$X99-42.834*'BMP P Tracking Table'!$W99)^2-(4*(149.919*'BMP P Tracking Table'!$W99+236.676*'BMP P Tracking Table'!$X99+726*'BMP P Tracking Table'!$Y99+996.798*'BMP P Tracking Table'!$Z99)*-'BMP P Tracking Table'!$AW99)))/(2*(149.919*'BMP P Tracking Table'!$W99+236.676*'BMP P Tracking Table'!$X99+726*'BMP P Tracking Table'!$Y99+996.798*'BMP P Tracking Table'!$Z99)))))),"")</f>
        <v/>
      </c>
      <c r="BA99" s="101" t="str">
        <f>IFERROR((VLOOKUP(CONCATENATE('BMP P Tracking Table'!$AV99," ",'BMP P Tracking Table'!$AX99),'Performance Curves'!$C$1:$L$45,MATCH('BMP P Tracking Table'!$AZ99,'Performance Curves'!$E$1:$L$1,1)+2,FALSE)-VLOOKUP(CONCATENATE('BMP P Tracking Table'!$AV99," ",'BMP P Tracking Table'!$AX99),'Performance Curves'!$C$1:$L$45,MATCH('BMP P Tracking Table'!$AZ99,'Performance Curves'!$E$1:$L$1,1)+1,FALSE)),"")</f>
        <v/>
      </c>
      <c r="BB99" s="101" t="str">
        <f>IFERROR(('BMP P Tracking Table'!$AZ99-INDEX('Performance Curves'!$E$1:$L$1,1,MATCH('BMP P Tracking Table'!$AZ99,'Performance Curves'!$E$1:$L$1,1)))/(INDEX('Performance Curves'!$E$1:$L$1,1,MATCH('BMP P Tracking Table'!$AZ99,'Performance Curves'!$E$1:$L$1,1)+1)-INDEX('Performance Curves'!$E$1:$L$1,1,MATCH('BMP P Tracking Table'!$AZ99,'Performance Curves'!$E$1:$L$1,1))),"")</f>
        <v/>
      </c>
      <c r="BC99" s="102" t="str">
        <f>IFERROR(IF('BMP P Tracking Table'!$AZ99=2,VLOOKUP(CONCATENATE('BMP P Tracking Table'!$AV99," ",'BMP P Tracking Table'!$AX99),'Performance Curves'!$C$1:$L$44,MATCH('BMP P Tracking Table'!$AZ99,'Performance Curves'!$E$1:$L$1,1)+1,FALSE),'BMP P Tracking Table'!$BA99*'BMP P Tracking Table'!$BB99+VLOOKUP(CONCATENATE('BMP P Tracking Table'!$AV99," ",'BMP P Tracking Table'!$AX99),'Performance Curves'!$C$1:$L$44,MATCH('BMP P Tracking Table'!$AZ99,'Performance Curves'!$E$1:$L$1,1)+1,FALSE)),"")</f>
        <v/>
      </c>
      <c r="BD99" s="101" t="str">
        <f>IFERROR('BMP P Tracking Table'!$BC99*'BMP P Tracking Table'!$AY99,"")</f>
        <v/>
      </c>
      <c r="BE99" s="96"/>
      <c r="BF99" s="37">
        <f t="shared" si="15"/>
        <v>0</v>
      </c>
    </row>
    <row r="100" spans="1:58" x14ac:dyDescent="0.3">
      <c r="A100" s="169"/>
      <c r="B100" s="169"/>
      <c r="C100" s="169"/>
      <c r="D100" s="169"/>
      <c r="E100" s="170"/>
      <c r="F100" s="170"/>
      <c r="G100" s="169"/>
      <c r="H100" s="169"/>
      <c r="I100" s="169"/>
      <c r="J100" s="171"/>
      <c r="K100" s="169"/>
      <c r="L100" s="169"/>
      <c r="M100" s="169"/>
      <c r="N100" s="169"/>
      <c r="O100" s="169"/>
      <c r="P100" s="169"/>
      <c r="Q100" s="169" t="str">
        <f>IFERROR(VLOOKUP('BMP P Tracking Table'!$P100,Dropdowns!$C$2:$E$15,3,FALSE),"")</f>
        <v/>
      </c>
      <c r="R100" s="169" t="str">
        <f>IFERROR(VLOOKUP('BMP P Tracking Table'!$Q100,Dropdowns!$P$3:$Q$23,2,FALSE),"")</f>
        <v/>
      </c>
      <c r="S100" s="169"/>
      <c r="T100" s="169"/>
      <c r="U100" s="169"/>
      <c r="V100" s="169"/>
      <c r="W100" s="169"/>
      <c r="X100" s="169"/>
      <c r="Y100" s="169"/>
      <c r="Z100" s="169"/>
      <c r="AA100" s="169"/>
      <c r="AB100" s="174"/>
      <c r="AC100" s="169"/>
      <c r="AD100" s="175" t="str">
        <f>IFERROR('BMP P Tracking Table'!$U100*VLOOKUP('BMP P Tracking Table'!$Q100,'Loading Rates'!$B$1:$L$24,4,FALSE)+IF('BMP P Tracking Table'!$V100="By HSG",'BMP P Tracking Table'!$W100*VLOOKUP('BMP P Tracking Table'!$Q100,'Loading Rates'!$B$1:$L$24,6,FALSE)+'BMP P Tracking Table'!$X100*VLOOKUP('BMP P Tracking Table'!$Q100,'Loading Rates'!$B$1:$L$24,7,FALSE)+'BMP P Tracking Table'!$Y100*VLOOKUP('BMP P Tracking Table'!$Q100,'Loading Rates'!$B$1:$L$24,8,FALSE)+'BMP P Tracking Table'!$Z100*VLOOKUP('BMP P Tracking Table'!$Q100,'Loading Rates'!$B$1:$L$24,9,FALSE),'BMP P Tracking Table'!$AA100*VLOOKUP('BMP P Tracking Table'!$Q100,'Loading Rates'!$B$1:$L$24,10,FALSE)),"")</f>
        <v/>
      </c>
      <c r="AE100" s="175" t="str">
        <f>IFERROR(MIN(2,IF('BMP P Tracking Table'!$V100="Total Pervious",(-(3630*'BMP P Tracking Table'!$U100+20.691*'BMP P Tracking Table'!$AA100)+SQRT((3630*'BMP P Tracking Table'!$U100+20.691*'BMP P Tracking Table'!$AA100)^2-(4*(996.798*'BMP P Tracking Table'!$AA100)*-'BMP P Tracking Table'!$AB100)))/(2*(996.798*'BMP P Tracking Table'!$AA100)),IF(SUM('BMP P Tracking Table'!$W100:$Z100)=0,'BMP P Tracking Table'!$AB100/(-3630*'BMP P Tracking Table'!$U100),(-(3630*'BMP P Tracking Table'!$U100+20.691*'BMP P Tracking Table'!$Z100-216.711*'BMP P Tracking Table'!$Y100-83.853*'BMP P Tracking Table'!$X100-42.834*'BMP P Tracking Table'!$W100)+SQRT((3630*'BMP P Tracking Table'!$U100+20.691*'BMP P Tracking Table'!$Z100-216.711*'BMP P Tracking Table'!$Y100-83.853*'BMP P Tracking Table'!$X100-42.834*'BMP P Tracking Table'!$W100)^2-(4*(149.919*'BMP P Tracking Table'!$W100+236.676*'BMP P Tracking Table'!$X100+726*'BMP P Tracking Table'!$Y100+996.798*'BMP P Tracking Table'!$Z100)*-'BMP P Tracking Table'!$AB100)))/(2*(149.919*'BMP P Tracking Table'!$W100+236.676*'BMP P Tracking Table'!$X100+726*'BMP P Tracking Table'!$Y100+996.798*'BMP P Tracking Table'!$Z100))))),"")</f>
        <v/>
      </c>
      <c r="AF100" s="175" t="str">
        <f>IFERROR((VLOOKUP(CONCATENATE('BMP P Tracking Table'!$T100," ",'BMP P Tracking Table'!$AC100),'Performance Curves'!$C$1:$L$45,MATCH('BMP P Tracking Table'!$AE100,'Performance Curves'!$E$1:$L$1,1)+2,FALSE)-VLOOKUP(CONCATENATE('BMP P Tracking Table'!$T100," ",'BMP P Tracking Table'!$AC100),'Performance Curves'!$C$1:$L$45,MATCH('BMP P Tracking Table'!$AE100,'Performance Curves'!$E$1:$L$1,1)+1,FALSE)),"")</f>
        <v/>
      </c>
      <c r="AG100" s="175" t="str">
        <f>IFERROR(('BMP P Tracking Table'!$AE100-INDEX('Performance Curves'!$E$1:$L$1,1,MATCH('BMP P Tracking Table'!$AE100,'Performance Curves'!$E$1:$L$1,1)))/(INDEX('Performance Curves'!$E$1:$L$1,1,MATCH('BMP P Tracking Table'!$AE100,'Performance Curves'!$E$1:$L$1,1)+1)-INDEX('Performance Curves'!$E$1:$L$1,1,MATCH('BMP P Tracking Table'!$AE100,'Performance Curves'!$E$1:$L$1,1))),"")</f>
        <v/>
      </c>
      <c r="AH100" s="176" t="str">
        <f>IFERROR(IF('BMP P Tracking Table'!$AE100=2,VLOOKUP(CONCATENATE('BMP P Tracking Table'!$T100," ",'BMP P Tracking Table'!$AC100),'Performance Curves'!$C$1:$L$45,MATCH('BMP P Tracking Table'!$AE100,'Performance Curves'!$E$1:$L$1,1)+1,FALSE),'BMP P Tracking Table'!$AF100*'BMP P Tracking Table'!$AG100+VLOOKUP(CONCATENATE('BMP P Tracking Table'!$T100," ",'BMP P Tracking Table'!$AC100),'Performance Curves'!$C$1:$L$45,MATCH('BMP P Tracking Table'!$AE100,'Performance Curves'!$E$1:$L$1,1)+1,FALSE)),"")</f>
        <v/>
      </c>
      <c r="AI100" s="175" t="str">
        <f>IFERROR('BMP P Tracking Table'!$AH100*'BMP P Tracking Table'!$AD100,"")</f>
        <v/>
      </c>
      <c r="AJ100" s="169"/>
      <c r="AK100" s="173"/>
      <c r="AL100" s="173"/>
      <c r="AM100" s="177"/>
      <c r="AN100" s="178" t="str">
        <f t="shared" si="14"/>
        <v/>
      </c>
      <c r="AO100" s="96"/>
      <c r="AP100" s="96"/>
      <c r="AQ100" s="96"/>
      <c r="AR100" s="96"/>
      <c r="AS100" s="96"/>
      <c r="AT100" s="96"/>
      <c r="AU100" s="96"/>
      <c r="AV100" s="64"/>
      <c r="AW100" s="97"/>
      <c r="AX100" s="97"/>
      <c r="AY100" s="101" t="str">
        <f>IF('BMP P Tracking Table'!$AK100="Yes",IF('BMP P Tracking Table'!$AL100="No",'BMP P Tracking Table'!$U100*VLOOKUP('BMP P Tracking Table'!$Q100,'Loading Rates'!$B$1:$L$24,4,FALSE)+IF('BMP P Tracking Table'!$V100="By HSG",'BMP P Tracking Table'!$W100*VLOOKUP('BMP P Tracking Table'!$Q100,'Loading Rates'!$B$1:$L$24,6,FALSE)+'BMP P Tracking Table'!$X100*VLOOKUP('BMP P Tracking Table'!$Q100,'Loading Rates'!$B$1:$L$24,7,FALSE)+'BMP P Tracking Table'!$Y100*VLOOKUP('BMP P Tracking Table'!$Q100,'Loading Rates'!$B$1:$L$24,8,FALSE)+'BMP P Tracking Table'!$Z100*VLOOKUP('BMP P Tracking Table'!$Q100,'Loading Rates'!$B$1:$L$24,9,FALSE),'BMP P Tracking Table'!$AA100*VLOOKUP('BMP P Tracking Table'!$Q100,'Loading Rates'!$B$1:$L$24,10,FALSE)),'BMP P Tracking Table'!$AO100*VLOOKUP('BMP P Tracking Table'!$Q100,'Loading Rates'!$B$1:$L$24,4,FALSE)+IF('BMP P Tracking Table'!$AP100="By HSG",'BMP P Tracking Table'!$AQ100*VLOOKUP('BMP P Tracking Table'!$Q100,'Loading Rates'!$B$1:$L$24,6,FALSE)+'BMP P Tracking Table'!$AR100*VLOOKUP('BMP P Tracking Table'!$Q100,'Loading Rates'!$B$1:$L$24,7,FALSE)+'BMP P Tracking Table'!$AS100*VLOOKUP('BMP P Tracking Table'!$Q100,'Loading Rates'!$B$1:$L$24,8,FALSE)+'BMP P Tracking Table'!$AT100*VLOOKUP('BMP P Tracking Table'!$Q100,'Loading Rates'!$B$1:$L$24,9,FALSE),'BMP P Tracking Table'!$AU100*VLOOKUP('BMP P Tracking Table'!$Q100,'Loading Rates'!$B$1:$L$24,10,FALSE))),"")</f>
        <v/>
      </c>
      <c r="AZ100" s="101" t="str">
        <f>IFERROR(IF('BMP P Tracking Table'!$AL100="Yes",MIN(2,IF('BMP P Tracking Table'!$AP100="Total Pervious",(-(3630*'BMP P Tracking Table'!$AO100+20.691*'BMP P Tracking Table'!$AU100)+SQRT((3630*'BMP P Tracking Table'!$AO100+20.691*'BMP P Tracking Table'!$AU100)^2-(4*(996.798*'BMP P Tracking Table'!$AU100)*-'BMP P Tracking Table'!$AW100)))/(2*(996.798*'BMP P Tracking Table'!$AU100)),IF(SUM('BMP P Tracking Table'!$AQ100:$AT100)=0,'BMP P Tracking Table'!$AU100/(-3630*'BMP P Tracking Table'!$AO100),(-(3630*'BMP P Tracking Table'!$AO100+20.691*'BMP P Tracking Table'!$AT100-216.711*'BMP P Tracking Table'!$AS100-83.853*'BMP P Tracking Table'!$AR100-42.834*'BMP P Tracking Table'!$AQ100)+SQRT((3630*'BMP P Tracking Table'!$AO100+20.691*'BMP P Tracking Table'!$AT100-216.711*'BMP P Tracking Table'!$AS100-83.853*'BMP P Tracking Table'!$AR100-42.834*'BMP P Tracking Table'!$AQ100)^2-(4*(149.919*'BMP P Tracking Table'!$AQ100+236.676*'BMP P Tracking Table'!$AR100+726*'BMP P Tracking Table'!$AS100+996.798*'BMP P Tracking Table'!$AT100)*-'BMP P Tracking Table'!$AW100)))/(2*(149.919*'BMP P Tracking Table'!$AQ100+236.676*'BMP P Tracking Table'!$AR100+726*'BMP P Tracking Table'!$AS100+996.798*'BMP P Tracking Table'!$AT100))))),MIN(2,IF('BMP P Tracking Table'!$AP100="Total Pervious",(-(3630*'BMP P Tracking Table'!$U100+20.691*'BMP P Tracking Table'!$AA100)+SQRT((3630*'BMP P Tracking Table'!$U100+20.691*'BMP P Tracking Table'!$AA100)^2-(4*(996.798*'BMP P Tracking Table'!$AA100)*-'BMP P Tracking Table'!$AW100)))/(2*(996.798*'BMP P Tracking Table'!$AA100)),IF(SUM('BMP P Tracking Table'!$W100:$Z100)=0,'BMP P Tracking Table'!$AW100/(-3630*'BMP P Tracking Table'!$U100),(-(3630*'BMP P Tracking Table'!$U100+20.691*'BMP P Tracking Table'!$Z100-216.711*'BMP P Tracking Table'!$Y100-83.853*'BMP P Tracking Table'!$X100-42.834*'BMP P Tracking Table'!$W100)+SQRT((3630*'BMP P Tracking Table'!$U100+20.691*'BMP P Tracking Table'!$Z100-216.711*'BMP P Tracking Table'!$Y100-83.853*'BMP P Tracking Table'!$X100-42.834*'BMP P Tracking Table'!$W100)^2-(4*(149.919*'BMP P Tracking Table'!$W100+236.676*'BMP P Tracking Table'!$X100+726*'BMP P Tracking Table'!$Y100+996.798*'BMP P Tracking Table'!$Z100)*-'BMP P Tracking Table'!$AW100)))/(2*(149.919*'BMP P Tracking Table'!$W100+236.676*'BMP P Tracking Table'!$X100+726*'BMP P Tracking Table'!$Y100+996.798*'BMP P Tracking Table'!$Z100)))))),"")</f>
        <v/>
      </c>
      <c r="BA100" s="101" t="str">
        <f>IFERROR((VLOOKUP(CONCATENATE('BMP P Tracking Table'!$AV100," ",'BMP P Tracking Table'!$AX100),'Performance Curves'!$C$1:$L$45,MATCH('BMP P Tracking Table'!$AZ100,'Performance Curves'!$E$1:$L$1,1)+2,FALSE)-VLOOKUP(CONCATENATE('BMP P Tracking Table'!$AV100," ",'BMP P Tracking Table'!$AX100),'Performance Curves'!$C$1:$L$45,MATCH('BMP P Tracking Table'!$AZ100,'Performance Curves'!$E$1:$L$1,1)+1,FALSE)),"")</f>
        <v/>
      </c>
      <c r="BB100" s="101" t="str">
        <f>IFERROR(('BMP P Tracking Table'!$AZ100-INDEX('Performance Curves'!$E$1:$L$1,1,MATCH('BMP P Tracking Table'!$AZ100,'Performance Curves'!$E$1:$L$1,1)))/(INDEX('Performance Curves'!$E$1:$L$1,1,MATCH('BMP P Tracking Table'!$AZ100,'Performance Curves'!$E$1:$L$1,1)+1)-INDEX('Performance Curves'!$E$1:$L$1,1,MATCH('BMP P Tracking Table'!$AZ100,'Performance Curves'!$E$1:$L$1,1))),"")</f>
        <v/>
      </c>
      <c r="BC100" s="102" t="str">
        <f>IFERROR(IF('BMP P Tracking Table'!$AZ100=2,VLOOKUP(CONCATENATE('BMP P Tracking Table'!$AV100," ",'BMP P Tracking Table'!$AX100),'Performance Curves'!$C$1:$L$44,MATCH('BMP P Tracking Table'!$AZ100,'Performance Curves'!$E$1:$L$1,1)+1,FALSE),'BMP P Tracking Table'!$BA100*'BMP P Tracking Table'!$BB100+VLOOKUP(CONCATENATE('BMP P Tracking Table'!$AV100," ",'BMP P Tracking Table'!$AX100),'Performance Curves'!$C$1:$L$44,MATCH('BMP P Tracking Table'!$AZ100,'Performance Curves'!$E$1:$L$1,1)+1,FALSE)),"")</f>
        <v/>
      </c>
      <c r="BD100" s="101" t="str">
        <f>IFERROR('BMP P Tracking Table'!$BC100*'BMP P Tracking Table'!$AY100,"")</f>
        <v/>
      </c>
      <c r="BE100" s="96"/>
      <c r="BF100" s="37">
        <f t="shared" si="15"/>
        <v>0</v>
      </c>
    </row>
    <row r="101" spans="1:58" x14ac:dyDescent="0.3">
      <c r="A101" s="169"/>
      <c r="B101" s="169"/>
      <c r="C101" s="169"/>
      <c r="D101" s="169"/>
      <c r="E101" s="170"/>
      <c r="F101" s="170"/>
      <c r="G101" s="169"/>
      <c r="H101" s="169"/>
      <c r="I101" s="169"/>
      <c r="J101" s="171"/>
      <c r="K101" s="169"/>
      <c r="L101" s="169"/>
      <c r="M101" s="169"/>
      <c r="N101" s="169"/>
      <c r="O101" s="169"/>
      <c r="P101" s="169"/>
      <c r="Q101" s="169" t="str">
        <f>IFERROR(VLOOKUP('BMP P Tracking Table'!$P101,Dropdowns!$C$2:$E$15,3,FALSE),"")</f>
        <v/>
      </c>
      <c r="R101" s="169" t="str">
        <f>IFERROR(VLOOKUP('BMP P Tracking Table'!$Q101,Dropdowns!$P$3:$Q$23,2,FALSE),"")</f>
        <v/>
      </c>
      <c r="S101" s="169"/>
      <c r="T101" s="169"/>
      <c r="U101" s="169"/>
      <c r="V101" s="169"/>
      <c r="W101" s="169"/>
      <c r="X101" s="169"/>
      <c r="Y101" s="169"/>
      <c r="Z101" s="169"/>
      <c r="AA101" s="169"/>
      <c r="AB101" s="174"/>
      <c r="AC101" s="169"/>
      <c r="AD101" s="175" t="str">
        <f>IFERROR('BMP P Tracking Table'!$U101*VLOOKUP('BMP P Tracking Table'!$Q101,'Loading Rates'!$B$1:$L$24,4,FALSE)+IF('BMP P Tracking Table'!$V101="By HSG",'BMP P Tracking Table'!$W101*VLOOKUP('BMP P Tracking Table'!$Q101,'Loading Rates'!$B$1:$L$24,6,FALSE)+'BMP P Tracking Table'!$X101*VLOOKUP('BMP P Tracking Table'!$Q101,'Loading Rates'!$B$1:$L$24,7,FALSE)+'BMP P Tracking Table'!$Y101*VLOOKUP('BMP P Tracking Table'!$Q101,'Loading Rates'!$B$1:$L$24,8,FALSE)+'BMP P Tracking Table'!$Z101*VLOOKUP('BMP P Tracking Table'!$Q101,'Loading Rates'!$B$1:$L$24,9,FALSE),'BMP P Tracking Table'!$AA101*VLOOKUP('BMP P Tracking Table'!$Q101,'Loading Rates'!$B$1:$L$24,10,FALSE)),"")</f>
        <v/>
      </c>
      <c r="AE101" s="175" t="str">
        <f>IFERROR(MIN(2,IF('BMP P Tracking Table'!$V101="Total Pervious",(-(3630*'BMP P Tracking Table'!$U101+20.691*'BMP P Tracking Table'!$AA101)+SQRT((3630*'BMP P Tracking Table'!$U101+20.691*'BMP P Tracking Table'!$AA101)^2-(4*(996.798*'BMP P Tracking Table'!$AA101)*-'BMP P Tracking Table'!$AB101)))/(2*(996.798*'BMP P Tracking Table'!$AA101)),IF(SUM('BMP P Tracking Table'!$W101:$Z101)=0,'BMP P Tracking Table'!$AB101/(-3630*'BMP P Tracking Table'!$U101),(-(3630*'BMP P Tracking Table'!$U101+20.691*'BMP P Tracking Table'!$Z101-216.711*'BMP P Tracking Table'!$Y101-83.853*'BMP P Tracking Table'!$X101-42.834*'BMP P Tracking Table'!$W101)+SQRT((3630*'BMP P Tracking Table'!$U101+20.691*'BMP P Tracking Table'!$Z101-216.711*'BMP P Tracking Table'!$Y101-83.853*'BMP P Tracking Table'!$X101-42.834*'BMP P Tracking Table'!$W101)^2-(4*(149.919*'BMP P Tracking Table'!$W101+236.676*'BMP P Tracking Table'!$X101+726*'BMP P Tracking Table'!$Y101+996.798*'BMP P Tracking Table'!$Z101)*-'BMP P Tracking Table'!$AB101)))/(2*(149.919*'BMP P Tracking Table'!$W101+236.676*'BMP P Tracking Table'!$X101+726*'BMP P Tracking Table'!$Y101+996.798*'BMP P Tracking Table'!$Z101))))),"")</f>
        <v/>
      </c>
      <c r="AF101" s="175" t="str">
        <f>IFERROR((VLOOKUP(CONCATENATE('BMP P Tracking Table'!$T101," ",'BMP P Tracking Table'!$AC101),'Performance Curves'!$C$1:$L$45,MATCH('BMP P Tracking Table'!$AE101,'Performance Curves'!$E$1:$L$1,1)+2,FALSE)-VLOOKUP(CONCATENATE('BMP P Tracking Table'!$T101," ",'BMP P Tracking Table'!$AC101),'Performance Curves'!$C$1:$L$45,MATCH('BMP P Tracking Table'!$AE101,'Performance Curves'!$E$1:$L$1,1)+1,FALSE)),"")</f>
        <v/>
      </c>
      <c r="AG101" s="175" t="str">
        <f>IFERROR(('BMP P Tracking Table'!$AE101-INDEX('Performance Curves'!$E$1:$L$1,1,MATCH('BMP P Tracking Table'!$AE101,'Performance Curves'!$E$1:$L$1,1)))/(INDEX('Performance Curves'!$E$1:$L$1,1,MATCH('BMP P Tracking Table'!$AE101,'Performance Curves'!$E$1:$L$1,1)+1)-INDEX('Performance Curves'!$E$1:$L$1,1,MATCH('BMP P Tracking Table'!$AE101,'Performance Curves'!$E$1:$L$1,1))),"")</f>
        <v/>
      </c>
      <c r="AH101" s="176" t="str">
        <f>IFERROR(IF('BMP P Tracking Table'!$AE101=2,VLOOKUP(CONCATENATE('BMP P Tracking Table'!$T101," ",'BMP P Tracking Table'!$AC101),'Performance Curves'!$C$1:$L$45,MATCH('BMP P Tracking Table'!$AE101,'Performance Curves'!$E$1:$L$1,1)+1,FALSE),'BMP P Tracking Table'!$AF101*'BMP P Tracking Table'!$AG101+VLOOKUP(CONCATENATE('BMP P Tracking Table'!$T101," ",'BMP P Tracking Table'!$AC101),'Performance Curves'!$C$1:$L$45,MATCH('BMP P Tracking Table'!$AE101,'Performance Curves'!$E$1:$L$1,1)+1,FALSE)),"")</f>
        <v/>
      </c>
      <c r="AI101" s="175" t="str">
        <f>IFERROR('BMP P Tracking Table'!$AH101*'BMP P Tracking Table'!$AD101,"")</f>
        <v/>
      </c>
      <c r="AJ101" s="169"/>
      <c r="AK101" s="173"/>
      <c r="AL101" s="173"/>
      <c r="AM101" s="177"/>
      <c r="AN101" s="178" t="str">
        <f t="shared" si="14"/>
        <v/>
      </c>
      <c r="AO101" s="96"/>
      <c r="AP101" s="96"/>
      <c r="AQ101" s="96"/>
      <c r="AR101" s="96"/>
      <c r="AS101" s="96"/>
      <c r="AT101" s="96"/>
      <c r="AU101" s="96"/>
      <c r="AV101" s="64"/>
      <c r="AW101" s="97"/>
      <c r="AX101" s="97"/>
      <c r="AY101" s="101" t="str">
        <f>IF('BMP P Tracking Table'!$AK101="Yes",IF('BMP P Tracking Table'!$AL101="No",'BMP P Tracking Table'!$U101*VLOOKUP('BMP P Tracking Table'!$Q101,'Loading Rates'!$B$1:$L$24,4,FALSE)+IF('BMP P Tracking Table'!$V101="By HSG",'BMP P Tracking Table'!$W101*VLOOKUP('BMP P Tracking Table'!$Q101,'Loading Rates'!$B$1:$L$24,6,FALSE)+'BMP P Tracking Table'!$X101*VLOOKUP('BMP P Tracking Table'!$Q101,'Loading Rates'!$B$1:$L$24,7,FALSE)+'BMP P Tracking Table'!$Y101*VLOOKUP('BMP P Tracking Table'!$Q101,'Loading Rates'!$B$1:$L$24,8,FALSE)+'BMP P Tracking Table'!$Z101*VLOOKUP('BMP P Tracking Table'!$Q101,'Loading Rates'!$B$1:$L$24,9,FALSE),'BMP P Tracking Table'!$AA101*VLOOKUP('BMP P Tracking Table'!$Q101,'Loading Rates'!$B$1:$L$24,10,FALSE)),'BMP P Tracking Table'!$AO101*VLOOKUP('BMP P Tracking Table'!$Q101,'Loading Rates'!$B$1:$L$24,4,FALSE)+IF('BMP P Tracking Table'!$AP101="By HSG",'BMP P Tracking Table'!$AQ101*VLOOKUP('BMP P Tracking Table'!$Q101,'Loading Rates'!$B$1:$L$24,6,FALSE)+'BMP P Tracking Table'!$AR101*VLOOKUP('BMP P Tracking Table'!$Q101,'Loading Rates'!$B$1:$L$24,7,FALSE)+'BMP P Tracking Table'!$AS101*VLOOKUP('BMP P Tracking Table'!$Q101,'Loading Rates'!$B$1:$L$24,8,FALSE)+'BMP P Tracking Table'!$AT101*VLOOKUP('BMP P Tracking Table'!$Q101,'Loading Rates'!$B$1:$L$24,9,FALSE),'BMP P Tracking Table'!$AU101*VLOOKUP('BMP P Tracking Table'!$Q101,'Loading Rates'!$B$1:$L$24,10,FALSE))),"")</f>
        <v/>
      </c>
      <c r="AZ101" s="101" t="str">
        <f>IFERROR(IF('BMP P Tracking Table'!$AL101="Yes",MIN(2,IF('BMP P Tracking Table'!$AP101="Total Pervious",(-(3630*'BMP P Tracking Table'!$AO101+20.691*'BMP P Tracking Table'!$AU101)+SQRT((3630*'BMP P Tracking Table'!$AO101+20.691*'BMP P Tracking Table'!$AU101)^2-(4*(996.798*'BMP P Tracking Table'!$AU101)*-'BMP P Tracking Table'!$AW101)))/(2*(996.798*'BMP P Tracking Table'!$AU101)),IF(SUM('BMP P Tracking Table'!$AQ101:$AT101)=0,'BMP P Tracking Table'!$AU101/(-3630*'BMP P Tracking Table'!$AO101),(-(3630*'BMP P Tracking Table'!$AO101+20.691*'BMP P Tracking Table'!$AT101-216.711*'BMP P Tracking Table'!$AS101-83.853*'BMP P Tracking Table'!$AR101-42.834*'BMP P Tracking Table'!$AQ101)+SQRT((3630*'BMP P Tracking Table'!$AO101+20.691*'BMP P Tracking Table'!$AT101-216.711*'BMP P Tracking Table'!$AS101-83.853*'BMP P Tracking Table'!$AR101-42.834*'BMP P Tracking Table'!$AQ101)^2-(4*(149.919*'BMP P Tracking Table'!$AQ101+236.676*'BMP P Tracking Table'!$AR101+726*'BMP P Tracking Table'!$AS101+996.798*'BMP P Tracking Table'!$AT101)*-'BMP P Tracking Table'!$AW101)))/(2*(149.919*'BMP P Tracking Table'!$AQ101+236.676*'BMP P Tracking Table'!$AR101+726*'BMP P Tracking Table'!$AS101+996.798*'BMP P Tracking Table'!$AT101))))),MIN(2,IF('BMP P Tracking Table'!$AP101="Total Pervious",(-(3630*'BMP P Tracking Table'!$U101+20.691*'BMP P Tracking Table'!$AA101)+SQRT((3630*'BMP P Tracking Table'!$U101+20.691*'BMP P Tracking Table'!$AA101)^2-(4*(996.798*'BMP P Tracking Table'!$AA101)*-'BMP P Tracking Table'!$AW101)))/(2*(996.798*'BMP P Tracking Table'!$AA101)),IF(SUM('BMP P Tracking Table'!$W101:$Z101)=0,'BMP P Tracking Table'!$AW101/(-3630*'BMP P Tracking Table'!$U101),(-(3630*'BMP P Tracking Table'!$U101+20.691*'BMP P Tracking Table'!$Z101-216.711*'BMP P Tracking Table'!$Y101-83.853*'BMP P Tracking Table'!$X101-42.834*'BMP P Tracking Table'!$W101)+SQRT((3630*'BMP P Tracking Table'!$U101+20.691*'BMP P Tracking Table'!$Z101-216.711*'BMP P Tracking Table'!$Y101-83.853*'BMP P Tracking Table'!$X101-42.834*'BMP P Tracking Table'!$W101)^2-(4*(149.919*'BMP P Tracking Table'!$W101+236.676*'BMP P Tracking Table'!$X101+726*'BMP P Tracking Table'!$Y101+996.798*'BMP P Tracking Table'!$Z101)*-'BMP P Tracking Table'!$AW101)))/(2*(149.919*'BMP P Tracking Table'!$W101+236.676*'BMP P Tracking Table'!$X101+726*'BMP P Tracking Table'!$Y101+996.798*'BMP P Tracking Table'!$Z101)))))),"")</f>
        <v/>
      </c>
      <c r="BA101" s="101" t="str">
        <f>IFERROR((VLOOKUP(CONCATENATE('BMP P Tracking Table'!$AV101," ",'BMP P Tracking Table'!$AX101),'Performance Curves'!$C$1:$L$45,MATCH('BMP P Tracking Table'!$AZ101,'Performance Curves'!$E$1:$L$1,1)+2,FALSE)-VLOOKUP(CONCATENATE('BMP P Tracking Table'!$AV101," ",'BMP P Tracking Table'!$AX101),'Performance Curves'!$C$1:$L$45,MATCH('BMP P Tracking Table'!$AZ101,'Performance Curves'!$E$1:$L$1,1)+1,FALSE)),"")</f>
        <v/>
      </c>
      <c r="BB101" s="101" t="str">
        <f>IFERROR(('BMP P Tracking Table'!$AZ101-INDEX('Performance Curves'!$E$1:$L$1,1,MATCH('BMP P Tracking Table'!$AZ101,'Performance Curves'!$E$1:$L$1,1)))/(INDEX('Performance Curves'!$E$1:$L$1,1,MATCH('BMP P Tracking Table'!$AZ101,'Performance Curves'!$E$1:$L$1,1)+1)-INDEX('Performance Curves'!$E$1:$L$1,1,MATCH('BMP P Tracking Table'!$AZ101,'Performance Curves'!$E$1:$L$1,1))),"")</f>
        <v/>
      </c>
      <c r="BC101" s="102" t="str">
        <f>IFERROR(IF('BMP P Tracking Table'!$AZ101=2,VLOOKUP(CONCATENATE('BMP P Tracking Table'!$AV101," ",'BMP P Tracking Table'!$AX101),'Performance Curves'!$C$1:$L$44,MATCH('BMP P Tracking Table'!$AZ101,'Performance Curves'!$E$1:$L$1,1)+1,FALSE),'BMP P Tracking Table'!$BA101*'BMP P Tracking Table'!$BB101+VLOOKUP(CONCATENATE('BMP P Tracking Table'!$AV101," ",'BMP P Tracking Table'!$AX101),'Performance Curves'!$C$1:$L$44,MATCH('BMP P Tracking Table'!$AZ101,'Performance Curves'!$E$1:$L$1,1)+1,FALSE)),"")</f>
        <v/>
      </c>
      <c r="BD101" s="101" t="str">
        <f>IFERROR('BMP P Tracking Table'!$BC101*'BMP P Tracking Table'!$AY101,"")</f>
        <v/>
      </c>
      <c r="BE101" s="91"/>
      <c r="BF101" s="37">
        <f t="shared" si="15"/>
        <v>0</v>
      </c>
    </row>
    <row r="102" spans="1:58" x14ac:dyDescent="0.3">
      <c r="A102" s="169"/>
      <c r="B102" s="169"/>
      <c r="C102" s="169"/>
      <c r="D102" s="169"/>
      <c r="E102" s="170"/>
      <c r="F102" s="170"/>
      <c r="G102" s="169"/>
      <c r="H102" s="169"/>
      <c r="I102" s="169"/>
      <c r="J102" s="171"/>
      <c r="K102" s="169"/>
      <c r="L102" s="169"/>
      <c r="M102" s="169"/>
      <c r="N102" s="169"/>
      <c r="O102" s="169"/>
      <c r="P102" s="169"/>
      <c r="Q102" s="169" t="str">
        <f>IFERROR(VLOOKUP('BMP P Tracking Table'!$P102,Dropdowns!$C$2:$E$15,3,FALSE),"")</f>
        <v/>
      </c>
      <c r="R102" s="169" t="str">
        <f>IFERROR(VLOOKUP('BMP P Tracking Table'!$Q102,Dropdowns!$P$3:$Q$23,2,FALSE),"")</f>
        <v/>
      </c>
      <c r="S102" s="169"/>
      <c r="T102" s="169"/>
      <c r="U102" s="169"/>
      <c r="V102" s="169"/>
      <c r="W102" s="169"/>
      <c r="X102" s="169"/>
      <c r="Y102" s="169"/>
      <c r="Z102" s="169"/>
      <c r="AA102" s="169"/>
      <c r="AB102" s="174"/>
      <c r="AC102" s="169"/>
      <c r="AD102" s="175" t="str">
        <f>IFERROR('BMP P Tracking Table'!$U102*VLOOKUP('BMP P Tracking Table'!$Q102,'Loading Rates'!$B$1:$L$24,4,FALSE)+IF('BMP P Tracking Table'!$V102="By HSG",'BMP P Tracking Table'!$W102*VLOOKUP('BMP P Tracking Table'!$Q102,'Loading Rates'!$B$1:$L$24,6,FALSE)+'BMP P Tracking Table'!$X102*VLOOKUP('BMP P Tracking Table'!$Q102,'Loading Rates'!$B$1:$L$24,7,FALSE)+'BMP P Tracking Table'!$Y102*VLOOKUP('BMP P Tracking Table'!$Q102,'Loading Rates'!$B$1:$L$24,8,FALSE)+'BMP P Tracking Table'!$Z102*VLOOKUP('BMP P Tracking Table'!$Q102,'Loading Rates'!$B$1:$L$24,9,FALSE),'BMP P Tracking Table'!$AA102*VLOOKUP('BMP P Tracking Table'!$Q102,'Loading Rates'!$B$1:$L$24,10,FALSE)),"")</f>
        <v/>
      </c>
      <c r="AE102" s="175" t="str">
        <f>IFERROR(MIN(2,IF('BMP P Tracking Table'!$V102="Total Pervious",(-(3630*'BMP P Tracking Table'!$U102+20.691*'BMP P Tracking Table'!$AA102)+SQRT((3630*'BMP P Tracking Table'!$U102+20.691*'BMP P Tracking Table'!$AA102)^2-(4*(996.798*'BMP P Tracking Table'!$AA102)*-'BMP P Tracking Table'!$AB102)))/(2*(996.798*'BMP P Tracking Table'!$AA102)),IF(SUM('BMP P Tracking Table'!$W102:$Z102)=0,'BMP P Tracking Table'!$AB102/(-3630*'BMP P Tracking Table'!$U102),(-(3630*'BMP P Tracking Table'!$U102+20.691*'BMP P Tracking Table'!$Z102-216.711*'BMP P Tracking Table'!$Y102-83.853*'BMP P Tracking Table'!$X102-42.834*'BMP P Tracking Table'!$W102)+SQRT((3630*'BMP P Tracking Table'!$U102+20.691*'BMP P Tracking Table'!$Z102-216.711*'BMP P Tracking Table'!$Y102-83.853*'BMP P Tracking Table'!$X102-42.834*'BMP P Tracking Table'!$W102)^2-(4*(149.919*'BMP P Tracking Table'!$W102+236.676*'BMP P Tracking Table'!$X102+726*'BMP P Tracking Table'!$Y102+996.798*'BMP P Tracking Table'!$Z102)*-'BMP P Tracking Table'!$AB102)))/(2*(149.919*'BMP P Tracking Table'!$W102+236.676*'BMP P Tracking Table'!$X102+726*'BMP P Tracking Table'!$Y102+996.798*'BMP P Tracking Table'!$Z102))))),"")</f>
        <v/>
      </c>
      <c r="AF102" s="175" t="str">
        <f>IFERROR((VLOOKUP(CONCATENATE('BMP P Tracking Table'!$T102," ",'BMP P Tracking Table'!$AC102),'Performance Curves'!$C$1:$L$45,MATCH('BMP P Tracking Table'!$AE102,'Performance Curves'!$E$1:$L$1,1)+2,FALSE)-VLOOKUP(CONCATENATE('BMP P Tracking Table'!$T102," ",'BMP P Tracking Table'!$AC102),'Performance Curves'!$C$1:$L$45,MATCH('BMP P Tracking Table'!$AE102,'Performance Curves'!$E$1:$L$1,1)+1,FALSE)),"")</f>
        <v/>
      </c>
      <c r="AG102" s="175" t="str">
        <f>IFERROR(('BMP P Tracking Table'!$AE102-INDEX('Performance Curves'!$E$1:$L$1,1,MATCH('BMP P Tracking Table'!$AE102,'Performance Curves'!$E$1:$L$1,1)))/(INDEX('Performance Curves'!$E$1:$L$1,1,MATCH('BMP P Tracking Table'!$AE102,'Performance Curves'!$E$1:$L$1,1)+1)-INDEX('Performance Curves'!$E$1:$L$1,1,MATCH('BMP P Tracking Table'!$AE102,'Performance Curves'!$E$1:$L$1,1))),"")</f>
        <v/>
      </c>
      <c r="AH102" s="176" t="str">
        <f>IFERROR(IF('BMP P Tracking Table'!$AE102=2,VLOOKUP(CONCATENATE('BMP P Tracking Table'!$T102," ",'BMP P Tracking Table'!$AC102),'Performance Curves'!$C$1:$L$45,MATCH('BMP P Tracking Table'!$AE102,'Performance Curves'!$E$1:$L$1,1)+1,FALSE),'BMP P Tracking Table'!$AF102*'BMP P Tracking Table'!$AG102+VLOOKUP(CONCATENATE('BMP P Tracking Table'!$T102," ",'BMP P Tracking Table'!$AC102),'Performance Curves'!$C$1:$L$45,MATCH('BMP P Tracking Table'!$AE102,'Performance Curves'!$E$1:$L$1,1)+1,FALSE)),"")</f>
        <v/>
      </c>
      <c r="AI102" s="175" t="str">
        <f>IFERROR('BMP P Tracking Table'!$AH102*'BMP P Tracking Table'!$AD102,"")</f>
        <v/>
      </c>
      <c r="AJ102" s="169"/>
      <c r="AK102" s="173"/>
      <c r="AL102" s="173"/>
      <c r="AM102" s="177"/>
      <c r="AN102" s="178" t="str">
        <f t="shared" si="14"/>
        <v/>
      </c>
      <c r="AO102" s="96"/>
      <c r="AP102" s="96"/>
      <c r="AQ102" s="96"/>
      <c r="AR102" s="96"/>
      <c r="AS102" s="96"/>
      <c r="AT102" s="96"/>
      <c r="AU102" s="96"/>
      <c r="AV102" s="64"/>
      <c r="AW102" s="97"/>
      <c r="AX102" s="97"/>
      <c r="AY102" s="101" t="str">
        <f>IF('BMP P Tracking Table'!$AK102="Yes",IF('BMP P Tracking Table'!$AL102="No",'BMP P Tracking Table'!$U102*VLOOKUP('BMP P Tracking Table'!$Q102,'Loading Rates'!$B$1:$L$24,4,FALSE)+IF('BMP P Tracking Table'!$V102="By HSG",'BMP P Tracking Table'!$W102*VLOOKUP('BMP P Tracking Table'!$Q102,'Loading Rates'!$B$1:$L$24,6,FALSE)+'BMP P Tracking Table'!$X102*VLOOKUP('BMP P Tracking Table'!$Q102,'Loading Rates'!$B$1:$L$24,7,FALSE)+'BMP P Tracking Table'!$Y102*VLOOKUP('BMP P Tracking Table'!$Q102,'Loading Rates'!$B$1:$L$24,8,FALSE)+'BMP P Tracking Table'!$Z102*VLOOKUP('BMP P Tracking Table'!$Q102,'Loading Rates'!$B$1:$L$24,9,FALSE),'BMP P Tracking Table'!$AA102*VLOOKUP('BMP P Tracking Table'!$Q102,'Loading Rates'!$B$1:$L$24,10,FALSE)),'BMP P Tracking Table'!$AO102*VLOOKUP('BMP P Tracking Table'!$Q102,'Loading Rates'!$B$1:$L$24,4,FALSE)+IF('BMP P Tracking Table'!$AP102="By HSG",'BMP P Tracking Table'!$AQ102*VLOOKUP('BMP P Tracking Table'!$Q102,'Loading Rates'!$B$1:$L$24,6,FALSE)+'BMP P Tracking Table'!$AR102*VLOOKUP('BMP P Tracking Table'!$Q102,'Loading Rates'!$B$1:$L$24,7,FALSE)+'BMP P Tracking Table'!$AS102*VLOOKUP('BMP P Tracking Table'!$Q102,'Loading Rates'!$B$1:$L$24,8,FALSE)+'BMP P Tracking Table'!$AT102*VLOOKUP('BMP P Tracking Table'!$Q102,'Loading Rates'!$B$1:$L$24,9,FALSE),'BMP P Tracking Table'!$AU102*VLOOKUP('BMP P Tracking Table'!$Q102,'Loading Rates'!$B$1:$L$24,10,FALSE))),"")</f>
        <v/>
      </c>
      <c r="AZ102" s="101" t="str">
        <f>IFERROR(IF('BMP P Tracking Table'!$AL102="Yes",MIN(2,IF('BMP P Tracking Table'!$AP102="Total Pervious",(-(3630*'BMP P Tracking Table'!$AO102+20.691*'BMP P Tracking Table'!$AU102)+SQRT((3630*'BMP P Tracking Table'!$AO102+20.691*'BMP P Tracking Table'!$AU102)^2-(4*(996.798*'BMP P Tracking Table'!$AU102)*-'BMP P Tracking Table'!$AW102)))/(2*(996.798*'BMP P Tracking Table'!$AU102)),IF(SUM('BMP P Tracking Table'!$AQ102:$AT102)=0,'BMP P Tracking Table'!$AU102/(-3630*'BMP P Tracking Table'!$AO102),(-(3630*'BMP P Tracking Table'!$AO102+20.691*'BMP P Tracking Table'!$AT102-216.711*'BMP P Tracking Table'!$AS102-83.853*'BMP P Tracking Table'!$AR102-42.834*'BMP P Tracking Table'!$AQ102)+SQRT((3630*'BMP P Tracking Table'!$AO102+20.691*'BMP P Tracking Table'!$AT102-216.711*'BMP P Tracking Table'!$AS102-83.853*'BMP P Tracking Table'!$AR102-42.834*'BMP P Tracking Table'!$AQ102)^2-(4*(149.919*'BMP P Tracking Table'!$AQ102+236.676*'BMP P Tracking Table'!$AR102+726*'BMP P Tracking Table'!$AS102+996.798*'BMP P Tracking Table'!$AT102)*-'BMP P Tracking Table'!$AW102)))/(2*(149.919*'BMP P Tracking Table'!$AQ102+236.676*'BMP P Tracking Table'!$AR102+726*'BMP P Tracking Table'!$AS102+996.798*'BMP P Tracking Table'!$AT102))))),MIN(2,IF('BMP P Tracking Table'!$AP102="Total Pervious",(-(3630*'BMP P Tracking Table'!$U102+20.691*'BMP P Tracking Table'!$AA102)+SQRT((3630*'BMP P Tracking Table'!$U102+20.691*'BMP P Tracking Table'!$AA102)^2-(4*(996.798*'BMP P Tracking Table'!$AA102)*-'BMP P Tracking Table'!$AW102)))/(2*(996.798*'BMP P Tracking Table'!$AA102)),IF(SUM('BMP P Tracking Table'!$W102:$Z102)=0,'BMP P Tracking Table'!$AW102/(-3630*'BMP P Tracking Table'!$U102),(-(3630*'BMP P Tracking Table'!$U102+20.691*'BMP P Tracking Table'!$Z102-216.711*'BMP P Tracking Table'!$Y102-83.853*'BMP P Tracking Table'!$X102-42.834*'BMP P Tracking Table'!$W102)+SQRT((3630*'BMP P Tracking Table'!$U102+20.691*'BMP P Tracking Table'!$Z102-216.711*'BMP P Tracking Table'!$Y102-83.853*'BMP P Tracking Table'!$X102-42.834*'BMP P Tracking Table'!$W102)^2-(4*(149.919*'BMP P Tracking Table'!$W102+236.676*'BMP P Tracking Table'!$X102+726*'BMP P Tracking Table'!$Y102+996.798*'BMP P Tracking Table'!$Z102)*-'BMP P Tracking Table'!$AW102)))/(2*(149.919*'BMP P Tracking Table'!$W102+236.676*'BMP P Tracking Table'!$X102+726*'BMP P Tracking Table'!$Y102+996.798*'BMP P Tracking Table'!$Z102)))))),"")</f>
        <v/>
      </c>
      <c r="BA102" s="101" t="str">
        <f>IFERROR((VLOOKUP(CONCATENATE('BMP P Tracking Table'!$AV102," ",'BMP P Tracking Table'!$AX102),'Performance Curves'!$C$1:$L$45,MATCH('BMP P Tracking Table'!$AZ102,'Performance Curves'!$E$1:$L$1,1)+2,FALSE)-VLOOKUP(CONCATENATE('BMP P Tracking Table'!$AV102," ",'BMP P Tracking Table'!$AX102),'Performance Curves'!$C$1:$L$45,MATCH('BMP P Tracking Table'!$AZ102,'Performance Curves'!$E$1:$L$1,1)+1,FALSE)),"")</f>
        <v/>
      </c>
      <c r="BB102" s="101" t="str">
        <f>IFERROR(('BMP P Tracking Table'!$AZ102-INDEX('Performance Curves'!$E$1:$L$1,1,MATCH('BMP P Tracking Table'!$AZ102,'Performance Curves'!$E$1:$L$1,1)))/(INDEX('Performance Curves'!$E$1:$L$1,1,MATCH('BMP P Tracking Table'!$AZ102,'Performance Curves'!$E$1:$L$1,1)+1)-INDEX('Performance Curves'!$E$1:$L$1,1,MATCH('BMP P Tracking Table'!$AZ102,'Performance Curves'!$E$1:$L$1,1))),"")</f>
        <v/>
      </c>
      <c r="BC102" s="102" t="str">
        <f>IFERROR(IF('BMP P Tracking Table'!$AZ102=2,VLOOKUP(CONCATENATE('BMP P Tracking Table'!$AV102," ",'BMP P Tracking Table'!$AX102),'Performance Curves'!$C$1:$L$44,MATCH('BMP P Tracking Table'!$AZ102,'Performance Curves'!$E$1:$L$1,1)+1,FALSE),'BMP P Tracking Table'!$BA102*'BMP P Tracking Table'!$BB102+VLOOKUP(CONCATENATE('BMP P Tracking Table'!$AV102," ",'BMP P Tracking Table'!$AX102),'Performance Curves'!$C$1:$L$44,MATCH('BMP P Tracking Table'!$AZ102,'Performance Curves'!$E$1:$L$1,1)+1,FALSE)),"")</f>
        <v/>
      </c>
      <c r="BD102" s="101" t="str">
        <f>IFERROR('BMP P Tracking Table'!$BC102*'BMP P Tracking Table'!$AY102,"")</f>
        <v/>
      </c>
      <c r="BE102" s="96"/>
      <c r="BF102" s="37">
        <f t="shared" si="15"/>
        <v>0</v>
      </c>
    </row>
    <row r="103" spans="1:58" x14ac:dyDescent="0.3">
      <c r="A103" s="169"/>
      <c r="B103" s="169"/>
      <c r="C103" s="169"/>
      <c r="D103" s="169"/>
      <c r="E103" s="170"/>
      <c r="F103" s="170"/>
      <c r="G103" s="169"/>
      <c r="H103" s="169"/>
      <c r="I103" s="169"/>
      <c r="J103" s="171"/>
      <c r="K103" s="169"/>
      <c r="L103" s="169"/>
      <c r="M103" s="169"/>
      <c r="N103" s="169"/>
      <c r="O103" s="169"/>
      <c r="P103" s="169"/>
      <c r="Q103" s="169" t="str">
        <f>IFERROR(VLOOKUP('BMP P Tracking Table'!$P103,Dropdowns!$C$2:$E$15,3,FALSE),"")</f>
        <v/>
      </c>
      <c r="R103" s="169" t="str">
        <f>IFERROR(VLOOKUP('BMP P Tracking Table'!$Q103,Dropdowns!$P$3:$Q$23,2,FALSE),"")</f>
        <v/>
      </c>
      <c r="S103" s="169"/>
      <c r="T103" s="169"/>
      <c r="U103" s="169"/>
      <c r="V103" s="169"/>
      <c r="W103" s="169"/>
      <c r="X103" s="169"/>
      <c r="Y103" s="169"/>
      <c r="Z103" s="169"/>
      <c r="AA103" s="169"/>
      <c r="AB103" s="174"/>
      <c r="AC103" s="169"/>
      <c r="AD103" s="175" t="str">
        <f>IFERROR('BMP P Tracking Table'!$U103*VLOOKUP('BMP P Tracking Table'!$Q103,'Loading Rates'!$B$1:$L$24,4,FALSE)+IF('BMP P Tracking Table'!$V103="By HSG",'BMP P Tracking Table'!$W103*VLOOKUP('BMP P Tracking Table'!$Q103,'Loading Rates'!$B$1:$L$24,6,FALSE)+'BMP P Tracking Table'!$X103*VLOOKUP('BMP P Tracking Table'!$Q103,'Loading Rates'!$B$1:$L$24,7,FALSE)+'BMP P Tracking Table'!$Y103*VLOOKUP('BMP P Tracking Table'!$Q103,'Loading Rates'!$B$1:$L$24,8,FALSE)+'BMP P Tracking Table'!$Z103*VLOOKUP('BMP P Tracking Table'!$Q103,'Loading Rates'!$B$1:$L$24,9,FALSE),'BMP P Tracking Table'!$AA103*VLOOKUP('BMP P Tracking Table'!$Q103,'Loading Rates'!$B$1:$L$24,10,FALSE)),"")</f>
        <v/>
      </c>
      <c r="AE103" s="175" t="str">
        <f>IFERROR(MIN(2,IF('BMP P Tracking Table'!$V103="Total Pervious",(-(3630*'BMP P Tracking Table'!$U103+20.691*'BMP P Tracking Table'!$AA103)+SQRT((3630*'BMP P Tracking Table'!$U103+20.691*'BMP P Tracking Table'!$AA103)^2-(4*(996.798*'BMP P Tracking Table'!$AA103)*-'BMP P Tracking Table'!$AB103)))/(2*(996.798*'BMP P Tracking Table'!$AA103)),IF(SUM('BMP P Tracking Table'!$W103:$Z103)=0,'BMP P Tracking Table'!$AB103/(-3630*'BMP P Tracking Table'!$U103),(-(3630*'BMP P Tracking Table'!$U103+20.691*'BMP P Tracking Table'!$Z103-216.711*'BMP P Tracking Table'!$Y103-83.853*'BMP P Tracking Table'!$X103-42.834*'BMP P Tracking Table'!$W103)+SQRT((3630*'BMP P Tracking Table'!$U103+20.691*'BMP P Tracking Table'!$Z103-216.711*'BMP P Tracking Table'!$Y103-83.853*'BMP P Tracking Table'!$X103-42.834*'BMP P Tracking Table'!$W103)^2-(4*(149.919*'BMP P Tracking Table'!$W103+236.676*'BMP P Tracking Table'!$X103+726*'BMP P Tracking Table'!$Y103+996.798*'BMP P Tracking Table'!$Z103)*-'BMP P Tracking Table'!$AB103)))/(2*(149.919*'BMP P Tracking Table'!$W103+236.676*'BMP P Tracking Table'!$X103+726*'BMP P Tracking Table'!$Y103+996.798*'BMP P Tracking Table'!$Z103))))),"")</f>
        <v/>
      </c>
      <c r="AF103" s="175" t="str">
        <f>IFERROR((VLOOKUP(CONCATENATE('BMP P Tracking Table'!$T103," ",'BMP P Tracking Table'!$AC103),'Performance Curves'!$C$1:$L$45,MATCH('BMP P Tracking Table'!$AE103,'Performance Curves'!$E$1:$L$1,1)+2,FALSE)-VLOOKUP(CONCATENATE('BMP P Tracking Table'!$T103," ",'BMP P Tracking Table'!$AC103),'Performance Curves'!$C$1:$L$45,MATCH('BMP P Tracking Table'!$AE103,'Performance Curves'!$E$1:$L$1,1)+1,FALSE)),"")</f>
        <v/>
      </c>
      <c r="AG103" s="175" t="str">
        <f>IFERROR(('BMP P Tracking Table'!$AE103-INDEX('Performance Curves'!$E$1:$L$1,1,MATCH('BMP P Tracking Table'!$AE103,'Performance Curves'!$E$1:$L$1,1)))/(INDEX('Performance Curves'!$E$1:$L$1,1,MATCH('BMP P Tracking Table'!$AE103,'Performance Curves'!$E$1:$L$1,1)+1)-INDEX('Performance Curves'!$E$1:$L$1,1,MATCH('BMP P Tracking Table'!$AE103,'Performance Curves'!$E$1:$L$1,1))),"")</f>
        <v/>
      </c>
      <c r="AH103" s="176" t="str">
        <f>IFERROR(IF('BMP P Tracking Table'!$AE103=2,VLOOKUP(CONCATENATE('BMP P Tracking Table'!$T103," ",'BMP P Tracking Table'!$AC103),'Performance Curves'!$C$1:$L$45,MATCH('BMP P Tracking Table'!$AE103,'Performance Curves'!$E$1:$L$1,1)+1,FALSE),'BMP P Tracking Table'!$AF103*'BMP P Tracking Table'!$AG103+VLOOKUP(CONCATENATE('BMP P Tracking Table'!$T103," ",'BMP P Tracking Table'!$AC103),'Performance Curves'!$C$1:$L$45,MATCH('BMP P Tracking Table'!$AE103,'Performance Curves'!$E$1:$L$1,1)+1,FALSE)),"")</f>
        <v/>
      </c>
      <c r="AI103" s="175" t="str">
        <f>IFERROR('BMP P Tracking Table'!$AH103*'BMP P Tracking Table'!$AD103,"")</f>
        <v/>
      </c>
      <c r="AJ103" s="169"/>
      <c r="AK103" s="173"/>
      <c r="AL103" s="173"/>
      <c r="AM103" s="177"/>
      <c r="AN103" s="178" t="str">
        <f t="shared" si="14"/>
        <v/>
      </c>
      <c r="AO103" s="96"/>
      <c r="AP103" s="96"/>
      <c r="AQ103" s="96"/>
      <c r="AR103" s="96"/>
      <c r="AS103" s="96"/>
      <c r="AT103" s="96"/>
      <c r="AU103" s="96"/>
      <c r="AV103" s="64"/>
      <c r="AW103" s="97"/>
      <c r="AX103" s="97"/>
      <c r="AY103" s="101" t="str">
        <f>IF('BMP P Tracking Table'!$AK103="Yes",IF('BMP P Tracking Table'!$AL103="No",'BMP P Tracking Table'!$U103*VLOOKUP('BMP P Tracking Table'!$Q103,'Loading Rates'!$B$1:$L$24,4,FALSE)+IF('BMP P Tracking Table'!$V103="By HSG",'BMP P Tracking Table'!$W103*VLOOKUP('BMP P Tracking Table'!$Q103,'Loading Rates'!$B$1:$L$24,6,FALSE)+'BMP P Tracking Table'!$X103*VLOOKUP('BMP P Tracking Table'!$Q103,'Loading Rates'!$B$1:$L$24,7,FALSE)+'BMP P Tracking Table'!$Y103*VLOOKUP('BMP P Tracking Table'!$Q103,'Loading Rates'!$B$1:$L$24,8,FALSE)+'BMP P Tracking Table'!$Z103*VLOOKUP('BMP P Tracking Table'!$Q103,'Loading Rates'!$B$1:$L$24,9,FALSE),'BMP P Tracking Table'!$AA103*VLOOKUP('BMP P Tracking Table'!$Q103,'Loading Rates'!$B$1:$L$24,10,FALSE)),'BMP P Tracking Table'!$AO103*VLOOKUP('BMP P Tracking Table'!$Q103,'Loading Rates'!$B$1:$L$24,4,FALSE)+IF('BMP P Tracking Table'!$AP103="By HSG",'BMP P Tracking Table'!$AQ103*VLOOKUP('BMP P Tracking Table'!$Q103,'Loading Rates'!$B$1:$L$24,6,FALSE)+'BMP P Tracking Table'!$AR103*VLOOKUP('BMP P Tracking Table'!$Q103,'Loading Rates'!$B$1:$L$24,7,FALSE)+'BMP P Tracking Table'!$AS103*VLOOKUP('BMP P Tracking Table'!$Q103,'Loading Rates'!$B$1:$L$24,8,FALSE)+'BMP P Tracking Table'!$AT103*VLOOKUP('BMP P Tracking Table'!$Q103,'Loading Rates'!$B$1:$L$24,9,FALSE),'BMP P Tracking Table'!$AU103*VLOOKUP('BMP P Tracking Table'!$Q103,'Loading Rates'!$B$1:$L$24,10,FALSE))),"")</f>
        <v/>
      </c>
      <c r="AZ103" s="101" t="str">
        <f>IFERROR(IF('BMP P Tracking Table'!$AL103="Yes",MIN(2,IF('BMP P Tracking Table'!$AP103="Total Pervious",(-(3630*'BMP P Tracking Table'!$AO103+20.691*'BMP P Tracking Table'!$AU103)+SQRT((3630*'BMP P Tracking Table'!$AO103+20.691*'BMP P Tracking Table'!$AU103)^2-(4*(996.798*'BMP P Tracking Table'!$AU103)*-'BMP P Tracking Table'!$AW103)))/(2*(996.798*'BMP P Tracking Table'!$AU103)),IF(SUM('BMP P Tracking Table'!$AQ103:$AT103)=0,'BMP P Tracking Table'!$AU103/(-3630*'BMP P Tracking Table'!$AO103),(-(3630*'BMP P Tracking Table'!$AO103+20.691*'BMP P Tracking Table'!$AT103-216.711*'BMP P Tracking Table'!$AS103-83.853*'BMP P Tracking Table'!$AR103-42.834*'BMP P Tracking Table'!$AQ103)+SQRT((3630*'BMP P Tracking Table'!$AO103+20.691*'BMP P Tracking Table'!$AT103-216.711*'BMP P Tracking Table'!$AS103-83.853*'BMP P Tracking Table'!$AR103-42.834*'BMP P Tracking Table'!$AQ103)^2-(4*(149.919*'BMP P Tracking Table'!$AQ103+236.676*'BMP P Tracking Table'!$AR103+726*'BMP P Tracking Table'!$AS103+996.798*'BMP P Tracking Table'!$AT103)*-'BMP P Tracking Table'!$AW103)))/(2*(149.919*'BMP P Tracking Table'!$AQ103+236.676*'BMP P Tracking Table'!$AR103+726*'BMP P Tracking Table'!$AS103+996.798*'BMP P Tracking Table'!$AT103))))),MIN(2,IF('BMP P Tracking Table'!$AP103="Total Pervious",(-(3630*'BMP P Tracking Table'!$U103+20.691*'BMP P Tracking Table'!$AA103)+SQRT((3630*'BMP P Tracking Table'!$U103+20.691*'BMP P Tracking Table'!$AA103)^2-(4*(996.798*'BMP P Tracking Table'!$AA103)*-'BMP P Tracking Table'!$AW103)))/(2*(996.798*'BMP P Tracking Table'!$AA103)),IF(SUM('BMP P Tracking Table'!$W103:$Z103)=0,'BMP P Tracking Table'!$AW103/(-3630*'BMP P Tracking Table'!$U103),(-(3630*'BMP P Tracking Table'!$U103+20.691*'BMP P Tracking Table'!$Z103-216.711*'BMP P Tracking Table'!$Y103-83.853*'BMP P Tracking Table'!$X103-42.834*'BMP P Tracking Table'!$W103)+SQRT((3630*'BMP P Tracking Table'!$U103+20.691*'BMP P Tracking Table'!$Z103-216.711*'BMP P Tracking Table'!$Y103-83.853*'BMP P Tracking Table'!$X103-42.834*'BMP P Tracking Table'!$W103)^2-(4*(149.919*'BMP P Tracking Table'!$W103+236.676*'BMP P Tracking Table'!$X103+726*'BMP P Tracking Table'!$Y103+996.798*'BMP P Tracking Table'!$Z103)*-'BMP P Tracking Table'!$AW103)))/(2*(149.919*'BMP P Tracking Table'!$W103+236.676*'BMP P Tracking Table'!$X103+726*'BMP P Tracking Table'!$Y103+996.798*'BMP P Tracking Table'!$Z103)))))),"")</f>
        <v/>
      </c>
      <c r="BA103" s="101" t="str">
        <f>IFERROR((VLOOKUP(CONCATENATE('BMP P Tracking Table'!$AV103," ",'BMP P Tracking Table'!$AX103),'Performance Curves'!$C$1:$L$45,MATCH('BMP P Tracking Table'!$AZ103,'Performance Curves'!$E$1:$L$1,1)+2,FALSE)-VLOOKUP(CONCATENATE('BMP P Tracking Table'!$AV103," ",'BMP P Tracking Table'!$AX103),'Performance Curves'!$C$1:$L$45,MATCH('BMP P Tracking Table'!$AZ103,'Performance Curves'!$E$1:$L$1,1)+1,FALSE)),"")</f>
        <v/>
      </c>
      <c r="BB103" s="101" t="str">
        <f>IFERROR(('BMP P Tracking Table'!$AZ103-INDEX('Performance Curves'!$E$1:$L$1,1,MATCH('BMP P Tracking Table'!$AZ103,'Performance Curves'!$E$1:$L$1,1)))/(INDEX('Performance Curves'!$E$1:$L$1,1,MATCH('BMP P Tracking Table'!$AZ103,'Performance Curves'!$E$1:$L$1,1)+1)-INDEX('Performance Curves'!$E$1:$L$1,1,MATCH('BMP P Tracking Table'!$AZ103,'Performance Curves'!$E$1:$L$1,1))),"")</f>
        <v/>
      </c>
      <c r="BC103" s="102" t="str">
        <f>IFERROR(IF('BMP P Tracking Table'!$AZ103=2,VLOOKUP(CONCATENATE('BMP P Tracking Table'!$AV103," ",'BMP P Tracking Table'!$AX103),'Performance Curves'!$C$1:$L$44,MATCH('BMP P Tracking Table'!$AZ103,'Performance Curves'!$E$1:$L$1,1)+1,FALSE),'BMP P Tracking Table'!$BA103*'BMP P Tracking Table'!$BB103+VLOOKUP(CONCATENATE('BMP P Tracking Table'!$AV103," ",'BMP P Tracking Table'!$AX103),'Performance Curves'!$C$1:$L$44,MATCH('BMP P Tracking Table'!$AZ103,'Performance Curves'!$E$1:$L$1,1)+1,FALSE)),"")</f>
        <v/>
      </c>
      <c r="BD103" s="101" t="str">
        <f>IFERROR('BMP P Tracking Table'!$BC103*'BMP P Tracking Table'!$AY103,"")</f>
        <v/>
      </c>
      <c r="BE103" s="96"/>
      <c r="BF103" s="37">
        <f t="shared" si="15"/>
        <v>0</v>
      </c>
    </row>
    <row r="104" spans="1:58" x14ac:dyDescent="0.3">
      <c r="A104" s="169"/>
      <c r="B104" s="169"/>
      <c r="C104" s="169"/>
      <c r="D104" s="169"/>
      <c r="E104" s="170"/>
      <c r="F104" s="170"/>
      <c r="G104" s="169"/>
      <c r="H104" s="169"/>
      <c r="I104" s="169"/>
      <c r="J104" s="171"/>
      <c r="K104" s="169"/>
      <c r="L104" s="169"/>
      <c r="M104" s="169"/>
      <c r="N104" s="169"/>
      <c r="O104" s="169"/>
      <c r="P104" s="169"/>
      <c r="Q104" s="169" t="str">
        <f>IFERROR(VLOOKUP('BMP P Tracking Table'!$P104,Dropdowns!$C$2:$E$15,3,FALSE),"")</f>
        <v/>
      </c>
      <c r="R104" s="169" t="str">
        <f>IFERROR(VLOOKUP('BMP P Tracking Table'!$Q104,Dropdowns!$P$3:$Q$23,2,FALSE),"")</f>
        <v/>
      </c>
      <c r="S104" s="169"/>
      <c r="T104" s="169"/>
      <c r="U104" s="169"/>
      <c r="V104" s="169"/>
      <c r="W104" s="169"/>
      <c r="X104" s="169"/>
      <c r="Y104" s="169"/>
      <c r="Z104" s="169"/>
      <c r="AA104" s="169"/>
      <c r="AB104" s="174"/>
      <c r="AC104" s="169"/>
      <c r="AD104" s="175" t="str">
        <f>IFERROR('BMP P Tracking Table'!$U104*VLOOKUP('BMP P Tracking Table'!$Q104,'Loading Rates'!$B$1:$L$24,4,FALSE)+IF('BMP P Tracking Table'!$V104="By HSG",'BMP P Tracking Table'!$W104*VLOOKUP('BMP P Tracking Table'!$Q104,'Loading Rates'!$B$1:$L$24,6,FALSE)+'BMP P Tracking Table'!$X104*VLOOKUP('BMP P Tracking Table'!$Q104,'Loading Rates'!$B$1:$L$24,7,FALSE)+'BMP P Tracking Table'!$Y104*VLOOKUP('BMP P Tracking Table'!$Q104,'Loading Rates'!$B$1:$L$24,8,FALSE)+'BMP P Tracking Table'!$Z104*VLOOKUP('BMP P Tracking Table'!$Q104,'Loading Rates'!$B$1:$L$24,9,FALSE),'BMP P Tracking Table'!$AA104*VLOOKUP('BMP P Tracking Table'!$Q104,'Loading Rates'!$B$1:$L$24,10,FALSE)),"")</f>
        <v/>
      </c>
      <c r="AE104" s="175" t="str">
        <f>IFERROR(MIN(2,IF('BMP P Tracking Table'!$V104="Total Pervious",(-(3630*'BMP P Tracking Table'!$U104+20.691*'BMP P Tracking Table'!$AA104)+SQRT((3630*'BMP P Tracking Table'!$U104+20.691*'BMP P Tracking Table'!$AA104)^2-(4*(996.798*'BMP P Tracking Table'!$AA104)*-'BMP P Tracking Table'!$AB104)))/(2*(996.798*'BMP P Tracking Table'!$AA104)),IF(SUM('BMP P Tracking Table'!$W104:$Z104)=0,'BMP P Tracking Table'!$AB104/(-3630*'BMP P Tracking Table'!$U104),(-(3630*'BMP P Tracking Table'!$U104+20.691*'BMP P Tracking Table'!$Z104-216.711*'BMP P Tracking Table'!$Y104-83.853*'BMP P Tracking Table'!$X104-42.834*'BMP P Tracking Table'!$W104)+SQRT((3630*'BMP P Tracking Table'!$U104+20.691*'BMP P Tracking Table'!$Z104-216.711*'BMP P Tracking Table'!$Y104-83.853*'BMP P Tracking Table'!$X104-42.834*'BMP P Tracking Table'!$W104)^2-(4*(149.919*'BMP P Tracking Table'!$W104+236.676*'BMP P Tracking Table'!$X104+726*'BMP P Tracking Table'!$Y104+996.798*'BMP P Tracking Table'!$Z104)*-'BMP P Tracking Table'!$AB104)))/(2*(149.919*'BMP P Tracking Table'!$W104+236.676*'BMP P Tracking Table'!$X104+726*'BMP P Tracking Table'!$Y104+996.798*'BMP P Tracking Table'!$Z104))))),"")</f>
        <v/>
      </c>
      <c r="AF104" s="175" t="str">
        <f>IFERROR((VLOOKUP(CONCATENATE('BMP P Tracking Table'!$T104," ",'BMP P Tracking Table'!$AC104),'Performance Curves'!$C$1:$L$45,MATCH('BMP P Tracking Table'!$AE104,'Performance Curves'!$E$1:$L$1,1)+2,FALSE)-VLOOKUP(CONCATENATE('BMP P Tracking Table'!$T104," ",'BMP P Tracking Table'!$AC104),'Performance Curves'!$C$1:$L$45,MATCH('BMP P Tracking Table'!$AE104,'Performance Curves'!$E$1:$L$1,1)+1,FALSE)),"")</f>
        <v/>
      </c>
      <c r="AG104" s="175" t="str">
        <f>IFERROR(('BMP P Tracking Table'!$AE104-INDEX('Performance Curves'!$E$1:$L$1,1,MATCH('BMP P Tracking Table'!$AE104,'Performance Curves'!$E$1:$L$1,1)))/(INDEX('Performance Curves'!$E$1:$L$1,1,MATCH('BMP P Tracking Table'!$AE104,'Performance Curves'!$E$1:$L$1,1)+1)-INDEX('Performance Curves'!$E$1:$L$1,1,MATCH('BMP P Tracking Table'!$AE104,'Performance Curves'!$E$1:$L$1,1))),"")</f>
        <v/>
      </c>
      <c r="AH104" s="176" t="str">
        <f>IFERROR(IF('BMP P Tracking Table'!$AE104=2,VLOOKUP(CONCATENATE('BMP P Tracking Table'!$T104," ",'BMP P Tracking Table'!$AC104),'Performance Curves'!$C$1:$L$45,MATCH('BMP P Tracking Table'!$AE104,'Performance Curves'!$E$1:$L$1,1)+1,FALSE),'BMP P Tracking Table'!$AF104*'BMP P Tracking Table'!$AG104+VLOOKUP(CONCATENATE('BMP P Tracking Table'!$T104," ",'BMP P Tracking Table'!$AC104),'Performance Curves'!$C$1:$L$45,MATCH('BMP P Tracking Table'!$AE104,'Performance Curves'!$E$1:$L$1,1)+1,FALSE)),"")</f>
        <v/>
      </c>
      <c r="AI104" s="175" t="str">
        <f>IFERROR('BMP P Tracking Table'!$AH104*'BMP P Tracking Table'!$AD104,"")</f>
        <v/>
      </c>
      <c r="AJ104" s="169"/>
      <c r="AK104" s="173"/>
      <c r="AL104" s="173"/>
      <c r="AM104" s="177"/>
      <c r="AN104" s="178" t="str">
        <f t="shared" si="14"/>
        <v/>
      </c>
      <c r="AO104" s="96"/>
      <c r="AP104" s="96"/>
      <c r="AQ104" s="96"/>
      <c r="AR104" s="96"/>
      <c r="AS104" s="96"/>
      <c r="AT104" s="96"/>
      <c r="AU104" s="96"/>
      <c r="AV104" s="64"/>
      <c r="AW104" s="97"/>
      <c r="AX104" s="97"/>
      <c r="AY104" s="101" t="str">
        <f>IF('BMP P Tracking Table'!$AK104="Yes",IF('BMP P Tracking Table'!$AL104="No",'BMP P Tracking Table'!$U104*VLOOKUP('BMP P Tracking Table'!$Q104,'Loading Rates'!$B$1:$L$24,4,FALSE)+IF('BMP P Tracking Table'!$V104="By HSG",'BMP P Tracking Table'!$W104*VLOOKUP('BMP P Tracking Table'!$Q104,'Loading Rates'!$B$1:$L$24,6,FALSE)+'BMP P Tracking Table'!$X104*VLOOKUP('BMP P Tracking Table'!$Q104,'Loading Rates'!$B$1:$L$24,7,FALSE)+'BMP P Tracking Table'!$Y104*VLOOKUP('BMP P Tracking Table'!$Q104,'Loading Rates'!$B$1:$L$24,8,FALSE)+'BMP P Tracking Table'!$Z104*VLOOKUP('BMP P Tracking Table'!$Q104,'Loading Rates'!$B$1:$L$24,9,FALSE),'BMP P Tracking Table'!$AA104*VLOOKUP('BMP P Tracking Table'!$Q104,'Loading Rates'!$B$1:$L$24,10,FALSE)),'BMP P Tracking Table'!$AO104*VLOOKUP('BMP P Tracking Table'!$Q104,'Loading Rates'!$B$1:$L$24,4,FALSE)+IF('BMP P Tracking Table'!$AP104="By HSG",'BMP P Tracking Table'!$AQ104*VLOOKUP('BMP P Tracking Table'!$Q104,'Loading Rates'!$B$1:$L$24,6,FALSE)+'BMP P Tracking Table'!$AR104*VLOOKUP('BMP P Tracking Table'!$Q104,'Loading Rates'!$B$1:$L$24,7,FALSE)+'BMP P Tracking Table'!$AS104*VLOOKUP('BMP P Tracking Table'!$Q104,'Loading Rates'!$B$1:$L$24,8,FALSE)+'BMP P Tracking Table'!$AT104*VLOOKUP('BMP P Tracking Table'!$Q104,'Loading Rates'!$B$1:$L$24,9,FALSE),'BMP P Tracking Table'!$AU104*VLOOKUP('BMP P Tracking Table'!$Q104,'Loading Rates'!$B$1:$L$24,10,FALSE))),"")</f>
        <v/>
      </c>
      <c r="AZ104" s="101" t="str">
        <f>IFERROR(IF('BMP P Tracking Table'!$AL104="Yes",MIN(2,IF('BMP P Tracking Table'!$AP104="Total Pervious",(-(3630*'BMP P Tracking Table'!$AO104+20.691*'BMP P Tracking Table'!$AU104)+SQRT((3630*'BMP P Tracking Table'!$AO104+20.691*'BMP P Tracking Table'!$AU104)^2-(4*(996.798*'BMP P Tracking Table'!$AU104)*-'BMP P Tracking Table'!$AW104)))/(2*(996.798*'BMP P Tracking Table'!$AU104)),IF(SUM('BMP P Tracking Table'!$AQ104:$AT104)=0,'BMP P Tracking Table'!$AU104/(-3630*'BMP P Tracking Table'!$AO104),(-(3630*'BMP P Tracking Table'!$AO104+20.691*'BMP P Tracking Table'!$AT104-216.711*'BMP P Tracking Table'!$AS104-83.853*'BMP P Tracking Table'!$AR104-42.834*'BMP P Tracking Table'!$AQ104)+SQRT((3630*'BMP P Tracking Table'!$AO104+20.691*'BMP P Tracking Table'!$AT104-216.711*'BMP P Tracking Table'!$AS104-83.853*'BMP P Tracking Table'!$AR104-42.834*'BMP P Tracking Table'!$AQ104)^2-(4*(149.919*'BMP P Tracking Table'!$AQ104+236.676*'BMP P Tracking Table'!$AR104+726*'BMP P Tracking Table'!$AS104+996.798*'BMP P Tracking Table'!$AT104)*-'BMP P Tracking Table'!$AW104)))/(2*(149.919*'BMP P Tracking Table'!$AQ104+236.676*'BMP P Tracking Table'!$AR104+726*'BMP P Tracking Table'!$AS104+996.798*'BMP P Tracking Table'!$AT104))))),MIN(2,IF('BMP P Tracking Table'!$AP104="Total Pervious",(-(3630*'BMP P Tracking Table'!$U104+20.691*'BMP P Tracking Table'!$AA104)+SQRT((3630*'BMP P Tracking Table'!$U104+20.691*'BMP P Tracking Table'!$AA104)^2-(4*(996.798*'BMP P Tracking Table'!$AA104)*-'BMP P Tracking Table'!$AW104)))/(2*(996.798*'BMP P Tracking Table'!$AA104)),IF(SUM('BMP P Tracking Table'!$W104:$Z104)=0,'BMP P Tracking Table'!$AW104/(-3630*'BMP P Tracking Table'!$U104),(-(3630*'BMP P Tracking Table'!$U104+20.691*'BMP P Tracking Table'!$Z104-216.711*'BMP P Tracking Table'!$Y104-83.853*'BMP P Tracking Table'!$X104-42.834*'BMP P Tracking Table'!$W104)+SQRT((3630*'BMP P Tracking Table'!$U104+20.691*'BMP P Tracking Table'!$Z104-216.711*'BMP P Tracking Table'!$Y104-83.853*'BMP P Tracking Table'!$X104-42.834*'BMP P Tracking Table'!$W104)^2-(4*(149.919*'BMP P Tracking Table'!$W104+236.676*'BMP P Tracking Table'!$X104+726*'BMP P Tracking Table'!$Y104+996.798*'BMP P Tracking Table'!$Z104)*-'BMP P Tracking Table'!$AW104)))/(2*(149.919*'BMP P Tracking Table'!$W104+236.676*'BMP P Tracking Table'!$X104+726*'BMP P Tracking Table'!$Y104+996.798*'BMP P Tracking Table'!$Z104)))))),"")</f>
        <v/>
      </c>
      <c r="BA104" s="101" t="str">
        <f>IFERROR((VLOOKUP(CONCATENATE('BMP P Tracking Table'!$AV104," ",'BMP P Tracking Table'!$AX104),'Performance Curves'!$C$1:$L$45,MATCH('BMP P Tracking Table'!$AZ104,'Performance Curves'!$E$1:$L$1,1)+2,FALSE)-VLOOKUP(CONCATENATE('BMP P Tracking Table'!$AV104," ",'BMP P Tracking Table'!$AX104),'Performance Curves'!$C$1:$L$45,MATCH('BMP P Tracking Table'!$AZ104,'Performance Curves'!$E$1:$L$1,1)+1,FALSE)),"")</f>
        <v/>
      </c>
      <c r="BB104" s="101" t="str">
        <f>IFERROR(('BMP P Tracking Table'!$AZ104-INDEX('Performance Curves'!$E$1:$L$1,1,MATCH('BMP P Tracking Table'!$AZ104,'Performance Curves'!$E$1:$L$1,1)))/(INDEX('Performance Curves'!$E$1:$L$1,1,MATCH('BMP P Tracking Table'!$AZ104,'Performance Curves'!$E$1:$L$1,1)+1)-INDEX('Performance Curves'!$E$1:$L$1,1,MATCH('BMP P Tracking Table'!$AZ104,'Performance Curves'!$E$1:$L$1,1))),"")</f>
        <v/>
      </c>
      <c r="BC104" s="102" t="str">
        <f>IFERROR(IF('BMP P Tracking Table'!$AZ104=2,VLOOKUP(CONCATENATE('BMP P Tracking Table'!$AV104," ",'BMP P Tracking Table'!$AX104),'Performance Curves'!$C$1:$L$44,MATCH('BMP P Tracking Table'!$AZ104,'Performance Curves'!$E$1:$L$1,1)+1,FALSE),'BMP P Tracking Table'!$BA104*'BMP P Tracking Table'!$BB104+VLOOKUP(CONCATENATE('BMP P Tracking Table'!$AV104," ",'BMP P Tracking Table'!$AX104),'Performance Curves'!$C$1:$L$44,MATCH('BMP P Tracking Table'!$AZ104,'Performance Curves'!$E$1:$L$1,1)+1,FALSE)),"")</f>
        <v/>
      </c>
      <c r="BD104" s="101" t="str">
        <f>IFERROR('BMP P Tracking Table'!$BC104*'BMP P Tracking Table'!$AY104,"")</f>
        <v/>
      </c>
      <c r="BE104" s="96"/>
      <c r="BF104" s="37">
        <f t="shared" si="15"/>
        <v>0</v>
      </c>
    </row>
    <row r="105" spans="1:58" x14ac:dyDescent="0.3">
      <c r="A105" s="169"/>
      <c r="B105" s="169"/>
      <c r="C105" s="169"/>
      <c r="D105" s="169"/>
      <c r="E105" s="170"/>
      <c r="F105" s="170"/>
      <c r="G105" s="169"/>
      <c r="H105" s="169"/>
      <c r="I105" s="169"/>
      <c r="J105" s="171"/>
      <c r="K105" s="169"/>
      <c r="L105" s="169"/>
      <c r="M105" s="169"/>
      <c r="N105" s="169"/>
      <c r="O105" s="169"/>
      <c r="P105" s="169"/>
      <c r="Q105" s="169" t="str">
        <f>IFERROR(VLOOKUP('BMP P Tracking Table'!$P105,Dropdowns!$C$2:$E$15,3,FALSE),"")</f>
        <v/>
      </c>
      <c r="R105" s="169" t="str">
        <f>IFERROR(VLOOKUP('BMP P Tracking Table'!$Q105,Dropdowns!$P$3:$Q$23,2,FALSE),"")</f>
        <v/>
      </c>
      <c r="S105" s="169"/>
      <c r="T105" s="169"/>
      <c r="U105" s="169"/>
      <c r="V105" s="169"/>
      <c r="W105" s="169"/>
      <c r="X105" s="169"/>
      <c r="Y105" s="169"/>
      <c r="Z105" s="169"/>
      <c r="AA105" s="169"/>
      <c r="AB105" s="174"/>
      <c r="AC105" s="169"/>
      <c r="AD105" s="175" t="str">
        <f>IFERROR('BMP P Tracking Table'!$U105*VLOOKUP('BMP P Tracking Table'!$Q105,'Loading Rates'!$B$1:$L$24,4,FALSE)+IF('BMP P Tracking Table'!$V105="By HSG",'BMP P Tracking Table'!$W105*VLOOKUP('BMP P Tracking Table'!$Q105,'Loading Rates'!$B$1:$L$24,6,FALSE)+'BMP P Tracking Table'!$X105*VLOOKUP('BMP P Tracking Table'!$Q105,'Loading Rates'!$B$1:$L$24,7,FALSE)+'BMP P Tracking Table'!$Y105*VLOOKUP('BMP P Tracking Table'!$Q105,'Loading Rates'!$B$1:$L$24,8,FALSE)+'BMP P Tracking Table'!$Z105*VLOOKUP('BMP P Tracking Table'!$Q105,'Loading Rates'!$B$1:$L$24,9,FALSE),'BMP P Tracking Table'!$AA105*VLOOKUP('BMP P Tracking Table'!$Q105,'Loading Rates'!$B$1:$L$24,10,FALSE)),"")</f>
        <v/>
      </c>
      <c r="AE105" s="175" t="str">
        <f>IFERROR(MIN(2,IF('BMP P Tracking Table'!$V105="Total Pervious",(-(3630*'BMP P Tracking Table'!$U105+20.691*'BMP P Tracking Table'!$AA105)+SQRT((3630*'BMP P Tracking Table'!$U105+20.691*'BMP P Tracking Table'!$AA105)^2-(4*(996.798*'BMP P Tracking Table'!$AA105)*-'BMP P Tracking Table'!$AB105)))/(2*(996.798*'BMP P Tracking Table'!$AA105)),IF(SUM('BMP P Tracking Table'!$W105:$Z105)=0,'BMP P Tracking Table'!$AB105/(-3630*'BMP P Tracking Table'!$U105),(-(3630*'BMP P Tracking Table'!$U105+20.691*'BMP P Tracking Table'!$Z105-216.711*'BMP P Tracking Table'!$Y105-83.853*'BMP P Tracking Table'!$X105-42.834*'BMP P Tracking Table'!$W105)+SQRT((3630*'BMP P Tracking Table'!$U105+20.691*'BMP P Tracking Table'!$Z105-216.711*'BMP P Tracking Table'!$Y105-83.853*'BMP P Tracking Table'!$X105-42.834*'BMP P Tracking Table'!$W105)^2-(4*(149.919*'BMP P Tracking Table'!$W105+236.676*'BMP P Tracking Table'!$X105+726*'BMP P Tracking Table'!$Y105+996.798*'BMP P Tracking Table'!$Z105)*-'BMP P Tracking Table'!$AB105)))/(2*(149.919*'BMP P Tracking Table'!$W105+236.676*'BMP P Tracking Table'!$X105+726*'BMP P Tracking Table'!$Y105+996.798*'BMP P Tracking Table'!$Z105))))),"")</f>
        <v/>
      </c>
      <c r="AF105" s="175" t="str">
        <f>IFERROR((VLOOKUP(CONCATENATE('BMP P Tracking Table'!$T105," ",'BMP P Tracking Table'!$AC105),'Performance Curves'!$C$1:$L$45,MATCH('BMP P Tracking Table'!$AE105,'Performance Curves'!$E$1:$L$1,1)+2,FALSE)-VLOOKUP(CONCATENATE('BMP P Tracking Table'!$T105," ",'BMP P Tracking Table'!$AC105),'Performance Curves'!$C$1:$L$45,MATCH('BMP P Tracking Table'!$AE105,'Performance Curves'!$E$1:$L$1,1)+1,FALSE)),"")</f>
        <v/>
      </c>
      <c r="AG105" s="175" t="str">
        <f>IFERROR(('BMP P Tracking Table'!$AE105-INDEX('Performance Curves'!$E$1:$L$1,1,MATCH('BMP P Tracking Table'!$AE105,'Performance Curves'!$E$1:$L$1,1)))/(INDEX('Performance Curves'!$E$1:$L$1,1,MATCH('BMP P Tracking Table'!$AE105,'Performance Curves'!$E$1:$L$1,1)+1)-INDEX('Performance Curves'!$E$1:$L$1,1,MATCH('BMP P Tracking Table'!$AE105,'Performance Curves'!$E$1:$L$1,1))),"")</f>
        <v/>
      </c>
      <c r="AH105" s="176" t="str">
        <f>IFERROR(IF('BMP P Tracking Table'!$AE105=2,VLOOKUP(CONCATENATE('BMP P Tracking Table'!$T105," ",'BMP P Tracking Table'!$AC105),'Performance Curves'!$C$1:$L$45,MATCH('BMP P Tracking Table'!$AE105,'Performance Curves'!$E$1:$L$1,1)+1,FALSE),'BMP P Tracking Table'!$AF105*'BMP P Tracking Table'!$AG105+VLOOKUP(CONCATENATE('BMP P Tracking Table'!$T105," ",'BMP P Tracking Table'!$AC105),'Performance Curves'!$C$1:$L$45,MATCH('BMP P Tracking Table'!$AE105,'Performance Curves'!$E$1:$L$1,1)+1,FALSE)),"")</f>
        <v/>
      </c>
      <c r="AI105" s="175" t="str">
        <f>IFERROR('BMP P Tracking Table'!$AH105*'BMP P Tracking Table'!$AD105,"")</f>
        <v/>
      </c>
      <c r="AJ105" s="169"/>
      <c r="AK105" s="173"/>
      <c r="AL105" s="173"/>
      <c r="AM105" s="177"/>
      <c r="AN105" s="178" t="str">
        <f t="shared" si="14"/>
        <v/>
      </c>
      <c r="AO105" s="96"/>
      <c r="AP105" s="96"/>
      <c r="AQ105" s="96"/>
      <c r="AR105" s="96"/>
      <c r="AS105" s="96"/>
      <c r="AT105" s="96"/>
      <c r="AU105" s="96"/>
      <c r="AV105" s="64"/>
      <c r="AW105" s="97"/>
      <c r="AX105" s="97"/>
      <c r="AY105" s="101" t="str">
        <f>IF('BMP P Tracking Table'!$AK105="Yes",IF('BMP P Tracking Table'!$AL105="No",'BMP P Tracking Table'!$U105*VLOOKUP('BMP P Tracking Table'!$Q105,'Loading Rates'!$B$1:$L$24,4,FALSE)+IF('BMP P Tracking Table'!$V105="By HSG",'BMP P Tracking Table'!$W105*VLOOKUP('BMP P Tracking Table'!$Q105,'Loading Rates'!$B$1:$L$24,6,FALSE)+'BMP P Tracking Table'!$X105*VLOOKUP('BMP P Tracking Table'!$Q105,'Loading Rates'!$B$1:$L$24,7,FALSE)+'BMP P Tracking Table'!$Y105*VLOOKUP('BMP P Tracking Table'!$Q105,'Loading Rates'!$B$1:$L$24,8,FALSE)+'BMP P Tracking Table'!$Z105*VLOOKUP('BMP P Tracking Table'!$Q105,'Loading Rates'!$B$1:$L$24,9,FALSE),'BMP P Tracking Table'!$AA105*VLOOKUP('BMP P Tracking Table'!$Q105,'Loading Rates'!$B$1:$L$24,10,FALSE)),'BMP P Tracking Table'!$AO105*VLOOKUP('BMP P Tracking Table'!$Q105,'Loading Rates'!$B$1:$L$24,4,FALSE)+IF('BMP P Tracking Table'!$AP105="By HSG",'BMP P Tracking Table'!$AQ105*VLOOKUP('BMP P Tracking Table'!$Q105,'Loading Rates'!$B$1:$L$24,6,FALSE)+'BMP P Tracking Table'!$AR105*VLOOKUP('BMP P Tracking Table'!$Q105,'Loading Rates'!$B$1:$L$24,7,FALSE)+'BMP P Tracking Table'!$AS105*VLOOKUP('BMP P Tracking Table'!$Q105,'Loading Rates'!$B$1:$L$24,8,FALSE)+'BMP P Tracking Table'!$AT105*VLOOKUP('BMP P Tracking Table'!$Q105,'Loading Rates'!$B$1:$L$24,9,FALSE),'BMP P Tracking Table'!$AU105*VLOOKUP('BMP P Tracking Table'!$Q105,'Loading Rates'!$B$1:$L$24,10,FALSE))),"")</f>
        <v/>
      </c>
      <c r="AZ105" s="101" t="str">
        <f>IFERROR(IF('BMP P Tracking Table'!$AL105="Yes",MIN(2,IF('BMP P Tracking Table'!$AP105="Total Pervious",(-(3630*'BMP P Tracking Table'!$AO105+20.691*'BMP P Tracking Table'!$AU105)+SQRT((3630*'BMP P Tracking Table'!$AO105+20.691*'BMP P Tracking Table'!$AU105)^2-(4*(996.798*'BMP P Tracking Table'!$AU105)*-'BMP P Tracking Table'!$AW105)))/(2*(996.798*'BMP P Tracking Table'!$AU105)),IF(SUM('BMP P Tracking Table'!$AQ105:$AT105)=0,'BMP P Tracking Table'!$AU105/(-3630*'BMP P Tracking Table'!$AO105),(-(3630*'BMP P Tracking Table'!$AO105+20.691*'BMP P Tracking Table'!$AT105-216.711*'BMP P Tracking Table'!$AS105-83.853*'BMP P Tracking Table'!$AR105-42.834*'BMP P Tracking Table'!$AQ105)+SQRT((3630*'BMP P Tracking Table'!$AO105+20.691*'BMP P Tracking Table'!$AT105-216.711*'BMP P Tracking Table'!$AS105-83.853*'BMP P Tracking Table'!$AR105-42.834*'BMP P Tracking Table'!$AQ105)^2-(4*(149.919*'BMP P Tracking Table'!$AQ105+236.676*'BMP P Tracking Table'!$AR105+726*'BMP P Tracking Table'!$AS105+996.798*'BMP P Tracking Table'!$AT105)*-'BMP P Tracking Table'!$AW105)))/(2*(149.919*'BMP P Tracking Table'!$AQ105+236.676*'BMP P Tracking Table'!$AR105+726*'BMP P Tracking Table'!$AS105+996.798*'BMP P Tracking Table'!$AT105))))),MIN(2,IF('BMP P Tracking Table'!$AP105="Total Pervious",(-(3630*'BMP P Tracking Table'!$U105+20.691*'BMP P Tracking Table'!$AA105)+SQRT((3630*'BMP P Tracking Table'!$U105+20.691*'BMP P Tracking Table'!$AA105)^2-(4*(996.798*'BMP P Tracking Table'!$AA105)*-'BMP P Tracking Table'!$AW105)))/(2*(996.798*'BMP P Tracking Table'!$AA105)),IF(SUM('BMP P Tracking Table'!$W105:$Z105)=0,'BMP P Tracking Table'!$AW105/(-3630*'BMP P Tracking Table'!$U105),(-(3630*'BMP P Tracking Table'!$U105+20.691*'BMP P Tracking Table'!$Z105-216.711*'BMP P Tracking Table'!$Y105-83.853*'BMP P Tracking Table'!$X105-42.834*'BMP P Tracking Table'!$W105)+SQRT((3630*'BMP P Tracking Table'!$U105+20.691*'BMP P Tracking Table'!$Z105-216.711*'BMP P Tracking Table'!$Y105-83.853*'BMP P Tracking Table'!$X105-42.834*'BMP P Tracking Table'!$W105)^2-(4*(149.919*'BMP P Tracking Table'!$W105+236.676*'BMP P Tracking Table'!$X105+726*'BMP P Tracking Table'!$Y105+996.798*'BMP P Tracking Table'!$Z105)*-'BMP P Tracking Table'!$AW105)))/(2*(149.919*'BMP P Tracking Table'!$W105+236.676*'BMP P Tracking Table'!$X105+726*'BMP P Tracking Table'!$Y105+996.798*'BMP P Tracking Table'!$Z105)))))),"")</f>
        <v/>
      </c>
      <c r="BA105" s="101" t="str">
        <f>IFERROR((VLOOKUP(CONCATENATE('BMP P Tracking Table'!$AV105," ",'BMP P Tracking Table'!$AX105),'Performance Curves'!$C$1:$L$45,MATCH('BMP P Tracking Table'!$AZ105,'Performance Curves'!$E$1:$L$1,1)+2,FALSE)-VLOOKUP(CONCATENATE('BMP P Tracking Table'!$AV105," ",'BMP P Tracking Table'!$AX105),'Performance Curves'!$C$1:$L$45,MATCH('BMP P Tracking Table'!$AZ105,'Performance Curves'!$E$1:$L$1,1)+1,FALSE)),"")</f>
        <v/>
      </c>
      <c r="BB105" s="101" t="str">
        <f>IFERROR(('BMP P Tracking Table'!$AZ105-INDEX('Performance Curves'!$E$1:$L$1,1,MATCH('BMP P Tracking Table'!$AZ105,'Performance Curves'!$E$1:$L$1,1)))/(INDEX('Performance Curves'!$E$1:$L$1,1,MATCH('BMP P Tracking Table'!$AZ105,'Performance Curves'!$E$1:$L$1,1)+1)-INDEX('Performance Curves'!$E$1:$L$1,1,MATCH('BMP P Tracking Table'!$AZ105,'Performance Curves'!$E$1:$L$1,1))),"")</f>
        <v/>
      </c>
      <c r="BC105" s="102" t="str">
        <f>IFERROR(IF('BMP P Tracking Table'!$AZ105=2,VLOOKUP(CONCATENATE('BMP P Tracking Table'!$AV105," ",'BMP P Tracking Table'!$AX105),'Performance Curves'!$C$1:$L$44,MATCH('BMP P Tracking Table'!$AZ105,'Performance Curves'!$E$1:$L$1,1)+1,FALSE),'BMP P Tracking Table'!$BA105*'BMP P Tracking Table'!$BB105+VLOOKUP(CONCATENATE('BMP P Tracking Table'!$AV105," ",'BMP P Tracking Table'!$AX105),'Performance Curves'!$C$1:$L$44,MATCH('BMP P Tracking Table'!$AZ105,'Performance Curves'!$E$1:$L$1,1)+1,FALSE)),"")</f>
        <v/>
      </c>
      <c r="BD105" s="101" t="str">
        <f>IFERROR('BMP P Tracking Table'!$BC105*'BMP P Tracking Table'!$AY105,"")</f>
        <v/>
      </c>
      <c r="BE105" s="96"/>
      <c r="BF105" s="37">
        <f t="shared" si="15"/>
        <v>0</v>
      </c>
    </row>
    <row r="106" spans="1:58" x14ac:dyDescent="0.3">
      <c r="A106" s="169"/>
      <c r="B106" s="169"/>
      <c r="C106" s="169"/>
      <c r="D106" s="169"/>
      <c r="E106" s="170"/>
      <c r="F106" s="170"/>
      <c r="G106" s="169"/>
      <c r="H106" s="169"/>
      <c r="I106" s="169"/>
      <c r="J106" s="171"/>
      <c r="K106" s="169"/>
      <c r="L106" s="169"/>
      <c r="M106" s="169"/>
      <c r="N106" s="169"/>
      <c r="O106" s="169"/>
      <c r="P106" s="169"/>
      <c r="Q106" s="169" t="str">
        <f>IFERROR(VLOOKUP('BMP P Tracking Table'!$P106,Dropdowns!$C$2:$E$15,3,FALSE),"")</f>
        <v/>
      </c>
      <c r="R106" s="169" t="str">
        <f>IFERROR(VLOOKUP('BMP P Tracking Table'!$Q106,Dropdowns!$P$3:$Q$23,2,FALSE),"")</f>
        <v/>
      </c>
      <c r="S106" s="169"/>
      <c r="T106" s="169"/>
      <c r="U106" s="169"/>
      <c r="V106" s="169"/>
      <c r="W106" s="169"/>
      <c r="X106" s="169"/>
      <c r="Y106" s="169"/>
      <c r="Z106" s="169"/>
      <c r="AA106" s="169"/>
      <c r="AB106" s="174"/>
      <c r="AC106" s="169"/>
      <c r="AD106" s="175" t="str">
        <f>IFERROR('BMP P Tracking Table'!$U106*VLOOKUP('BMP P Tracking Table'!$Q106,'Loading Rates'!$B$1:$L$24,4,FALSE)+IF('BMP P Tracking Table'!$V106="By HSG",'BMP P Tracking Table'!$W106*VLOOKUP('BMP P Tracking Table'!$Q106,'Loading Rates'!$B$1:$L$24,6,FALSE)+'BMP P Tracking Table'!$X106*VLOOKUP('BMP P Tracking Table'!$Q106,'Loading Rates'!$B$1:$L$24,7,FALSE)+'BMP P Tracking Table'!$Y106*VLOOKUP('BMP P Tracking Table'!$Q106,'Loading Rates'!$B$1:$L$24,8,FALSE)+'BMP P Tracking Table'!$Z106*VLOOKUP('BMP P Tracking Table'!$Q106,'Loading Rates'!$B$1:$L$24,9,FALSE),'BMP P Tracking Table'!$AA106*VLOOKUP('BMP P Tracking Table'!$Q106,'Loading Rates'!$B$1:$L$24,10,FALSE)),"")</f>
        <v/>
      </c>
      <c r="AE106" s="175" t="str">
        <f>IFERROR(MIN(2,IF('BMP P Tracking Table'!$V106="Total Pervious",(-(3630*'BMP P Tracking Table'!$U106+20.691*'BMP P Tracking Table'!$AA106)+SQRT((3630*'BMP P Tracking Table'!$U106+20.691*'BMP P Tracking Table'!$AA106)^2-(4*(996.798*'BMP P Tracking Table'!$AA106)*-'BMP P Tracking Table'!$AB106)))/(2*(996.798*'BMP P Tracking Table'!$AA106)),IF(SUM('BMP P Tracking Table'!$W106:$Z106)=0,'BMP P Tracking Table'!$AB106/(-3630*'BMP P Tracking Table'!$U106),(-(3630*'BMP P Tracking Table'!$U106+20.691*'BMP P Tracking Table'!$Z106-216.711*'BMP P Tracking Table'!$Y106-83.853*'BMP P Tracking Table'!$X106-42.834*'BMP P Tracking Table'!$W106)+SQRT((3630*'BMP P Tracking Table'!$U106+20.691*'BMP P Tracking Table'!$Z106-216.711*'BMP P Tracking Table'!$Y106-83.853*'BMP P Tracking Table'!$X106-42.834*'BMP P Tracking Table'!$W106)^2-(4*(149.919*'BMP P Tracking Table'!$W106+236.676*'BMP P Tracking Table'!$X106+726*'BMP P Tracking Table'!$Y106+996.798*'BMP P Tracking Table'!$Z106)*-'BMP P Tracking Table'!$AB106)))/(2*(149.919*'BMP P Tracking Table'!$W106+236.676*'BMP P Tracking Table'!$X106+726*'BMP P Tracking Table'!$Y106+996.798*'BMP P Tracking Table'!$Z106))))),"")</f>
        <v/>
      </c>
      <c r="AF106" s="175" t="str">
        <f>IFERROR((VLOOKUP(CONCATENATE('BMP P Tracking Table'!$T106," ",'BMP P Tracking Table'!$AC106),'Performance Curves'!$C$1:$L$45,MATCH('BMP P Tracking Table'!$AE106,'Performance Curves'!$E$1:$L$1,1)+2,FALSE)-VLOOKUP(CONCATENATE('BMP P Tracking Table'!$T106," ",'BMP P Tracking Table'!$AC106),'Performance Curves'!$C$1:$L$45,MATCH('BMP P Tracking Table'!$AE106,'Performance Curves'!$E$1:$L$1,1)+1,FALSE)),"")</f>
        <v/>
      </c>
      <c r="AG106" s="175" t="str">
        <f>IFERROR(('BMP P Tracking Table'!$AE106-INDEX('Performance Curves'!$E$1:$L$1,1,MATCH('BMP P Tracking Table'!$AE106,'Performance Curves'!$E$1:$L$1,1)))/(INDEX('Performance Curves'!$E$1:$L$1,1,MATCH('BMP P Tracking Table'!$AE106,'Performance Curves'!$E$1:$L$1,1)+1)-INDEX('Performance Curves'!$E$1:$L$1,1,MATCH('BMP P Tracking Table'!$AE106,'Performance Curves'!$E$1:$L$1,1))),"")</f>
        <v/>
      </c>
      <c r="AH106" s="176" t="str">
        <f>IFERROR(IF('BMP P Tracking Table'!$AE106=2,VLOOKUP(CONCATENATE('BMP P Tracking Table'!$T106," ",'BMP P Tracking Table'!$AC106),'Performance Curves'!$C$1:$L$45,MATCH('BMP P Tracking Table'!$AE106,'Performance Curves'!$E$1:$L$1,1)+1,FALSE),'BMP P Tracking Table'!$AF106*'BMP P Tracking Table'!$AG106+VLOOKUP(CONCATENATE('BMP P Tracking Table'!$T106," ",'BMP P Tracking Table'!$AC106),'Performance Curves'!$C$1:$L$45,MATCH('BMP P Tracking Table'!$AE106,'Performance Curves'!$E$1:$L$1,1)+1,FALSE)),"")</f>
        <v/>
      </c>
      <c r="AI106" s="175" t="str">
        <f>IFERROR('BMP P Tracking Table'!$AH106*'BMP P Tracking Table'!$AD106,"")</f>
        <v/>
      </c>
      <c r="AJ106" s="169"/>
      <c r="AK106" s="173"/>
      <c r="AL106" s="173"/>
      <c r="AM106" s="177"/>
      <c r="AN106" s="178" t="str">
        <f t="shared" si="14"/>
        <v/>
      </c>
      <c r="AO106" s="96"/>
      <c r="AP106" s="96"/>
      <c r="AQ106" s="96"/>
      <c r="AR106" s="96"/>
      <c r="AS106" s="96"/>
      <c r="AT106" s="96"/>
      <c r="AU106" s="96"/>
      <c r="AV106" s="64"/>
      <c r="AW106" s="97"/>
      <c r="AX106" s="97"/>
      <c r="AY106" s="101" t="str">
        <f>IF('BMP P Tracking Table'!$AK106="Yes",IF('BMP P Tracking Table'!$AL106="No",'BMP P Tracking Table'!$U106*VLOOKUP('BMP P Tracking Table'!$Q106,'Loading Rates'!$B$1:$L$24,4,FALSE)+IF('BMP P Tracking Table'!$V106="By HSG",'BMP P Tracking Table'!$W106*VLOOKUP('BMP P Tracking Table'!$Q106,'Loading Rates'!$B$1:$L$24,6,FALSE)+'BMP P Tracking Table'!$X106*VLOOKUP('BMP P Tracking Table'!$Q106,'Loading Rates'!$B$1:$L$24,7,FALSE)+'BMP P Tracking Table'!$Y106*VLOOKUP('BMP P Tracking Table'!$Q106,'Loading Rates'!$B$1:$L$24,8,FALSE)+'BMP P Tracking Table'!$Z106*VLOOKUP('BMP P Tracking Table'!$Q106,'Loading Rates'!$B$1:$L$24,9,FALSE),'BMP P Tracking Table'!$AA106*VLOOKUP('BMP P Tracking Table'!$Q106,'Loading Rates'!$B$1:$L$24,10,FALSE)),'BMP P Tracking Table'!$AO106*VLOOKUP('BMP P Tracking Table'!$Q106,'Loading Rates'!$B$1:$L$24,4,FALSE)+IF('BMP P Tracking Table'!$AP106="By HSG",'BMP P Tracking Table'!$AQ106*VLOOKUP('BMP P Tracking Table'!$Q106,'Loading Rates'!$B$1:$L$24,6,FALSE)+'BMP P Tracking Table'!$AR106*VLOOKUP('BMP P Tracking Table'!$Q106,'Loading Rates'!$B$1:$L$24,7,FALSE)+'BMP P Tracking Table'!$AS106*VLOOKUP('BMP P Tracking Table'!$Q106,'Loading Rates'!$B$1:$L$24,8,FALSE)+'BMP P Tracking Table'!$AT106*VLOOKUP('BMP P Tracking Table'!$Q106,'Loading Rates'!$B$1:$L$24,9,FALSE),'BMP P Tracking Table'!$AU106*VLOOKUP('BMP P Tracking Table'!$Q106,'Loading Rates'!$B$1:$L$24,10,FALSE))),"")</f>
        <v/>
      </c>
      <c r="AZ106" s="101" t="str">
        <f>IFERROR(IF('BMP P Tracking Table'!$AL106="Yes",MIN(2,IF('BMP P Tracking Table'!$AP106="Total Pervious",(-(3630*'BMP P Tracking Table'!$AO106+20.691*'BMP P Tracking Table'!$AU106)+SQRT((3630*'BMP P Tracking Table'!$AO106+20.691*'BMP P Tracking Table'!$AU106)^2-(4*(996.798*'BMP P Tracking Table'!$AU106)*-'BMP P Tracking Table'!$AW106)))/(2*(996.798*'BMP P Tracking Table'!$AU106)),IF(SUM('BMP P Tracking Table'!$AQ106:$AT106)=0,'BMP P Tracking Table'!$AU106/(-3630*'BMP P Tracking Table'!$AO106),(-(3630*'BMP P Tracking Table'!$AO106+20.691*'BMP P Tracking Table'!$AT106-216.711*'BMP P Tracking Table'!$AS106-83.853*'BMP P Tracking Table'!$AR106-42.834*'BMP P Tracking Table'!$AQ106)+SQRT((3630*'BMP P Tracking Table'!$AO106+20.691*'BMP P Tracking Table'!$AT106-216.711*'BMP P Tracking Table'!$AS106-83.853*'BMP P Tracking Table'!$AR106-42.834*'BMP P Tracking Table'!$AQ106)^2-(4*(149.919*'BMP P Tracking Table'!$AQ106+236.676*'BMP P Tracking Table'!$AR106+726*'BMP P Tracking Table'!$AS106+996.798*'BMP P Tracking Table'!$AT106)*-'BMP P Tracking Table'!$AW106)))/(2*(149.919*'BMP P Tracking Table'!$AQ106+236.676*'BMP P Tracking Table'!$AR106+726*'BMP P Tracking Table'!$AS106+996.798*'BMP P Tracking Table'!$AT106))))),MIN(2,IF('BMP P Tracking Table'!$AP106="Total Pervious",(-(3630*'BMP P Tracking Table'!$U106+20.691*'BMP P Tracking Table'!$AA106)+SQRT((3630*'BMP P Tracking Table'!$U106+20.691*'BMP P Tracking Table'!$AA106)^2-(4*(996.798*'BMP P Tracking Table'!$AA106)*-'BMP P Tracking Table'!$AW106)))/(2*(996.798*'BMP P Tracking Table'!$AA106)),IF(SUM('BMP P Tracking Table'!$W106:$Z106)=0,'BMP P Tracking Table'!$AW106/(-3630*'BMP P Tracking Table'!$U106),(-(3630*'BMP P Tracking Table'!$U106+20.691*'BMP P Tracking Table'!$Z106-216.711*'BMP P Tracking Table'!$Y106-83.853*'BMP P Tracking Table'!$X106-42.834*'BMP P Tracking Table'!$W106)+SQRT((3630*'BMP P Tracking Table'!$U106+20.691*'BMP P Tracking Table'!$Z106-216.711*'BMP P Tracking Table'!$Y106-83.853*'BMP P Tracking Table'!$X106-42.834*'BMP P Tracking Table'!$W106)^2-(4*(149.919*'BMP P Tracking Table'!$W106+236.676*'BMP P Tracking Table'!$X106+726*'BMP P Tracking Table'!$Y106+996.798*'BMP P Tracking Table'!$Z106)*-'BMP P Tracking Table'!$AW106)))/(2*(149.919*'BMP P Tracking Table'!$W106+236.676*'BMP P Tracking Table'!$X106+726*'BMP P Tracking Table'!$Y106+996.798*'BMP P Tracking Table'!$Z106)))))),"")</f>
        <v/>
      </c>
      <c r="BA106" s="101" t="str">
        <f>IFERROR((VLOOKUP(CONCATENATE('BMP P Tracking Table'!$AV106," ",'BMP P Tracking Table'!$AX106),'Performance Curves'!$C$1:$L$45,MATCH('BMP P Tracking Table'!$AZ106,'Performance Curves'!$E$1:$L$1,1)+2,FALSE)-VLOOKUP(CONCATENATE('BMP P Tracking Table'!$AV106," ",'BMP P Tracking Table'!$AX106),'Performance Curves'!$C$1:$L$45,MATCH('BMP P Tracking Table'!$AZ106,'Performance Curves'!$E$1:$L$1,1)+1,FALSE)),"")</f>
        <v/>
      </c>
      <c r="BB106" s="101" t="str">
        <f>IFERROR(('BMP P Tracking Table'!$AZ106-INDEX('Performance Curves'!$E$1:$L$1,1,MATCH('BMP P Tracking Table'!$AZ106,'Performance Curves'!$E$1:$L$1,1)))/(INDEX('Performance Curves'!$E$1:$L$1,1,MATCH('BMP P Tracking Table'!$AZ106,'Performance Curves'!$E$1:$L$1,1)+1)-INDEX('Performance Curves'!$E$1:$L$1,1,MATCH('BMP P Tracking Table'!$AZ106,'Performance Curves'!$E$1:$L$1,1))),"")</f>
        <v/>
      </c>
      <c r="BC106" s="102" t="str">
        <f>IFERROR(IF('BMP P Tracking Table'!$AZ106=2,VLOOKUP(CONCATENATE('BMP P Tracking Table'!$AV106," ",'BMP P Tracking Table'!$AX106),'Performance Curves'!$C$1:$L$44,MATCH('BMP P Tracking Table'!$AZ106,'Performance Curves'!$E$1:$L$1,1)+1,FALSE),'BMP P Tracking Table'!$BA106*'BMP P Tracking Table'!$BB106+VLOOKUP(CONCATENATE('BMP P Tracking Table'!$AV106," ",'BMP P Tracking Table'!$AX106),'Performance Curves'!$C$1:$L$44,MATCH('BMP P Tracking Table'!$AZ106,'Performance Curves'!$E$1:$L$1,1)+1,FALSE)),"")</f>
        <v/>
      </c>
      <c r="BD106" s="101" t="str">
        <f>IFERROR('BMP P Tracking Table'!$BC106*'BMP P Tracking Table'!$AY106,"")</f>
        <v/>
      </c>
      <c r="BE106" s="96"/>
      <c r="BF106" s="37">
        <f t="shared" si="15"/>
        <v>0</v>
      </c>
    </row>
    <row r="107" spans="1:58" x14ac:dyDescent="0.3">
      <c r="A107" s="169"/>
      <c r="B107" s="169"/>
      <c r="C107" s="169"/>
      <c r="D107" s="169"/>
      <c r="E107" s="170"/>
      <c r="F107" s="170"/>
      <c r="G107" s="169"/>
      <c r="H107" s="169"/>
      <c r="I107" s="169"/>
      <c r="J107" s="171"/>
      <c r="K107" s="169"/>
      <c r="L107" s="169"/>
      <c r="M107" s="169"/>
      <c r="N107" s="169"/>
      <c r="O107" s="169"/>
      <c r="P107" s="169"/>
      <c r="Q107" s="169" t="str">
        <f>IFERROR(VLOOKUP('BMP P Tracking Table'!$P107,Dropdowns!$C$2:$E$15,3,FALSE),"")</f>
        <v/>
      </c>
      <c r="R107" s="169" t="str">
        <f>IFERROR(VLOOKUP('BMP P Tracking Table'!$Q107,Dropdowns!$P$3:$Q$23,2,FALSE),"")</f>
        <v/>
      </c>
      <c r="S107" s="169"/>
      <c r="T107" s="169"/>
      <c r="U107" s="169"/>
      <c r="V107" s="169"/>
      <c r="W107" s="169"/>
      <c r="X107" s="169"/>
      <c r="Y107" s="169"/>
      <c r="Z107" s="169"/>
      <c r="AA107" s="169"/>
      <c r="AB107" s="174"/>
      <c r="AC107" s="169"/>
      <c r="AD107" s="175" t="str">
        <f>IFERROR('BMP P Tracking Table'!$U107*VLOOKUP('BMP P Tracking Table'!$Q107,'Loading Rates'!$B$1:$L$24,4,FALSE)+IF('BMP P Tracking Table'!$V107="By HSG",'BMP P Tracking Table'!$W107*VLOOKUP('BMP P Tracking Table'!$Q107,'Loading Rates'!$B$1:$L$24,6,FALSE)+'BMP P Tracking Table'!$X107*VLOOKUP('BMP P Tracking Table'!$Q107,'Loading Rates'!$B$1:$L$24,7,FALSE)+'BMP P Tracking Table'!$Y107*VLOOKUP('BMP P Tracking Table'!$Q107,'Loading Rates'!$B$1:$L$24,8,FALSE)+'BMP P Tracking Table'!$Z107*VLOOKUP('BMP P Tracking Table'!$Q107,'Loading Rates'!$B$1:$L$24,9,FALSE),'BMP P Tracking Table'!$AA107*VLOOKUP('BMP P Tracking Table'!$Q107,'Loading Rates'!$B$1:$L$24,10,FALSE)),"")</f>
        <v/>
      </c>
      <c r="AE107" s="175" t="str">
        <f>IFERROR(MIN(2,IF('BMP P Tracking Table'!$V107="Total Pervious",(-(3630*'BMP P Tracking Table'!$U107+20.691*'BMP P Tracking Table'!$AA107)+SQRT((3630*'BMP P Tracking Table'!$U107+20.691*'BMP P Tracking Table'!$AA107)^2-(4*(996.798*'BMP P Tracking Table'!$AA107)*-'BMP P Tracking Table'!$AB107)))/(2*(996.798*'BMP P Tracking Table'!$AA107)),IF(SUM('BMP P Tracking Table'!$W107:$Z107)=0,'BMP P Tracking Table'!$AB107/(-3630*'BMP P Tracking Table'!$U107),(-(3630*'BMP P Tracking Table'!$U107+20.691*'BMP P Tracking Table'!$Z107-216.711*'BMP P Tracking Table'!$Y107-83.853*'BMP P Tracking Table'!$X107-42.834*'BMP P Tracking Table'!$W107)+SQRT((3630*'BMP P Tracking Table'!$U107+20.691*'BMP P Tracking Table'!$Z107-216.711*'BMP P Tracking Table'!$Y107-83.853*'BMP P Tracking Table'!$X107-42.834*'BMP P Tracking Table'!$W107)^2-(4*(149.919*'BMP P Tracking Table'!$W107+236.676*'BMP P Tracking Table'!$X107+726*'BMP P Tracking Table'!$Y107+996.798*'BMP P Tracking Table'!$Z107)*-'BMP P Tracking Table'!$AB107)))/(2*(149.919*'BMP P Tracking Table'!$W107+236.676*'BMP P Tracking Table'!$X107+726*'BMP P Tracking Table'!$Y107+996.798*'BMP P Tracking Table'!$Z107))))),"")</f>
        <v/>
      </c>
      <c r="AF107" s="175" t="str">
        <f>IFERROR((VLOOKUP(CONCATENATE('BMP P Tracking Table'!$T107," ",'BMP P Tracking Table'!$AC107),'Performance Curves'!$C$1:$L$45,MATCH('BMP P Tracking Table'!$AE107,'Performance Curves'!$E$1:$L$1,1)+2,FALSE)-VLOOKUP(CONCATENATE('BMP P Tracking Table'!$T107," ",'BMP P Tracking Table'!$AC107),'Performance Curves'!$C$1:$L$45,MATCH('BMP P Tracking Table'!$AE107,'Performance Curves'!$E$1:$L$1,1)+1,FALSE)),"")</f>
        <v/>
      </c>
      <c r="AG107" s="175" t="str">
        <f>IFERROR(('BMP P Tracking Table'!$AE107-INDEX('Performance Curves'!$E$1:$L$1,1,MATCH('BMP P Tracking Table'!$AE107,'Performance Curves'!$E$1:$L$1,1)))/(INDEX('Performance Curves'!$E$1:$L$1,1,MATCH('BMP P Tracking Table'!$AE107,'Performance Curves'!$E$1:$L$1,1)+1)-INDEX('Performance Curves'!$E$1:$L$1,1,MATCH('BMP P Tracking Table'!$AE107,'Performance Curves'!$E$1:$L$1,1))),"")</f>
        <v/>
      </c>
      <c r="AH107" s="176" t="str">
        <f>IFERROR(IF('BMP P Tracking Table'!$AE107=2,VLOOKUP(CONCATENATE('BMP P Tracking Table'!$T107," ",'BMP P Tracking Table'!$AC107),'Performance Curves'!$C$1:$L$45,MATCH('BMP P Tracking Table'!$AE107,'Performance Curves'!$E$1:$L$1,1)+1,FALSE),'BMP P Tracking Table'!$AF107*'BMP P Tracking Table'!$AG107+VLOOKUP(CONCATENATE('BMP P Tracking Table'!$T107," ",'BMP P Tracking Table'!$AC107),'Performance Curves'!$C$1:$L$45,MATCH('BMP P Tracking Table'!$AE107,'Performance Curves'!$E$1:$L$1,1)+1,FALSE)),"")</f>
        <v/>
      </c>
      <c r="AI107" s="175" t="str">
        <f>IFERROR('BMP P Tracking Table'!$AH107*'BMP P Tracking Table'!$AD107,"")</f>
        <v/>
      </c>
      <c r="AJ107" s="169"/>
      <c r="AK107" s="173"/>
      <c r="AL107" s="173"/>
      <c r="AM107" s="177"/>
      <c r="AN107" s="178" t="str">
        <f t="shared" si="14"/>
        <v/>
      </c>
      <c r="AO107" s="96"/>
      <c r="AP107" s="96"/>
      <c r="AQ107" s="96"/>
      <c r="AR107" s="96"/>
      <c r="AS107" s="96"/>
      <c r="AT107" s="96"/>
      <c r="AU107" s="96"/>
      <c r="AV107" s="64"/>
      <c r="AW107" s="97"/>
      <c r="AX107" s="97"/>
      <c r="AY107" s="101" t="str">
        <f>IF('BMP P Tracking Table'!$AK107="Yes",IF('BMP P Tracking Table'!$AL107="No",'BMP P Tracking Table'!$U107*VLOOKUP('BMP P Tracking Table'!$Q107,'Loading Rates'!$B$1:$L$24,4,FALSE)+IF('BMP P Tracking Table'!$V107="By HSG",'BMP P Tracking Table'!$W107*VLOOKUP('BMP P Tracking Table'!$Q107,'Loading Rates'!$B$1:$L$24,6,FALSE)+'BMP P Tracking Table'!$X107*VLOOKUP('BMP P Tracking Table'!$Q107,'Loading Rates'!$B$1:$L$24,7,FALSE)+'BMP P Tracking Table'!$Y107*VLOOKUP('BMP P Tracking Table'!$Q107,'Loading Rates'!$B$1:$L$24,8,FALSE)+'BMP P Tracking Table'!$Z107*VLOOKUP('BMP P Tracking Table'!$Q107,'Loading Rates'!$B$1:$L$24,9,FALSE),'BMP P Tracking Table'!$AA107*VLOOKUP('BMP P Tracking Table'!$Q107,'Loading Rates'!$B$1:$L$24,10,FALSE)),'BMP P Tracking Table'!$AO107*VLOOKUP('BMP P Tracking Table'!$Q107,'Loading Rates'!$B$1:$L$24,4,FALSE)+IF('BMP P Tracking Table'!$AP107="By HSG",'BMP P Tracking Table'!$AQ107*VLOOKUP('BMP P Tracking Table'!$Q107,'Loading Rates'!$B$1:$L$24,6,FALSE)+'BMP P Tracking Table'!$AR107*VLOOKUP('BMP P Tracking Table'!$Q107,'Loading Rates'!$B$1:$L$24,7,FALSE)+'BMP P Tracking Table'!$AS107*VLOOKUP('BMP P Tracking Table'!$Q107,'Loading Rates'!$B$1:$L$24,8,FALSE)+'BMP P Tracking Table'!$AT107*VLOOKUP('BMP P Tracking Table'!$Q107,'Loading Rates'!$B$1:$L$24,9,FALSE),'BMP P Tracking Table'!$AU107*VLOOKUP('BMP P Tracking Table'!$Q107,'Loading Rates'!$B$1:$L$24,10,FALSE))),"")</f>
        <v/>
      </c>
      <c r="AZ107" s="101" t="str">
        <f>IFERROR(IF('BMP P Tracking Table'!$AL107="Yes",MIN(2,IF('BMP P Tracking Table'!$AP107="Total Pervious",(-(3630*'BMP P Tracking Table'!$AO107+20.691*'BMP P Tracking Table'!$AU107)+SQRT((3630*'BMP P Tracking Table'!$AO107+20.691*'BMP P Tracking Table'!$AU107)^2-(4*(996.798*'BMP P Tracking Table'!$AU107)*-'BMP P Tracking Table'!$AW107)))/(2*(996.798*'BMP P Tracking Table'!$AU107)),IF(SUM('BMP P Tracking Table'!$AQ107:$AT107)=0,'BMP P Tracking Table'!$AU107/(-3630*'BMP P Tracking Table'!$AO107),(-(3630*'BMP P Tracking Table'!$AO107+20.691*'BMP P Tracking Table'!$AT107-216.711*'BMP P Tracking Table'!$AS107-83.853*'BMP P Tracking Table'!$AR107-42.834*'BMP P Tracking Table'!$AQ107)+SQRT((3630*'BMP P Tracking Table'!$AO107+20.691*'BMP P Tracking Table'!$AT107-216.711*'BMP P Tracking Table'!$AS107-83.853*'BMP P Tracking Table'!$AR107-42.834*'BMP P Tracking Table'!$AQ107)^2-(4*(149.919*'BMP P Tracking Table'!$AQ107+236.676*'BMP P Tracking Table'!$AR107+726*'BMP P Tracking Table'!$AS107+996.798*'BMP P Tracking Table'!$AT107)*-'BMP P Tracking Table'!$AW107)))/(2*(149.919*'BMP P Tracking Table'!$AQ107+236.676*'BMP P Tracking Table'!$AR107+726*'BMP P Tracking Table'!$AS107+996.798*'BMP P Tracking Table'!$AT107))))),MIN(2,IF('BMP P Tracking Table'!$AP107="Total Pervious",(-(3630*'BMP P Tracking Table'!$U107+20.691*'BMP P Tracking Table'!$AA107)+SQRT((3630*'BMP P Tracking Table'!$U107+20.691*'BMP P Tracking Table'!$AA107)^2-(4*(996.798*'BMP P Tracking Table'!$AA107)*-'BMP P Tracking Table'!$AW107)))/(2*(996.798*'BMP P Tracking Table'!$AA107)),IF(SUM('BMP P Tracking Table'!$W107:$Z107)=0,'BMP P Tracking Table'!$AW107/(-3630*'BMP P Tracking Table'!$U107),(-(3630*'BMP P Tracking Table'!$U107+20.691*'BMP P Tracking Table'!$Z107-216.711*'BMP P Tracking Table'!$Y107-83.853*'BMP P Tracking Table'!$X107-42.834*'BMP P Tracking Table'!$W107)+SQRT((3630*'BMP P Tracking Table'!$U107+20.691*'BMP P Tracking Table'!$Z107-216.711*'BMP P Tracking Table'!$Y107-83.853*'BMP P Tracking Table'!$X107-42.834*'BMP P Tracking Table'!$W107)^2-(4*(149.919*'BMP P Tracking Table'!$W107+236.676*'BMP P Tracking Table'!$X107+726*'BMP P Tracking Table'!$Y107+996.798*'BMP P Tracking Table'!$Z107)*-'BMP P Tracking Table'!$AW107)))/(2*(149.919*'BMP P Tracking Table'!$W107+236.676*'BMP P Tracking Table'!$X107+726*'BMP P Tracking Table'!$Y107+996.798*'BMP P Tracking Table'!$Z107)))))),"")</f>
        <v/>
      </c>
      <c r="BA107" s="101" t="str">
        <f>IFERROR((VLOOKUP(CONCATENATE('BMP P Tracking Table'!$AV107," ",'BMP P Tracking Table'!$AX107),'Performance Curves'!$C$1:$L$45,MATCH('BMP P Tracking Table'!$AZ107,'Performance Curves'!$E$1:$L$1,1)+2,FALSE)-VLOOKUP(CONCATENATE('BMP P Tracking Table'!$AV107," ",'BMP P Tracking Table'!$AX107),'Performance Curves'!$C$1:$L$45,MATCH('BMP P Tracking Table'!$AZ107,'Performance Curves'!$E$1:$L$1,1)+1,FALSE)),"")</f>
        <v/>
      </c>
      <c r="BB107" s="101" t="str">
        <f>IFERROR(('BMP P Tracking Table'!$AZ107-INDEX('Performance Curves'!$E$1:$L$1,1,MATCH('BMP P Tracking Table'!$AZ107,'Performance Curves'!$E$1:$L$1,1)))/(INDEX('Performance Curves'!$E$1:$L$1,1,MATCH('BMP P Tracking Table'!$AZ107,'Performance Curves'!$E$1:$L$1,1)+1)-INDEX('Performance Curves'!$E$1:$L$1,1,MATCH('BMP P Tracking Table'!$AZ107,'Performance Curves'!$E$1:$L$1,1))),"")</f>
        <v/>
      </c>
      <c r="BC107" s="102" t="str">
        <f>IFERROR(IF('BMP P Tracking Table'!$AZ107=2,VLOOKUP(CONCATENATE('BMP P Tracking Table'!$AV107," ",'BMP P Tracking Table'!$AX107),'Performance Curves'!$C$1:$L$44,MATCH('BMP P Tracking Table'!$AZ107,'Performance Curves'!$E$1:$L$1,1)+1,FALSE),'BMP P Tracking Table'!$BA107*'BMP P Tracking Table'!$BB107+VLOOKUP(CONCATENATE('BMP P Tracking Table'!$AV107," ",'BMP P Tracking Table'!$AX107),'Performance Curves'!$C$1:$L$44,MATCH('BMP P Tracking Table'!$AZ107,'Performance Curves'!$E$1:$L$1,1)+1,FALSE)),"")</f>
        <v/>
      </c>
      <c r="BD107" s="101" t="str">
        <f>IFERROR('BMP P Tracking Table'!$BC107*'BMP P Tracking Table'!$AY107,"")</f>
        <v/>
      </c>
      <c r="BE107" s="96"/>
      <c r="BF107" s="37">
        <f t="shared" si="15"/>
        <v>0</v>
      </c>
    </row>
    <row r="108" spans="1:58" x14ac:dyDescent="0.3">
      <c r="A108" s="169"/>
      <c r="B108" s="169"/>
      <c r="C108" s="169"/>
      <c r="D108" s="169"/>
      <c r="E108" s="170"/>
      <c r="F108" s="170"/>
      <c r="G108" s="169"/>
      <c r="H108" s="169"/>
      <c r="I108" s="169"/>
      <c r="J108" s="171"/>
      <c r="K108" s="169"/>
      <c r="L108" s="169"/>
      <c r="M108" s="169"/>
      <c r="N108" s="169"/>
      <c r="O108" s="169"/>
      <c r="P108" s="169"/>
      <c r="Q108" s="169" t="str">
        <f>IFERROR(VLOOKUP('BMP P Tracking Table'!$P108,Dropdowns!$C$2:$E$15,3,FALSE),"")</f>
        <v/>
      </c>
      <c r="R108" s="169" t="str">
        <f>IFERROR(VLOOKUP('BMP P Tracking Table'!$Q108,Dropdowns!$P$3:$Q$23,2,FALSE),"")</f>
        <v/>
      </c>
      <c r="S108" s="169"/>
      <c r="T108" s="169"/>
      <c r="U108" s="169"/>
      <c r="V108" s="169"/>
      <c r="W108" s="169"/>
      <c r="X108" s="169"/>
      <c r="Y108" s="169"/>
      <c r="Z108" s="169"/>
      <c r="AA108" s="169"/>
      <c r="AB108" s="174"/>
      <c r="AC108" s="169"/>
      <c r="AD108" s="175" t="str">
        <f>IFERROR('BMP P Tracking Table'!$U108*VLOOKUP('BMP P Tracking Table'!$Q108,'Loading Rates'!$B$1:$L$24,4,FALSE)+IF('BMP P Tracking Table'!$V108="By HSG",'BMP P Tracking Table'!$W108*VLOOKUP('BMP P Tracking Table'!$Q108,'Loading Rates'!$B$1:$L$24,6,FALSE)+'BMP P Tracking Table'!$X108*VLOOKUP('BMP P Tracking Table'!$Q108,'Loading Rates'!$B$1:$L$24,7,FALSE)+'BMP P Tracking Table'!$Y108*VLOOKUP('BMP P Tracking Table'!$Q108,'Loading Rates'!$B$1:$L$24,8,FALSE)+'BMP P Tracking Table'!$Z108*VLOOKUP('BMP P Tracking Table'!$Q108,'Loading Rates'!$B$1:$L$24,9,FALSE),'BMP P Tracking Table'!$AA108*VLOOKUP('BMP P Tracking Table'!$Q108,'Loading Rates'!$B$1:$L$24,10,FALSE)),"")</f>
        <v/>
      </c>
      <c r="AE108" s="175" t="str">
        <f>IFERROR(MIN(2,IF('BMP P Tracking Table'!$V108="Total Pervious",(-(3630*'BMP P Tracking Table'!$U108+20.691*'BMP P Tracking Table'!$AA108)+SQRT((3630*'BMP P Tracking Table'!$U108+20.691*'BMP P Tracking Table'!$AA108)^2-(4*(996.798*'BMP P Tracking Table'!$AA108)*-'BMP P Tracking Table'!$AB108)))/(2*(996.798*'BMP P Tracking Table'!$AA108)),IF(SUM('BMP P Tracking Table'!$W108:$Z108)=0,'BMP P Tracking Table'!$AB108/(-3630*'BMP P Tracking Table'!$U108),(-(3630*'BMP P Tracking Table'!$U108+20.691*'BMP P Tracking Table'!$Z108-216.711*'BMP P Tracking Table'!$Y108-83.853*'BMP P Tracking Table'!$X108-42.834*'BMP P Tracking Table'!$W108)+SQRT((3630*'BMP P Tracking Table'!$U108+20.691*'BMP P Tracking Table'!$Z108-216.711*'BMP P Tracking Table'!$Y108-83.853*'BMP P Tracking Table'!$X108-42.834*'BMP P Tracking Table'!$W108)^2-(4*(149.919*'BMP P Tracking Table'!$W108+236.676*'BMP P Tracking Table'!$X108+726*'BMP P Tracking Table'!$Y108+996.798*'BMP P Tracking Table'!$Z108)*-'BMP P Tracking Table'!$AB108)))/(2*(149.919*'BMP P Tracking Table'!$W108+236.676*'BMP P Tracking Table'!$X108+726*'BMP P Tracking Table'!$Y108+996.798*'BMP P Tracking Table'!$Z108))))),"")</f>
        <v/>
      </c>
      <c r="AF108" s="175" t="str">
        <f>IFERROR((VLOOKUP(CONCATENATE('BMP P Tracking Table'!$T108," ",'BMP P Tracking Table'!$AC108),'Performance Curves'!$C$1:$L$45,MATCH('BMP P Tracking Table'!$AE108,'Performance Curves'!$E$1:$L$1,1)+2,FALSE)-VLOOKUP(CONCATENATE('BMP P Tracking Table'!$T108," ",'BMP P Tracking Table'!$AC108),'Performance Curves'!$C$1:$L$45,MATCH('BMP P Tracking Table'!$AE108,'Performance Curves'!$E$1:$L$1,1)+1,FALSE)),"")</f>
        <v/>
      </c>
      <c r="AG108" s="175" t="str">
        <f>IFERROR(('BMP P Tracking Table'!$AE108-INDEX('Performance Curves'!$E$1:$L$1,1,MATCH('BMP P Tracking Table'!$AE108,'Performance Curves'!$E$1:$L$1,1)))/(INDEX('Performance Curves'!$E$1:$L$1,1,MATCH('BMP P Tracking Table'!$AE108,'Performance Curves'!$E$1:$L$1,1)+1)-INDEX('Performance Curves'!$E$1:$L$1,1,MATCH('BMP P Tracking Table'!$AE108,'Performance Curves'!$E$1:$L$1,1))),"")</f>
        <v/>
      </c>
      <c r="AH108" s="176" t="str">
        <f>IFERROR(IF('BMP P Tracking Table'!$AE108=2,VLOOKUP(CONCATENATE('BMP P Tracking Table'!$T108," ",'BMP P Tracking Table'!$AC108),'Performance Curves'!$C$1:$L$45,MATCH('BMP P Tracking Table'!$AE108,'Performance Curves'!$E$1:$L$1,1)+1,FALSE),'BMP P Tracking Table'!$AF108*'BMP P Tracking Table'!$AG108+VLOOKUP(CONCATENATE('BMP P Tracking Table'!$T108," ",'BMP P Tracking Table'!$AC108),'Performance Curves'!$C$1:$L$45,MATCH('BMP P Tracking Table'!$AE108,'Performance Curves'!$E$1:$L$1,1)+1,FALSE)),"")</f>
        <v/>
      </c>
      <c r="AI108" s="175" t="str">
        <f>IFERROR('BMP P Tracking Table'!$AH108*'BMP P Tracking Table'!$AD108,"")</f>
        <v/>
      </c>
      <c r="AJ108" s="169"/>
      <c r="AK108" s="173"/>
      <c r="AL108" s="173"/>
      <c r="AM108" s="177"/>
      <c r="AN108" s="178" t="str">
        <f t="shared" si="14"/>
        <v/>
      </c>
      <c r="AO108" s="96"/>
      <c r="AP108" s="96"/>
      <c r="AQ108" s="96"/>
      <c r="AR108" s="96"/>
      <c r="AS108" s="96"/>
      <c r="AT108" s="96"/>
      <c r="AU108" s="96"/>
      <c r="AV108" s="64"/>
      <c r="AW108" s="97"/>
      <c r="AX108" s="97"/>
      <c r="AY108" s="101" t="str">
        <f>IF('BMP P Tracking Table'!$AK108="Yes",IF('BMP P Tracking Table'!$AL108="No",'BMP P Tracking Table'!$U108*VLOOKUP('BMP P Tracking Table'!$Q108,'Loading Rates'!$B$1:$L$24,4,FALSE)+IF('BMP P Tracking Table'!$V108="By HSG",'BMP P Tracking Table'!$W108*VLOOKUP('BMP P Tracking Table'!$Q108,'Loading Rates'!$B$1:$L$24,6,FALSE)+'BMP P Tracking Table'!$X108*VLOOKUP('BMP P Tracking Table'!$Q108,'Loading Rates'!$B$1:$L$24,7,FALSE)+'BMP P Tracking Table'!$Y108*VLOOKUP('BMP P Tracking Table'!$Q108,'Loading Rates'!$B$1:$L$24,8,FALSE)+'BMP P Tracking Table'!$Z108*VLOOKUP('BMP P Tracking Table'!$Q108,'Loading Rates'!$B$1:$L$24,9,FALSE),'BMP P Tracking Table'!$AA108*VLOOKUP('BMP P Tracking Table'!$Q108,'Loading Rates'!$B$1:$L$24,10,FALSE)),'BMP P Tracking Table'!$AO108*VLOOKUP('BMP P Tracking Table'!$Q108,'Loading Rates'!$B$1:$L$24,4,FALSE)+IF('BMP P Tracking Table'!$AP108="By HSG",'BMP P Tracking Table'!$AQ108*VLOOKUP('BMP P Tracking Table'!$Q108,'Loading Rates'!$B$1:$L$24,6,FALSE)+'BMP P Tracking Table'!$AR108*VLOOKUP('BMP P Tracking Table'!$Q108,'Loading Rates'!$B$1:$L$24,7,FALSE)+'BMP P Tracking Table'!$AS108*VLOOKUP('BMP P Tracking Table'!$Q108,'Loading Rates'!$B$1:$L$24,8,FALSE)+'BMP P Tracking Table'!$AT108*VLOOKUP('BMP P Tracking Table'!$Q108,'Loading Rates'!$B$1:$L$24,9,FALSE),'BMP P Tracking Table'!$AU108*VLOOKUP('BMP P Tracking Table'!$Q108,'Loading Rates'!$B$1:$L$24,10,FALSE))),"")</f>
        <v/>
      </c>
      <c r="AZ108" s="101" t="str">
        <f>IFERROR(IF('BMP P Tracking Table'!$AL108="Yes",MIN(2,IF('BMP P Tracking Table'!$AP108="Total Pervious",(-(3630*'BMP P Tracking Table'!$AO108+20.691*'BMP P Tracking Table'!$AU108)+SQRT((3630*'BMP P Tracking Table'!$AO108+20.691*'BMP P Tracking Table'!$AU108)^2-(4*(996.798*'BMP P Tracking Table'!$AU108)*-'BMP P Tracking Table'!$AW108)))/(2*(996.798*'BMP P Tracking Table'!$AU108)),IF(SUM('BMP P Tracking Table'!$AQ108:$AT108)=0,'BMP P Tracking Table'!$AU108/(-3630*'BMP P Tracking Table'!$AO108),(-(3630*'BMP P Tracking Table'!$AO108+20.691*'BMP P Tracking Table'!$AT108-216.711*'BMP P Tracking Table'!$AS108-83.853*'BMP P Tracking Table'!$AR108-42.834*'BMP P Tracking Table'!$AQ108)+SQRT((3630*'BMP P Tracking Table'!$AO108+20.691*'BMP P Tracking Table'!$AT108-216.711*'BMP P Tracking Table'!$AS108-83.853*'BMP P Tracking Table'!$AR108-42.834*'BMP P Tracking Table'!$AQ108)^2-(4*(149.919*'BMP P Tracking Table'!$AQ108+236.676*'BMP P Tracking Table'!$AR108+726*'BMP P Tracking Table'!$AS108+996.798*'BMP P Tracking Table'!$AT108)*-'BMP P Tracking Table'!$AW108)))/(2*(149.919*'BMP P Tracking Table'!$AQ108+236.676*'BMP P Tracking Table'!$AR108+726*'BMP P Tracking Table'!$AS108+996.798*'BMP P Tracking Table'!$AT108))))),MIN(2,IF('BMP P Tracking Table'!$AP108="Total Pervious",(-(3630*'BMP P Tracking Table'!$U108+20.691*'BMP P Tracking Table'!$AA108)+SQRT((3630*'BMP P Tracking Table'!$U108+20.691*'BMP P Tracking Table'!$AA108)^2-(4*(996.798*'BMP P Tracking Table'!$AA108)*-'BMP P Tracking Table'!$AW108)))/(2*(996.798*'BMP P Tracking Table'!$AA108)),IF(SUM('BMP P Tracking Table'!$W108:$Z108)=0,'BMP P Tracking Table'!$AW108/(-3630*'BMP P Tracking Table'!$U108),(-(3630*'BMP P Tracking Table'!$U108+20.691*'BMP P Tracking Table'!$Z108-216.711*'BMP P Tracking Table'!$Y108-83.853*'BMP P Tracking Table'!$X108-42.834*'BMP P Tracking Table'!$W108)+SQRT((3630*'BMP P Tracking Table'!$U108+20.691*'BMP P Tracking Table'!$Z108-216.711*'BMP P Tracking Table'!$Y108-83.853*'BMP P Tracking Table'!$X108-42.834*'BMP P Tracking Table'!$W108)^2-(4*(149.919*'BMP P Tracking Table'!$W108+236.676*'BMP P Tracking Table'!$X108+726*'BMP P Tracking Table'!$Y108+996.798*'BMP P Tracking Table'!$Z108)*-'BMP P Tracking Table'!$AW108)))/(2*(149.919*'BMP P Tracking Table'!$W108+236.676*'BMP P Tracking Table'!$X108+726*'BMP P Tracking Table'!$Y108+996.798*'BMP P Tracking Table'!$Z108)))))),"")</f>
        <v/>
      </c>
      <c r="BA108" s="101" t="str">
        <f>IFERROR((VLOOKUP(CONCATENATE('BMP P Tracking Table'!$AV108," ",'BMP P Tracking Table'!$AX108),'Performance Curves'!$C$1:$L$45,MATCH('BMP P Tracking Table'!$AZ108,'Performance Curves'!$E$1:$L$1,1)+2,FALSE)-VLOOKUP(CONCATENATE('BMP P Tracking Table'!$AV108," ",'BMP P Tracking Table'!$AX108),'Performance Curves'!$C$1:$L$45,MATCH('BMP P Tracking Table'!$AZ108,'Performance Curves'!$E$1:$L$1,1)+1,FALSE)),"")</f>
        <v/>
      </c>
      <c r="BB108" s="101" t="str">
        <f>IFERROR(('BMP P Tracking Table'!$AZ108-INDEX('Performance Curves'!$E$1:$L$1,1,MATCH('BMP P Tracking Table'!$AZ108,'Performance Curves'!$E$1:$L$1,1)))/(INDEX('Performance Curves'!$E$1:$L$1,1,MATCH('BMP P Tracking Table'!$AZ108,'Performance Curves'!$E$1:$L$1,1)+1)-INDEX('Performance Curves'!$E$1:$L$1,1,MATCH('BMP P Tracking Table'!$AZ108,'Performance Curves'!$E$1:$L$1,1))),"")</f>
        <v/>
      </c>
      <c r="BC108" s="102" t="str">
        <f>IFERROR(IF('BMP P Tracking Table'!$AZ108=2,VLOOKUP(CONCATENATE('BMP P Tracking Table'!$AV108," ",'BMP P Tracking Table'!$AX108),'Performance Curves'!$C$1:$L$44,MATCH('BMP P Tracking Table'!$AZ108,'Performance Curves'!$E$1:$L$1,1)+1,FALSE),'BMP P Tracking Table'!$BA108*'BMP P Tracking Table'!$BB108+VLOOKUP(CONCATENATE('BMP P Tracking Table'!$AV108," ",'BMP P Tracking Table'!$AX108),'Performance Curves'!$C$1:$L$44,MATCH('BMP P Tracking Table'!$AZ108,'Performance Curves'!$E$1:$L$1,1)+1,FALSE)),"")</f>
        <v/>
      </c>
      <c r="BD108" s="101" t="str">
        <f>IFERROR('BMP P Tracking Table'!$BC108*'BMP P Tracking Table'!$AY108,"")</f>
        <v/>
      </c>
      <c r="BE108" s="96"/>
      <c r="BF108" s="37">
        <f t="shared" si="15"/>
        <v>0</v>
      </c>
    </row>
    <row r="109" spans="1:58" x14ac:dyDescent="0.3">
      <c r="A109" s="169"/>
      <c r="B109" s="169"/>
      <c r="C109" s="169"/>
      <c r="D109" s="169"/>
      <c r="E109" s="170"/>
      <c r="F109" s="170"/>
      <c r="G109" s="169"/>
      <c r="H109" s="169"/>
      <c r="I109" s="169"/>
      <c r="J109" s="171"/>
      <c r="K109" s="169"/>
      <c r="L109" s="169"/>
      <c r="M109" s="169"/>
      <c r="N109" s="169"/>
      <c r="O109" s="169"/>
      <c r="P109" s="169"/>
      <c r="Q109" s="169" t="str">
        <f>IFERROR(VLOOKUP('BMP P Tracking Table'!$P109,Dropdowns!$C$2:$E$15,3,FALSE),"")</f>
        <v/>
      </c>
      <c r="R109" s="169" t="str">
        <f>IFERROR(VLOOKUP('BMP P Tracking Table'!$Q109,Dropdowns!$P$3:$Q$23,2,FALSE),"")</f>
        <v/>
      </c>
      <c r="S109" s="169"/>
      <c r="T109" s="169"/>
      <c r="U109" s="169"/>
      <c r="V109" s="169"/>
      <c r="W109" s="169"/>
      <c r="X109" s="169"/>
      <c r="Y109" s="169"/>
      <c r="Z109" s="169"/>
      <c r="AA109" s="169"/>
      <c r="AB109" s="174"/>
      <c r="AC109" s="169"/>
      <c r="AD109" s="175" t="str">
        <f>IFERROR('BMP P Tracking Table'!$U109*VLOOKUP('BMP P Tracking Table'!$Q109,'Loading Rates'!$B$1:$L$24,4,FALSE)+IF('BMP P Tracking Table'!$V109="By HSG",'BMP P Tracking Table'!$W109*VLOOKUP('BMP P Tracking Table'!$Q109,'Loading Rates'!$B$1:$L$24,6,FALSE)+'BMP P Tracking Table'!$X109*VLOOKUP('BMP P Tracking Table'!$Q109,'Loading Rates'!$B$1:$L$24,7,FALSE)+'BMP P Tracking Table'!$Y109*VLOOKUP('BMP P Tracking Table'!$Q109,'Loading Rates'!$B$1:$L$24,8,FALSE)+'BMP P Tracking Table'!$Z109*VLOOKUP('BMP P Tracking Table'!$Q109,'Loading Rates'!$B$1:$L$24,9,FALSE),'BMP P Tracking Table'!$AA109*VLOOKUP('BMP P Tracking Table'!$Q109,'Loading Rates'!$B$1:$L$24,10,FALSE)),"")</f>
        <v/>
      </c>
      <c r="AE109" s="175" t="str">
        <f>IFERROR(MIN(2,IF('BMP P Tracking Table'!$V109="Total Pervious",(-(3630*'BMP P Tracking Table'!$U109+20.691*'BMP P Tracking Table'!$AA109)+SQRT((3630*'BMP P Tracking Table'!$U109+20.691*'BMP P Tracking Table'!$AA109)^2-(4*(996.798*'BMP P Tracking Table'!$AA109)*-'BMP P Tracking Table'!$AB109)))/(2*(996.798*'BMP P Tracking Table'!$AA109)),IF(SUM('BMP P Tracking Table'!$W109:$Z109)=0,'BMP P Tracking Table'!$AB109/(-3630*'BMP P Tracking Table'!$U109),(-(3630*'BMP P Tracking Table'!$U109+20.691*'BMP P Tracking Table'!$Z109-216.711*'BMP P Tracking Table'!$Y109-83.853*'BMP P Tracking Table'!$X109-42.834*'BMP P Tracking Table'!$W109)+SQRT((3630*'BMP P Tracking Table'!$U109+20.691*'BMP P Tracking Table'!$Z109-216.711*'BMP P Tracking Table'!$Y109-83.853*'BMP P Tracking Table'!$X109-42.834*'BMP P Tracking Table'!$W109)^2-(4*(149.919*'BMP P Tracking Table'!$W109+236.676*'BMP P Tracking Table'!$X109+726*'BMP P Tracking Table'!$Y109+996.798*'BMP P Tracking Table'!$Z109)*-'BMP P Tracking Table'!$AB109)))/(2*(149.919*'BMP P Tracking Table'!$W109+236.676*'BMP P Tracking Table'!$X109+726*'BMP P Tracking Table'!$Y109+996.798*'BMP P Tracking Table'!$Z109))))),"")</f>
        <v/>
      </c>
      <c r="AF109" s="175" t="str">
        <f>IFERROR((VLOOKUP(CONCATENATE('BMP P Tracking Table'!$T109," ",'BMP P Tracking Table'!$AC109),'Performance Curves'!$C$1:$L$45,MATCH('BMP P Tracking Table'!$AE109,'Performance Curves'!$E$1:$L$1,1)+2,FALSE)-VLOOKUP(CONCATENATE('BMP P Tracking Table'!$T109," ",'BMP P Tracking Table'!$AC109),'Performance Curves'!$C$1:$L$45,MATCH('BMP P Tracking Table'!$AE109,'Performance Curves'!$E$1:$L$1,1)+1,FALSE)),"")</f>
        <v/>
      </c>
      <c r="AG109" s="175" t="str">
        <f>IFERROR(('BMP P Tracking Table'!$AE109-INDEX('Performance Curves'!$E$1:$L$1,1,MATCH('BMP P Tracking Table'!$AE109,'Performance Curves'!$E$1:$L$1,1)))/(INDEX('Performance Curves'!$E$1:$L$1,1,MATCH('BMP P Tracking Table'!$AE109,'Performance Curves'!$E$1:$L$1,1)+1)-INDEX('Performance Curves'!$E$1:$L$1,1,MATCH('BMP P Tracking Table'!$AE109,'Performance Curves'!$E$1:$L$1,1))),"")</f>
        <v/>
      </c>
      <c r="AH109" s="176" t="str">
        <f>IFERROR(IF('BMP P Tracking Table'!$AE109=2,VLOOKUP(CONCATENATE('BMP P Tracking Table'!$T109," ",'BMP P Tracking Table'!$AC109),'Performance Curves'!$C$1:$L$45,MATCH('BMP P Tracking Table'!$AE109,'Performance Curves'!$E$1:$L$1,1)+1,FALSE),'BMP P Tracking Table'!$AF109*'BMP P Tracking Table'!$AG109+VLOOKUP(CONCATENATE('BMP P Tracking Table'!$T109," ",'BMP P Tracking Table'!$AC109),'Performance Curves'!$C$1:$L$45,MATCH('BMP P Tracking Table'!$AE109,'Performance Curves'!$E$1:$L$1,1)+1,FALSE)),"")</f>
        <v/>
      </c>
      <c r="AI109" s="175" t="str">
        <f>IFERROR('BMP P Tracking Table'!$AH109*'BMP P Tracking Table'!$AD109,"")</f>
        <v/>
      </c>
      <c r="AJ109" s="169"/>
      <c r="AK109" s="173"/>
      <c r="AL109" s="173"/>
      <c r="AM109" s="177"/>
      <c r="AN109" s="178" t="str">
        <f t="shared" si="14"/>
        <v/>
      </c>
      <c r="AO109" s="96"/>
      <c r="AP109" s="96"/>
      <c r="AQ109" s="96"/>
      <c r="AR109" s="96"/>
      <c r="AS109" s="96"/>
      <c r="AT109" s="96"/>
      <c r="AU109" s="96"/>
      <c r="AV109" s="64"/>
      <c r="AW109" s="97"/>
      <c r="AX109" s="97"/>
      <c r="AY109" s="101" t="str">
        <f>IF('BMP P Tracking Table'!$AK109="Yes",IF('BMP P Tracking Table'!$AL109="No",'BMP P Tracking Table'!$U109*VLOOKUP('BMP P Tracking Table'!$Q109,'Loading Rates'!$B$1:$L$24,4,FALSE)+IF('BMP P Tracking Table'!$V109="By HSG",'BMP P Tracking Table'!$W109*VLOOKUP('BMP P Tracking Table'!$Q109,'Loading Rates'!$B$1:$L$24,6,FALSE)+'BMP P Tracking Table'!$X109*VLOOKUP('BMP P Tracking Table'!$Q109,'Loading Rates'!$B$1:$L$24,7,FALSE)+'BMP P Tracking Table'!$Y109*VLOOKUP('BMP P Tracking Table'!$Q109,'Loading Rates'!$B$1:$L$24,8,FALSE)+'BMP P Tracking Table'!$Z109*VLOOKUP('BMP P Tracking Table'!$Q109,'Loading Rates'!$B$1:$L$24,9,FALSE),'BMP P Tracking Table'!$AA109*VLOOKUP('BMP P Tracking Table'!$Q109,'Loading Rates'!$B$1:$L$24,10,FALSE)),'BMP P Tracking Table'!$AO109*VLOOKUP('BMP P Tracking Table'!$Q109,'Loading Rates'!$B$1:$L$24,4,FALSE)+IF('BMP P Tracking Table'!$AP109="By HSG",'BMP P Tracking Table'!$AQ109*VLOOKUP('BMP P Tracking Table'!$Q109,'Loading Rates'!$B$1:$L$24,6,FALSE)+'BMP P Tracking Table'!$AR109*VLOOKUP('BMP P Tracking Table'!$Q109,'Loading Rates'!$B$1:$L$24,7,FALSE)+'BMP P Tracking Table'!$AS109*VLOOKUP('BMP P Tracking Table'!$Q109,'Loading Rates'!$B$1:$L$24,8,FALSE)+'BMP P Tracking Table'!$AT109*VLOOKUP('BMP P Tracking Table'!$Q109,'Loading Rates'!$B$1:$L$24,9,FALSE),'BMP P Tracking Table'!$AU109*VLOOKUP('BMP P Tracking Table'!$Q109,'Loading Rates'!$B$1:$L$24,10,FALSE))),"")</f>
        <v/>
      </c>
      <c r="AZ109" s="101" t="str">
        <f>IFERROR(IF('BMP P Tracking Table'!$AL109="Yes",MIN(2,IF('BMP P Tracking Table'!$AP109="Total Pervious",(-(3630*'BMP P Tracking Table'!$AO109+20.691*'BMP P Tracking Table'!$AU109)+SQRT((3630*'BMP P Tracking Table'!$AO109+20.691*'BMP P Tracking Table'!$AU109)^2-(4*(996.798*'BMP P Tracking Table'!$AU109)*-'BMP P Tracking Table'!$AW109)))/(2*(996.798*'BMP P Tracking Table'!$AU109)),IF(SUM('BMP P Tracking Table'!$AQ109:$AT109)=0,'BMP P Tracking Table'!$AU109/(-3630*'BMP P Tracking Table'!$AO109),(-(3630*'BMP P Tracking Table'!$AO109+20.691*'BMP P Tracking Table'!$AT109-216.711*'BMP P Tracking Table'!$AS109-83.853*'BMP P Tracking Table'!$AR109-42.834*'BMP P Tracking Table'!$AQ109)+SQRT((3630*'BMP P Tracking Table'!$AO109+20.691*'BMP P Tracking Table'!$AT109-216.711*'BMP P Tracking Table'!$AS109-83.853*'BMP P Tracking Table'!$AR109-42.834*'BMP P Tracking Table'!$AQ109)^2-(4*(149.919*'BMP P Tracking Table'!$AQ109+236.676*'BMP P Tracking Table'!$AR109+726*'BMP P Tracking Table'!$AS109+996.798*'BMP P Tracking Table'!$AT109)*-'BMP P Tracking Table'!$AW109)))/(2*(149.919*'BMP P Tracking Table'!$AQ109+236.676*'BMP P Tracking Table'!$AR109+726*'BMP P Tracking Table'!$AS109+996.798*'BMP P Tracking Table'!$AT109))))),MIN(2,IF('BMP P Tracking Table'!$AP109="Total Pervious",(-(3630*'BMP P Tracking Table'!$U109+20.691*'BMP P Tracking Table'!$AA109)+SQRT((3630*'BMP P Tracking Table'!$U109+20.691*'BMP P Tracking Table'!$AA109)^2-(4*(996.798*'BMP P Tracking Table'!$AA109)*-'BMP P Tracking Table'!$AW109)))/(2*(996.798*'BMP P Tracking Table'!$AA109)),IF(SUM('BMP P Tracking Table'!$W109:$Z109)=0,'BMP P Tracking Table'!$AW109/(-3630*'BMP P Tracking Table'!$U109),(-(3630*'BMP P Tracking Table'!$U109+20.691*'BMP P Tracking Table'!$Z109-216.711*'BMP P Tracking Table'!$Y109-83.853*'BMP P Tracking Table'!$X109-42.834*'BMP P Tracking Table'!$W109)+SQRT((3630*'BMP P Tracking Table'!$U109+20.691*'BMP P Tracking Table'!$Z109-216.711*'BMP P Tracking Table'!$Y109-83.853*'BMP P Tracking Table'!$X109-42.834*'BMP P Tracking Table'!$W109)^2-(4*(149.919*'BMP P Tracking Table'!$W109+236.676*'BMP P Tracking Table'!$X109+726*'BMP P Tracking Table'!$Y109+996.798*'BMP P Tracking Table'!$Z109)*-'BMP P Tracking Table'!$AW109)))/(2*(149.919*'BMP P Tracking Table'!$W109+236.676*'BMP P Tracking Table'!$X109+726*'BMP P Tracking Table'!$Y109+996.798*'BMP P Tracking Table'!$Z109)))))),"")</f>
        <v/>
      </c>
      <c r="BA109" s="101" t="str">
        <f>IFERROR((VLOOKUP(CONCATENATE('BMP P Tracking Table'!$AV109," ",'BMP P Tracking Table'!$AX109),'Performance Curves'!$C$1:$L$45,MATCH('BMP P Tracking Table'!$AZ109,'Performance Curves'!$E$1:$L$1,1)+2,FALSE)-VLOOKUP(CONCATENATE('BMP P Tracking Table'!$AV109," ",'BMP P Tracking Table'!$AX109),'Performance Curves'!$C$1:$L$45,MATCH('BMP P Tracking Table'!$AZ109,'Performance Curves'!$E$1:$L$1,1)+1,FALSE)),"")</f>
        <v/>
      </c>
      <c r="BB109" s="101" t="str">
        <f>IFERROR(('BMP P Tracking Table'!$AZ109-INDEX('Performance Curves'!$E$1:$L$1,1,MATCH('BMP P Tracking Table'!$AZ109,'Performance Curves'!$E$1:$L$1,1)))/(INDEX('Performance Curves'!$E$1:$L$1,1,MATCH('BMP P Tracking Table'!$AZ109,'Performance Curves'!$E$1:$L$1,1)+1)-INDEX('Performance Curves'!$E$1:$L$1,1,MATCH('BMP P Tracking Table'!$AZ109,'Performance Curves'!$E$1:$L$1,1))),"")</f>
        <v/>
      </c>
      <c r="BC109" s="102" t="str">
        <f>IFERROR(IF('BMP P Tracking Table'!$AZ109=2,VLOOKUP(CONCATENATE('BMP P Tracking Table'!$AV109," ",'BMP P Tracking Table'!$AX109),'Performance Curves'!$C$1:$L$44,MATCH('BMP P Tracking Table'!$AZ109,'Performance Curves'!$E$1:$L$1,1)+1,FALSE),'BMP P Tracking Table'!$BA109*'BMP P Tracking Table'!$BB109+VLOOKUP(CONCATENATE('BMP P Tracking Table'!$AV109," ",'BMP P Tracking Table'!$AX109),'Performance Curves'!$C$1:$L$44,MATCH('BMP P Tracking Table'!$AZ109,'Performance Curves'!$E$1:$L$1,1)+1,FALSE)),"")</f>
        <v/>
      </c>
      <c r="BD109" s="101" t="str">
        <f>IFERROR('BMP P Tracking Table'!$BC109*'BMP P Tracking Table'!$AY109,"")</f>
        <v/>
      </c>
      <c r="BE109" s="96"/>
      <c r="BF109" s="37">
        <f t="shared" si="15"/>
        <v>0</v>
      </c>
    </row>
    <row r="110" spans="1:58" x14ac:dyDescent="0.3">
      <c r="A110" s="169"/>
      <c r="B110" s="169"/>
      <c r="C110" s="169"/>
      <c r="D110" s="169"/>
      <c r="E110" s="170"/>
      <c r="F110" s="170"/>
      <c r="G110" s="169"/>
      <c r="H110" s="169"/>
      <c r="I110" s="169"/>
      <c r="J110" s="171"/>
      <c r="K110" s="169"/>
      <c r="L110" s="169"/>
      <c r="M110" s="169"/>
      <c r="N110" s="169"/>
      <c r="O110" s="169"/>
      <c r="P110" s="169"/>
      <c r="Q110" s="169" t="str">
        <f>IFERROR(VLOOKUP('BMP P Tracking Table'!$P110,Dropdowns!$C$2:$E$15,3,FALSE),"")</f>
        <v/>
      </c>
      <c r="R110" s="169" t="str">
        <f>IFERROR(VLOOKUP('BMP P Tracking Table'!$Q110,Dropdowns!$P$3:$Q$23,2,FALSE),"")</f>
        <v/>
      </c>
      <c r="S110" s="169"/>
      <c r="T110" s="169"/>
      <c r="U110" s="169"/>
      <c r="V110" s="169"/>
      <c r="W110" s="169"/>
      <c r="X110" s="169"/>
      <c r="Y110" s="169"/>
      <c r="Z110" s="169"/>
      <c r="AA110" s="169"/>
      <c r="AB110" s="174"/>
      <c r="AC110" s="169"/>
      <c r="AD110" s="175" t="str">
        <f>IFERROR('BMP P Tracking Table'!$U110*VLOOKUP('BMP P Tracking Table'!$Q110,'Loading Rates'!$B$1:$L$24,4,FALSE)+IF('BMP P Tracking Table'!$V110="By HSG",'BMP P Tracking Table'!$W110*VLOOKUP('BMP P Tracking Table'!$Q110,'Loading Rates'!$B$1:$L$24,6,FALSE)+'BMP P Tracking Table'!$X110*VLOOKUP('BMP P Tracking Table'!$Q110,'Loading Rates'!$B$1:$L$24,7,FALSE)+'BMP P Tracking Table'!$Y110*VLOOKUP('BMP P Tracking Table'!$Q110,'Loading Rates'!$B$1:$L$24,8,FALSE)+'BMP P Tracking Table'!$Z110*VLOOKUP('BMP P Tracking Table'!$Q110,'Loading Rates'!$B$1:$L$24,9,FALSE),'BMP P Tracking Table'!$AA110*VLOOKUP('BMP P Tracking Table'!$Q110,'Loading Rates'!$B$1:$L$24,10,FALSE)),"")</f>
        <v/>
      </c>
      <c r="AE110" s="175" t="str">
        <f>IFERROR(MIN(2,IF('BMP P Tracking Table'!$V110="Total Pervious",(-(3630*'BMP P Tracking Table'!$U110+20.691*'BMP P Tracking Table'!$AA110)+SQRT((3630*'BMP P Tracking Table'!$U110+20.691*'BMP P Tracking Table'!$AA110)^2-(4*(996.798*'BMP P Tracking Table'!$AA110)*-'BMP P Tracking Table'!$AB110)))/(2*(996.798*'BMP P Tracking Table'!$AA110)),IF(SUM('BMP P Tracking Table'!$W110:$Z110)=0,'BMP P Tracking Table'!$AB110/(-3630*'BMP P Tracking Table'!$U110),(-(3630*'BMP P Tracking Table'!$U110+20.691*'BMP P Tracking Table'!$Z110-216.711*'BMP P Tracking Table'!$Y110-83.853*'BMP P Tracking Table'!$X110-42.834*'BMP P Tracking Table'!$W110)+SQRT((3630*'BMP P Tracking Table'!$U110+20.691*'BMP P Tracking Table'!$Z110-216.711*'BMP P Tracking Table'!$Y110-83.853*'BMP P Tracking Table'!$X110-42.834*'BMP P Tracking Table'!$W110)^2-(4*(149.919*'BMP P Tracking Table'!$W110+236.676*'BMP P Tracking Table'!$X110+726*'BMP P Tracking Table'!$Y110+996.798*'BMP P Tracking Table'!$Z110)*-'BMP P Tracking Table'!$AB110)))/(2*(149.919*'BMP P Tracking Table'!$W110+236.676*'BMP P Tracking Table'!$X110+726*'BMP P Tracking Table'!$Y110+996.798*'BMP P Tracking Table'!$Z110))))),"")</f>
        <v/>
      </c>
      <c r="AF110" s="175" t="str">
        <f>IFERROR((VLOOKUP(CONCATENATE('BMP P Tracking Table'!$T110," ",'BMP P Tracking Table'!$AC110),'Performance Curves'!$C$1:$L$45,MATCH('BMP P Tracking Table'!$AE110,'Performance Curves'!$E$1:$L$1,1)+2,FALSE)-VLOOKUP(CONCATENATE('BMP P Tracking Table'!$T110," ",'BMP P Tracking Table'!$AC110),'Performance Curves'!$C$1:$L$45,MATCH('BMP P Tracking Table'!$AE110,'Performance Curves'!$E$1:$L$1,1)+1,FALSE)),"")</f>
        <v/>
      </c>
      <c r="AG110" s="175" t="str">
        <f>IFERROR(('BMP P Tracking Table'!$AE110-INDEX('Performance Curves'!$E$1:$L$1,1,MATCH('BMP P Tracking Table'!$AE110,'Performance Curves'!$E$1:$L$1,1)))/(INDEX('Performance Curves'!$E$1:$L$1,1,MATCH('BMP P Tracking Table'!$AE110,'Performance Curves'!$E$1:$L$1,1)+1)-INDEX('Performance Curves'!$E$1:$L$1,1,MATCH('BMP P Tracking Table'!$AE110,'Performance Curves'!$E$1:$L$1,1))),"")</f>
        <v/>
      </c>
      <c r="AH110" s="176" t="str">
        <f>IFERROR(IF('BMP P Tracking Table'!$AE110=2,VLOOKUP(CONCATENATE('BMP P Tracking Table'!$T110," ",'BMP P Tracking Table'!$AC110),'Performance Curves'!$C$1:$L$45,MATCH('BMP P Tracking Table'!$AE110,'Performance Curves'!$E$1:$L$1,1)+1,FALSE),'BMP P Tracking Table'!$AF110*'BMP P Tracking Table'!$AG110+VLOOKUP(CONCATENATE('BMP P Tracking Table'!$T110," ",'BMP P Tracking Table'!$AC110),'Performance Curves'!$C$1:$L$45,MATCH('BMP P Tracking Table'!$AE110,'Performance Curves'!$E$1:$L$1,1)+1,FALSE)),"")</f>
        <v/>
      </c>
      <c r="AI110" s="175" t="str">
        <f>IFERROR('BMP P Tracking Table'!$AH110*'BMP P Tracking Table'!$AD110,"")</f>
        <v/>
      </c>
      <c r="AJ110" s="169"/>
      <c r="AK110" s="173"/>
      <c r="AL110" s="173"/>
      <c r="AM110" s="177"/>
      <c r="AN110" s="178" t="str">
        <f t="shared" si="14"/>
        <v/>
      </c>
      <c r="AO110" s="96"/>
      <c r="AP110" s="96"/>
      <c r="AQ110" s="96"/>
      <c r="AR110" s="96"/>
      <c r="AS110" s="96"/>
      <c r="AT110" s="96"/>
      <c r="AU110" s="96"/>
      <c r="AV110" s="64"/>
      <c r="AW110" s="97"/>
      <c r="AX110" s="97"/>
      <c r="AY110" s="101" t="str">
        <f>IF('BMP P Tracking Table'!$AK110="Yes",IF('BMP P Tracking Table'!$AL110="No",'BMP P Tracking Table'!$U110*VLOOKUP('BMP P Tracking Table'!$Q110,'Loading Rates'!$B$1:$L$24,4,FALSE)+IF('BMP P Tracking Table'!$V110="By HSG",'BMP P Tracking Table'!$W110*VLOOKUP('BMP P Tracking Table'!$Q110,'Loading Rates'!$B$1:$L$24,6,FALSE)+'BMP P Tracking Table'!$X110*VLOOKUP('BMP P Tracking Table'!$Q110,'Loading Rates'!$B$1:$L$24,7,FALSE)+'BMP P Tracking Table'!$Y110*VLOOKUP('BMP P Tracking Table'!$Q110,'Loading Rates'!$B$1:$L$24,8,FALSE)+'BMP P Tracking Table'!$Z110*VLOOKUP('BMP P Tracking Table'!$Q110,'Loading Rates'!$B$1:$L$24,9,FALSE),'BMP P Tracking Table'!$AA110*VLOOKUP('BMP P Tracking Table'!$Q110,'Loading Rates'!$B$1:$L$24,10,FALSE)),'BMP P Tracking Table'!$AO110*VLOOKUP('BMP P Tracking Table'!$Q110,'Loading Rates'!$B$1:$L$24,4,FALSE)+IF('BMP P Tracking Table'!$AP110="By HSG",'BMP P Tracking Table'!$AQ110*VLOOKUP('BMP P Tracking Table'!$Q110,'Loading Rates'!$B$1:$L$24,6,FALSE)+'BMP P Tracking Table'!$AR110*VLOOKUP('BMP P Tracking Table'!$Q110,'Loading Rates'!$B$1:$L$24,7,FALSE)+'BMP P Tracking Table'!$AS110*VLOOKUP('BMP P Tracking Table'!$Q110,'Loading Rates'!$B$1:$L$24,8,FALSE)+'BMP P Tracking Table'!$AT110*VLOOKUP('BMP P Tracking Table'!$Q110,'Loading Rates'!$B$1:$L$24,9,FALSE),'BMP P Tracking Table'!$AU110*VLOOKUP('BMP P Tracking Table'!$Q110,'Loading Rates'!$B$1:$L$24,10,FALSE))),"")</f>
        <v/>
      </c>
      <c r="AZ110" s="101" t="str">
        <f>IFERROR(IF('BMP P Tracking Table'!$AL110="Yes",MIN(2,IF('BMP P Tracking Table'!$AP110="Total Pervious",(-(3630*'BMP P Tracking Table'!$AO110+20.691*'BMP P Tracking Table'!$AU110)+SQRT((3630*'BMP P Tracking Table'!$AO110+20.691*'BMP P Tracking Table'!$AU110)^2-(4*(996.798*'BMP P Tracking Table'!$AU110)*-'BMP P Tracking Table'!$AW110)))/(2*(996.798*'BMP P Tracking Table'!$AU110)),IF(SUM('BMP P Tracking Table'!$AQ110:$AT110)=0,'BMP P Tracking Table'!$AU110/(-3630*'BMP P Tracking Table'!$AO110),(-(3630*'BMP P Tracking Table'!$AO110+20.691*'BMP P Tracking Table'!$AT110-216.711*'BMP P Tracking Table'!$AS110-83.853*'BMP P Tracking Table'!$AR110-42.834*'BMP P Tracking Table'!$AQ110)+SQRT((3630*'BMP P Tracking Table'!$AO110+20.691*'BMP P Tracking Table'!$AT110-216.711*'BMP P Tracking Table'!$AS110-83.853*'BMP P Tracking Table'!$AR110-42.834*'BMP P Tracking Table'!$AQ110)^2-(4*(149.919*'BMP P Tracking Table'!$AQ110+236.676*'BMP P Tracking Table'!$AR110+726*'BMP P Tracking Table'!$AS110+996.798*'BMP P Tracking Table'!$AT110)*-'BMP P Tracking Table'!$AW110)))/(2*(149.919*'BMP P Tracking Table'!$AQ110+236.676*'BMP P Tracking Table'!$AR110+726*'BMP P Tracking Table'!$AS110+996.798*'BMP P Tracking Table'!$AT110))))),MIN(2,IF('BMP P Tracking Table'!$AP110="Total Pervious",(-(3630*'BMP P Tracking Table'!$U110+20.691*'BMP P Tracking Table'!$AA110)+SQRT((3630*'BMP P Tracking Table'!$U110+20.691*'BMP P Tracking Table'!$AA110)^2-(4*(996.798*'BMP P Tracking Table'!$AA110)*-'BMP P Tracking Table'!$AW110)))/(2*(996.798*'BMP P Tracking Table'!$AA110)),IF(SUM('BMP P Tracking Table'!$W110:$Z110)=0,'BMP P Tracking Table'!$AW110/(-3630*'BMP P Tracking Table'!$U110),(-(3630*'BMP P Tracking Table'!$U110+20.691*'BMP P Tracking Table'!$Z110-216.711*'BMP P Tracking Table'!$Y110-83.853*'BMP P Tracking Table'!$X110-42.834*'BMP P Tracking Table'!$W110)+SQRT((3630*'BMP P Tracking Table'!$U110+20.691*'BMP P Tracking Table'!$Z110-216.711*'BMP P Tracking Table'!$Y110-83.853*'BMP P Tracking Table'!$X110-42.834*'BMP P Tracking Table'!$W110)^2-(4*(149.919*'BMP P Tracking Table'!$W110+236.676*'BMP P Tracking Table'!$X110+726*'BMP P Tracking Table'!$Y110+996.798*'BMP P Tracking Table'!$Z110)*-'BMP P Tracking Table'!$AW110)))/(2*(149.919*'BMP P Tracking Table'!$W110+236.676*'BMP P Tracking Table'!$X110+726*'BMP P Tracking Table'!$Y110+996.798*'BMP P Tracking Table'!$Z110)))))),"")</f>
        <v/>
      </c>
      <c r="BA110" s="101" t="str">
        <f>IFERROR((VLOOKUP(CONCATENATE('BMP P Tracking Table'!$AV110," ",'BMP P Tracking Table'!$AX110),'Performance Curves'!$C$1:$L$45,MATCH('BMP P Tracking Table'!$AZ110,'Performance Curves'!$E$1:$L$1,1)+2,FALSE)-VLOOKUP(CONCATENATE('BMP P Tracking Table'!$AV110," ",'BMP P Tracking Table'!$AX110),'Performance Curves'!$C$1:$L$45,MATCH('BMP P Tracking Table'!$AZ110,'Performance Curves'!$E$1:$L$1,1)+1,FALSE)),"")</f>
        <v/>
      </c>
      <c r="BB110" s="101" t="str">
        <f>IFERROR(('BMP P Tracking Table'!$AZ110-INDEX('Performance Curves'!$E$1:$L$1,1,MATCH('BMP P Tracking Table'!$AZ110,'Performance Curves'!$E$1:$L$1,1)))/(INDEX('Performance Curves'!$E$1:$L$1,1,MATCH('BMP P Tracking Table'!$AZ110,'Performance Curves'!$E$1:$L$1,1)+1)-INDEX('Performance Curves'!$E$1:$L$1,1,MATCH('BMP P Tracking Table'!$AZ110,'Performance Curves'!$E$1:$L$1,1))),"")</f>
        <v/>
      </c>
      <c r="BC110" s="102" t="str">
        <f>IFERROR(IF('BMP P Tracking Table'!$AZ110=2,VLOOKUP(CONCATENATE('BMP P Tracking Table'!$AV110," ",'BMP P Tracking Table'!$AX110),'Performance Curves'!$C$1:$L$44,MATCH('BMP P Tracking Table'!$AZ110,'Performance Curves'!$E$1:$L$1,1)+1,FALSE),'BMP P Tracking Table'!$BA110*'BMP P Tracking Table'!$BB110+VLOOKUP(CONCATENATE('BMP P Tracking Table'!$AV110," ",'BMP P Tracking Table'!$AX110),'Performance Curves'!$C$1:$L$44,MATCH('BMP P Tracking Table'!$AZ110,'Performance Curves'!$E$1:$L$1,1)+1,FALSE)),"")</f>
        <v/>
      </c>
      <c r="BD110" s="101" t="str">
        <f>IFERROR('BMP P Tracking Table'!$BC110*'BMP P Tracking Table'!$AY110,"")</f>
        <v/>
      </c>
      <c r="BE110" s="96"/>
      <c r="BF110" s="37">
        <f t="shared" si="15"/>
        <v>0</v>
      </c>
    </row>
    <row r="111" spans="1:58" x14ac:dyDescent="0.3">
      <c r="A111" s="169"/>
      <c r="B111" s="169"/>
      <c r="C111" s="169"/>
      <c r="D111" s="169"/>
      <c r="E111" s="170"/>
      <c r="F111" s="170"/>
      <c r="G111" s="169"/>
      <c r="H111" s="169"/>
      <c r="I111" s="169"/>
      <c r="J111" s="171"/>
      <c r="K111" s="169"/>
      <c r="L111" s="169"/>
      <c r="M111" s="169"/>
      <c r="N111" s="169"/>
      <c r="O111" s="169"/>
      <c r="P111" s="169"/>
      <c r="Q111" s="169" t="str">
        <f>IFERROR(VLOOKUP('BMP P Tracking Table'!$P111,Dropdowns!$C$2:$E$15,3,FALSE),"")</f>
        <v/>
      </c>
      <c r="R111" s="169" t="str">
        <f>IFERROR(VLOOKUP('BMP P Tracking Table'!$Q111,Dropdowns!$P$3:$Q$23,2,FALSE),"")</f>
        <v/>
      </c>
      <c r="S111" s="169"/>
      <c r="T111" s="169"/>
      <c r="U111" s="169"/>
      <c r="V111" s="169"/>
      <c r="W111" s="169"/>
      <c r="X111" s="169"/>
      <c r="Y111" s="169"/>
      <c r="Z111" s="169"/>
      <c r="AA111" s="169"/>
      <c r="AB111" s="174"/>
      <c r="AC111" s="169"/>
      <c r="AD111" s="175" t="str">
        <f>IFERROR('BMP P Tracking Table'!$U111*VLOOKUP('BMP P Tracking Table'!$Q111,'Loading Rates'!$B$1:$L$24,4,FALSE)+IF('BMP P Tracking Table'!$V111="By HSG",'BMP P Tracking Table'!$W111*VLOOKUP('BMP P Tracking Table'!$Q111,'Loading Rates'!$B$1:$L$24,6,FALSE)+'BMP P Tracking Table'!$X111*VLOOKUP('BMP P Tracking Table'!$Q111,'Loading Rates'!$B$1:$L$24,7,FALSE)+'BMP P Tracking Table'!$Y111*VLOOKUP('BMP P Tracking Table'!$Q111,'Loading Rates'!$B$1:$L$24,8,FALSE)+'BMP P Tracking Table'!$Z111*VLOOKUP('BMP P Tracking Table'!$Q111,'Loading Rates'!$B$1:$L$24,9,FALSE),'BMP P Tracking Table'!$AA111*VLOOKUP('BMP P Tracking Table'!$Q111,'Loading Rates'!$B$1:$L$24,10,FALSE)),"")</f>
        <v/>
      </c>
      <c r="AE111" s="175" t="str">
        <f>IFERROR(MIN(2,IF('BMP P Tracking Table'!$V111="Total Pervious",(-(3630*'BMP P Tracking Table'!$U111+20.691*'BMP P Tracking Table'!$AA111)+SQRT((3630*'BMP P Tracking Table'!$U111+20.691*'BMP P Tracking Table'!$AA111)^2-(4*(996.798*'BMP P Tracking Table'!$AA111)*-'BMP P Tracking Table'!$AB111)))/(2*(996.798*'BMP P Tracking Table'!$AA111)),IF(SUM('BMP P Tracking Table'!$W111:$Z111)=0,'BMP P Tracking Table'!$AB111/(-3630*'BMP P Tracking Table'!$U111),(-(3630*'BMP P Tracking Table'!$U111+20.691*'BMP P Tracking Table'!$Z111-216.711*'BMP P Tracking Table'!$Y111-83.853*'BMP P Tracking Table'!$X111-42.834*'BMP P Tracking Table'!$W111)+SQRT((3630*'BMP P Tracking Table'!$U111+20.691*'BMP P Tracking Table'!$Z111-216.711*'BMP P Tracking Table'!$Y111-83.853*'BMP P Tracking Table'!$X111-42.834*'BMP P Tracking Table'!$W111)^2-(4*(149.919*'BMP P Tracking Table'!$W111+236.676*'BMP P Tracking Table'!$X111+726*'BMP P Tracking Table'!$Y111+996.798*'BMP P Tracking Table'!$Z111)*-'BMP P Tracking Table'!$AB111)))/(2*(149.919*'BMP P Tracking Table'!$W111+236.676*'BMP P Tracking Table'!$X111+726*'BMP P Tracking Table'!$Y111+996.798*'BMP P Tracking Table'!$Z111))))),"")</f>
        <v/>
      </c>
      <c r="AF111" s="175" t="str">
        <f>IFERROR((VLOOKUP(CONCATENATE('BMP P Tracking Table'!$T111," ",'BMP P Tracking Table'!$AC111),'Performance Curves'!$C$1:$L$45,MATCH('BMP P Tracking Table'!$AE111,'Performance Curves'!$E$1:$L$1,1)+2,FALSE)-VLOOKUP(CONCATENATE('BMP P Tracking Table'!$T111," ",'BMP P Tracking Table'!$AC111),'Performance Curves'!$C$1:$L$45,MATCH('BMP P Tracking Table'!$AE111,'Performance Curves'!$E$1:$L$1,1)+1,FALSE)),"")</f>
        <v/>
      </c>
      <c r="AG111" s="175" t="str">
        <f>IFERROR(('BMP P Tracking Table'!$AE111-INDEX('Performance Curves'!$E$1:$L$1,1,MATCH('BMP P Tracking Table'!$AE111,'Performance Curves'!$E$1:$L$1,1)))/(INDEX('Performance Curves'!$E$1:$L$1,1,MATCH('BMP P Tracking Table'!$AE111,'Performance Curves'!$E$1:$L$1,1)+1)-INDEX('Performance Curves'!$E$1:$L$1,1,MATCH('BMP P Tracking Table'!$AE111,'Performance Curves'!$E$1:$L$1,1))),"")</f>
        <v/>
      </c>
      <c r="AH111" s="176" t="str">
        <f>IFERROR(IF('BMP P Tracking Table'!$AE111=2,VLOOKUP(CONCATENATE('BMP P Tracking Table'!$T111," ",'BMP P Tracking Table'!$AC111),'Performance Curves'!$C$1:$L$45,MATCH('BMP P Tracking Table'!$AE111,'Performance Curves'!$E$1:$L$1,1)+1,FALSE),'BMP P Tracking Table'!$AF111*'BMP P Tracking Table'!$AG111+VLOOKUP(CONCATENATE('BMP P Tracking Table'!$T111," ",'BMP P Tracking Table'!$AC111),'Performance Curves'!$C$1:$L$45,MATCH('BMP P Tracking Table'!$AE111,'Performance Curves'!$E$1:$L$1,1)+1,FALSE)),"")</f>
        <v/>
      </c>
      <c r="AI111" s="175" t="str">
        <f>IFERROR('BMP P Tracking Table'!$AH111*'BMP P Tracking Table'!$AD111,"")</f>
        <v/>
      </c>
      <c r="AJ111" s="169"/>
      <c r="AK111" s="173"/>
      <c r="AL111" s="173"/>
      <c r="AM111" s="177"/>
      <c r="AN111" s="178" t="str">
        <f t="shared" si="14"/>
        <v/>
      </c>
      <c r="AO111" s="96"/>
      <c r="AP111" s="96"/>
      <c r="AQ111" s="96"/>
      <c r="AR111" s="96"/>
      <c r="AS111" s="96"/>
      <c r="AT111" s="96"/>
      <c r="AU111" s="96"/>
      <c r="AV111" s="64"/>
      <c r="AW111" s="97"/>
      <c r="AX111" s="97"/>
      <c r="AY111" s="101" t="str">
        <f>IF('BMP P Tracking Table'!$AK111="Yes",IF('BMP P Tracking Table'!$AL111="No",'BMP P Tracking Table'!$U111*VLOOKUP('BMP P Tracking Table'!$Q111,'Loading Rates'!$B$1:$L$24,4,FALSE)+IF('BMP P Tracking Table'!$V111="By HSG",'BMP P Tracking Table'!$W111*VLOOKUP('BMP P Tracking Table'!$Q111,'Loading Rates'!$B$1:$L$24,6,FALSE)+'BMP P Tracking Table'!$X111*VLOOKUP('BMP P Tracking Table'!$Q111,'Loading Rates'!$B$1:$L$24,7,FALSE)+'BMP P Tracking Table'!$Y111*VLOOKUP('BMP P Tracking Table'!$Q111,'Loading Rates'!$B$1:$L$24,8,FALSE)+'BMP P Tracking Table'!$Z111*VLOOKUP('BMP P Tracking Table'!$Q111,'Loading Rates'!$B$1:$L$24,9,FALSE),'BMP P Tracking Table'!$AA111*VLOOKUP('BMP P Tracking Table'!$Q111,'Loading Rates'!$B$1:$L$24,10,FALSE)),'BMP P Tracking Table'!$AO111*VLOOKUP('BMP P Tracking Table'!$Q111,'Loading Rates'!$B$1:$L$24,4,FALSE)+IF('BMP P Tracking Table'!$AP111="By HSG",'BMP P Tracking Table'!$AQ111*VLOOKUP('BMP P Tracking Table'!$Q111,'Loading Rates'!$B$1:$L$24,6,FALSE)+'BMP P Tracking Table'!$AR111*VLOOKUP('BMP P Tracking Table'!$Q111,'Loading Rates'!$B$1:$L$24,7,FALSE)+'BMP P Tracking Table'!$AS111*VLOOKUP('BMP P Tracking Table'!$Q111,'Loading Rates'!$B$1:$L$24,8,FALSE)+'BMP P Tracking Table'!$AT111*VLOOKUP('BMP P Tracking Table'!$Q111,'Loading Rates'!$B$1:$L$24,9,FALSE),'BMP P Tracking Table'!$AU111*VLOOKUP('BMP P Tracking Table'!$Q111,'Loading Rates'!$B$1:$L$24,10,FALSE))),"")</f>
        <v/>
      </c>
      <c r="AZ111" s="101" t="str">
        <f>IFERROR(IF('BMP P Tracking Table'!$AL111="Yes",MIN(2,IF('BMP P Tracking Table'!$AP111="Total Pervious",(-(3630*'BMP P Tracking Table'!$AO111+20.691*'BMP P Tracking Table'!$AU111)+SQRT((3630*'BMP P Tracking Table'!$AO111+20.691*'BMP P Tracking Table'!$AU111)^2-(4*(996.798*'BMP P Tracking Table'!$AU111)*-'BMP P Tracking Table'!$AW111)))/(2*(996.798*'BMP P Tracking Table'!$AU111)),IF(SUM('BMP P Tracking Table'!$AQ111:$AT111)=0,'BMP P Tracking Table'!$AU111/(-3630*'BMP P Tracking Table'!$AO111),(-(3630*'BMP P Tracking Table'!$AO111+20.691*'BMP P Tracking Table'!$AT111-216.711*'BMP P Tracking Table'!$AS111-83.853*'BMP P Tracking Table'!$AR111-42.834*'BMP P Tracking Table'!$AQ111)+SQRT((3630*'BMP P Tracking Table'!$AO111+20.691*'BMP P Tracking Table'!$AT111-216.711*'BMP P Tracking Table'!$AS111-83.853*'BMP P Tracking Table'!$AR111-42.834*'BMP P Tracking Table'!$AQ111)^2-(4*(149.919*'BMP P Tracking Table'!$AQ111+236.676*'BMP P Tracking Table'!$AR111+726*'BMP P Tracking Table'!$AS111+996.798*'BMP P Tracking Table'!$AT111)*-'BMP P Tracking Table'!$AW111)))/(2*(149.919*'BMP P Tracking Table'!$AQ111+236.676*'BMP P Tracking Table'!$AR111+726*'BMP P Tracking Table'!$AS111+996.798*'BMP P Tracking Table'!$AT111))))),MIN(2,IF('BMP P Tracking Table'!$AP111="Total Pervious",(-(3630*'BMP P Tracking Table'!$U111+20.691*'BMP P Tracking Table'!$AA111)+SQRT((3630*'BMP P Tracking Table'!$U111+20.691*'BMP P Tracking Table'!$AA111)^2-(4*(996.798*'BMP P Tracking Table'!$AA111)*-'BMP P Tracking Table'!$AW111)))/(2*(996.798*'BMP P Tracking Table'!$AA111)),IF(SUM('BMP P Tracking Table'!$W111:$Z111)=0,'BMP P Tracking Table'!$AW111/(-3630*'BMP P Tracking Table'!$U111),(-(3630*'BMP P Tracking Table'!$U111+20.691*'BMP P Tracking Table'!$Z111-216.711*'BMP P Tracking Table'!$Y111-83.853*'BMP P Tracking Table'!$X111-42.834*'BMP P Tracking Table'!$W111)+SQRT((3630*'BMP P Tracking Table'!$U111+20.691*'BMP P Tracking Table'!$Z111-216.711*'BMP P Tracking Table'!$Y111-83.853*'BMP P Tracking Table'!$X111-42.834*'BMP P Tracking Table'!$W111)^2-(4*(149.919*'BMP P Tracking Table'!$W111+236.676*'BMP P Tracking Table'!$X111+726*'BMP P Tracking Table'!$Y111+996.798*'BMP P Tracking Table'!$Z111)*-'BMP P Tracking Table'!$AW111)))/(2*(149.919*'BMP P Tracking Table'!$W111+236.676*'BMP P Tracking Table'!$X111+726*'BMP P Tracking Table'!$Y111+996.798*'BMP P Tracking Table'!$Z111)))))),"")</f>
        <v/>
      </c>
      <c r="BA111" s="101" t="str">
        <f>IFERROR((VLOOKUP(CONCATENATE('BMP P Tracking Table'!$AV111," ",'BMP P Tracking Table'!$AX111),'Performance Curves'!$C$1:$L$45,MATCH('BMP P Tracking Table'!$AZ111,'Performance Curves'!$E$1:$L$1,1)+2,FALSE)-VLOOKUP(CONCATENATE('BMP P Tracking Table'!$AV111," ",'BMP P Tracking Table'!$AX111),'Performance Curves'!$C$1:$L$45,MATCH('BMP P Tracking Table'!$AZ111,'Performance Curves'!$E$1:$L$1,1)+1,FALSE)),"")</f>
        <v/>
      </c>
      <c r="BB111" s="101" t="str">
        <f>IFERROR(('BMP P Tracking Table'!$AZ111-INDEX('Performance Curves'!$E$1:$L$1,1,MATCH('BMP P Tracking Table'!$AZ111,'Performance Curves'!$E$1:$L$1,1)))/(INDEX('Performance Curves'!$E$1:$L$1,1,MATCH('BMP P Tracking Table'!$AZ111,'Performance Curves'!$E$1:$L$1,1)+1)-INDEX('Performance Curves'!$E$1:$L$1,1,MATCH('BMP P Tracking Table'!$AZ111,'Performance Curves'!$E$1:$L$1,1))),"")</f>
        <v/>
      </c>
      <c r="BC111" s="102" t="str">
        <f>IFERROR(IF('BMP P Tracking Table'!$AZ111=2,VLOOKUP(CONCATENATE('BMP P Tracking Table'!$AV111," ",'BMP P Tracking Table'!$AX111),'Performance Curves'!$C$1:$L$44,MATCH('BMP P Tracking Table'!$AZ111,'Performance Curves'!$E$1:$L$1,1)+1,FALSE),'BMP P Tracking Table'!$BA111*'BMP P Tracking Table'!$BB111+VLOOKUP(CONCATENATE('BMP P Tracking Table'!$AV111," ",'BMP P Tracking Table'!$AX111),'Performance Curves'!$C$1:$L$44,MATCH('BMP P Tracking Table'!$AZ111,'Performance Curves'!$E$1:$L$1,1)+1,FALSE)),"")</f>
        <v/>
      </c>
      <c r="BD111" s="101" t="str">
        <f>IFERROR('BMP P Tracking Table'!$BC111*'BMP P Tracking Table'!$AY111,"")</f>
        <v/>
      </c>
      <c r="BE111" s="96"/>
      <c r="BF111" s="37">
        <f t="shared" si="15"/>
        <v>0</v>
      </c>
    </row>
    <row r="112" spans="1:58" x14ac:dyDescent="0.3">
      <c r="A112" s="169"/>
      <c r="B112" s="169"/>
      <c r="C112" s="169"/>
      <c r="D112" s="169"/>
      <c r="E112" s="170"/>
      <c r="F112" s="170"/>
      <c r="G112" s="169"/>
      <c r="H112" s="169"/>
      <c r="I112" s="169"/>
      <c r="J112" s="171"/>
      <c r="K112" s="169"/>
      <c r="L112" s="169"/>
      <c r="M112" s="169"/>
      <c r="N112" s="169"/>
      <c r="O112" s="169"/>
      <c r="P112" s="169"/>
      <c r="Q112" s="169" t="str">
        <f>IFERROR(VLOOKUP('BMP P Tracking Table'!$P112,Dropdowns!$C$2:$E$15,3,FALSE),"")</f>
        <v/>
      </c>
      <c r="R112" s="169" t="str">
        <f>IFERROR(VLOOKUP('BMP P Tracking Table'!$Q112,Dropdowns!$P$3:$Q$23,2,FALSE),"")</f>
        <v/>
      </c>
      <c r="S112" s="169"/>
      <c r="T112" s="169"/>
      <c r="U112" s="169"/>
      <c r="V112" s="169"/>
      <c r="W112" s="169"/>
      <c r="X112" s="169"/>
      <c r="Y112" s="169"/>
      <c r="Z112" s="169"/>
      <c r="AA112" s="169"/>
      <c r="AB112" s="174"/>
      <c r="AC112" s="169"/>
      <c r="AD112" s="175" t="str">
        <f>IFERROR('BMP P Tracking Table'!$U112*VLOOKUP('BMP P Tracking Table'!$Q112,'Loading Rates'!$B$1:$L$24,4,FALSE)+IF('BMP P Tracking Table'!$V112="By HSG",'BMP P Tracking Table'!$W112*VLOOKUP('BMP P Tracking Table'!$Q112,'Loading Rates'!$B$1:$L$24,6,FALSE)+'BMP P Tracking Table'!$X112*VLOOKUP('BMP P Tracking Table'!$Q112,'Loading Rates'!$B$1:$L$24,7,FALSE)+'BMP P Tracking Table'!$Y112*VLOOKUP('BMP P Tracking Table'!$Q112,'Loading Rates'!$B$1:$L$24,8,FALSE)+'BMP P Tracking Table'!$Z112*VLOOKUP('BMP P Tracking Table'!$Q112,'Loading Rates'!$B$1:$L$24,9,FALSE),'BMP P Tracking Table'!$AA112*VLOOKUP('BMP P Tracking Table'!$Q112,'Loading Rates'!$B$1:$L$24,10,FALSE)),"")</f>
        <v/>
      </c>
      <c r="AE112" s="175" t="str">
        <f>IFERROR(MIN(2,IF('BMP P Tracking Table'!$V112="Total Pervious",(-(3630*'BMP P Tracking Table'!$U112+20.691*'BMP P Tracking Table'!$AA112)+SQRT((3630*'BMP P Tracking Table'!$U112+20.691*'BMP P Tracking Table'!$AA112)^2-(4*(996.798*'BMP P Tracking Table'!$AA112)*-'BMP P Tracking Table'!$AB112)))/(2*(996.798*'BMP P Tracking Table'!$AA112)),IF(SUM('BMP P Tracking Table'!$W112:$Z112)=0,'BMP P Tracking Table'!$AB112/(-3630*'BMP P Tracking Table'!$U112),(-(3630*'BMP P Tracking Table'!$U112+20.691*'BMP P Tracking Table'!$Z112-216.711*'BMP P Tracking Table'!$Y112-83.853*'BMP P Tracking Table'!$X112-42.834*'BMP P Tracking Table'!$W112)+SQRT((3630*'BMP P Tracking Table'!$U112+20.691*'BMP P Tracking Table'!$Z112-216.711*'BMP P Tracking Table'!$Y112-83.853*'BMP P Tracking Table'!$X112-42.834*'BMP P Tracking Table'!$W112)^2-(4*(149.919*'BMP P Tracking Table'!$W112+236.676*'BMP P Tracking Table'!$X112+726*'BMP P Tracking Table'!$Y112+996.798*'BMP P Tracking Table'!$Z112)*-'BMP P Tracking Table'!$AB112)))/(2*(149.919*'BMP P Tracking Table'!$W112+236.676*'BMP P Tracking Table'!$X112+726*'BMP P Tracking Table'!$Y112+996.798*'BMP P Tracking Table'!$Z112))))),"")</f>
        <v/>
      </c>
      <c r="AF112" s="175" t="str">
        <f>IFERROR((VLOOKUP(CONCATENATE('BMP P Tracking Table'!$T112," ",'BMP P Tracking Table'!$AC112),'Performance Curves'!$C$1:$L$45,MATCH('BMP P Tracking Table'!$AE112,'Performance Curves'!$E$1:$L$1,1)+2,FALSE)-VLOOKUP(CONCATENATE('BMP P Tracking Table'!$T112," ",'BMP P Tracking Table'!$AC112),'Performance Curves'!$C$1:$L$45,MATCH('BMP P Tracking Table'!$AE112,'Performance Curves'!$E$1:$L$1,1)+1,FALSE)),"")</f>
        <v/>
      </c>
      <c r="AG112" s="175" t="str">
        <f>IFERROR(('BMP P Tracking Table'!$AE112-INDEX('Performance Curves'!$E$1:$L$1,1,MATCH('BMP P Tracking Table'!$AE112,'Performance Curves'!$E$1:$L$1,1)))/(INDEX('Performance Curves'!$E$1:$L$1,1,MATCH('BMP P Tracking Table'!$AE112,'Performance Curves'!$E$1:$L$1,1)+1)-INDEX('Performance Curves'!$E$1:$L$1,1,MATCH('BMP P Tracking Table'!$AE112,'Performance Curves'!$E$1:$L$1,1))),"")</f>
        <v/>
      </c>
      <c r="AH112" s="176" t="str">
        <f>IFERROR(IF('BMP P Tracking Table'!$AE112=2,VLOOKUP(CONCATENATE('BMP P Tracking Table'!$T112," ",'BMP P Tracking Table'!$AC112),'Performance Curves'!$C$1:$L$45,MATCH('BMP P Tracking Table'!$AE112,'Performance Curves'!$E$1:$L$1,1)+1,FALSE),'BMP P Tracking Table'!$AF112*'BMP P Tracking Table'!$AG112+VLOOKUP(CONCATENATE('BMP P Tracking Table'!$T112," ",'BMP P Tracking Table'!$AC112),'Performance Curves'!$C$1:$L$45,MATCH('BMP P Tracking Table'!$AE112,'Performance Curves'!$E$1:$L$1,1)+1,FALSE)),"")</f>
        <v/>
      </c>
      <c r="AI112" s="175" t="str">
        <f>IFERROR('BMP P Tracking Table'!$AH112*'BMP P Tracking Table'!$AD112,"")</f>
        <v/>
      </c>
      <c r="AJ112" s="169"/>
      <c r="AK112" s="173"/>
      <c r="AL112" s="173"/>
      <c r="AM112" s="177"/>
      <c r="AN112" s="178" t="str">
        <f t="shared" si="14"/>
        <v/>
      </c>
      <c r="AO112" s="96"/>
      <c r="AP112" s="96"/>
      <c r="AQ112" s="96"/>
      <c r="AR112" s="96"/>
      <c r="AS112" s="96"/>
      <c r="AT112" s="96"/>
      <c r="AU112" s="96"/>
      <c r="AV112" s="64"/>
      <c r="AW112" s="97"/>
      <c r="AX112" s="97"/>
      <c r="AY112" s="101" t="str">
        <f>IF('BMP P Tracking Table'!$AK112="Yes",IF('BMP P Tracking Table'!$AL112="No",'BMP P Tracking Table'!$U112*VLOOKUP('BMP P Tracking Table'!$Q112,'Loading Rates'!$B$1:$L$24,4,FALSE)+IF('BMP P Tracking Table'!$V112="By HSG",'BMP P Tracking Table'!$W112*VLOOKUP('BMP P Tracking Table'!$Q112,'Loading Rates'!$B$1:$L$24,6,FALSE)+'BMP P Tracking Table'!$X112*VLOOKUP('BMP P Tracking Table'!$Q112,'Loading Rates'!$B$1:$L$24,7,FALSE)+'BMP P Tracking Table'!$Y112*VLOOKUP('BMP P Tracking Table'!$Q112,'Loading Rates'!$B$1:$L$24,8,FALSE)+'BMP P Tracking Table'!$Z112*VLOOKUP('BMP P Tracking Table'!$Q112,'Loading Rates'!$B$1:$L$24,9,FALSE),'BMP P Tracking Table'!$AA112*VLOOKUP('BMP P Tracking Table'!$Q112,'Loading Rates'!$B$1:$L$24,10,FALSE)),'BMP P Tracking Table'!$AO112*VLOOKUP('BMP P Tracking Table'!$Q112,'Loading Rates'!$B$1:$L$24,4,FALSE)+IF('BMP P Tracking Table'!$AP112="By HSG",'BMP P Tracking Table'!$AQ112*VLOOKUP('BMP P Tracking Table'!$Q112,'Loading Rates'!$B$1:$L$24,6,FALSE)+'BMP P Tracking Table'!$AR112*VLOOKUP('BMP P Tracking Table'!$Q112,'Loading Rates'!$B$1:$L$24,7,FALSE)+'BMP P Tracking Table'!$AS112*VLOOKUP('BMP P Tracking Table'!$Q112,'Loading Rates'!$B$1:$L$24,8,FALSE)+'BMP P Tracking Table'!$AT112*VLOOKUP('BMP P Tracking Table'!$Q112,'Loading Rates'!$B$1:$L$24,9,FALSE),'BMP P Tracking Table'!$AU112*VLOOKUP('BMP P Tracking Table'!$Q112,'Loading Rates'!$B$1:$L$24,10,FALSE))),"")</f>
        <v/>
      </c>
      <c r="AZ112" s="101" t="str">
        <f>IFERROR(IF('BMP P Tracking Table'!$AL112="Yes",MIN(2,IF('BMP P Tracking Table'!$AP112="Total Pervious",(-(3630*'BMP P Tracking Table'!$AO112+20.691*'BMP P Tracking Table'!$AU112)+SQRT((3630*'BMP P Tracking Table'!$AO112+20.691*'BMP P Tracking Table'!$AU112)^2-(4*(996.798*'BMP P Tracking Table'!$AU112)*-'BMP P Tracking Table'!$AW112)))/(2*(996.798*'BMP P Tracking Table'!$AU112)),IF(SUM('BMP P Tracking Table'!$AQ112:$AT112)=0,'BMP P Tracking Table'!$AU112/(-3630*'BMP P Tracking Table'!$AO112),(-(3630*'BMP P Tracking Table'!$AO112+20.691*'BMP P Tracking Table'!$AT112-216.711*'BMP P Tracking Table'!$AS112-83.853*'BMP P Tracking Table'!$AR112-42.834*'BMP P Tracking Table'!$AQ112)+SQRT((3630*'BMP P Tracking Table'!$AO112+20.691*'BMP P Tracking Table'!$AT112-216.711*'BMP P Tracking Table'!$AS112-83.853*'BMP P Tracking Table'!$AR112-42.834*'BMP P Tracking Table'!$AQ112)^2-(4*(149.919*'BMP P Tracking Table'!$AQ112+236.676*'BMP P Tracking Table'!$AR112+726*'BMP P Tracking Table'!$AS112+996.798*'BMP P Tracking Table'!$AT112)*-'BMP P Tracking Table'!$AW112)))/(2*(149.919*'BMP P Tracking Table'!$AQ112+236.676*'BMP P Tracking Table'!$AR112+726*'BMP P Tracking Table'!$AS112+996.798*'BMP P Tracking Table'!$AT112))))),MIN(2,IF('BMP P Tracking Table'!$AP112="Total Pervious",(-(3630*'BMP P Tracking Table'!$U112+20.691*'BMP P Tracking Table'!$AA112)+SQRT((3630*'BMP P Tracking Table'!$U112+20.691*'BMP P Tracking Table'!$AA112)^2-(4*(996.798*'BMP P Tracking Table'!$AA112)*-'BMP P Tracking Table'!$AW112)))/(2*(996.798*'BMP P Tracking Table'!$AA112)),IF(SUM('BMP P Tracking Table'!$W112:$Z112)=0,'BMP P Tracking Table'!$AW112/(-3630*'BMP P Tracking Table'!$U112),(-(3630*'BMP P Tracking Table'!$U112+20.691*'BMP P Tracking Table'!$Z112-216.711*'BMP P Tracking Table'!$Y112-83.853*'BMP P Tracking Table'!$X112-42.834*'BMP P Tracking Table'!$W112)+SQRT((3630*'BMP P Tracking Table'!$U112+20.691*'BMP P Tracking Table'!$Z112-216.711*'BMP P Tracking Table'!$Y112-83.853*'BMP P Tracking Table'!$X112-42.834*'BMP P Tracking Table'!$W112)^2-(4*(149.919*'BMP P Tracking Table'!$W112+236.676*'BMP P Tracking Table'!$X112+726*'BMP P Tracking Table'!$Y112+996.798*'BMP P Tracking Table'!$Z112)*-'BMP P Tracking Table'!$AW112)))/(2*(149.919*'BMP P Tracking Table'!$W112+236.676*'BMP P Tracking Table'!$X112+726*'BMP P Tracking Table'!$Y112+996.798*'BMP P Tracking Table'!$Z112)))))),"")</f>
        <v/>
      </c>
      <c r="BA112" s="101" t="str">
        <f>IFERROR((VLOOKUP(CONCATENATE('BMP P Tracking Table'!$AV112," ",'BMP P Tracking Table'!$AX112),'Performance Curves'!$C$1:$L$45,MATCH('BMP P Tracking Table'!$AZ112,'Performance Curves'!$E$1:$L$1,1)+2,FALSE)-VLOOKUP(CONCATENATE('BMP P Tracking Table'!$AV112," ",'BMP P Tracking Table'!$AX112),'Performance Curves'!$C$1:$L$45,MATCH('BMP P Tracking Table'!$AZ112,'Performance Curves'!$E$1:$L$1,1)+1,FALSE)),"")</f>
        <v/>
      </c>
      <c r="BB112" s="101" t="str">
        <f>IFERROR(('BMP P Tracking Table'!$AZ112-INDEX('Performance Curves'!$E$1:$L$1,1,MATCH('BMP P Tracking Table'!$AZ112,'Performance Curves'!$E$1:$L$1,1)))/(INDEX('Performance Curves'!$E$1:$L$1,1,MATCH('BMP P Tracking Table'!$AZ112,'Performance Curves'!$E$1:$L$1,1)+1)-INDEX('Performance Curves'!$E$1:$L$1,1,MATCH('BMP P Tracking Table'!$AZ112,'Performance Curves'!$E$1:$L$1,1))),"")</f>
        <v/>
      </c>
      <c r="BC112" s="102" t="str">
        <f>IFERROR(IF('BMP P Tracking Table'!$AZ112=2,VLOOKUP(CONCATENATE('BMP P Tracking Table'!$AV112," ",'BMP P Tracking Table'!$AX112),'Performance Curves'!$C$1:$L$44,MATCH('BMP P Tracking Table'!$AZ112,'Performance Curves'!$E$1:$L$1,1)+1,FALSE),'BMP P Tracking Table'!$BA112*'BMP P Tracking Table'!$BB112+VLOOKUP(CONCATENATE('BMP P Tracking Table'!$AV112," ",'BMP P Tracking Table'!$AX112),'Performance Curves'!$C$1:$L$44,MATCH('BMP P Tracking Table'!$AZ112,'Performance Curves'!$E$1:$L$1,1)+1,FALSE)),"")</f>
        <v/>
      </c>
      <c r="BD112" s="101" t="str">
        <f>IFERROR('BMP P Tracking Table'!$BC112*'BMP P Tracking Table'!$AY112,"")</f>
        <v/>
      </c>
      <c r="BE112" s="96"/>
      <c r="BF112" s="37">
        <f t="shared" si="15"/>
        <v>0</v>
      </c>
    </row>
    <row r="113" spans="1:58" x14ac:dyDescent="0.3">
      <c r="A113" s="169"/>
      <c r="B113" s="169"/>
      <c r="C113" s="169"/>
      <c r="D113" s="169"/>
      <c r="E113" s="170"/>
      <c r="F113" s="170"/>
      <c r="G113" s="169"/>
      <c r="H113" s="169"/>
      <c r="I113" s="169"/>
      <c r="J113" s="171"/>
      <c r="K113" s="169"/>
      <c r="L113" s="169"/>
      <c r="M113" s="169"/>
      <c r="N113" s="169"/>
      <c r="O113" s="169"/>
      <c r="P113" s="169"/>
      <c r="Q113" s="169" t="str">
        <f>IFERROR(VLOOKUP('BMP P Tracking Table'!$P113,Dropdowns!$C$2:$E$15,3,FALSE),"")</f>
        <v/>
      </c>
      <c r="R113" s="169" t="str">
        <f>IFERROR(VLOOKUP('BMP P Tracking Table'!$Q113,Dropdowns!$P$3:$Q$23,2,FALSE),"")</f>
        <v/>
      </c>
      <c r="S113" s="169"/>
      <c r="T113" s="169"/>
      <c r="U113" s="169"/>
      <c r="V113" s="169"/>
      <c r="W113" s="169"/>
      <c r="X113" s="169"/>
      <c r="Y113" s="169"/>
      <c r="Z113" s="169"/>
      <c r="AA113" s="169"/>
      <c r="AB113" s="174"/>
      <c r="AC113" s="169"/>
      <c r="AD113" s="175" t="str">
        <f>IFERROR('BMP P Tracking Table'!$U113*VLOOKUP('BMP P Tracking Table'!$Q113,'Loading Rates'!$B$1:$L$24,4,FALSE)+IF('BMP P Tracking Table'!$V113="By HSG",'BMP P Tracking Table'!$W113*VLOOKUP('BMP P Tracking Table'!$Q113,'Loading Rates'!$B$1:$L$24,6,FALSE)+'BMP P Tracking Table'!$X113*VLOOKUP('BMP P Tracking Table'!$Q113,'Loading Rates'!$B$1:$L$24,7,FALSE)+'BMP P Tracking Table'!$Y113*VLOOKUP('BMP P Tracking Table'!$Q113,'Loading Rates'!$B$1:$L$24,8,FALSE)+'BMP P Tracking Table'!$Z113*VLOOKUP('BMP P Tracking Table'!$Q113,'Loading Rates'!$B$1:$L$24,9,FALSE),'BMP P Tracking Table'!$AA113*VLOOKUP('BMP P Tracking Table'!$Q113,'Loading Rates'!$B$1:$L$24,10,FALSE)),"")</f>
        <v/>
      </c>
      <c r="AE113" s="175" t="str">
        <f>IFERROR(MIN(2,IF('BMP P Tracking Table'!$V113="Total Pervious",(-(3630*'BMP P Tracking Table'!$U113+20.691*'BMP P Tracking Table'!$AA113)+SQRT((3630*'BMP P Tracking Table'!$U113+20.691*'BMP P Tracking Table'!$AA113)^2-(4*(996.798*'BMP P Tracking Table'!$AA113)*-'BMP P Tracking Table'!$AB113)))/(2*(996.798*'BMP P Tracking Table'!$AA113)),IF(SUM('BMP P Tracking Table'!$W113:$Z113)=0,'BMP P Tracking Table'!$AB113/(-3630*'BMP P Tracking Table'!$U113),(-(3630*'BMP P Tracking Table'!$U113+20.691*'BMP P Tracking Table'!$Z113-216.711*'BMP P Tracking Table'!$Y113-83.853*'BMP P Tracking Table'!$X113-42.834*'BMP P Tracking Table'!$W113)+SQRT((3630*'BMP P Tracking Table'!$U113+20.691*'BMP P Tracking Table'!$Z113-216.711*'BMP P Tracking Table'!$Y113-83.853*'BMP P Tracking Table'!$X113-42.834*'BMP P Tracking Table'!$W113)^2-(4*(149.919*'BMP P Tracking Table'!$W113+236.676*'BMP P Tracking Table'!$X113+726*'BMP P Tracking Table'!$Y113+996.798*'BMP P Tracking Table'!$Z113)*-'BMP P Tracking Table'!$AB113)))/(2*(149.919*'BMP P Tracking Table'!$W113+236.676*'BMP P Tracking Table'!$X113+726*'BMP P Tracking Table'!$Y113+996.798*'BMP P Tracking Table'!$Z113))))),"")</f>
        <v/>
      </c>
      <c r="AF113" s="175" t="str">
        <f>IFERROR((VLOOKUP(CONCATENATE('BMP P Tracking Table'!$T113," ",'BMP P Tracking Table'!$AC113),'Performance Curves'!$C$1:$L$45,MATCH('BMP P Tracking Table'!$AE113,'Performance Curves'!$E$1:$L$1,1)+2,FALSE)-VLOOKUP(CONCATENATE('BMP P Tracking Table'!$T113," ",'BMP P Tracking Table'!$AC113),'Performance Curves'!$C$1:$L$45,MATCH('BMP P Tracking Table'!$AE113,'Performance Curves'!$E$1:$L$1,1)+1,FALSE)),"")</f>
        <v/>
      </c>
      <c r="AG113" s="175" t="str">
        <f>IFERROR(('BMP P Tracking Table'!$AE113-INDEX('Performance Curves'!$E$1:$L$1,1,MATCH('BMP P Tracking Table'!$AE113,'Performance Curves'!$E$1:$L$1,1)))/(INDEX('Performance Curves'!$E$1:$L$1,1,MATCH('BMP P Tracking Table'!$AE113,'Performance Curves'!$E$1:$L$1,1)+1)-INDEX('Performance Curves'!$E$1:$L$1,1,MATCH('BMP P Tracking Table'!$AE113,'Performance Curves'!$E$1:$L$1,1))),"")</f>
        <v/>
      </c>
      <c r="AH113" s="176" t="str">
        <f>IFERROR(IF('BMP P Tracking Table'!$AE113=2,VLOOKUP(CONCATENATE('BMP P Tracking Table'!$T113," ",'BMP P Tracking Table'!$AC113),'Performance Curves'!$C$1:$L$45,MATCH('BMP P Tracking Table'!$AE113,'Performance Curves'!$E$1:$L$1,1)+1,FALSE),'BMP P Tracking Table'!$AF113*'BMP P Tracking Table'!$AG113+VLOOKUP(CONCATENATE('BMP P Tracking Table'!$T113," ",'BMP P Tracking Table'!$AC113),'Performance Curves'!$C$1:$L$45,MATCH('BMP P Tracking Table'!$AE113,'Performance Curves'!$E$1:$L$1,1)+1,FALSE)),"")</f>
        <v/>
      </c>
      <c r="AI113" s="175" t="str">
        <f>IFERROR('BMP P Tracking Table'!$AH113*'BMP P Tracking Table'!$AD113,"")</f>
        <v/>
      </c>
      <c r="AJ113" s="169"/>
      <c r="AK113" s="173"/>
      <c r="AL113" s="173"/>
      <c r="AM113" s="177"/>
      <c r="AN113" s="178" t="str">
        <f t="shared" si="14"/>
        <v/>
      </c>
      <c r="AO113" s="96"/>
      <c r="AP113" s="96"/>
      <c r="AQ113" s="96"/>
      <c r="AR113" s="96"/>
      <c r="AS113" s="96"/>
      <c r="AT113" s="96"/>
      <c r="AU113" s="96"/>
      <c r="AV113" s="64"/>
      <c r="AW113" s="97"/>
      <c r="AX113" s="97"/>
      <c r="AY113" s="101" t="str">
        <f>IF('BMP P Tracking Table'!$AK113="Yes",IF('BMP P Tracking Table'!$AL113="No",'BMP P Tracking Table'!$U113*VLOOKUP('BMP P Tracking Table'!$Q113,'Loading Rates'!$B$1:$L$24,4,FALSE)+IF('BMP P Tracking Table'!$V113="By HSG",'BMP P Tracking Table'!$W113*VLOOKUP('BMP P Tracking Table'!$Q113,'Loading Rates'!$B$1:$L$24,6,FALSE)+'BMP P Tracking Table'!$X113*VLOOKUP('BMP P Tracking Table'!$Q113,'Loading Rates'!$B$1:$L$24,7,FALSE)+'BMP P Tracking Table'!$Y113*VLOOKUP('BMP P Tracking Table'!$Q113,'Loading Rates'!$B$1:$L$24,8,FALSE)+'BMP P Tracking Table'!$Z113*VLOOKUP('BMP P Tracking Table'!$Q113,'Loading Rates'!$B$1:$L$24,9,FALSE),'BMP P Tracking Table'!$AA113*VLOOKUP('BMP P Tracking Table'!$Q113,'Loading Rates'!$B$1:$L$24,10,FALSE)),'BMP P Tracking Table'!$AO113*VLOOKUP('BMP P Tracking Table'!$Q113,'Loading Rates'!$B$1:$L$24,4,FALSE)+IF('BMP P Tracking Table'!$AP113="By HSG",'BMP P Tracking Table'!$AQ113*VLOOKUP('BMP P Tracking Table'!$Q113,'Loading Rates'!$B$1:$L$24,6,FALSE)+'BMP P Tracking Table'!$AR113*VLOOKUP('BMP P Tracking Table'!$Q113,'Loading Rates'!$B$1:$L$24,7,FALSE)+'BMP P Tracking Table'!$AS113*VLOOKUP('BMP P Tracking Table'!$Q113,'Loading Rates'!$B$1:$L$24,8,FALSE)+'BMP P Tracking Table'!$AT113*VLOOKUP('BMP P Tracking Table'!$Q113,'Loading Rates'!$B$1:$L$24,9,FALSE),'BMP P Tracking Table'!$AU113*VLOOKUP('BMP P Tracking Table'!$Q113,'Loading Rates'!$B$1:$L$24,10,FALSE))),"")</f>
        <v/>
      </c>
      <c r="AZ113" s="101" t="str">
        <f>IFERROR(IF('BMP P Tracking Table'!$AL113="Yes",MIN(2,IF('BMP P Tracking Table'!$AP113="Total Pervious",(-(3630*'BMP P Tracking Table'!$AO113+20.691*'BMP P Tracking Table'!$AU113)+SQRT((3630*'BMP P Tracking Table'!$AO113+20.691*'BMP P Tracking Table'!$AU113)^2-(4*(996.798*'BMP P Tracking Table'!$AU113)*-'BMP P Tracking Table'!$AW113)))/(2*(996.798*'BMP P Tracking Table'!$AU113)),IF(SUM('BMP P Tracking Table'!$AQ113:$AT113)=0,'BMP P Tracking Table'!$AU113/(-3630*'BMP P Tracking Table'!$AO113),(-(3630*'BMP P Tracking Table'!$AO113+20.691*'BMP P Tracking Table'!$AT113-216.711*'BMP P Tracking Table'!$AS113-83.853*'BMP P Tracking Table'!$AR113-42.834*'BMP P Tracking Table'!$AQ113)+SQRT((3630*'BMP P Tracking Table'!$AO113+20.691*'BMP P Tracking Table'!$AT113-216.711*'BMP P Tracking Table'!$AS113-83.853*'BMP P Tracking Table'!$AR113-42.834*'BMP P Tracking Table'!$AQ113)^2-(4*(149.919*'BMP P Tracking Table'!$AQ113+236.676*'BMP P Tracking Table'!$AR113+726*'BMP P Tracking Table'!$AS113+996.798*'BMP P Tracking Table'!$AT113)*-'BMP P Tracking Table'!$AW113)))/(2*(149.919*'BMP P Tracking Table'!$AQ113+236.676*'BMP P Tracking Table'!$AR113+726*'BMP P Tracking Table'!$AS113+996.798*'BMP P Tracking Table'!$AT113))))),MIN(2,IF('BMP P Tracking Table'!$AP113="Total Pervious",(-(3630*'BMP P Tracking Table'!$U113+20.691*'BMP P Tracking Table'!$AA113)+SQRT((3630*'BMP P Tracking Table'!$U113+20.691*'BMP P Tracking Table'!$AA113)^2-(4*(996.798*'BMP P Tracking Table'!$AA113)*-'BMP P Tracking Table'!$AW113)))/(2*(996.798*'BMP P Tracking Table'!$AA113)),IF(SUM('BMP P Tracking Table'!$W113:$Z113)=0,'BMP P Tracking Table'!$AW113/(-3630*'BMP P Tracking Table'!$U113),(-(3630*'BMP P Tracking Table'!$U113+20.691*'BMP P Tracking Table'!$Z113-216.711*'BMP P Tracking Table'!$Y113-83.853*'BMP P Tracking Table'!$X113-42.834*'BMP P Tracking Table'!$W113)+SQRT((3630*'BMP P Tracking Table'!$U113+20.691*'BMP P Tracking Table'!$Z113-216.711*'BMP P Tracking Table'!$Y113-83.853*'BMP P Tracking Table'!$X113-42.834*'BMP P Tracking Table'!$W113)^2-(4*(149.919*'BMP P Tracking Table'!$W113+236.676*'BMP P Tracking Table'!$X113+726*'BMP P Tracking Table'!$Y113+996.798*'BMP P Tracking Table'!$Z113)*-'BMP P Tracking Table'!$AW113)))/(2*(149.919*'BMP P Tracking Table'!$W113+236.676*'BMP P Tracking Table'!$X113+726*'BMP P Tracking Table'!$Y113+996.798*'BMP P Tracking Table'!$Z113)))))),"")</f>
        <v/>
      </c>
      <c r="BA113" s="101" t="str">
        <f>IFERROR((VLOOKUP(CONCATENATE('BMP P Tracking Table'!$AV113," ",'BMP P Tracking Table'!$AX113),'Performance Curves'!$C$1:$L$45,MATCH('BMP P Tracking Table'!$AZ113,'Performance Curves'!$E$1:$L$1,1)+2,FALSE)-VLOOKUP(CONCATENATE('BMP P Tracking Table'!$AV113," ",'BMP P Tracking Table'!$AX113),'Performance Curves'!$C$1:$L$45,MATCH('BMP P Tracking Table'!$AZ113,'Performance Curves'!$E$1:$L$1,1)+1,FALSE)),"")</f>
        <v/>
      </c>
      <c r="BB113" s="101" t="str">
        <f>IFERROR(('BMP P Tracking Table'!$AZ113-INDEX('Performance Curves'!$E$1:$L$1,1,MATCH('BMP P Tracking Table'!$AZ113,'Performance Curves'!$E$1:$L$1,1)))/(INDEX('Performance Curves'!$E$1:$L$1,1,MATCH('BMP P Tracking Table'!$AZ113,'Performance Curves'!$E$1:$L$1,1)+1)-INDEX('Performance Curves'!$E$1:$L$1,1,MATCH('BMP P Tracking Table'!$AZ113,'Performance Curves'!$E$1:$L$1,1))),"")</f>
        <v/>
      </c>
      <c r="BC113" s="102" t="str">
        <f>IFERROR(IF('BMP P Tracking Table'!$AZ113=2,VLOOKUP(CONCATENATE('BMP P Tracking Table'!$AV113," ",'BMP P Tracking Table'!$AX113),'Performance Curves'!$C$1:$L$44,MATCH('BMP P Tracking Table'!$AZ113,'Performance Curves'!$E$1:$L$1,1)+1,FALSE),'BMP P Tracking Table'!$BA113*'BMP P Tracking Table'!$BB113+VLOOKUP(CONCATENATE('BMP P Tracking Table'!$AV113," ",'BMP P Tracking Table'!$AX113),'Performance Curves'!$C$1:$L$44,MATCH('BMP P Tracking Table'!$AZ113,'Performance Curves'!$E$1:$L$1,1)+1,FALSE)),"")</f>
        <v/>
      </c>
      <c r="BD113" s="101" t="str">
        <f>IFERROR('BMP P Tracking Table'!$BC113*'BMP P Tracking Table'!$AY113,"")</f>
        <v/>
      </c>
      <c r="BE113" s="96"/>
      <c r="BF113" s="37">
        <f t="shared" si="15"/>
        <v>0</v>
      </c>
    </row>
    <row r="114" spans="1:58" x14ac:dyDescent="0.3">
      <c r="A114" s="169"/>
      <c r="B114" s="169"/>
      <c r="C114" s="169"/>
      <c r="D114" s="169"/>
      <c r="E114" s="170"/>
      <c r="F114" s="170"/>
      <c r="G114" s="169"/>
      <c r="H114" s="169"/>
      <c r="I114" s="169"/>
      <c r="J114" s="171"/>
      <c r="K114" s="169"/>
      <c r="L114" s="169"/>
      <c r="M114" s="169"/>
      <c r="N114" s="169"/>
      <c r="O114" s="169"/>
      <c r="P114" s="169"/>
      <c r="Q114" s="169" t="str">
        <f>IFERROR(VLOOKUP('BMP P Tracking Table'!$P114,Dropdowns!$C$2:$E$15,3,FALSE),"")</f>
        <v/>
      </c>
      <c r="R114" s="169" t="str">
        <f>IFERROR(VLOOKUP('BMP P Tracking Table'!$Q114,Dropdowns!$P$3:$Q$23,2,FALSE),"")</f>
        <v/>
      </c>
      <c r="S114" s="169"/>
      <c r="T114" s="169"/>
      <c r="U114" s="169"/>
      <c r="V114" s="169"/>
      <c r="W114" s="169"/>
      <c r="X114" s="169"/>
      <c r="Y114" s="169"/>
      <c r="Z114" s="169"/>
      <c r="AA114" s="169"/>
      <c r="AB114" s="174"/>
      <c r="AC114" s="169"/>
      <c r="AD114" s="175" t="str">
        <f>IFERROR('BMP P Tracking Table'!$U114*VLOOKUP('BMP P Tracking Table'!$Q114,'Loading Rates'!$B$1:$L$24,4,FALSE)+IF('BMP P Tracking Table'!$V114="By HSG",'BMP P Tracking Table'!$W114*VLOOKUP('BMP P Tracking Table'!$Q114,'Loading Rates'!$B$1:$L$24,6,FALSE)+'BMP P Tracking Table'!$X114*VLOOKUP('BMP P Tracking Table'!$Q114,'Loading Rates'!$B$1:$L$24,7,FALSE)+'BMP P Tracking Table'!$Y114*VLOOKUP('BMP P Tracking Table'!$Q114,'Loading Rates'!$B$1:$L$24,8,FALSE)+'BMP P Tracking Table'!$Z114*VLOOKUP('BMP P Tracking Table'!$Q114,'Loading Rates'!$B$1:$L$24,9,FALSE),'BMP P Tracking Table'!$AA114*VLOOKUP('BMP P Tracking Table'!$Q114,'Loading Rates'!$B$1:$L$24,10,FALSE)),"")</f>
        <v/>
      </c>
      <c r="AE114" s="175" t="str">
        <f>IFERROR(MIN(2,IF('BMP P Tracking Table'!$V114="Total Pervious",(-(3630*'BMP P Tracking Table'!$U114+20.691*'BMP P Tracking Table'!$AA114)+SQRT((3630*'BMP P Tracking Table'!$U114+20.691*'BMP P Tracking Table'!$AA114)^2-(4*(996.798*'BMP P Tracking Table'!$AA114)*-'BMP P Tracking Table'!$AB114)))/(2*(996.798*'BMP P Tracking Table'!$AA114)),IF(SUM('BMP P Tracking Table'!$W114:$Z114)=0,'BMP P Tracking Table'!$AB114/(-3630*'BMP P Tracking Table'!$U114),(-(3630*'BMP P Tracking Table'!$U114+20.691*'BMP P Tracking Table'!$Z114-216.711*'BMP P Tracking Table'!$Y114-83.853*'BMP P Tracking Table'!$X114-42.834*'BMP P Tracking Table'!$W114)+SQRT((3630*'BMP P Tracking Table'!$U114+20.691*'BMP P Tracking Table'!$Z114-216.711*'BMP P Tracking Table'!$Y114-83.853*'BMP P Tracking Table'!$X114-42.834*'BMP P Tracking Table'!$W114)^2-(4*(149.919*'BMP P Tracking Table'!$W114+236.676*'BMP P Tracking Table'!$X114+726*'BMP P Tracking Table'!$Y114+996.798*'BMP P Tracking Table'!$Z114)*-'BMP P Tracking Table'!$AB114)))/(2*(149.919*'BMP P Tracking Table'!$W114+236.676*'BMP P Tracking Table'!$X114+726*'BMP P Tracking Table'!$Y114+996.798*'BMP P Tracking Table'!$Z114))))),"")</f>
        <v/>
      </c>
      <c r="AF114" s="175" t="str">
        <f>IFERROR((VLOOKUP(CONCATENATE('BMP P Tracking Table'!$T114," ",'BMP P Tracking Table'!$AC114),'Performance Curves'!$C$1:$L$45,MATCH('BMP P Tracking Table'!$AE114,'Performance Curves'!$E$1:$L$1,1)+2,FALSE)-VLOOKUP(CONCATENATE('BMP P Tracking Table'!$T114," ",'BMP P Tracking Table'!$AC114),'Performance Curves'!$C$1:$L$45,MATCH('BMP P Tracking Table'!$AE114,'Performance Curves'!$E$1:$L$1,1)+1,FALSE)),"")</f>
        <v/>
      </c>
      <c r="AG114" s="175" t="str">
        <f>IFERROR(('BMP P Tracking Table'!$AE114-INDEX('Performance Curves'!$E$1:$L$1,1,MATCH('BMP P Tracking Table'!$AE114,'Performance Curves'!$E$1:$L$1,1)))/(INDEX('Performance Curves'!$E$1:$L$1,1,MATCH('BMP P Tracking Table'!$AE114,'Performance Curves'!$E$1:$L$1,1)+1)-INDEX('Performance Curves'!$E$1:$L$1,1,MATCH('BMP P Tracking Table'!$AE114,'Performance Curves'!$E$1:$L$1,1))),"")</f>
        <v/>
      </c>
      <c r="AH114" s="176" t="str">
        <f>IFERROR(IF('BMP P Tracking Table'!$AE114=2,VLOOKUP(CONCATENATE('BMP P Tracking Table'!$T114," ",'BMP P Tracking Table'!$AC114),'Performance Curves'!$C$1:$L$45,MATCH('BMP P Tracking Table'!$AE114,'Performance Curves'!$E$1:$L$1,1)+1,FALSE),'BMP P Tracking Table'!$AF114*'BMP P Tracking Table'!$AG114+VLOOKUP(CONCATENATE('BMP P Tracking Table'!$T114," ",'BMP P Tracking Table'!$AC114),'Performance Curves'!$C$1:$L$45,MATCH('BMP P Tracking Table'!$AE114,'Performance Curves'!$E$1:$L$1,1)+1,FALSE)),"")</f>
        <v/>
      </c>
      <c r="AI114" s="175" t="str">
        <f>IFERROR('BMP P Tracking Table'!$AH114*'BMP P Tracking Table'!$AD114,"")</f>
        <v/>
      </c>
      <c r="AJ114" s="169"/>
      <c r="AK114" s="173"/>
      <c r="AL114" s="173"/>
      <c r="AM114" s="177"/>
      <c r="AN114" s="178" t="str">
        <f t="shared" si="14"/>
        <v/>
      </c>
      <c r="AO114" s="96"/>
      <c r="AP114" s="96"/>
      <c r="AQ114" s="96"/>
      <c r="AR114" s="96"/>
      <c r="AS114" s="96"/>
      <c r="AT114" s="96"/>
      <c r="AU114" s="96"/>
      <c r="AV114" s="64"/>
      <c r="AW114" s="97"/>
      <c r="AX114" s="97"/>
      <c r="AY114" s="101" t="str">
        <f>IF('BMP P Tracking Table'!$AK114="Yes",IF('BMP P Tracking Table'!$AL114="No",'BMP P Tracking Table'!$U114*VLOOKUP('BMP P Tracking Table'!$Q114,'Loading Rates'!$B$1:$L$24,4,FALSE)+IF('BMP P Tracking Table'!$V114="By HSG",'BMP P Tracking Table'!$W114*VLOOKUP('BMP P Tracking Table'!$Q114,'Loading Rates'!$B$1:$L$24,6,FALSE)+'BMP P Tracking Table'!$X114*VLOOKUP('BMP P Tracking Table'!$Q114,'Loading Rates'!$B$1:$L$24,7,FALSE)+'BMP P Tracking Table'!$Y114*VLOOKUP('BMP P Tracking Table'!$Q114,'Loading Rates'!$B$1:$L$24,8,FALSE)+'BMP P Tracking Table'!$Z114*VLOOKUP('BMP P Tracking Table'!$Q114,'Loading Rates'!$B$1:$L$24,9,FALSE),'BMP P Tracking Table'!$AA114*VLOOKUP('BMP P Tracking Table'!$Q114,'Loading Rates'!$B$1:$L$24,10,FALSE)),'BMP P Tracking Table'!$AO114*VLOOKUP('BMP P Tracking Table'!$Q114,'Loading Rates'!$B$1:$L$24,4,FALSE)+IF('BMP P Tracking Table'!$AP114="By HSG",'BMP P Tracking Table'!$AQ114*VLOOKUP('BMP P Tracking Table'!$Q114,'Loading Rates'!$B$1:$L$24,6,FALSE)+'BMP P Tracking Table'!$AR114*VLOOKUP('BMP P Tracking Table'!$Q114,'Loading Rates'!$B$1:$L$24,7,FALSE)+'BMP P Tracking Table'!$AS114*VLOOKUP('BMP P Tracking Table'!$Q114,'Loading Rates'!$B$1:$L$24,8,FALSE)+'BMP P Tracking Table'!$AT114*VLOOKUP('BMP P Tracking Table'!$Q114,'Loading Rates'!$B$1:$L$24,9,FALSE),'BMP P Tracking Table'!$AU114*VLOOKUP('BMP P Tracking Table'!$Q114,'Loading Rates'!$B$1:$L$24,10,FALSE))),"")</f>
        <v/>
      </c>
      <c r="AZ114" s="101" t="str">
        <f>IFERROR(IF('BMP P Tracking Table'!$AL114="Yes",MIN(2,IF('BMP P Tracking Table'!$AP114="Total Pervious",(-(3630*'BMP P Tracking Table'!$AO114+20.691*'BMP P Tracking Table'!$AU114)+SQRT((3630*'BMP P Tracking Table'!$AO114+20.691*'BMP P Tracking Table'!$AU114)^2-(4*(996.798*'BMP P Tracking Table'!$AU114)*-'BMP P Tracking Table'!$AW114)))/(2*(996.798*'BMP P Tracking Table'!$AU114)),IF(SUM('BMP P Tracking Table'!$AQ114:$AT114)=0,'BMP P Tracking Table'!$AU114/(-3630*'BMP P Tracking Table'!$AO114),(-(3630*'BMP P Tracking Table'!$AO114+20.691*'BMP P Tracking Table'!$AT114-216.711*'BMP P Tracking Table'!$AS114-83.853*'BMP P Tracking Table'!$AR114-42.834*'BMP P Tracking Table'!$AQ114)+SQRT((3630*'BMP P Tracking Table'!$AO114+20.691*'BMP P Tracking Table'!$AT114-216.711*'BMP P Tracking Table'!$AS114-83.853*'BMP P Tracking Table'!$AR114-42.834*'BMP P Tracking Table'!$AQ114)^2-(4*(149.919*'BMP P Tracking Table'!$AQ114+236.676*'BMP P Tracking Table'!$AR114+726*'BMP P Tracking Table'!$AS114+996.798*'BMP P Tracking Table'!$AT114)*-'BMP P Tracking Table'!$AW114)))/(2*(149.919*'BMP P Tracking Table'!$AQ114+236.676*'BMP P Tracking Table'!$AR114+726*'BMP P Tracking Table'!$AS114+996.798*'BMP P Tracking Table'!$AT114))))),MIN(2,IF('BMP P Tracking Table'!$AP114="Total Pervious",(-(3630*'BMP P Tracking Table'!$U114+20.691*'BMP P Tracking Table'!$AA114)+SQRT((3630*'BMP P Tracking Table'!$U114+20.691*'BMP P Tracking Table'!$AA114)^2-(4*(996.798*'BMP P Tracking Table'!$AA114)*-'BMP P Tracking Table'!$AW114)))/(2*(996.798*'BMP P Tracking Table'!$AA114)),IF(SUM('BMP P Tracking Table'!$W114:$Z114)=0,'BMP P Tracking Table'!$AW114/(-3630*'BMP P Tracking Table'!$U114),(-(3630*'BMP P Tracking Table'!$U114+20.691*'BMP P Tracking Table'!$Z114-216.711*'BMP P Tracking Table'!$Y114-83.853*'BMP P Tracking Table'!$X114-42.834*'BMP P Tracking Table'!$W114)+SQRT((3630*'BMP P Tracking Table'!$U114+20.691*'BMP P Tracking Table'!$Z114-216.711*'BMP P Tracking Table'!$Y114-83.853*'BMP P Tracking Table'!$X114-42.834*'BMP P Tracking Table'!$W114)^2-(4*(149.919*'BMP P Tracking Table'!$W114+236.676*'BMP P Tracking Table'!$X114+726*'BMP P Tracking Table'!$Y114+996.798*'BMP P Tracking Table'!$Z114)*-'BMP P Tracking Table'!$AW114)))/(2*(149.919*'BMP P Tracking Table'!$W114+236.676*'BMP P Tracking Table'!$X114+726*'BMP P Tracking Table'!$Y114+996.798*'BMP P Tracking Table'!$Z114)))))),"")</f>
        <v/>
      </c>
      <c r="BA114" s="101" t="str">
        <f>IFERROR((VLOOKUP(CONCATENATE('BMP P Tracking Table'!$AV114," ",'BMP P Tracking Table'!$AX114),'Performance Curves'!$C$1:$L$45,MATCH('BMP P Tracking Table'!$AZ114,'Performance Curves'!$E$1:$L$1,1)+2,FALSE)-VLOOKUP(CONCATENATE('BMP P Tracking Table'!$AV114," ",'BMP P Tracking Table'!$AX114),'Performance Curves'!$C$1:$L$45,MATCH('BMP P Tracking Table'!$AZ114,'Performance Curves'!$E$1:$L$1,1)+1,FALSE)),"")</f>
        <v/>
      </c>
      <c r="BB114" s="101" t="str">
        <f>IFERROR(('BMP P Tracking Table'!$AZ114-INDEX('Performance Curves'!$E$1:$L$1,1,MATCH('BMP P Tracking Table'!$AZ114,'Performance Curves'!$E$1:$L$1,1)))/(INDEX('Performance Curves'!$E$1:$L$1,1,MATCH('BMP P Tracking Table'!$AZ114,'Performance Curves'!$E$1:$L$1,1)+1)-INDEX('Performance Curves'!$E$1:$L$1,1,MATCH('BMP P Tracking Table'!$AZ114,'Performance Curves'!$E$1:$L$1,1))),"")</f>
        <v/>
      </c>
      <c r="BC114" s="102" t="str">
        <f>IFERROR(IF('BMP P Tracking Table'!$AZ114=2,VLOOKUP(CONCATENATE('BMP P Tracking Table'!$AV114," ",'BMP P Tracking Table'!$AX114),'Performance Curves'!$C$1:$L$44,MATCH('BMP P Tracking Table'!$AZ114,'Performance Curves'!$E$1:$L$1,1)+1,FALSE),'BMP P Tracking Table'!$BA114*'BMP P Tracking Table'!$BB114+VLOOKUP(CONCATENATE('BMP P Tracking Table'!$AV114," ",'BMP P Tracking Table'!$AX114),'Performance Curves'!$C$1:$L$44,MATCH('BMP P Tracking Table'!$AZ114,'Performance Curves'!$E$1:$L$1,1)+1,FALSE)),"")</f>
        <v/>
      </c>
      <c r="BD114" s="101" t="str">
        <f>IFERROR('BMP P Tracking Table'!$BC114*'BMP P Tracking Table'!$AY114,"")</f>
        <v/>
      </c>
      <c r="BE114" s="96"/>
      <c r="BF114" s="37">
        <f t="shared" si="15"/>
        <v>0</v>
      </c>
    </row>
    <row r="115" spans="1:58" x14ac:dyDescent="0.3">
      <c r="A115" s="169"/>
      <c r="B115" s="169"/>
      <c r="C115" s="169"/>
      <c r="D115" s="169"/>
      <c r="E115" s="170"/>
      <c r="F115" s="170"/>
      <c r="G115" s="169"/>
      <c r="H115" s="169"/>
      <c r="I115" s="169"/>
      <c r="J115" s="171"/>
      <c r="K115" s="169"/>
      <c r="L115" s="169"/>
      <c r="M115" s="169"/>
      <c r="N115" s="169"/>
      <c r="O115" s="169"/>
      <c r="P115" s="169"/>
      <c r="Q115" s="169" t="str">
        <f>IFERROR(VLOOKUP('BMP P Tracking Table'!$P115,Dropdowns!$C$2:$E$15,3,FALSE),"")</f>
        <v/>
      </c>
      <c r="R115" s="169" t="str">
        <f>IFERROR(VLOOKUP('BMP P Tracking Table'!$Q115,Dropdowns!$P$3:$Q$23,2,FALSE),"")</f>
        <v/>
      </c>
      <c r="S115" s="169"/>
      <c r="T115" s="169"/>
      <c r="U115" s="169"/>
      <c r="V115" s="169"/>
      <c r="W115" s="169"/>
      <c r="X115" s="169"/>
      <c r="Y115" s="169"/>
      <c r="Z115" s="169"/>
      <c r="AA115" s="169"/>
      <c r="AB115" s="174"/>
      <c r="AC115" s="169"/>
      <c r="AD115" s="175" t="str">
        <f>IFERROR('BMP P Tracking Table'!$U115*VLOOKUP('BMP P Tracking Table'!$Q115,'Loading Rates'!$B$1:$L$24,4,FALSE)+IF('BMP P Tracking Table'!$V115="By HSG",'BMP P Tracking Table'!$W115*VLOOKUP('BMP P Tracking Table'!$Q115,'Loading Rates'!$B$1:$L$24,6,FALSE)+'BMP P Tracking Table'!$X115*VLOOKUP('BMP P Tracking Table'!$Q115,'Loading Rates'!$B$1:$L$24,7,FALSE)+'BMP P Tracking Table'!$Y115*VLOOKUP('BMP P Tracking Table'!$Q115,'Loading Rates'!$B$1:$L$24,8,FALSE)+'BMP P Tracking Table'!$Z115*VLOOKUP('BMP P Tracking Table'!$Q115,'Loading Rates'!$B$1:$L$24,9,FALSE),'BMP P Tracking Table'!$AA115*VLOOKUP('BMP P Tracking Table'!$Q115,'Loading Rates'!$B$1:$L$24,10,FALSE)),"")</f>
        <v/>
      </c>
      <c r="AE115" s="175" t="str">
        <f>IFERROR(MIN(2,IF('BMP P Tracking Table'!$V115="Total Pervious",(-(3630*'BMP P Tracking Table'!$U115+20.691*'BMP P Tracking Table'!$AA115)+SQRT((3630*'BMP P Tracking Table'!$U115+20.691*'BMP P Tracking Table'!$AA115)^2-(4*(996.798*'BMP P Tracking Table'!$AA115)*-'BMP P Tracking Table'!$AB115)))/(2*(996.798*'BMP P Tracking Table'!$AA115)),IF(SUM('BMP P Tracking Table'!$W115:$Z115)=0,'BMP P Tracking Table'!$AB115/(-3630*'BMP P Tracking Table'!$U115),(-(3630*'BMP P Tracking Table'!$U115+20.691*'BMP P Tracking Table'!$Z115-216.711*'BMP P Tracking Table'!$Y115-83.853*'BMP P Tracking Table'!$X115-42.834*'BMP P Tracking Table'!$W115)+SQRT((3630*'BMP P Tracking Table'!$U115+20.691*'BMP P Tracking Table'!$Z115-216.711*'BMP P Tracking Table'!$Y115-83.853*'BMP P Tracking Table'!$X115-42.834*'BMP P Tracking Table'!$W115)^2-(4*(149.919*'BMP P Tracking Table'!$W115+236.676*'BMP P Tracking Table'!$X115+726*'BMP P Tracking Table'!$Y115+996.798*'BMP P Tracking Table'!$Z115)*-'BMP P Tracking Table'!$AB115)))/(2*(149.919*'BMP P Tracking Table'!$W115+236.676*'BMP P Tracking Table'!$X115+726*'BMP P Tracking Table'!$Y115+996.798*'BMP P Tracking Table'!$Z115))))),"")</f>
        <v/>
      </c>
      <c r="AF115" s="175" t="str">
        <f>IFERROR((VLOOKUP(CONCATENATE('BMP P Tracking Table'!$T115," ",'BMP P Tracking Table'!$AC115),'Performance Curves'!$C$1:$L$45,MATCH('BMP P Tracking Table'!$AE115,'Performance Curves'!$E$1:$L$1,1)+2,FALSE)-VLOOKUP(CONCATENATE('BMP P Tracking Table'!$T115," ",'BMP P Tracking Table'!$AC115),'Performance Curves'!$C$1:$L$45,MATCH('BMP P Tracking Table'!$AE115,'Performance Curves'!$E$1:$L$1,1)+1,FALSE)),"")</f>
        <v/>
      </c>
      <c r="AG115" s="175" t="str">
        <f>IFERROR(('BMP P Tracking Table'!$AE115-INDEX('Performance Curves'!$E$1:$L$1,1,MATCH('BMP P Tracking Table'!$AE115,'Performance Curves'!$E$1:$L$1,1)))/(INDEX('Performance Curves'!$E$1:$L$1,1,MATCH('BMP P Tracking Table'!$AE115,'Performance Curves'!$E$1:$L$1,1)+1)-INDEX('Performance Curves'!$E$1:$L$1,1,MATCH('BMP P Tracking Table'!$AE115,'Performance Curves'!$E$1:$L$1,1))),"")</f>
        <v/>
      </c>
      <c r="AH115" s="176" t="str">
        <f>IFERROR(IF('BMP P Tracking Table'!$AE115=2,VLOOKUP(CONCATENATE('BMP P Tracking Table'!$T115," ",'BMP P Tracking Table'!$AC115),'Performance Curves'!$C$1:$L$45,MATCH('BMP P Tracking Table'!$AE115,'Performance Curves'!$E$1:$L$1,1)+1,FALSE),'BMP P Tracking Table'!$AF115*'BMP P Tracking Table'!$AG115+VLOOKUP(CONCATENATE('BMP P Tracking Table'!$T115," ",'BMP P Tracking Table'!$AC115),'Performance Curves'!$C$1:$L$45,MATCH('BMP P Tracking Table'!$AE115,'Performance Curves'!$E$1:$L$1,1)+1,FALSE)),"")</f>
        <v/>
      </c>
      <c r="AI115" s="175" t="str">
        <f>IFERROR('BMP P Tracking Table'!$AH115*'BMP P Tracking Table'!$AD115,"")</f>
        <v/>
      </c>
      <c r="AJ115" s="169"/>
      <c r="AK115" s="173"/>
      <c r="AL115" s="173"/>
      <c r="AM115" s="177"/>
      <c r="AN115" s="178" t="str">
        <f t="shared" si="14"/>
        <v/>
      </c>
      <c r="AO115" s="96"/>
      <c r="AP115" s="96"/>
      <c r="AQ115" s="96"/>
      <c r="AR115" s="96"/>
      <c r="AS115" s="96"/>
      <c r="AT115" s="96"/>
      <c r="AU115" s="96"/>
      <c r="AV115" s="64"/>
      <c r="AW115" s="97"/>
      <c r="AX115" s="97"/>
      <c r="AY115" s="101" t="str">
        <f>IF('BMP P Tracking Table'!$AK115="Yes",IF('BMP P Tracking Table'!$AL115="No",'BMP P Tracking Table'!$U115*VLOOKUP('BMP P Tracking Table'!$Q115,'Loading Rates'!$B$1:$L$24,4,FALSE)+IF('BMP P Tracking Table'!$V115="By HSG",'BMP P Tracking Table'!$W115*VLOOKUP('BMP P Tracking Table'!$Q115,'Loading Rates'!$B$1:$L$24,6,FALSE)+'BMP P Tracking Table'!$X115*VLOOKUP('BMP P Tracking Table'!$Q115,'Loading Rates'!$B$1:$L$24,7,FALSE)+'BMP P Tracking Table'!$Y115*VLOOKUP('BMP P Tracking Table'!$Q115,'Loading Rates'!$B$1:$L$24,8,FALSE)+'BMP P Tracking Table'!$Z115*VLOOKUP('BMP P Tracking Table'!$Q115,'Loading Rates'!$B$1:$L$24,9,FALSE),'BMP P Tracking Table'!$AA115*VLOOKUP('BMP P Tracking Table'!$Q115,'Loading Rates'!$B$1:$L$24,10,FALSE)),'BMP P Tracking Table'!$AO115*VLOOKUP('BMP P Tracking Table'!$Q115,'Loading Rates'!$B$1:$L$24,4,FALSE)+IF('BMP P Tracking Table'!$AP115="By HSG",'BMP P Tracking Table'!$AQ115*VLOOKUP('BMP P Tracking Table'!$Q115,'Loading Rates'!$B$1:$L$24,6,FALSE)+'BMP P Tracking Table'!$AR115*VLOOKUP('BMP P Tracking Table'!$Q115,'Loading Rates'!$B$1:$L$24,7,FALSE)+'BMP P Tracking Table'!$AS115*VLOOKUP('BMP P Tracking Table'!$Q115,'Loading Rates'!$B$1:$L$24,8,FALSE)+'BMP P Tracking Table'!$AT115*VLOOKUP('BMP P Tracking Table'!$Q115,'Loading Rates'!$B$1:$L$24,9,FALSE),'BMP P Tracking Table'!$AU115*VLOOKUP('BMP P Tracking Table'!$Q115,'Loading Rates'!$B$1:$L$24,10,FALSE))),"")</f>
        <v/>
      </c>
      <c r="AZ115" s="101" t="str">
        <f>IFERROR(IF('BMP P Tracking Table'!$AL115="Yes",MIN(2,IF('BMP P Tracking Table'!$AP115="Total Pervious",(-(3630*'BMP P Tracking Table'!$AO115+20.691*'BMP P Tracking Table'!$AU115)+SQRT((3630*'BMP P Tracking Table'!$AO115+20.691*'BMP P Tracking Table'!$AU115)^2-(4*(996.798*'BMP P Tracking Table'!$AU115)*-'BMP P Tracking Table'!$AW115)))/(2*(996.798*'BMP P Tracking Table'!$AU115)),IF(SUM('BMP P Tracking Table'!$AQ115:$AT115)=0,'BMP P Tracking Table'!$AU115/(-3630*'BMP P Tracking Table'!$AO115),(-(3630*'BMP P Tracking Table'!$AO115+20.691*'BMP P Tracking Table'!$AT115-216.711*'BMP P Tracking Table'!$AS115-83.853*'BMP P Tracking Table'!$AR115-42.834*'BMP P Tracking Table'!$AQ115)+SQRT((3630*'BMP P Tracking Table'!$AO115+20.691*'BMP P Tracking Table'!$AT115-216.711*'BMP P Tracking Table'!$AS115-83.853*'BMP P Tracking Table'!$AR115-42.834*'BMP P Tracking Table'!$AQ115)^2-(4*(149.919*'BMP P Tracking Table'!$AQ115+236.676*'BMP P Tracking Table'!$AR115+726*'BMP P Tracking Table'!$AS115+996.798*'BMP P Tracking Table'!$AT115)*-'BMP P Tracking Table'!$AW115)))/(2*(149.919*'BMP P Tracking Table'!$AQ115+236.676*'BMP P Tracking Table'!$AR115+726*'BMP P Tracking Table'!$AS115+996.798*'BMP P Tracking Table'!$AT115))))),MIN(2,IF('BMP P Tracking Table'!$AP115="Total Pervious",(-(3630*'BMP P Tracking Table'!$U115+20.691*'BMP P Tracking Table'!$AA115)+SQRT((3630*'BMP P Tracking Table'!$U115+20.691*'BMP P Tracking Table'!$AA115)^2-(4*(996.798*'BMP P Tracking Table'!$AA115)*-'BMP P Tracking Table'!$AW115)))/(2*(996.798*'BMP P Tracking Table'!$AA115)),IF(SUM('BMP P Tracking Table'!$W115:$Z115)=0,'BMP P Tracking Table'!$AW115/(-3630*'BMP P Tracking Table'!$U115),(-(3630*'BMP P Tracking Table'!$U115+20.691*'BMP P Tracking Table'!$Z115-216.711*'BMP P Tracking Table'!$Y115-83.853*'BMP P Tracking Table'!$X115-42.834*'BMP P Tracking Table'!$W115)+SQRT((3630*'BMP P Tracking Table'!$U115+20.691*'BMP P Tracking Table'!$Z115-216.711*'BMP P Tracking Table'!$Y115-83.853*'BMP P Tracking Table'!$X115-42.834*'BMP P Tracking Table'!$W115)^2-(4*(149.919*'BMP P Tracking Table'!$W115+236.676*'BMP P Tracking Table'!$X115+726*'BMP P Tracking Table'!$Y115+996.798*'BMP P Tracking Table'!$Z115)*-'BMP P Tracking Table'!$AW115)))/(2*(149.919*'BMP P Tracking Table'!$W115+236.676*'BMP P Tracking Table'!$X115+726*'BMP P Tracking Table'!$Y115+996.798*'BMP P Tracking Table'!$Z115)))))),"")</f>
        <v/>
      </c>
      <c r="BA115" s="101" t="str">
        <f>IFERROR((VLOOKUP(CONCATENATE('BMP P Tracking Table'!$AV115," ",'BMP P Tracking Table'!$AX115),'Performance Curves'!$C$1:$L$45,MATCH('BMP P Tracking Table'!$AZ115,'Performance Curves'!$E$1:$L$1,1)+2,FALSE)-VLOOKUP(CONCATENATE('BMP P Tracking Table'!$AV115," ",'BMP P Tracking Table'!$AX115),'Performance Curves'!$C$1:$L$45,MATCH('BMP P Tracking Table'!$AZ115,'Performance Curves'!$E$1:$L$1,1)+1,FALSE)),"")</f>
        <v/>
      </c>
      <c r="BB115" s="101" t="str">
        <f>IFERROR(('BMP P Tracking Table'!$AZ115-INDEX('Performance Curves'!$E$1:$L$1,1,MATCH('BMP P Tracking Table'!$AZ115,'Performance Curves'!$E$1:$L$1,1)))/(INDEX('Performance Curves'!$E$1:$L$1,1,MATCH('BMP P Tracking Table'!$AZ115,'Performance Curves'!$E$1:$L$1,1)+1)-INDEX('Performance Curves'!$E$1:$L$1,1,MATCH('BMP P Tracking Table'!$AZ115,'Performance Curves'!$E$1:$L$1,1))),"")</f>
        <v/>
      </c>
      <c r="BC115" s="102" t="str">
        <f>IFERROR(IF('BMP P Tracking Table'!$AZ115=2,VLOOKUP(CONCATENATE('BMP P Tracking Table'!$AV115," ",'BMP P Tracking Table'!$AX115),'Performance Curves'!$C$1:$L$44,MATCH('BMP P Tracking Table'!$AZ115,'Performance Curves'!$E$1:$L$1,1)+1,FALSE),'BMP P Tracking Table'!$BA115*'BMP P Tracking Table'!$BB115+VLOOKUP(CONCATENATE('BMP P Tracking Table'!$AV115," ",'BMP P Tracking Table'!$AX115),'Performance Curves'!$C$1:$L$44,MATCH('BMP P Tracking Table'!$AZ115,'Performance Curves'!$E$1:$L$1,1)+1,FALSE)),"")</f>
        <v/>
      </c>
      <c r="BD115" s="101" t="str">
        <f>IFERROR('BMP P Tracking Table'!$BC115*'BMP P Tracking Table'!$AY115,"")</f>
        <v/>
      </c>
      <c r="BE115" s="96"/>
      <c r="BF115" s="37">
        <f t="shared" si="15"/>
        <v>0</v>
      </c>
    </row>
    <row r="116" spans="1:58" x14ac:dyDescent="0.3">
      <c r="A116" s="169"/>
      <c r="B116" s="169"/>
      <c r="C116" s="169"/>
      <c r="D116" s="169"/>
      <c r="E116" s="170"/>
      <c r="F116" s="170"/>
      <c r="G116" s="169"/>
      <c r="H116" s="169"/>
      <c r="I116" s="169"/>
      <c r="J116" s="171"/>
      <c r="K116" s="169"/>
      <c r="L116" s="169"/>
      <c r="M116" s="169"/>
      <c r="N116" s="169"/>
      <c r="O116" s="169"/>
      <c r="P116" s="169"/>
      <c r="Q116" s="169" t="str">
        <f>IFERROR(VLOOKUP('BMP P Tracking Table'!$P116,Dropdowns!$C$2:$E$15,3,FALSE),"")</f>
        <v/>
      </c>
      <c r="R116" s="169" t="str">
        <f>IFERROR(VLOOKUP('BMP P Tracking Table'!$Q116,Dropdowns!$P$3:$Q$23,2,FALSE),"")</f>
        <v/>
      </c>
      <c r="S116" s="169"/>
      <c r="T116" s="169"/>
      <c r="U116" s="169"/>
      <c r="V116" s="169"/>
      <c r="W116" s="169"/>
      <c r="X116" s="169"/>
      <c r="Y116" s="169"/>
      <c r="Z116" s="169"/>
      <c r="AA116" s="169"/>
      <c r="AB116" s="174"/>
      <c r="AC116" s="169"/>
      <c r="AD116" s="175" t="str">
        <f>IFERROR('BMP P Tracking Table'!$U116*VLOOKUP('BMP P Tracking Table'!$Q116,'Loading Rates'!$B$1:$L$24,4,FALSE)+IF('BMP P Tracking Table'!$V116="By HSG",'BMP P Tracking Table'!$W116*VLOOKUP('BMP P Tracking Table'!$Q116,'Loading Rates'!$B$1:$L$24,6,FALSE)+'BMP P Tracking Table'!$X116*VLOOKUP('BMP P Tracking Table'!$Q116,'Loading Rates'!$B$1:$L$24,7,FALSE)+'BMP P Tracking Table'!$Y116*VLOOKUP('BMP P Tracking Table'!$Q116,'Loading Rates'!$B$1:$L$24,8,FALSE)+'BMP P Tracking Table'!$Z116*VLOOKUP('BMP P Tracking Table'!$Q116,'Loading Rates'!$B$1:$L$24,9,FALSE),'BMP P Tracking Table'!$AA116*VLOOKUP('BMP P Tracking Table'!$Q116,'Loading Rates'!$B$1:$L$24,10,FALSE)),"")</f>
        <v/>
      </c>
      <c r="AE116" s="175" t="str">
        <f>IFERROR(MIN(2,IF('BMP P Tracking Table'!$V116="Total Pervious",(-(3630*'BMP P Tracking Table'!$U116+20.691*'BMP P Tracking Table'!$AA116)+SQRT((3630*'BMP P Tracking Table'!$U116+20.691*'BMP P Tracking Table'!$AA116)^2-(4*(996.798*'BMP P Tracking Table'!$AA116)*-'BMP P Tracking Table'!$AB116)))/(2*(996.798*'BMP P Tracking Table'!$AA116)),IF(SUM('BMP P Tracking Table'!$W116:$Z116)=0,'BMP P Tracking Table'!$AB116/(-3630*'BMP P Tracking Table'!$U116),(-(3630*'BMP P Tracking Table'!$U116+20.691*'BMP P Tracking Table'!$Z116-216.711*'BMP P Tracking Table'!$Y116-83.853*'BMP P Tracking Table'!$X116-42.834*'BMP P Tracking Table'!$W116)+SQRT((3630*'BMP P Tracking Table'!$U116+20.691*'BMP P Tracking Table'!$Z116-216.711*'BMP P Tracking Table'!$Y116-83.853*'BMP P Tracking Table'!$X116-42.834*'BMP P Tracking Table'!$W116)^2-(4*(149.919*'BMP P Tracking Table'!$W116+236.676*'BMP P Tracking Table'!$X116+726*'BMP P Tracking Table'!$Y116+996.798*'BMP P Tracking Table'!$Z116)*-'BMP P Tracking Table'!$AB116)))/(2*(149.919*'BMP P Tracking Table'!$W116+236.676*'BMP P Tracking Table'!$X116+726*'BMP P Tracking Table'!$Y116+996.798*'BMP P Tracking Table'!$Z116))))),"")</f>
        <v/>
      </c>
      <c r="AF116" s="175" t="str">
        <f>IFERROR((VLOOKUP(CONCATENATE('BMP P Tracking Table'!$T116," ",'BMP P Tracking Table'!$AC116),'Performance Curves'!$C$1:$L$45,MATCH('BMP P Tracking Table'!$AE116,'Performance Curves'!$E$1:$L$1,1)+2,FALSE)-VLOOKUP(CONCATENATE('BMP P Tracking Table'!$T116," ",'BMP P Tracking Table'!$AC116),'Performance Curves'!$C$1:$L$45,MATCH('BMP P Tracking Table'!$AE116,'Performance Curves'!$E$1:$L$1,1)+1,FALSE)),"")</f>
        <v/>
      </c>
      <c r="AG116" s="175" t="str">
        <f>IFERROR(('BMP P Tracking Table'!$AE116-INDEX('Performance Curves'!$E$1:$L$1,1,MATCH('BMP P Tracking Table'!$AE116,'Performance Curves'!$E$1:$L$1,1)))/(INDEX('Performance Curves'!$E$1:$L$1,1,MATCH('BMP P Tracking Table'!$AE116,'Performance Curves'!$E$1:$L$1,1)+1)-INDEX('Performance Curves'!$E$1:$L$1,1,MATCH('BMP P Tracking Table'!$AE116,'Performance Curves'!$E$1:$L$1,1))),"")</f>
        <v/>
      </c>
      <c r="AH116" s="176" t="str">
        <f>IFERROR(IF('BMP P Tracking Table'!$AE116=2,VLOOKUP(CONCATENATE('BMP P Tracking Table'!$T116," ",'BMP P Tracking Table'!$AC116),'Performance Curves'!$C$1:$L$45,MATCH('BMP P Tracking Table'!$AE116,'Performance Curves'!$E$1:$L$1,1)+1,FALSE),'BMP P Tracking Table'!$AF116*'BMP P Tracking Table'!$AG116+VLOOKUP(CONCATENATE('BMP P Tracking Table'!$T116," ",'BMP P Tracking Table'!$AC116),'Performance Curves'!$C$1:$L$45,MATCH('BMP P Tracking Table'!$AE116,'Performance Curves'!$E$1:$L$1,1)+1,FALSE)),"")</f>
        <v/>
      </c>
      <c r="AI116" s="175" t="str">
        <f>IFERROR('BMP P Tracking Table'!$AH116*'BMP P Tracking Table'!$AD116,"")</f>
        <v/>
      </c>
      <c r="AJ116" s="169"/>
      <c r="AK116" s="173"/>
      <c r="AL116" s="173"/>
      <c r="AM116" s="177"/>
      <c r="AN116" s="178" t="str">
        <f t="shared" si="14"/>
        <v/>
      </c>
      <c r="AO116" s="96"/>
      <c r="AP116" s="96"/>
      <c r="AQ116" s="96"/>
      <c r="AR116" s="96"/>
      <c r="AS116" s="96"/>
      <c r="AT116" s="96"/>
      <c r="AU116" s="96"/>
      <c r="AV116" s="64"/>
      <c r="AW116" s="97"/>
      <c r="AX116" s="97"/>
      <c r="AY116" s="101" t="str">
        <f>IF('BMP P Tracking Table'!$AK116="Yes",IF('BMP P Tracking Table'!$AL116="No",'BMP P Tracking Table'!$U116*VLOOKUP('BMP P Tracking Table'!$Q116,'Loading Rates'!$B$1:$L$24,4,FALSE)+IF('BMP P Tracking Table'!$V116="By HSG",'BMP P Tracking Table'!$W116*VLOOKUP('BMP P Tracking Table'!$Q116,'Loading Rates'!$B$1:$L$24,6,FALSE)+'BMP P Tracking Table'!$X116*VLOOKUP('BMP P Tracking Table'!$Q116,'Loading Rates'!$B$1:$L$24,7,FALSE)+'BMP P Tracking Table'!$Y116*VLOOKUP('BMP P Tracking Table'!$Q116,'Loading Rates'!$B$1:$L$24,8,FALSE)+'BMP P Tracking Table'!$Z116*VLOOKUP('BMP P Tracking Table'!$Q116,'Loading Rates'!$B$1:$L$24,9,FALSE),'BMP P Tracking Table'!$AA116*VLOOKUP('BMP P Tracking Table'!$Q116,'Loading Rates'!$B$1:$L$24,10,FALSE)),'BMP P Tracking Table'!$AO116*VLOOKUP('BMP P Tracking Table'!$Q116,'Loading Rates'!$B$1:$L$24,4,FALSE)+IF('BMP P Tracking Table'!$AP116="By HSG",'BMP P Tracking Table'!$AQ116*VLOOKUP('BMP P Tracking Table'!$Q116,'Loading Rates'!$B$1:$L$24,6,FALSE)+'BMP P Tracking Table'!$AR116*VLOOKUP('BMP P Tracking Table'!$Q116,'Loading Rates'!$B$1:$L$24,7,FALSE)+'BMP P Tracking Table'!$AS116*VLOOKUP('BMP P Tracking Table'!$Q116,'Loading Rates'!$B$1:$L$24,8,FALSE)+'BMP P Tracking Table'!$AT116*VLOOKUP('BMP P Tracking Table'!$Q116,'Loading Rates'!$B$1:$L$24,9,FALSE),'BMP P Tracking Table'!$AU116*VLOOKUP('BMP P Tracking Table'!$Q116,'Loading Rates'!$B$1:$L$24,10,FALSE))),"")</f>
        <v/>
      </c>
      <c r="AZ116" s="101" t="str">
        <f>IFERROR(IF('BMP P Tracking Table'!$AL116="Yes",MIN(2,IF('BMP P Tracking Table'!$AP116="Total Pervious",(-(3630*'BMP P Tracking Table'!$AO116+20.691*'BMP P Tracking Table'!$AU116)+SQRT((3630*'BMP P Tracking Table'!$AO116+20.691*'BMP P Tracking Table'!$AU116)^2-(4*(996.798*'BMP P Tracking Table'!$AU116)*-'BMP P Tracking Table'!$AW116)))/(2*(996.798*'BMP P Tracking Table'!$AU116)),IF(SUM('BMP P Tracking Table'!$AQ116:$AT116)=0,'BMP P Tracking Table'!$AU116/(-3630*'BMP P Tracking Table'!$AO116),(-(3630*'BMP P Tracking Table'!$AO116+20.691*'BMP P Tracking Table'!$AT116-216.711*'BMP P Tracking Table'!$AS116-83.853*'BMP P Tracking Table'!$AR116-42.834*'BMP P Tracking Table'!$AQ116)+SQRT((3630*'BMP P Tracking Table'!$AO116+20.691*'BMP P Tracking Table'!$AT116-216.711*'BMP P Tracking Table'!$AS116-83.853*'BMP P Tracking Table'!$AR116-42.834*'BMP P Tracking Table'!$AQ116)^2-(4*(149.919*'BMP P Tracking Table'!$AQ116+236.676*'BMP P Tracking Table'!$AR116+726*'BMP P Tracking Table'!$AS116+996.798*'BMP P Tracking Table'!$AT116)*-'BMP P Tracking Table'!$AW116)))/(2*(149.919*'BMP P Tracking Table'!$AQ116+236.676*'BMP P Tracking Table'!$AR116+726*'BMP P Tracking Table'!$AS116+996.798*'BMP P Tracking Table'!$AT116))))),MIN(2,IF('BMP P Tracking Table'!$AP116="Total Pervious",(-(3630*'BMP P Tracking Table'!$U116+20.691*'BMP P Tracking Table'!$AA116)+SQRT((3630*'BMP P Tracking Table'!$U116+20.691*'BMP P Tracking Table'!$AA116)^2-(4*(996.798*'BMP P Tracking Table'!$AA116)*-'BMP P Tracking Table'!$AW116)))/(2*(996.798*'BMP P Tracking Table'!$AA116)),IF(SUM('BMP P Tracking Table'!$W116:$Z116)=0,'BMP P Tracking Table'!$AW116/(-3630*'BMP P Tracking Table'!$U116),(-(3630*'BMP P Tracking Table'!$U116+20.691*'BMP P Tracking Table'!$Z116-216.711*'BMP P Tracking Table'!$Y116-83.853*'BMP P Tracking Table'!$X116-42.834*'BMP P Tracking Table'!$W116)+SQRT((3630*'BMP P Tracking Table'!$U116+20.691*'BMP P Tracking Table'!$Z116-216.711*'BMP P Tracking Table'!$Y116-83.853*'BMP P Tracking Table'!$X116-42.834*'BMP P Tracking Table'!$W116)^2-(4*(149.919*'BMP P Tracking Table'!$W116+236.676*'BMP P Tracking Table'!$X116+726*'BMP P Tracking Table'!$Y116+996.798*'BMP P Tracking Table'!$Z116)*-'BMP P Tracking Table'!$AW116)))/(2*(149.919*'BMP P Tracking Table'!$W116+236.676*'BMP P Tracking Table'!$X116+726*'BMP P Tracking Table'!$Y116+996.798*'BMP P Tracking Table'!$Z116)))))),"")</f>
        <v/>
      </c>
      <c r="BA116" s="101" t="str">
        <f>IFERROR((VLOOKUP(CONCATENATE('BMP P Tracking Table'!$AV116," ",'BMP P Tracking Table'!$AX116),'Performance Curves'!$C$1:$L$45,MATCH('BMP P Tracking Table'!$AZ116,'Performance Curves'!$E$1:$L$1,1)+2,FALSE)-VLOOKUP(CONCATENATE('BMP P Tracking Table'!$AV116," ",'BMP P Tracking Table'!$AX116),'Performance Curves'!$C$1:$L$45,MATCH('BMP P Tracking Table'!$AZ116,'Performance Curves'!$E$1:$L$1,1)+1,FALSE)),"")</f>
        <v/>
      </c>
      <c r="BB116" s="101" t="str">
        <f>IFERROR(('BMP P Tracking Table'!$AZ116-INDEX('Performance Curves'!$E$1:$L$1,1,MATCH('BMP P Tracking Table'!$AZ116,'Performance Curves'!$E$1:$L$1,1)))/(INDEX('Performance Curves'!$E$1:$L$1,1,MATCH('BMP P Tracking Table'!$AZ116,'Performance Curves'!$E$1:$L$1,1)+1)-INDEX('Performance Curves'!$E$1:$L$1,1,MATCH('BMP P Tracking Table'!$AZ116,'Performance Curves'!$E$1:$L$1,1))),"")</f>
        <v/>
      </c>
      <c r="BC116" s="102" t="str">
        <f>IFERROR(IF('BMP P Tracking Table'!$AZ116=2,VLOOKUP(CONCATENATE('BMP P Tracking Table'!$AV116," ",'BMP P Tracking Table'!$AX116),'Performance Curves'!$C$1:$L$44,MATCH('BMP P Tracking Table'!$AZ116,'Performance Curves'!$E$1:$L$1,1)+1,FALSE),'BMP P Tracking Table'!$BA116*'BMP P Tracking Table'!$BB116+VLOOKUP(CONCATENATE('BMP P Tracking Table'!$AV116," ",'BMP P Tracking Table'!$AX116),'Performance Curves'!$C$1:$L$44,MATCH('BMP P Tracking Table'!$AZ116,'Performance Curves'!$E$1:$L$1,1)+1,FALSE)),"")</f>
        <v/>
      </c>
      <c r="BD116" s="101" t="str">
        <f>IFERROR('BMP P Tracking Table'!$BC116*'BMP P Tracking Table'!$AY116,"")</f>
        <v/>
      </c>
      <c r="BE116" s="91"/>
      <c r="BF116" s="37">
        <f t="shared" si="15"/>
        <v>0</v>
      </c>
    </row>
    <row r="117" spans="1:58" x14ac:dyDescent="0.3">
      <c r="A117" s="169"/>
      <c r="B117" s="169"/>
      <c r="C117" s="169"/>
      <c r="D117" s="169"/>
      <c r="E117" s="170"/>
      <c r="F117" s="170"/>
      <c r="G117" s="169"/>
      <c r="H117" s="169"/>
      <c r="I117" s="169"/>
      <c r="J117" s="171"/>
      <c r="K117" s="169"/>
      <c r="L117" s="169"/>
      <c r="M117" s="169"/>
      <c r="N117" s="169"/>
      <c r="O117" s="169"/>
      <c r="P117" s="169"/>
      <c r="Q117" s="169" t="str">
        <f>IFERROR(VLOOKUP('BMP P Tracking Table'!$P117,Dropdowns!$C$2:$E$15,3,FALSE),"")</f>
        <v/>
      </c>
      <c r="R117" s="169" t="str">
        <f>IFERROR(VLOOKUP('BMP P Tracking Table'!$Q117,Dropdowns!$P$3:$Q$23,2,FALSE),"")</f>
        <v/>
      </c>
      <c r="S117" s="169"/>
      <c r="T117" s="169"/>
      <c r="U117" s="169"/>
      <c r="V117" s="169"/>
      <c r="W117" s="169"/>
      <c r="X117" s="169"/>
      <c r="Y117" s="169"/>
      <c r="Z117" s="169"/>
      <c r="AA117" s="169"/>
      <c r="AB117" s="174"/>
      <c r="AC117" s="169"/>
      <c r="AD117" s="175" t="str">
        <f>IFERROR('BMP P Tracking Table'!$U117*VLOOKUP('BMP P Tracking Table'!$Q117,'Loading Rates'!$B$1:$L$24,4,FALSE)+IF('BMP P Tracking Table'!$V117="By HSG",'BMP P Tracking Table'!$W117*VLOOKUP('BMP P Tracking Table'!$Q117,'Loading Rates'!$B$1:$L$24,6,FALSE)+'BMP P Tracking Table'!$X117*VLOOKUP('BMP P Tracking Table'!$Q117,'Loading Rates'!$B$1:$L$24,7,FALSE)+'BMP P Tracking Table'!$Y117*VLOOKUP('BMP P Tracking Table'!$Q117,'Loading Rates'!$B$1:$L$24,8,FALSE)+'BMP P Tracking Table'!$Z117*VLOOKUP('BMP P Tracking Table'!$Q117,'Loading Rates'!$B$1:$L$24,9,FALSE),'BMP P Tracking Table'!$AA117*VLOOKUP('BMP P Tracking Table'!$Q117,'Loading Rates'!$B$1:$L$24,10,FALSE)),"")</f>
        <v/>
      </c>
      <c r="AE117" s="175" t="str">
        <f>IFERROR(MIN(2,IF('BMP P Tracking Table'!$V117="Total Pervious",(-(3630*'BMP P Tracking Table'!$U117+20.691*'BMP P Tracking Table'!$AA117)+SQRT((3630*'BMP P Tracking Table'!$U117+20.691*'BMP P Tracking Table'!$AA117)^2-(4*(996.798*'BMP P Tracking Table'!$AA117)*-'BMP P Tracking Table'!$AB117)))/(2*(996.798*'BMP P Tracking Table'!$AA117)),IF(SUM('BMP P Tracking Table'!$W117:$Z117)=0,'BMP P Tracking Table'!$AB117/(-3630*'BMP P Tracking Table'!$U117),(-(3630*'BMP P Tracking Table'!$U117+20.691*'BMP P Tracking Table'!$Z117-216.711*'BMP P Tracking Table'!$Y117-83.853*'BMP P Tracking Table'!$X117-42.834*'BMP P Tracking Table'!$W117)+SQRT((3630*'BMP P Tracking Table'!$U117+20.691*'BMP P Tracking Table'!$Z117-216.711*'BMP P Tracking Table'!$Y117-83.853*'BMP P Tracking Table'!$X117-42.834*'BMP P Tracking Table'!$W117)^2-(4*(149.919*'BMP P Tracking Table'!$W117+236.676*'BMP P Tracking Table'!$X117+726*'BMP P Tracking Table'!$Y117+996.798*'BMP P Tracking Table'!$Z117)*-'BMP P Tracking Table'!$AB117)))/(2*(149.919*'BMP P Tracking Table'!$W117+236.676*'BMP P Tracking Table'!$X117+726*'BMP P Tracking Table'!$Y117+996.798*'BMP P Tracking Table'!$Z117))))),"")</f>
        <v/>
      </c>
      <c r="AF117" s="175" t="str">
        <f>IFERROR((VLOOKUP(CONCATENATE('BMP P Tracking Table'!$T117," ",'BMP P Tracking Table'!$AC117),'Performance Curves'!$C$1:$L$45,MATCH('BMP P Tracking Table'!$AE117,'Performance Curves'!$E$1:$L$1,1)+2,FALSE)-VLOOKUP(CONCATENATE('BMP P Tracking Table'!$T117," ",'BMP P Tracking Table'!$AC117),'Performance Curves'!$C$1:$L$45,MATCH('BMP P Tracking Table'!$AE117,'Performance Curves'!$E$1:$L$1,1)+1,FALSE)),"")</f>
        <v/>
      </c>
      <c r="AG117" s="175" t="str">
        <f>IFERROR(('BMP P Tracking Table'!$AE117-INDEX('Performance Curves'!$E$1:$L$1,1,MATCH('BMP P Tracking Table'!$AE117,'Performance Curves'!$E$1:$L$1,1)))/(INDEX('Performance Curves'!$E$1:$L$1,1,MATCH('BMP P Tracking Table'!$AE117,'Performance Curves'!$E$1:$L$1,1)+1)-INDEX('Performance Curves'!$E$1:$L$1,1,MATCH('BMP P Tracking Table'!$AE117,'Performance Curves'!$E$1:$L$1,1))),"")</f>
        <v/>
      </c>
      <c r="AH117" s="176" t="str">
        <f>IFERROR(IF('BMP P Tracking Table'!$AE117=2,VLOOKUP(CONCATENATE('BMP P Tracking Table'!$T117," ",'BMP P Tracking Table'!$AC117),'Performance Curves'!$C$1:$L$45,MATCH('BMP P Tracking Table'!$AE117,'Performance Curves'!$E$1:$L$1,1)+1,FALSE),'BMP P Tracking Table'!$AF117*'BMP P Tracking Table'!$AG117+VLOOKUP(CONCATENATE('BMP P Tracking Table'!$T117," ",'BMP P Tracking Table'!$AC117),'Performance Curves'!$C$1:$L$45,MATCH('BMP P Tracking Table'!$AE117,'Performance Curves'!$E$1:$L$1,1)+1,FALSE)),"")</f>
        <v/>
      </c>
      <c r="AI117" s="175" t="str">
        <f>IFERROR('BMP P Tracking Table'!$AH117*'BMP P Tracking Table'!$AD117,"")</f>
        <v/>
      </c>
      <c r="AJ117" s="169"/>
      <c r="AK117" s="173"/>
      <c r="AL117" s="173"/>
      <c r="AM117" s="177"/>
      <c r="AN117" s="178" t="str">
        <f t="shared" si="14"/>
        <v/>
      </c>
      <c r="AO117" s="96"/>
      <c r="AP117" s="96"/>
      <c r="AQ117" s="96"/>
      <c r="AR117" s="96"/>
      <c r="AS117" s="96"/>
      <c r="AT117" s="96"/>
      <c r="AU117" s="96"/>
      <c r="AV117" s="64"/>
      <c r="AW117" s="97"/>
      <c r="AX117" s="97"/>
      <c r="AY117" s="101" t="str">
        <f>IF('BMP P Tracking Table'!$AK117="Yes",IF('BMP P Tracking Table'!$AL117="No",'BMP P Tracking Table'!$U117*VLOOKUP('BMP P Tracking Table'!$Q117,'Loading Rates'!$B$1:$L$24,4,FALSE)+IF('BMP P Tracking Table'!$V117="By HSG",'BMP P Tracking Table'!$W117*VLOOKUP('BMP P Tracking Table'!$Q117,'Loading Rates'!$B$1:$L$24,6,FALSE)+'BMP P Tracking Table'!$X117*VLOOKUP('BMP P Tracking Table'!$Q117,'Loading Rates'!$B$1:$L$24,7,FALSE)+'BMP P Tracking Table'!$Y117*VLOOKUP('BMP P Tracking Table'!$Q117,'Loading Rates'!$B$1:$L$24,8,FALSE)+'BMP P Tracking Table'!$Z117*VLOOKUP('BMP P Tracking Table'!$Q117,'Loading Rates'!$B$1:$L$24,9,FALSE),'BMP P Tracking Table'!$AA117*VLOOKUP('BMP P Tracking Table'!$Q117,'Loading Rates'!$B$1:$L$24,10,FALSE)),'BMP P Tracking Table'!$AO117*VLOOKUP('BMP P Tracking Table'!$Q117,'Loading Rates'!$B$1:$L$24,4,FALSE)+IF('BMP P Tracking Table'!$AP117="By HSG",'BMP P Tracking Table'!$AQ117*VLOOKUP('BMP P Tracking Table'!$Q117,'Loading Rates'!$B$1:$L$24,6,FALSE)+'BMP P Tracking Table'!$AR117*VLOOKUP('BMP P Tracking Table'!$Q117,'Loading Rates'!$B$1:$L$24,7,FALSE)+'BMP P Tracking Table'!$AS117*VLOOKUP('BMP P Tracking Table'!$Q117,'Loading Rates'!$B$1:$L$24,8,FALSE)+'BMP P Tracking Table'!$AT117*VLOOKUP('BMP P Tracking Table'!$Q117,'Loading Rates'!$B$1:$L$24,9,FALSE),'BMP P Tracking Table'!$AU117*VLOOKUP('BMP P Tracking Table'!$Q117,'Loading Rates'!$B$1:$L$24,10,FALSE))),"")</f>
        <v/>
      </c>
      <c r="AZ117" s="101" t="str">
        <f>IFERROR(IF('BMP P Tracking Table'!$AL117="Yes",MIN(2,IF('BMP P Tracking Table'!$AP117="Total Pervious",(-(3630*'BMP P Tracking Table'!$AO117+20.691*'BMP P Tracking Table'!$AU117)+SQRT((3630*'BMP P Tracking Table'!$AO117+20.691*'BMP P Tracking Table'!$AU117)^2-(4*(996.798*'BMP P Tracking Table'!$AU117)*-'BMP P Tracking Table'!$AW117)))/(2*(996.798*'BMP P Tracking Table'!$AU117)),IF(SUM('BMP P Tracking Table'!$AQ117:$AT117)=0,'BMP P Tracking Table'!$AU117/(-3630*'BMP P Tracking Table'!$AO117),(-(3630*'BMP P Tracking Table'!$AO117+20.691*'BMP P Tracking Table'!$AT117-216.711*'BMP P Tracking Table'!$AS117-83.853*'BMP P Tracking Table'!$AR117-42.834*'BMP P Tracking Table'!$AQ117)+SQRT((3630*'BMP P Tracking Table'!$AO117+20.691*'BMP P Tracking Table'!$AT117-216.711*'BMP P Tracking Table'!$AS117-83.853*'BMP P Tracking Table'!$AR117-42.834*'BMP P Tracking Table'!$AQ117)^2-(4*(149.919*'BMP P Tracking Table'!$AQ117+236.676*'BMP P Tracking Table'!$AR117+726*'BMP P Tracking Table'!$AS117+996.798*'BMP P Tracking Table'!$AT117)*-'BMP P Tracking Table'!$AW117)))/(2*(149.919*'BMP P Tracking Table'!$AQ117+236.676*'BMP P Tracking Table'!$AR117+726*'BMP P Tracking Table'!$AS117+996.798*'BMP P Tracking Table'!$AT117))))),MIN(2,IF('BMP P Tracking Table'!$AP117="Total Pervious",(-(3630*'BMP P Tracking Table'!$U117+20.691*'BMP P Tracking Table'!$AA117)+SQRT((3630*'BMP P Tracking Table'!$U117+20.691*'BMP P Tracking Table'!$AA117)^2-(4*(996.798*'BMP P Tracking Table'!$AA117)*-'BMP P Tracking Table'!$AW117)))/(2*(996.798*'BMP P Tracking Table'!$AA117)),IF(SUM('BMP P Tracking Table'!$W117:$Z117)=0,'BMP P Tracking Table'!$AW117/(-3630*'BMP P Tracking Table'!$U117),(-(3630*'BMP P Tracking Table'!$U117+20.691*'BMP P Tracking Table'!$Z117-216.711*'BMP P Tracking Table'!$Y117-83.853*'BMP P Tracking Table'!$X117-42.834*'BMP P Tracking Table'!$W117)+SQRT((3630*'BMP P Tracking Table'!$U117+20.691*'BMP P Tracking Table'!$Z117-216.711*'BMP P Tracking Table'!$Y117-83.853*'BMP P Tracking Table'!$X117-42.834*'BMP P Tracking Table'!$W117)^2-(4*(149.919*'BMP P Tracking Table'!$W117+236.676*'BMP P Tracking Table'!$X117+726*'BMP P Tracking Table'!$Y117+996.798*'BMP P Tracking Table'!$Z117)*-'BMP P Tracking Table'!$AW117)))/(2*(149.919*'BMP P Tracking Table'!$W117+236.676*'BMP P Tracking Table'!$X117+726*'BMP P Tracking Table'!$Y117+996.798*'BMP P Tracking Table'!$Z117)))))),"")</f>
        <v/>
      </c>
      <c r="BA117" s="101" t="str">
        <f>IFERROR((VLOOKUP(CONCATENATE('BMP P Tracking Table'!$AV117," ",'BMP P Tracking Table'!$AX117),'Performance Curves'!$C$1:$L$45,MATCH('BMP P Tracking Table'!$AZ117,'Performance Curves'!$E$1:$L$1,1)+2,FALSE)-VLOOKUP(CONCATENATE('BMP P Tracking Table'!$AV117," ",'BMP P Tracking Table'!$AX117),'Performance Curves'!$C$1:$L$45,MATCH('BMP P Tracking Table'!$AZ117,'Performance Curves'!$E$1:$L$1,1)+1,FALSE)),"")</f>
        <v/>
      </c>
      <c r="BB117" s="101" t="str">
        <f>IFERROR(('BMP P Tracking Table'!$AZ117-INDEX('Performance Curves'!$E$1:$L$1,1,MATCH('BMP P Tracking Table'!$AZ117,'Performance Curves'!$E$1:$L$1,1)))/(INDEX('Performance Curves'!$E$1:$L$1,1,MATCH('BMP P Tracking Table'!$AZ117,'Performance Curves'!$E$1:$L$1,1)+1)-INDEX('Performance Curves'!$E$1:$L$1,1,MATCH('BMP P Tracking Table'!$AZ117,'Performance Curves'!$E$1:$L$1,1))),"")</f>
        <v/>
      </c>
      <c r="BC117" s="102" t="str">
        <f>IFERROR(IF('BMP P Tracking Table'!$AZ117=2,VLOOKUP(CONCATENATE('BMP P Tracking Table'!$AV117," ",'BMP P Tracking Table'!$AX117),'Performance Curves'!$C$1:$L$44,MATCH('BMP P Tracking Table'!$AZ117,'Performance Curves'!$E$1:$L$1,1)+1,FALSE),'BMP P Tracking Table'!$BA117*'BMP P Tracking Table'!$BB117+VLOOKUP(CONCATENATE('BMP P Tracking Table'!$AV117," ",'BMP P Tracking Table'!$AX117),'Performance Curves'!$C$1:$L$44,MATCH('BMP P Tracking Table'!$AZ117,'Performance Curves'!$E$1:$L$1,1)+1,FALSE)),"")</f>
        <v/>
      </c>
      <c r="BD117" s="101" t="str">
        <f>IFERROR('BMP P Tracking Table'!$BC117*'BMP P Tracking Table'!$AY117,"")</f>
        <v/>
      </c>
      <c r="BE117" s="96"/>
      <c r="BF117" s="37">
        <f t="shared" si="15"/>
        <v>0</v>
      </c>
    </row>
    <row r="118" spans="1:58" x14ac:dyDescent="0.3">
      <c r="A118" s="169"/>
      <c r="B118" s="169"/>
      <c r="C118" s="169"/>
      <c r="D118" s="169"/>
      <c r="E118" s="170"/>
      <c r="F118" s="170"/>
      <c r="G118" s="169"/>
      <c r="H118" s="169"/>
      <c r="I118" s="169"/>
      <c r="J118" s="171"/>
      <c r="K118" s="169"/>
      <c r="L118" s="169"/>
      <c r="M118" s="169"/>
      <c r="N118" s="169"/>
      <c r="O118" s="169"/>
      <c r="P118" s="169"/>
      <c r="Q118" s="169" t="str">
        <f>IFERROR(VLOOKUP('BMP P Tracking Table'!$P118,Dropdowns!$C$2:$E$15,3,FALSE),"")</f>
        <v/>
      </c>
      <c r="R118" s="169" t="str">
        <f>IFERROR(VLOOKUP('BMP P Tracking Table'!$Q118,Dropdowns!$P$3:$Q$23,2,FALSE),"")</f>
        <v/>
      </c>
      <c r="S118" s="169"/>
      <c r="T118" s="169"/>
      <c r="U118" s="169"/>
      <c r="V118" s="169"/>
      <c r="W118" s="169"/>
      <c r="X118" s="169"/>
      <c r="Y118" s="169"/>
      <c r="Z118" s="169"/>
      <c r="AA118" s="169"/>
      <c r="AB118" s="174"/>
      <c r="AC118" s="169"/>
      <c r="AD118" s="175" t="str">
        <f>IFERROR('BMP P Tracking Table'!$U118*VLOOKUP('BMP P Tracking Table'!$Q118,'Loading Rates'!$B$1:$L$24,4,FALSE)+IF('BMP P Tracking Table'!$V118="By HSG",'BMP P Tracking Table'!$W118*VLOOKUP('BMP P Tracking Table'!$Q118,'Loading Rates'!$B$1:$L$24,6,FALSE)+'BMP P Tracking Table'!$X118*VLOOKUP('BMP P Tracking Table'!$Q118,'Loading Rates'!$B$1:$L$24,7,FALSE)+'BMP P Tracking Table'!$Y118*VLOOKUP('BMP P Tracking Table'!$Q118,'Loading Rates'!$B$1:$L$24,8,FALSE)+'BMP P Tracking Table'!$Z118*VLOOKUP('BMP P Tracking Table'!$Q118,'Loading Rates'!$B$1:$L$24,9,FALSE),'BMP P Tracking Table'!$AA118*VLOOKUP('BMP P Tracking Table'!$Q118,'Loading Rates'!$B$1:$L$24,10,FALSE)),"")</f>
        <v/>
      </c>
      <c r="AE118" s="175" t="str">
        <f>IFERROR(MIN(2,IF('BMP P Tracking Table'!$V118="Total Pervious",(-(3630*'BMP P Tracking Table'!$U118+20.691*'BMP P Tracking Table'!$AA118)+SQRT((3630*'BMP P Tracking Table'!$U118+20.691*'BMP P Tracking Table'!$AA118)^2-(4*(996.798*'BMP P Tracking Table'!$AA118)*-'BMP P Tracking Table'!$AB118)))/(2*(996.798*'BMP P Tracking Table'!$AA118)),IF(SUM('BMP P Tracking Table'!$W118:$Z118)=0,'BMP P Tracking Table'!$AB118/(-3630*'BMP P Tracking Table'!$U118),(-(3630*'BMP P Tracking Table'!$U118+20.691*'BMP P Tracking Table'!$Z118-216.711*'BMP P Tracking Table'!$Y118-83.853*'BMP P Tracking Table'!$X118-42.834*'BMP P Tracking Table'!$W118)+SQRT((3630*'BMP P Tracking Table'!$U118+20.691*'BMP P Tracking Table'!$Z118-216.711*'BMP P Tracking Table'!$Y118-83.853*'BMP P Tracking Table'!$X118-42.834*'BMP P Tracking Table'!$W118)^2-(4*(149.919*'BMP P Tracking Table'!$W118+236.676*'BMP P Tracking Table'!$X118+726*'BMP P Tracking Table'!$Y118+996.798*'BMP P Tracking Table'!$Z118)*-'BMP P Tracking Table'!$AB118)))/(2*(149.919*'BMP P Tracking Table'!$W118+236.676*'BMP P Tracking Table'!$X118+726*'BMP P Tracking Table'!$Y118+996.798*'BMP P Tracking Table'!$Z118))))),"")</f>
        <v/>
      </c>
      <c r="AF118" s="175" t="str">
        <f>IFERROR((VLOOKUP(CONCATENATE('BMP P Tracking Table'!$T118," ",'BMP P Tracking Table'!$AC118),'Performance Curves'!$C$1:$L$45,MATCH('BMP P Tracking Table'!$AE118,'Performance Curves'!$E$1:$L$1,1)+2,FALSE)-VLOOKUP(CONCATENATE('BMP P Tracking Table'!$T118," ",'BMP P Tracking Table'!$AC118),'Performance Curves'!$C$1:$L$45,MATCH('BMP P Tracking Table'!$AE118,'Performance Curves'!$E$1:$L$1,1)+1,FALSE)),"")</f>
        <v/>
      </c>
      <c r="AG118" s="175" t="str">
        <f>IFERROR(('BMP P Tracking Table'!$AE118-INDEX('Performance Curves'!$E$1:$L$1,1,MATCH('BMP P Tracking Table'!$AE118,'Performance Curves'!$E$1:$L$1,1)))/(INDEX('Performance Curves'!$E$1:$L$1,1,MATCH('BMP P Tracking Table'!$AE118,'Performance Curves'!$E$1:$L$1,1)+1)-INDEX('Performance Curves'!$E$1:$L$1,1,MATCH('BMP P Tracking Table'!$AE118,'Performance Curves'!$E$1:$L$1,1))),"")</f>
        <v/>
      </c>
      <c r="AH118" s="176" t="str">
        <f>IFERROR(IF('BMP P Tracking Table'!$AE118=2,VLOOKUP(CONCATENATE('BMP P Tracking Table'!$T118," ",'BMP P Tracking Table'!$AC118),'Performance Curves'!$C$1:$L$45,MATCH('BMP P Tracking Table'!$AE118,'Performance Curves'!$E$1:$L$1,1)+1,FALSE),'BMP P Tracking Table'!$AF118*'BMP P Tracking Table'!$AG118+VLOOKUP(CONCATENATE('BMP P Tracking Table'!$T118," ",'BMP P Tracking Table'!$AC118),'Performance Curves'!$C$1:$L$45,MATCH('BMP P Tracking Table'!$AE118,'Performance Curves'!$E$1:$L$1,1)+1,FALSE)),"")</f>
        <v/>
      </c>
      <c r="AI118" s="175" t="str">
        <f>IFERROR('BMP P Tracking Table'!$AH118*'BMP P Tracking Table'!$AD118,"")</f>
        <v/>
      </c>
      <c r="AJ118" s="169"/>
      <c r="AK118" s="173"/>
      <c r="AL118" s="173"/>
      <c r="AM118" s="177"/>
      <c r="AN118" s="178" t="str">
        <f t="shared" si="14"/>
        <v/>
      </c>
      <c r="AO118" s="96"/>
      <c r="AP118" s="96"/>
      <c r="AQ118" s="96"/>
      <c r="AR118" s="96"/>
      <c r="AS118" s="96"/>
      <c r="AT118" s="96"/>
      <c r="AU118" s="96"/>
      <c r="AV118" s="64"/>
      <c r="AW118" s="97"/>
      <c r="AX118" s="97"/>
      <c r="AY118" s="101" t="str">
        <f>IF('BMP P Tracking Table'!$AK118="Yes",IF('BMP P Tracking Table'!$AL118="No",'BMP P Tracking Table'!$U118*VLOOKUP('BMP P Tracking Table'!$Q118,'Loading Rates'!$B$1:$L$24,4,FALSE)+IF('BMP P Tracking Table'!$V118="By HSG",'BMP P Tracking Table'!$W118*VLOOKUP('BMP P Tracking Table'!$Q118,'Loading Rates'!$B$1:$L$24,6,FALSE)+'BMP P Tracking Table'!$X118*VLOOKUP('BMP P Tracking Table'!$Q118,'Loading Rates'!$B$1:$L$24,7,FALSE)+'BMP P Tracking Table'!$Y118*VLOOKUP('BMP P Tracking Table'!$Q118,'Loading Rates'!$B$1:$L$24,8,FALSE)+'BMP P Tracking Table'!$Z118*VLOOKUP('BMP P Tracking Table'!$Q118,'Loading Rates'!$B$1:$L$24,9,FALSE),'BMP P Tracking Table'!$AA118*VLOOKUP('BMP P Tracking Table'!$Q118,'Loading Rates'!$B$1:$L$24,10,FALSE)),'BMP P Tracking Table'!$AO118*VLOOKUP('BMP P Tracking Table'!$Q118,'Loading Rates'!$B$1:$L$24,4,FALSE)+IF('BMP P Tracking Table'!$AP118="By HSG",'BMP P Tracking Table'!$AQ118*VLOOKUP('BMP P Tracking Table'!$Q118,'Loading Rates'!$B$1:$L$24,6,FALSE)+'BMP P Tracking Table'!$AR118*VLOOKUP('BMP P Tracking Table'!$Q118,'Loading Rates'!$B$1:$L$24,7,FALSE)+'BMP P Tracking Table'!$AS118*VLOOKUP('BMP P Tracking Table'!$Q118,'Loading Rates'!$B$1:$L$24,8,FALSE)+'BMP P Tracking Table'!$AT118*VLOOKUP('BMP P Tracking Table'!$Q118,'Loading Rates'!$B$1:$L$24,9,FALSE),'BMP P Tracking Table'!$AU118*VLOOKUP('BMP P Tracking Table'!$Q118,'Loading Rates'!$B$1:$L$24,10,FALSE))),"")</f>
        <v/>
      </c>
      <c r="AZ118" s="101" t="str">
        <f>IFERROR(IF('BMP P Tracking Table'!$AL118="Yes",MIN(2,IF('BMP P Tracking Table'!$AP118="Total Pervious",(-(3630*'BMP P Tracking Table'!$AO118+20.691*'BMP P Tracking Table'!$AU118)+SQRT((3630*'BMP P Tracking Table'!$AO118+20.691*'BMP P Tracking Table'!$AU118)^2-(4*(996.798*'BMP P Tracking Table'!$AU118)*-'BMP P Tracking Table'!$AW118)))/(2*(996.798*'BMP P Tracking Table'!$AU118)),IF(SUM('BMP P Tracking Table'!$AQ118:$AT118)=0,'BMP P Tracking Table'!$AU118/(-3630*'BMP P Tracking Table'!$AO118),(-(3630*'BMP P Tracking Table'!$AO118+20.691*'BMP P Tracking Table'!$AT118-216.711*'BMP P Tracking Table'!$AS118-83.853*'BMP P Tracking Table'!$AR118-42.834*'BMP P Tracking Table'!$AQ118)+SQRT((3630*'BMP P Tracking Table'!$AO118+20.691*'BMP P Tracking Table'!$AT118-216.711*'BMP P Tracking Table'!$AS118-83.853*'BMP P Tracking Table'!$AR118-42.834*'BMP P Tracking Table'!$AQ118)^2-(4*(149.919*'BMP P Tracking Table'!$AQ118+236.676*'BMP P Tracking Table'!$AR118+726*'BMP P Tracking Table'!$AS118+996.798*'BMP P Tracking Table'!$AT118)*-'BMP P Tracking Table'!$AW118)))/(2*(149.919*'BMP P Tracking Table'!$AQ118+236.676*'BMP P Tracking Table'!$AR118+726*'BMP P Tracking Table'!$AS118+996.798*'BMP P Tracking Table'!$AT118))))),MIN(2,IF('BMP P Tracking Table'!$AP118="Total Pervious",(-(3630*'BMP P Tracking Table'!$U118+20.691*'BMP P Tracking Table'!$AA118)+SQRT((3630*'BMP P Tracking Table'!$U118+20.691*'BMP P Tracking Table'!$AA118)^2-(4*(996.798*'BMP P Tracking Table'!$AA118)*-'BMP P Tracking Table'!$AW118)))/(2*(996.798*'BMP P Tracking Table'!$AA118)),IF(SUM('BMP P Tracking Table'!$W118:$Z118)=0,'BMP P Tracking Table'!$AW118/(-3630*'BMP P Tracking Table'!$U118),(-(3630*'BMP P Tracking Table'!$U118+20.691*'BMP P Tracking Table'!$Z118-216.711*'BMP P Tracking Table'!$Y118-83.853*'BMP P Tracking Table'!$X118-42.834*'BMP P Tracking Table'!$W118)+SQRT((3630*'BMP P Tracking Table'!$U118+20.691*'BMP P Tracking Table'!$Z118-216.711*'BMP P Tracking Table'!$Y118-83.853*'BMP P Tracking Table'!$X118-42.834*'BMP P Tracking Table'!$W118)^2-(4*(149.919*'BMP P Tracking Table'!$W118+236.676*'BMP P Tracking Table'!$X118+726*'BMP P Tracking Table'!$Y118+996.798*'BMP P Tracking Table'!$Z118)*-'BMP P Tracking Table'!$AW118)))/(2*(149.919*'BMP P Tracking Table'!$W118+236.676*'BMP P Tracking Table'!$X118+726*'BMP P Tracking Table'!$Y118+996.798*'BMP P Tracking Table'!$Z118)))))),"")</f>
        <v/>
      </c>
      <c r="BA118" s="101" t="str">
        <f>IFERROR((VLOOKUP(CONCATENATE('BMP P Tracking Table'!$AV118," ",'BMP P Tracking Table'!$AX118),'Performance Curves'!$C$1:$L$45,MATCH('BMP P Tracking Table'!$AZ118,'Performance Curves'!$E$1:$L$1,1)+2,FALSE)-VLOOKUP(CONCATENATE('BMP P Tracking Table'!$AV118," ",'BMP P Tracking Table'!$AX118),'Performance Curves'!$C$1:$L$45,MATCH('BMP P Tracking Table'!$AZ118,'Performance Curves'!$E$1:$L$1,1)+1,FALSE)),"")</f>
        <v/>
      </c>
      <c r="BB118" s="101" t="str">
        <f>IFERROR(('BMP P Tracking Table'!$AZ118-INDEX('Performance Curves'!$E$1:$L$1,1,MATCH('BMP P Tracking Table'!$AZ118,'Performance Curves'!$E$1:$L$1,1)))/(INDEX('Performance Curves'!$E$1:$L$1,1,MATCH('BMP P Tracking Table'!$AZ118,'Performance Curves'!$E$1:$L$1,1)+1)-INDEX('Performance Curves'!$E$1:$L$1,1,MATCH('BMP P Tracking Table'!$AZ118,'Performance Curves'!$E$1:$L$1,1))),"")</f>
        <v/>
      </c>
      <c r="BC118" s="102" t="str">
        <f>IFERROR(IF('BMP P Tracking Table'!$AZ118=2,VLOOKUP(CONCATENATE('BMP P Tracking Table'!$AV118," ",'BMP P Tracking Table'!$AX118),'Performance Curves'!$C$1:$L$44,MATCH('BMP P Tracking Table'!$AZ118,'Performance Curves'!$E$1:$L$1,1)+1,FALSE),'BMP P Tracking Table'!$BA118*'BMP P Tracking Table'!$BB118+VLOOKUP(CONCATENATE('BMP P Tracking Table'!$AV118," ",'BMP P Tracking Table'!$AX118),'Performance Curves'!$C$1:$L$44,MATCH('BMP P Tracking Table'!$AZ118,'Performance Curves'!$E$1:$L$1,1)+1,FALSE)),"")</f>
        <v/>
      </c>
      <c r="BD118" s="101" t="str">
        <f>IFERROR('BMP P Tracking Table'!$BC118*'BMP P Tracking Table'!$AY118,"")</f>
        <v/>
      </c>
      <c r="BE118" s="96"/>
      <c r="BF118" s="37">
        <f t="shared" si="15"/>
        <v>0</v>
      </c>
    </row>
    <row r="119" spans="1:58" x14ac:dyDescent="0.3">
      <c r="A119" s="169"/>
      <c r="B119" s="169"/>
      <c r="C119" s="169"/>
      <c r="D119" s="169"/>
      <c r="E119" s="170"/>
      <c r="F119" s="170"/>
      <c r="G119" s="169"/>
      <c r="H119" s="169"/>
      <c r="I119" s="169"/>
      <c r="J119" s="171"/>
      <c r="K119" s="169"/>
      <c r="L119" s="169"/>
      <c r="M119" s="169"/>
      <c r="N119" s="169"/>
      <c r="O119" s="169"/>
      <c r="P119" s="169"/>
      <c r="Q119" s="169" t="str">
        <f>IFERROR(VLOOKUP('BMP P Tracking Table'!$P119,Dropdowns!$C$2:$E$15,3,FALSE),"")</f>
        <v/>
      </c>
      <c r="R119" s="169" t="str">
        <f>IFERROR(VLOOKUP('BMP P Tracking Table'!$Q119,Dropdowns!$P$3:$Q$23,2,FALSE),"")</f>
        <v/>
      </c>
      <c r="S119" s="169"/>
      <c r="T119" s="169"/>
      <c r="U119" s="169"/>
      <c r="V119" s="169"/>
      <c r="W119" s="169"/>
      <c r="X119" s="169"/>
      <c r="Y119" s="169"/>
      <c r="Z119" s="169"/>
      <c r="AA119" s="169"/>
      <c r="AB119" s="174"/>
      <c r="AC119" s="169"/>
      <c r="AD119" s="175" t="str">
        <f>IFERROR('BMP P Tracking Table'!$U119*VLOOKUP('BMP P Tracking Table'!$Q119,'Loading Rates'!$B$1:$L$24,4,FALSE)+IF('BMP P Tracking Table'!$V119="By HSG",'BMP P Tracking Table'!$W119*VLOOKUP('BMP P Tracking Table'!$Q119,'Loading Rates'!$B$1:$L$24,6,FALSE)+'BMP P Tracking Table'!$X119*VLOOKUP('BMP P Tracking Table'!$Q119,'Loading Rates'!$B$1:$L$24,7,FALSE)+'BMP P Tracking Table'!$Y119*VLOOKUP('BMP P Tracking Table'!$Q119,'Loading Rates'!$B$1:$L$24,8,FALSE)+'BMP P Tracking Table'!$Z119*VLOOKUP('BMP P Tracking Table'!$Q119,'Loading Rates'!$B$1:$L$24,9,FALSE),'BMP P Tracking Table'!$AA119*VLOOKUP('BMP P Tracking Table'!$Q119,'Loading Rates'!$B$1:$L$24,10,FALSE)),"")</f>
        <v/>
      </c>
      <c r="AE119" s="175" t="str">
        <f>IFERROR(MIN(2,IF('BMP P Tracking Table'!$V119="Total Pervious",(-(3630*'BMP P Tracking Table'!$U119+20.691*'BMP P Tracking Table'!$AA119)+SQRT((3630*'BMP P Tracking Table'!$U119+20.691*'BMP P Tracking Table'!$AA119)^2-(4*(996.798*'BMP P Tracking Table'!$AA119)*-'BMP P Tracking Table'!$AB119)))/(2*(996.798*'BMP P Tracking Table'!$AA119)),IF(SUM('BMP P Tracking Table'!$W119:$Z119)=0,'BMP P Tracking Table'!$AB119/(-3630*'BMP P Tracking Table'!$U119),(-(3630*'BMP P Tracking Table'!$U119+20.691*'BMP P Tracking Table'!$Z119-216.711*'BMP P Tracking Table'!$Y119-83.853*'BMP P Tracking Table'!$X119-42.834*'BMP P Tracking Table'!$W119)+SQRT((3630*'BMP P Tracking Table'!$U119+20.691*'BMP P Tracking Table'!$Z119-216.711*'BMP P Tracking Table'!$Y119-83.853*'BMP P Tracking Table'!$X119-42.834*'BMP P Tracking Table'!$W119)^2-(4*(149.919*'BMP P Tracking Table'!$W119+236.676*'BMP P Tracking Table'!$X119+726*'BMP P Tracking Table'!$Y119+996.798*'BMP P Tracking Table'!$Z119)*-'BMP P Tracking Table'!$AB119)))/(2*(149.919*'BMP P Tracking Table'!$W119+236.676*'BMP P Tracking Table'!$X119+726*'BMP P Tracking Table'!$Y119+996.798*'BMP P Tracking Table'!$Z119))))),"")</f>
        <v/>
      </c>
      <c r="AF119" s="175" t="str">
        <f>IFERROR((VLOOKUP(CONCATENATE('BMP P Tracking Table'!$T119," ",'BMP P Tracking Table'!$AC119),'Performance Curves'!$C$1:$L$45,MATCH('BMP P Tracking Table'!$AE119,'Performance Curves'!$E$1:$L$1,1)+2,FALSE)-VLOOKUP(CONCATENATE('BMP P Tracking Table'!$T119," ",'BMP P Tracking Table'!$AC119),'Performance Curves'!$C$1:$L$45,MATCH('BMP P Tracking Table'!$AE119,'Performance Curves'!$E$1:$L$1,1)+1,FALSE)),"")</f>
        <v/>
      </c>
      <c r="AG119" s="175" t="str">
        <f>IFERROR(('BMP P Tracking Table'!$AE119-INDEX('Performance Curves'!$E$1:$L$1,1,MATCH('BMP P Tracking Table'!$AE119,'Performance Curves'!$E$1:$L$1,1)))/(INDEX('Performance Curves'!$E$1:$L$1,1,MATCH('BMP P Tracking Table'!$AE119,'Performance Curves'!$E$1:$L$1,1)+1)-INDEX('Performance Curves'!$E$1:$L$1,1,MATCH('BMP P Tracking Table'!$AE119,'Performance Curves'!$E$1:$L$1,1))),"")</f>
        <v/>
      </c>
      <c r="AH119" s="176" t="str">
        <f>IFERROR(IF('BMP P Tracking Table'!$AE119=2,VLOOKUP(CONCATENATE('BMP P Tracking Table'!$T119," ",'BMP P Tracking Table'!$AC119),'Performance Curves'!$C$1:$L$45,MATCH('BMP P Tracking Table'!$AE119,'Performance Curves'!$E$1:$L$1,1)+1,FALSE),'BMP P Tracking Table'!$AF119*'BMP P Tracking Table'!$AG119+VLOOKUP(CONCATENATE('BMP P Tracking Table'!$T119," ",'BMP P Tracking Table'!$AC119),'Performance Curves'!$C$1:$L$45,MATCH('BMP P Tracking Table'!$AE119,'Performance Curves'!$E$1:$L$1,1)+1,FALSE)),"")</f>
        <v/>
      </c>
      <c r="AI119" s="175" t="str">
        <f>IFERROR('BMP P Tracking Table'!$AH119*'BMP P Tracking Table'!$AD119,"")</f>
        <v/>
      </c>
      <c r="AJ119" s="169"/>
      <c r="AK119" s="173"/>
      <c r="AL119" s="173"/>
      <c r="AM119" s="177"/>
      <c r="AN119" s="178" t="str">
        <f t="shared" si="14"/>
        <v/>
      </c>
      <c r="AO119" s="96"/>
      <c r="AP119" s="96"/>
      <c r="AQ119" s="96"/>
      <c r="AR119" s="96"/>
      <c r="AS119" s="96"/>
      <c r="AT119" s="96"/>
      <c r="AU119" s="96"/>
      <c r="AV119" s="64"/>
      <c r="AW119" s="97"/>
      <c r="AX119" s="97"/>
      <c r="AY119" s="101" t="str">
        <f>IF('BMP P Tracking Table'!$AK119="Yes",IF('BMP P Tracking Table'!$AL119="No",'BMP P Tracking Table'!$U119*VLOOKUP('BMP P Tracking Table'!$Q119,'Loading Rates'!$B$1:$L$24,4,FALSE)+IF('BMP P Tracking Table'!$V119="By HSG",'BMP P Tracking Table'!$W119*VLOOKUP('BMP P Tracking Table'!$Q119,'Loading Rates'!$B$1:$L$24,6,FALSE)+'BMP P Tracking Table'!$X119*VLOOKUP('BMP P Tracking Table'!$Q119,'Loading Rates'!$B$1:$L$24,7,FALSE)+'BMP P Tracking Table'!$Y119*VLOOKUP('BMP P Tracking Table'!$Q119,'Loading Rates'!$B$1:$L$24,8,FALSE)+'BMP P Tracking Table'!$Z119*VLOOKUP('BMP P Tracking Table'!$Q119,'Loading Rates'!$B$1:$L$24,9,FALSE),'BMP P Tracking Table'!$AA119*VLOOKUP('BMP P Tracking Table'!$Q119,'Loading Rates'!$B$1:$L$24,10,FALSE)),'BMP P Tracking Table'!$AO119*VLOOKUP('BMP P Tracking Table'!$Q119,'Loading Rates'!$B$1:$L$24,4,FALSE)+IF('BMP P Tracking Table'!$AP119="By HSG",'BMP P Tracking Table'!$AQ119*VLOOKUP('BMP P Tracking Table'!$Q119,'Loading Rates'!$B$1:$L$24,6,FALSE)+'BMP P Tracking Table'!$AR119*VLOOKUP('BMP P Tracking Table'!$Q119,'Loading Rates'!$B$1:$L$24,7,FALSE)+'BMP P Tracking Table'!$AS119*VLOOKUP('BMP P Tracking Table'!$Q119,'Loading Rates'!$B$1:$L$24,8,FALSE)+'BMP P Tracking Table'!$AT119*VLOOKUP('BMP P Tracking Table'!$Q119,'Loading Rates'!$B$1:$L$24,9,FALSE),'BMP P Tracking Table'!$AU119*VLOOKUP('BMP P Tracking Table'!$Q119,'Loading Rates'!$B$1:$L$24,10,FALSE))),"")</f>
        <v/>
      </c>
      <c r="AZ119" s="101" t="str">
        <f>IFERROR(IF('BMP P Tracking Table'!$AL119="Yes",MIN(2,IF('BMP P Tracking Table'!$AP119="Total Pervious",(-(3630*'BMP P Tracking Table'!$AO119+20.691*'BMP P Tracking Table'!$AU119)+SQRT((3630*'BMP P Tracking Table'!$AO119+20.691*'BMP P Tracking Table'!$AU119)^2-(4*(996.798*'BMP P Tracking Table'!$AU119)*-'BMP P Tracking Table'!$AW119)))/(2*(996.798*'BMP P Tracking Table'!$AU119)),IF(SUM('BMP P Tracking Table'!$AQ119:$AT119)=0,'BMP P Tracking Table'!$AU119/(-3630*'BMP P Tracking Table'!$AO119),(-(3630*'BMP P Tracking Table'!$AO119+20.691*'BMP P Tracking Table'!$AT119-216.711*'BMP P Tracking Table'!$AS119-83.853*'BMP P Tracking Table'!$AR119-42.834*'BMP P Tracking Table'!$AQ119)+SQRT((3630*'BMP P Tracking Table'!$AO119+20.691*'BMP P Tracking Table'!$AT119-216.711*'BMP P Tracking Table'!$AS119-83.853*'BMP P Tracking Table'!$AR119-42.834*'BMP P Tracking Table'!$AQ119)^2-(4*(149.919*'BMP P Tracking Table'!$AQ119+236.676*'BMP P Tracking Table'!$AR119+726*'BMP P Tracking Table'!$AS119+996.798*'BMP P Tracking Table'!$AT119)*-'BMP P Tracking Table'!$AW119)))/(2*(149.919*'BMP P Tracking Table'!$AQ119+236.676*'BMP P Tracking Table'!$AR119+726*'BMP P Tracking Table'!$AS119+996.798*'BMP P Tracking Table'!$AT119))))),MIN(2,IF('BMP P Tracking Table'!$AP119="Total Pervious",(-(3630*'BMP P Tracking Table'!$U119+20.691*'BMP P Tracking Table'!$AA119)+SQRT((3630*'BMP P Tracking Table'!$U119+20.691*'BMP P Tracking Table'!$AA119)^2-(4*(996.798*'BMP P Tracking Table'!$AA119)*-'BMP P Tracking Table'!$AW119)))/(2*(996.798*'BMP P Tracking Table'!$AA119)),IF(SUM('BMP P Tracking Table'!$W119:$Z119)=0,'BMP P Tracking Table'!$AW119/(-3630*'BMP P Tracking Table'!$U119),(-(3630*'BMP P Tracking Table'!$U119+20.691*'BMP P Tracking Table'!$Z119-216.711*'BMP P Tracking Table'!$Y119-83.853*'BMP P Tracking Table'!$X119-42.834*'BMP P Tracking Table'!$W119)+SQRT((3630*'BMP P Tracking Table'!$U119+20.691*'BMP P Tracking Table'!$Z119-216.711*'BMP P Tracking Table'!$Y119-83.853*'BMP P Tracking Table'!$X119-42.834*'BMP P Tracking Table'!$W119)^2-(4*(149.919*'BMP P Tracking Table'!$W119+236.676*'BMP P Tracking Table'!$X119+726*'BMP P Tracking Table'!$Y119+996.798*'BMP P Tracking Table'!$Z119)*-'BMP P Tracking Table'!$AW119)))/(2*(149.919*'BMP P Tracking Table'!$W119+236.676*'BMP P Tracking Table'!$X119+726*'BMP P Tracking Table'!$Y119+996.798*'BMP P Tracking Table'!$Z119)))))),"")</f>
        <v/>
      </c>
      <c r="BA119" s="101" t="str">
        <f>IFERROR((VLOOKUP(CONCATENATE('BMP P Tracking Table'!$AV119," ",'BMP P Tracking Table'!$AX119),'Performance Curves'!$C$1:$L$45,MATCH('BMP P Tracking Table'!$AZ119,'Performance Curves'!$E$1:$L$1,1)+2,FALSE)-VLOOKUP(CONCATENATE('BMP P Tracking Table'!$AV119," ",'BMP P Tracking Table'!$AX119),'Performance Curves'!$C$1:$L$45,MATCH('BMP P Tracking Table'!$AZ119,'Performance Curves'!$E$1:$L$1,1)+1,FALSE)),"")</f>
        <v/>
      </c>
      <c r="BB119" s="101" t="str">
        <f>IFERROR(('BMP P Tracking Table'!$AZ119-INDEX('Performance Curves'!$E$1:$L$1,1,MATCH('BMP P Tracking Table'!$AZ119,'Performance Curves'!$E$1:$L$1,1)))/(INDEX('Performance Curves'!$E$1:$L$1,1,MATCH('BMP P Tracking Table'!$AZ119,'Performance Curves'!$E$1:$L$1,1)+1)-INDEX('Performance Curves'!$E$1:$L$1,1,MATCH('BMP P Tracking Table'!$AZ119,'Performance Curves'!$E$1:$L$1,1))),"")</f>
        <v/>
      </c>
      <c r="BC119" s="102" t="str">
        <f>IFERROR(IF('BMP P Tracking Table'!$AZ119=2,VLOOKUP(CONCATENATE('BMP P Tracking Table'!$AV119," ",'BMP P Tracking Table'!$AX119),'Performance Curves'!$C$1:$L$44,MATCH('BMP P Tracking Table'!$AZ119,'Performance Curves'!$E$1:$L$1,1)+1,FALSE),'BMP P Tracking Table'!$BA119*'BMP P Tracking Table'!$BB119+VLOOKUP(CONCATENATE('BMP P Tracking Table'!$AV119," ",'BMP P Tracking Table'!$AX119),'Performance Curves'!$C$1:$L$44,MATCH('BMP P Tracking Table'!$AZ119,'Performance Curves'!$E$1:$L$1,1)+1,FALSE)),"")</f>
        <v/>
      </c>
      <c r="BD119" s="101" t="str">
        <f>IFERROR('BMP P Tracking Table'!$BC119*'BMP P Tracking Table'!$AY119,"")</f>
        <v/>
      </c>
      <c r="BE119" s="96"/>
      <c r="BF119" s="37">
        <f t="shared" si="15"/>
        <v>0</v>
      </c>
    </row>
    <row r="120" spans="1:58" x14ac:dyDescent="0.3">
      <c r="A120" s="169"/>
      <c r="B120" s="169"/>
      <c r="C120" s="169"/>
      <c r="D120" s="169"/>
      <c r="E120" s="170"/>
      <c r="F120" s="170"/>
      <c r="G120" s="169"/>
      <c r="H120" s="169"/>
      <c r="I120" s="169"/>
      <c r="J120" s="171"/>
      <c r="K120" s="169"/>
      <c r="L120" s="169"/>
      <c r="M120" s="169"/>
      <c r="N120" s="169"/>
      <c r="O120" s="169"/>
      <c r="P120" s="169"/>
      <c r="Q120" s="169" t="str">
        <f>IFERROR(VLOOKUP('BMP P Tracking Table'!$P120,Dropdowns!$C$2:$E$15,3,FALSE),"")</f>
        <v/>
      </c>
      <c r="R120" s="169" t="str">
        <f>IFERROR(VLOOKUP('BMP P Tracking Table'!$Q120,Dropdowns!$P$3:$Q$23,2,FALSE),"")</f>
        <v/>
      </c>
      <c r="S120" s="169"/>
      <c r="T120" s="169"/>
      <c r="U120" s="169"/>
      <c r="V120" s="169"/>
      <c r="W120" s="169"/>
      <c r="X120" s="169"/>
      <c r="Y120" s="169"/>
      <c r="Z120" s="169"/>
      <c r="AA120" s="169"/>
      <c r="AB120" s="174"/>
      <c r="AC120" s="169"/>
      <c r="AD120" s="175" t="str">
        <f>IFERROR('BMP P Tracking Table'!$U120*VLOOKUP('BMP P Tracking Table'!$Q120,'Loading Rates'!$B$1:$L$24,4,FALSE)+IF('BMP P Tracking Table'!$V120="By HSG",'BMP P Tracking Table'!$W120*VLOOKUP('BMP P Tracking Table'!$Q120,'Loading Rates'!$B$1:$L$24,6,FALSE)+'BMP P Tracking Table'!$X120*VLOOKUP('BMP P Tracking Table'!$Q120,'Loading Rates'!$B$1:$L$24,7,FALSE)+'BMP P Tracking Table'!$Y120*VLOOKUP('BMP P Tracking Table'!$Q120,'Loading Rates'!$B$1:$L$24,8,FALSE)+'BMP P Tracking Table'!$Z120*VLOOKUP('BMP P Tracking Table'!$Q120,'Loading Rates'!$B$1:$L$24,9,FALSE),'BMP P Tracking Table'!$AA120*VLOOKUP('BMP P Tracking Table'!$Q120,'Loading Rates'!$B$1:$L$24,10,FALSE)),"")</f>
        <v/>
      </c>
      <c r="AE120" s="175" t="str">
        <f>IFERROR(MIN(2,IF('BMP P Tracking Table'!$V120="Total Pervious",(-(3630*'BMP P Tracking Table'!$U120+20.691*'BMP P Tracking Table'!$AA120)+SQRT((3630*'BMP P Tracking Table'!$U120+20.691*'BMP P Tracking Table'!$AA120)^2-(4*(996.798*'BMP P Tracking Table'!$AA120)*-'BMP P Tracking Table'!$AB120)))/(2*(996.798*'BMP P Tracking Table'!$AA120)),IF(SUM('BMP P Tracking Table'!$W120:$Z120)=0,'BMP P Tracking Table'!$AB120/(-3630*'BMP P Tracking Table'!$U120),(-(3630*'BMP P Tracking Table'!$U120+20.691*'BMP P Tracking Table'!$Z120-216.711*'BMP P Tracking Table'!$Y120-83.853*'BMP P Tracking Table'!$X120-42.834*'BMP P Tracking Table'!$W120)+SQRT((3630*'BMP P Tracking Table'!$U120+20.691*'BMP P Tracking Table'!$Z120-216.711*'BMP P Tracking Table'!$Y120-83.853*'BMP P Tracking Table'!$X120-42.834*'BMP P Tracking Table'!$W120)^2-(4*(149.919*'BMP P Tracking Table'!$W120+236.676*'BMP P Tracking Table'!$X120+726*'BMP P Tracking Table'!$Y120+996.798*'BMP P Tracking Table'!$Z120)*-'BMP P Tracking Table'!$AB120)))/(2*(149.919*'BMP P Tracking Table'!$W120+236.676*'BMP P Tracking Table'!$X120+726*'BMP P Tracking Table'!$Y120+996.798*'BMP P Tracking Table'!$Z120))))),"")</f>
        <v/>
      </c>
      <c r="AF120" s="175" t="str">
        <f>IFERROR((VLOOKUP(CONCATENATE('BMP P Tracking Table'!$T120," ",'BMP P Tracking Table'!$AC120),'Performance Curves'!$C$1:$L$45,MATCH('BMP P Tracking Table'!$AE120,'Performance Curves'!$E$1:$L$1,1)+2,FALSE)-VLOOKUP(CONCATENATE('BMP P Tracking Table'!$T120," ",'BMP P Tracking Table'!$AC120),'Performance Curves'!$C$1:$L$45,MATCH('BMP P Tracking Table'!$AE120,'Performance Curves'!$E$1:$L$1,1)+1,FALSE)),"")</f>
        <v/>
      </c>
      <c r="AG120" s="175" t="str">
        <f>IFERROR(('BMP P Tracking Table'!$AE120-INDEX('Performance Curves'!$E$1:$L$1,1,MATCH('BMP P Tracking Table'!$AE120,'Performance Curves'!$E$1:$L$1,1)))/(INDEX('Performance Curves'!$E$1:$L$1,1,MATCH('BMP P Tracking Table'!$AE120,'Performance Curves'!$E$1:$L$1,1)+1)-INDEX('Performance Curves'!$E$1:$L$1,1,MATCH('BMP P Tracking Table'!$AE120,'Performance Curves'!$E$1:$L$1,1))),"")</f>
        <v/>
      </c>
      <c r="AH120" s="176" t="str">
        <f>IFERROR(IF('BMP P Tracking Table'!$AE120=2,VLOOKUP(CONCATENATE('BMP P Tracking Table'!$T120," ",'BMP P Tracking Table'!$AC120),'Performance Curves'!$C$1:$L$45,MATCH('BMP P Tracking Table'!$AE120,'Performance Curves'!$E$1:$L$1,1)+1,FALSE),'BMP P Tracking Table'!$AF120*'BMP P Tracking Table'!$AG120+VLOOKUP(CONCATENATE('BMP P Tracking Table'!$T120," ",'BMP P Tracking Table'!$AC120),'Performance Curves'!$C$1:$L$45,MATCH('BMP P Tracking Table'!$AE120,'Performance Curves'!$E$1:$L$1,1)+1,FALSE)),"")</f>
        <v/>
      </c>
      <c r="AI120" s="175" t="str">
        <f>IFERROR('BMP P Tracking Table'!$AH120*'BMP P Tracking Table'!$AD120,"")</f>
        <v/>
      </c>
      <c r="AJ120" s="169"/>
      <c r="AK120" s="173"/>
      <c r="AL120" s="173"/>
      <c r="AM120" s="177"/>
      <c r="AN120" s="178" t="str">
        <f t="shared" si="14"/>
        <v/>
      </c>
      <c r="AO120" s="96"/>
      <c r="AP120" s="96"/>
      <c r="AQ120" s="96"/>
      <c r="AR120" s="96"/>
      <c r="AS120" s="96"/>
      <c r="AT120" s="96"/>
      <c r="AU120" s="96"/>
      <c r="AV120" s="64"/>
      <c r="AW120" s="97"/>
      <c r="AX120" s="97"/>
      <c r="AY120" s="101" t="str">
        <f>IF('BMP P Tracking Table'!$AK120="Yes",IF('BMP P Tracking Table'!$AL120="No",'BMP P Tracking Table'!$U120*VLOOKUP('BMP P Tracking Table'!$Q120,'Loading Rates'!$B$1:$L$24,4,FALSE)+IF('BMP P Tracking Table'!$V120="By HSG",'BMP P Tracking Table'!$W120*VLOOKUP('BMP P Tracking Table'!$Q120,'Loading Rates'!$B$1:$L$24,6,FALSE)+'BMP P Tracking Table'!$X120*VLOOKUP('BMP P Tracking Table'!$Q120,'Loading Rates'!$B$1:$L$24,7,FALSE)+'BMP P Tracking Table'!$Y120*VLOOKUP('BMP P Tracking Table'!$Q120,'Loading Rates'!$B$1:$L$24,8,FALSE)+'BMP P Tracking Table'!$Z120*VLOOKUP('BMP P Tracking Table'!$Q120,'Loading Rates'!$B$1:$L$24,9,FALSE),'BMP P Tracking Table'!$AA120*VLOOKUP('BMP P Tracking Table'!$Q120,'Loading Rates'!$B$1:$L$24,10,FALSE)),'BMP P Tracking Table'!$AO120*VLOOKUP('BMP P Tracking Table'!$Q120,'Loading Rates'!$B$1:$L$24,4,FALSE)+IF('BMP P Tracking Table'!$AP120="By HSG",'BMP P Tracking Table'!$AQ120*VLOOKUP('BMP P Tracking Table'!$Q120,'Loading Rates'!$B$1:$L$24,6,FALSE)+'BMP P Tracking Table'!$AR120*VLOOKUP('BMP P Tracking Table'!$Q120,'Loading Rates'!$B$1:$L$24,7,FALSE)+'BMP P Tracking Table'!$AS120*VLOOKUP('BMP P Tracking Table'!$Q120,'Loading Rates'!$B$1:$L$24,8,FALSE)+'BMP P Tracking Table'!$AT120*VLOOKUP('BMP P Tracking Table'!$Q120,'Loading Rates'!$B$1:$L$24,9,FALSE),'BMP P Tracking Table'!$AU120*VLOOKUP('BMP P Tracking Table'!$Q120,'Loading Rates'!$B$1:$L$24,10,FALSE))),"")</f>
        <v/>
      </c>
      <c r="AZ120" s="101" t="str">
        <f>IFERROR(IF('BMP P Tracking Table'!$AL120="Yes",MIN(2,IF('BMP P Tracking Table'!$AP120="Total Pervious",(-(3630*'BMP P Tracking Table'!$AO120+20.691*'BMP P Tracking Table'!$AU120)+SQRT((3630*'BMP P Tracking Table'!$AO120+20.691*'BMP P Tracking Table'!$AU120)^2-(4*(996.798*'BMP P Tracking Table'!$AU120)*-'BMP P Tracking Table'!$AW120)))/(2*(996.798*'BMP P Tracking Table'!$AU120)),IF(SUM('BMP P Tracking Table'!$AQ120:$AT120)=0,'BMP P Tracking Table'!$AU120/(-3630*'BMP P Tracking Table'!$AO120),(-(3630*'BMP P Tracking Table'!$AO120+20.691*'BMP P Tracking Table'!$AT120-216.711*'BMP P Tracking Table'!$AS120-83.853*'BMP P Tracking Table'!$AR120-42.834*'BMP P Tracking Table'!$AQ120)+SQRT((3630*'BMP P Tracking Table'!$AO120+20.691*'BMP P Tracking Table'!$AT120-216.711*'BMP P Tracking Table'!$AS120-83.853*'BMP P Tracking Table'!$AR120-42.834*'BMP P Tracking Table'!$AQ120)^2-(4*(149.919*'BMP P Tracking Table'!$AQ120+236.676*'BMP P Tracking Table'!$AR120+726*'BMP P Tracking Table'!$AS120+996.798*'BMP P Tracking Table'!$AT120)*-'BMP P Tracking Table'!$AW120)))/(2*(149.919*'BMP P Tracking Table'!$AQ120+236.676*'BMP P Tracking Table'!$AR120+726*'BMP P Tracking Table'!$AS120+996.798*'BMP P Tracking Table'!$AT120))))),MIN(2,IF('BMP P Tracking Table'!$AP120="Total Pervious",(-(3630*'BMP P Tracking Table'!$U120+20.691*'BMP P Tracking Table'!$AA120)+SQRT((3630*'BMP P Tracking Table'!$U120+20.691*'BMP P Tracking Table'!$AA120)^2-(4*(996.798*'BMP P Tracking Table'!$AA120)*-'BMP P Tracking Table'!$AW120)))/(2*(996.798*'BMP P Tracking Table'!$AA120)),IF(SUM('BMP P Tracking Table'!$W120:$Z120)=0,'BMP P Tracking Table'!$AW120/(-3630*'BMP P Tracking Table'!$U120),(-(3630*'BMP P Tracking Table'!$U120+20.691*'BMP P Tracking Table'!$Z120-216.711*'BMP P Tracking Table'!$Y120-83.853*'BMP P Tracking Table'!$X120-42.834*'BMP P Tracking Table'!$W120)+SQRT((3630*'BMP P Tracking Table'!$U120+20.691*'BMP P Tracking Table'!$Z120-216.711*'BMP P Tracking Table'!$Y120-83.853*'BMP P Tracking Table'!$X120-42.834*'BMP P Tracking Table'!$W120)^2-(4*(149.919*'BMP P Tracking Table'!$W120+236.676*'BMP P Tracking Table'!$X120+726*'BMP P Tracking Table'!$Y120+996.798*'BMP P Tracking Table'!$Z120)*-'BMP P Tracking Table'!$AW120)))/(2*(149.919*'BMP P Tracking Table'!$W120+236.676*'BMP P Tracking Table'!$X120+726*'BMP P Tracking Table'!$Y120+996.798*'BMP P Tracking Table'!$Z120)))))),"")</f>
        <v/>
      </c>
      <c r="BA120" s="101" t="str">
        <f>IFERROR((VLOOKUP(CONCATENATE('BMP P Tracking Table'!$AV120," ",'BMP P Tracking Table'!$AX120),'Performance Curves'!$C$1:$L$45,MATCH('BMP P Tracking Table'!$AZ120,'Performance Curves'!$E$1:$L$1,1)+2,FALSE)-VLOOKUP(CONCATENATE('BMP P Tracking Table'!$AV120," ",'BMP P Tracking Table'!$AX120),'Performance Curves'!$C$1:$L$45,MATCH('BMP P Tracking Table'!$AZ120,'Performance Curves'!$E$1:$L$1,1)+1,FALSE)),"")</f>
        <v/>
      </c>
      <c r="BB120" s="101" t="str">
        <f>IFERROR(('BMP P Tracking Table'!$AZ120-INDEX('Performance Curves'!$E$1:$L$1,1,MATCH('BMP P Tracking Table'!$AZ120,'Performance Curves'!$E$1:$L$1,1)))/(INDEX('Performance Curves'!$E$1:$L$1,1,MATCH('BMP P Tracking Table'!$AZ120,'Performance Curves'!$E$1:$L$1,1)+1)-INDEX('Performance Curves'!$E$1:$L$1,1,MATCH('BMP P Tracking Table'!$AZ120,'Performance Curves'!$E$1:$L$1,1))),"")</f>
        <v/>
      </c>
      <c r="BC120" s="102" t="str">
        <f>IFERROR(IF('BMP P Tracking Table'!$AZ120=2,VLOOKUP(CONCATENATE('BMP P Tracking Table'!$AV120," ",'BMP P Tracking Table'!$AX120),'Performance Curves'!$C$1:$L$44,MATCH('BMP P Tracking Table'!$AZ120,'Performance Curves'!$E$1:$L$1,1)+1,FALSE),'BMP P Tracking Table'!$BA120*'BMP P Tracking Table'!$BB120+VLOOKUP(CONCATENATE('BMP P Tracking Table'!$AV120," ",'BMP P Tracking Table'!$AX120),'Performance Curves'!$C$1:$L$44,MATCH('BMP P Tracking Table'!$AZ120,'Performance Curves'!$E$1:$L$1,1)+1,FALSE)),"")</f>
        <v/>
      </c>
      <c r="BD120" s="101" t="str">
        <f>IFERROR('BMP P Tracking Table'!$BC120*'BMP P Tracking Table'!$AY120,"")</f>
        <v/>
      </c>
      <c r="BE120" s="96"/>
      <c r="BF120" s="37">
        <f t="shared" si="15"/>
        <v>0</v>
      </c>
    </row>
    <row r="121" spans="1:58" x14ac:dyDescent="0.3">
      <c r="A121" s="169"/>
      <c r="B121" s="169"/>
      <c r="C121" s="169"/>
      <c r="D121" s="169"/>
      <c r="E121" s="170"/>
      <c r="F121" s="170"/>
      <c r="G121" s="169"/>
      <c r="H121" s="169"/>
      <c r="I121" s="169"/>
      <c r="J121" s="171"/>
      <c r="K121" s="169"/>
      <c r="L121" s="169"/>
      <c r="M121" s="169"/>
      <c r="N121" s="169"/>
      <c r="O121" s="169"/>
      <c r="P121" s="169"/>
      <c r="Q121" s="169" t="str">
        <f>IFERROR(VLOOKUP('BMP P Tracking Table'!$P121,Dropdowns!$C$2:$E$15,3,FALSE),"")</f>
        <v/>
      </c>
      <c r="R121" s="169" t="str">
        <f>IFERROR(VLOOKUP('BMP P Tracking Table'!$Q121,Dropdowns!$P$3:$Q$23,2,FALSE),"")</f>
        <v/>
      </c>
      <c r="S121" s="169"/>
      <c r="T121" s="169"/>
      <c r="U121" s="169"/>
      <c r="V121" s="169"/>
      <c r="W121" s="169"/>
      <c r="X121" s="169"/>
      <c r="Y121" s="169"/>
      <c r="Z121" s="169"/>
      <c r="AA121" s="169"/>
      <c r="AB121" s="174"/>
      <c r="AC121" s="169"/>
      <c r="AD121" s="175" t="str">
        <f>IFERROR('BMP P Tracking Table'!$U121*VLOOKUP('BMP P Tracking Table'!$Q121,'Loading Rates'!$B$1:$L$24,4,FALSE)+IF('BMP P Tracking Table'!$V121="By HSG",'BMP P Tracking Table'!$W121*VLOOKUP('BMP P Tracking Table'!$Q121,'Loading Rates'!$B$1:$L$24,6,FALSE)+'BMP P Tracking Table'!$X121*VLOOKUP('BMP P Tracking Table'!$Q121,'Loading Rates'!$B$1:$L$24,7,FALSE)+'BMP P Tracking Table'!$Y121*VLOOKUP('BMP P Tracking Table'!$Q121,'Loading Rates'!$B$1:$L$24,8,FALSE)+'BMP P Tracking Table'!$Z121*VLOOKUP('BMP P Tracking Table'!$Q121,'Loading Rates'!$B$1:$L$24,9,FALSE),'BMP P Tracking Table'!$AA121*VLOOKUP('BMP P Tracking Table'!$Q121,'Loading Rates'!$B$1:$L$24,10,FALSE)),"")</f>
        <v/>
      </c>
      <c r="AE121" s="175" t="str">
        <f>IFERROR(MIN(2,IF('BMP P Tracking Table'!$V121="Total Pervious",(-(3630*'BMP P Tracking Table'!$U121+20.691*'BMP P Tracking Table'!$AA121)+SQRT((3630*'BMP P Tracking Table'!$U121+20.691*'BMP P Tracking Table'!$AA121)^2-(4*(996.798*'BMP P Tracking Table'!$AA121)*-'BMP P Tracking Table'!$AB121)))/(2*(996.798*'BMP P Tracking Table'!$AA121)),IF(SUM('BMP P Tracking Table'!$W121:$Z121)=0,'BMP P Tracking Table'!$AB121/(-3630*'BMP P Tracking Table'!$U121),(-(3630*'BMP P Tracking Table'!$U121+20.691*'BMP P Tracking Table'!$Z121-216.711*'BMP P Tracking Table'!$Y121-83.853*'BMP P Tracking Table'!$X121-42.834*'BMP P Tracking Table'!$W121)+SQRT((3630*'BMP P Tracking Table'!$U121+20.691*'BMP P Tracking Table'!$Z121-216.711*'BMP P Tracking Table'!$Y121-83.853*'BMP P Tracking Table'!$X121-42.834*'BMP P Tracking Table'!$W121)^2-(4*(149.919*'BMP P Tracking Table'!$W121+236.676*'BMP P Tracking Table'!$X121+726*'BMP P Tracking Table'!$Y121+996.798*'BMP P Tracking Table'!$Z121)*-'BMP P Tracking Table'!$AB121)))/(2*(149.919*'BMP P Tracking Table'!$W121+236.676*'BMP P Tracking Table'!$X121+726*'BMP P Tracking Table'!$Y121+996.798*'BMP P Tracking Table'!$Z121))))),"")</f>
        <v/>
      </c>
      <c r="AF121" s="175" t="str">
        <f>IFERROR((VLOOKUP(CONCATENATE('BMP P Tracking Table'!$T121," ",'BMP P Tracking Table'!$AC121),'Performance Curves'!$C$1:$L$45,MATCH('BMP P Tracking Table'!$AE121,'Performance Curves'!$E$1:$L$1,1)+2,FALSE)-VLOOKUP(CONCATENATE('BMP P Tracking Table'!$T121," ",'BMP P Tracking Table'!$AC121),'Performance Curves'!$C$1:$L$45,MATCH('BMP P Tracking Table'!$AE121,'Performance Curves'!$E$1:$L$1,1)+1,FALSE)),"")</f>
        <v/>
      </c>
      <c r="AG121" s="175" t="str">
        <f>IFERROR(('BMP P Tracking Table'!$AE121-INDEX('Performance Curves'!$E$1:$L$1,1,MATCH('BMP P Tracking Table'!$AE121,'Performance Curves'!$E$1:$L$1,1)))/(INDEX('Performance Curves'!$E$1:$L$1,1,MATCH('BMP P Tracking Table'!$AE121,'Performance Curves'!$E$1:$L$1,1)+1)-INDEX('Performance Curves'!$E$1:$L$1,1,MATCH('BMP P Tracking Table'!$AE121,'Performance Curves'!$E$1:$L$1,1))),"")</f>
        <v/>
      </c>
      <c r="AH121" s="176" t="str">
        <f>IFERROR(IF('BMP P Tracking Table'!$AE121=2,VLOOKUP(CONCATENATE('BMP P Tracking Table'!$T121," ",'BMP P Tracking Table'!$AC121),'Performance Curves'!$C$1:$L$45,MATCH('BMP P Tracking Table'!$AE121,'Performance Curves'!$E$1:$L$1,1)+1,FALSE),'BMP P Tracking Table'!$AF121*'BMP P Tracking Table'!$AG121+VLOOKUP(CONCATENATE('BMP P Tracking Table'!$T121," ",'BMP P Tracking Table'!$AC121),'Performance Curves'!$C$1:$L$45,MATCH('BMP P Tracking Table'!$AE121,'Performance Curves'!$E$1:$L$1,1)+1,FALSE)),"")</f>
        <v/>
      </c>
      <c r="AI121" s="175" t="str">
        <f>IFERROR('BMP P Tracking Table'!$AH121*'BMP P Tracking Table'!$AD121,"")</f>
        <v/>
      </c>
      <c r="AJ121" s="169"/>
      <c r="AK121" s="173"/>
      <c r="AL121" s="173"/>
      <c r="AM121" s="177"/>
      <c r="AN121" s="178" t="str">
        <f t="shared" si="14"/>
        <v/>
      </c>
      <c r="AO121" s="96"/>
      <c r="AP121" s="96"/>
      <c r="AQ121" s="96"/>
      <c r="AR121" s="96"/>
      <c r="AS121" s="96"/>
      <c r="AT121" s="96"/>
      <c r="AU121" s="96"/>
      <c r="AV121" s="64"/>
      <c r="AW121" s="97"/>
      <c r="AX121" s="97"/>
      <c r="AY121" s="101" t="str">
        <f>IF('BMP P Tracking Table'!$AK121="Yes",IF('BMP P Tracking Table'!$AL121="No",'BMP P Tracking Table'!$U121*VLOOKUP('BMP P Tracking Table'!$Q121,'Loading Rates'!$B$1:$L$24,4,FALSE)+IF('BMP P Tracking Table'!$V121="By HSG",'BMP P Tracking Table'!$W121*VLOOKUP('BMP P Tracking Table'!$Q121,'Loading Rates'!$B$1:$L$24,6,FALSE)+'BMP P Tracking Table'!$X121*VLOOKUP('BMP P Tracking Table'!$Q121,'Loading Rates'!$B$1:$L$24,7,FALSE)+'BMP P Tracking Table'!$Y121*VLOOKUP('BMP P Tracking Table'!$Q121,'Loading Rates'!$B$1:$L$24,8,FALSE)+'BMP P Tracking Table'!$Z121*VLOOKUP('BMP P Tracking Table'!$Q121,'Loading Rates'!$B$1:$L$24,9,FALSE),'BMP P Tracking Table'!$AA121*VLOOKUP('BMP P Tracking Table'!$Q121,'Loading Rates'!$B$1:$L$24,10,FALSE)),'BMP P Tracking Table'!$AO121*VLOOKUP('BMP P Tracking Table'!$Q121,'Loading Rates'!$B$1:$L$24,4,FALSE)+IF('BMP P Tracking Table'!$AP121="By HSG",'BMP P Tracking Table'!$AQ121*VLOOKUP('BMP P Tracking Table'!$Q121,'Loading Rates'!$B$1:$L$24,6,FALSE)+'BMP P Tracking Table'!$AR121*VLOOKUP('BMP P Tracking Table'!$Q121,'Loading Rates'!$B$1:$L$24,7,FALSE)+'BMP P Tracking Table'!$AS121*VLOOKUP('BMP P Tracking Table'!$Q121,'Loading Rates'!$B$1:$L$24,8,FALSE)+'BMP P Tracking Table'!$AT121*VLOOKUP('BMP P Tracking Table'!$Q121,'Loading Rates'!$B$1:$L$24,9,FALSE),'BMP P Tracking Table'!$AU121*VLOOKUP('BMP P Tracking Table'!$Q121,'Loading Rates'!$B$1:$L$24,10,FALSE))),"")</f>
        <v/>
      </c>
      <c r="AZ121" s="101" t="str">
        <f>IFERROR(IF('BMP P Tracking Table'!$AL121="Yes",MIN(2,IF('BMP P Tracking Table'!$AP121="Total Pervious",(-(3630*'BMP P Tracking Table'!$AO121+20.691*'BMP P Tracking Table'!$AU121)+SQRT((3630*'BMP P Tracking Table'!$AO121+20.691*'BMP P Tracking Table'!$AU121)^2-(4*(996.798*'BMP P Tracking Table'!$AU121)*-'BMP P Tracking Table'!$AW121)))/(2*(996.798*'BMP P Tracking Table'!$AU121)),IF(SUM('BMP P Tracking Table'!$AQ121:$AT121)=0,'BMP P Tracking Table'!$AU121/(-3630*'BMP P Tracking Table'!$AO121),(-(3630*'BMP P Tracking Table'!$AO121+20.691*'BMP P Tracking Table'!$AT121-216.711*'BMP P Tracking Table'!$AS121-83.853*'BMP P Tracking Table'!$AR121-42.834*'BMP P Tracking Table'!$AQ121)+SQRT((3630*'BMP P Tracking Table'!$AO121+20.691*'BMP P Tracking Table'!$AT121-216.711*'BMP P Tracking Table'!$AS121-83.853*'BMP P Tracking Table'!$AR121-42.834*'BMP P Tracking Table'!$AQ121)^2-(4*(149.919*'BMP P Tracking Table'!$AQ121+236.676*'BMP P Tracking Table'!$AR121+726*'BMP P Tracking Table'!$AS121+996.798*'BMP P Tracking Table'!$AT121)*-'BMP P Tracking Table'!$AW121)))/(2*(149.919*'BMP P Tracking Table'!$AQ121+236.676*'BMP P Tracking Table'!$AR121+726*'BMP P Tracking Table'!$AS121+996.798*'BMP P Tracking Table'!$AT121))))),MIN(2,IF('BMP P Tracking Table'!$AP121="Total Pervious",(-(3630*'BMP P Tracking Table'!$U121+20.691*'BMP P Tracking Table'!$AA121)+SQRT((3630*'BMP P Tracking Table'!$U121+20.691*'BMP P Tracking Table'!$AA121)^2-(4*(996.798*'BMP P Tracking Table'!$AA121)*-'BMP P Tracking Table'!$AW121)))/(2*(996.798*'BMP P Tracking Table'!$AA121)),IF(SUM('BMP P Tracking Table'!$W121:$Z121)=0,'BMP P Tracking Table'!$AW121/(-3630*'BMP P Tracking Table'!$U121),(-(3630*'BMP P Tracking Table'!$U121+20.691*'BMP P Tracking Table'!$Z121-216.711*'BMP P Tracking Table'!$Y121-83.853*'BMP P Tracking Table'!$X121-42.834*'BMP P Tracking Table'!$W121)+SQRT((3630*'BMP P Tracking Table'!$U121+20.691*'BMP P Tracking Table'!$Z121-216.711*'BMP P Tracking Table'!$Y121-83.853*'BMP P Tracking Table'!$X121-42.834*'BMP P Tracking Table'!$W121)^2-(4*(149.919*'BMP P Tracking Table'!$W121+236.676*'BMP P Tracking Table'!$X121+726*'BMP P Tracking Table'!$Y121+996.798*'BMP P Tracking Table'!$Z121)*-'BMP P Tracking Table'!$AW121)))/(2*(149.919*'BMP P Tracking Table'!$W121+236.676*'BMP P Tracking Table'!$X121+726*'BMP P Tracking Table'!$Y121+996.798*'BMP P Tracking Table'!$Z121)))))),"")</f>
        <v/>
      </c>
      <c r="BA121" s="101" t="str">
        <f>IFERROR((VLOOKUP(CONCATENATE('BMP P Tracking Table'!$AV121," ",'BMP P Tracking Table'!$AX121),'Performance Curves'!$C$1:$L$45,MATCH('BMP P Tracking Table'!$AZ121,'Performance Curves'!$E$1:$L$1,1)+2,FALSE)-VLOOKUP(CONCATENATE('BMP P Tracking Table'!$AV121," ",'BMP P Tracking Table'!$AX121),'Performance Curves'!$C$1:$L$45,MATCH('BMP P Tracking Table'!$AZ121,'Performance Curves'!$E$1:$L$1,1)+1,FALSE)),"")</f>
        <v/>
      </c>
      <c r="BB121" s="101" t="str">
        <f>IFERROR(('BMP P Tracking Table'!$AZ121-INDEX('Performance Curves'!$E$1:$L$1,1,MATCH('BMP P Tracking Table'!$AZ121,'Performance Curves'!$E$1:$L$1,1)))/(INDEX('Performance Curves'!$E$1:$L$1,1,MATCH('BMP P Tracking Table'!$AZ121,'Performance Curves'!$E$1:$L$1,1)+1)-INDEX('Performance Curves'!$E$1:$L$1,1,MATCH('BMP P Tracking Table'!$AZ121,'Performance Curves'!$E$1:$L$1,1))),"")</f>
        <v/>
      </c>
      <c r="BC121" s="102" t="str">
        <f>IFERROR(IF('BMP P Tracking Table'!$AZ121=2,VLOOKUP(CONCATENATE('BMP P Tracking Table'!$AV121," ",'BMP P Tracking Table'!$AX121),'Performance Curves'!$C$1:$L$44,MATCH('BMP P Tracking Table'!$AZ121,'Performance Curves'!$E$1:$L$1,1)+1,FALSE),'BMP P Tracking Table'!$BA121*'BMP P Tracking Table'!$BB121+VLOOKUP(CONCATENATE('BMP P Tracking Table'!$AV121," ",'BMP P Tracking Table'!$AX121),'Performance Curves'!$C$1:$L$44,MATCH('BMP P Tracking Table'!$AZ121,'Performance Curves'!$E$1:$L$1,1)+1,FALSE)),"")</f>
        <v/>
      </c>
      <c r="BD121" s="101" t="str">
        <f>IFERROR('BMP P Tracking Table'!$BC121*'BMP P Tracking Table'!$AY121,"")</f>
        <v/>
      </c>
      <c r="BE121" s="96"/>
      <c r="BF121" s="37">
        <f t="shared" si="15"/>
        <v>0</v>
      </c>
    </row>
    <row r="122" spans="1:58" x14ac:dyDescent="0.3">
      <c r="A122" s="169"/>
      <c r="B122" s="169"/>
      <c r="C122" s="169"/>
      <c r="D122" s="169"/>
      <c r="E122" s="170"/>
      <c r="F122" s="170"/>
      <c r="G122" s="169"/>
      <c r="H122" s="169"/>
      <c r="I122" s="169"/>
      <c r="J122" s="171"/>
      <c r="K122" s="169"/>
      <c r="L122" s="169"/>
      <c r="M122" s="169"/>
      <c r="N122" s="169"/>
      <c r="O122" s="169"/>
      <c r="P122" s="169"/>
      <c r="Q122" s="169" t="str">
        <f>IFERROR(VLOOKUP('BMP P Tracking Table'!$P122,Dropdowns!$C$2:$E$15,3,FALSE),"")</f>
        <v/>
      </c>
      <c r="R122" s="169" t="str">
        <f>IFERROR(VLOOKUP('BMP P Tracking Table'!$Q122,Dropdowns!$P$3:$Q$23,2,FALSE),"")</f>
        <v/>
      </c>
      <c r="S122" s="169"/>
      <c r="T122" s="169"/>
      <c r="U122" s="169"/>
      <c r="V122" s="169"/>
      <c r="W122" s="169"/>
      <c r="X122" s="169"/>
      <c r="Y122" s="169"/>
      <c r="Z122" s="169"/>
      <c r="AA122" s="169"/>
      <c r="AB122" s="174"/>
      <c r="AC122" s="169"/>
      <c r="AD122" s="175" t="str">
        <f>IFERROR('BMP P Tracking Table'!$U122*VLOOKUP('BMP P Tracking Table'!$Q122,'Loading Rates'!$B$1:$L$24,4,FALSE)+IF('BMP P Tracking Table'!$V122="By HSG",'BMP P Tracking Table'!$W122*VLOOKUP('BMP P Tracking Table'!$Q122,'Loading Rates'!$B$1:$L$24,6,FALSE)+'BMP P Tracking Table'!$X122*VLOOKUP('BMP P Tracking Table'!$Q122,'Loading Rates'!$B$1:$L$24,7,FALSE)+'BMP P Tracking Table'!$Y122*VLOOKUP('BMP P Tracking Table'!$Q122,'Loading Rates'!$B$1:$L$24,8,FALSE)+'BMP P Tracking Table'!$Z122*VLOOKUP('BMP P Tracking Table'!$Q122,'Loading Rates'!$B$1:$L$24,9,FALSE),'BMP P Tracking Table'!$AA122*VLOOKUP('BMP P Tracking Table'!$Q122,'Loading Rates'!$B$1:$L$24,10,FALSE)),"")</f>
        <v/>
      </c>
      <c r="AE122" s="175" t="str">
        <f>IFERROR(MIN(2,IF('BMP P Tracking Table'!$V122="Total Pervious",(-(3630*'BMP P Tracking Table'!$U122+20.691*'BMP P Tracking Table'!$AA122)+SQRT((3630*'BMP P Tracking Table'!$U122+20.691*'BMP P Tracking Table'!$AA122)^2-(4*(996.798*'BMP P Tracking Table'!$AA122)*-'BMP P Tracking Table'!$AB122)))/(2*(996.798*'BMP P Tracking Table'!$AA122)),IF(SUM('BMP P Tracking Table'!$W122:$Z122)=0,'BMP P Tracking Table'!$AB122/(-3630*'BMP P Tracking Table'!$U122),(-(3630*'BMP P Tracking Table'!$U122+20.691*'BMP P Tracking Table'!$Z122-216.711*'BMP P Tracking Table'!$Y122-83.853*'BMP P Tracking Table'!$X122-42.834*'BMP P Tracking Table'!$W122)+SQRT((3630*'BMP P Tracking Table'!$U122+20.691*'BMP P Tracking Table'!$Z122-216.711*'BMP P Tracking Table'!$Y122-83.853*'BMP P Tracking Table'!$X122-42.834*'BMP P Tracking Table'!$W122)^2-(4*(149.919*'BMP P Tracking Table'!$W122+236.676*'BMP P Tracking Table'!$X122+726*'BMP P Tracking Table'!$Y122+996.798*'BMP P Tracking Table'!$Z122)*-'BMP P Tracking Table'!$AB122)))/(2*(149.919*'BMP P Tracking Table'!$W122+236.676*'BMP P Tracking Table'!$X122+726*'BMP P Tracking Table'!$Y122+996.798*'BMP P Tracking Table'!$Z122))))),"")</f>
        <v/>
      </c>
      <c r="AF122" s="175" t="str">
        <f>IFERROR((VLOOKUP(CONCATENATE('BMP P Tracking Table'!$T122," ",'BMP P Tracking Table'!$AC122),'Performance Curves'!$C$1:$L$45,MATCH('BMP P Tracking Table'!$AE122,'Performance Curves'!$E$1:$L$1,1)+2,FALSE)-VLOOKUP(CONCATENATE('BMP P Tracking Table'!$T122," ",'BMP P Tracking Table'!$AC122),'Performance Curves'!$C$1:$L$45,MATCH('BMP P Tracking Table'!$AE122,'Performance Curves'!$E$1:$L$1,1)+1,FALSE)),"")</f>
        <v/>
      </c>
      <c r="AG122" s="175" t="str">
        <f>IFERROR(('BMP P Tracking Table'!$AE122-INDEX('Performance Curves'!$E$1:$L$1,1,MATCH('BMP P Tracking Table'!$AE122,'Performance Curves'!$E$1:$L$1,1)))/(INDEX('Performance Curves'!$E$1:$L$1,1,MATCH('BMP P Tracking Table'!$AE122,'Performance Curves'!$E$1:$L$1,1)+1)-INDEX('Performance Curves'!$E$1:$L$1,1,MATCH('BMP P Tracking Table'!$AE122,'Performance Curves'!$E$1:$L$1,1))),"")</f>
        <v/>
      </c>
      <c r="AH122" s="176" t="str">
        <f>IFERROR(IF('BMP P Tracking Table'!$AE122=2,VLOOKUP(CONCATENATE('BMP P Tracking Table'!$T122," ",'BMP P Tracking Table'!$AC122),'Performance Curves'!$C$1:$L$45,MATCH('BMP P Tracking Table'!$AE122,'Performance Curves'!$E$1:$L$1,1)+1,FALSE),'BMP P Tracking Table'!$AF122*'BMP P Tracking Table'!$AG122+VLOOKUP(CONCATENATE('BMP P Tracking Table'!$T122," ",'BMP P Tracking Table'!$AC122),'Performance Curves'!$C$1:$L$45,MATCH('BMP P Tracking Table'!$AE122,'Performance Curves'!$E$1:$L$1,1)+1,FALSE)),"")</f>
        <v/>
      </c>
      <c r="AI122" s="175" t="str">
        <f>IFERROR('BMP P Tracking Table'!$AH122*'BMP P Tracking Table'!$AD122,"")</f>
        <v/>
      </c>
      <c r="AJ122" s="169"/>
      <c r="AK122" s="173"/>
      <c r="AL122" s="173"/>
      <c r="AM122" s="177"/>
      <c r="AN122" s="178" t="str">
        <f t="shared" si="14"/>
        <v/>
      </c>
      <c r="AO122" s="96"/>
      <c r="AP122" s="96"/>
      <c r="AQ122" s="96"/>
      <c r="AR122" s="96"/>
      <c r="AS122" s="96"/>
      <c r="AT122" s="96"/>
      <c r="AU122" s="96"/>
      <c r="AV122" s="64"/>
      <c r="AW122" s="97"/>
      <c r="AX122" s="97"/>
      <c r="AY122" s="101" t="str">
        <f>IF('BMP P Tracking Table'!$AK122="Yes",IF('BMP P Tracking Table'!$AL122="No",'BMP P Tracking Table'!$U122*VLOOKUP('BMP P Tracking Table'!$Q122,'Loading Rates'!$B$1:$L$24,4,FALSE)+IF('BMP P Tracking Table'!$V122="By HSG",'BMP P Tracking Table'!$W122*VLOOKUP('BMP P Tracking Table'!$Q122,'Loading Rates'!$B$1:$L$24,6,FALSE)+'BMP P Tracking Table'!$X122*VLOOKUP('BMP P Tracking Table'!$Q122,'Loading Rates'!$B$1:$L$24,7,FALSE)+'BMP P Tracking Table'!$Y122*VLOOKUP('BMP P Tracking Table'!$Q122,'Loading Rates'!$B$1:$L$24,8,FALSE)+'BMP P Tracking Table'!$Z122*VLOOKUP('BMP P Tracking Table'!$Q122,'Loading Rates'!$B$1:$L$24,9,FALSE),'BMP P Tracking Table'!$AA122*VLOOKUP('BMP P Tracking Table'!$Q122,'Loading Rates'!$B$1:$L$24,10,FALSE)),'BMP P Tracking Table'!$AO122*VLOOKUP('BMP P Tracking Table'!$Q122,'Loading Rates'!$B$1:$L$24,4,FALSE)+IF('BMP P Tracking Table'!$AP122="By HSG",'BMP P Tracking Table'!$AQ122*VLOOKUP('BMP P Tracking Table'!$Q122,'Loading Rates'!$B$1:$L$24,6,FALSE)+'BMP P Tracking Table'!$AR122*VLOOKUP('BMP P Tracking Table'!$Q122,'Loading Rates'!$B$1:$L$24,7,FALSE)+'BMP P Tracking Table'!$AS122*VLOOKUP('BMP P Tracking Table'!$Q122,'Loading Rates'!$B$1:$L$24,8,FALSE)+'BMP P Tracking Table'!$AT122*VLOOKUP('BMP P Tracking Table'!$Q122,'Loading Rates'!$B$1:$L$24,9,FALSE),'BMP P Tracking Table'!$AU122*VLOOKUP('BMP P Tracking Table'!$Q122,'Loading Rates'!$B$1:$L$24,10,FALSE))),"")</f>
        <v/>
      </c>
      <c r="AZ122" s="101" t="str">
        <f>IFERROR(IF('BMP P Tracking Table'!$AL122="Yes",MIN(2,IF('BMP P Tracking Table'!$AP122="Total Pervious",(-(3630*'BMP P Tracking Table'!$AO122+20.691*'BMP P Tracking Table'!$AU122)+SQRT((3630*'BMP P Tracking Table'!$AO122+20.691*'BMP P Tracking Table'!$AU122)^2-(4*(996.798*'BMP P Tracking Table'!$AU122)*-'BMP P Tracking Table'!$AW122)))/(2*(996.798*'BMP P Tracking Table'!$AU122)),IF(SUM('BMP P Tracking Table'!$AQ122:$AT122)=0,'BMP P Tracking Table'!$AU122/(-3630*'BMP P Tracking Table'!$AO122),(-(3630*'BMP P Tracking Table'!$AO122+20.691*'BMP P Tracking Table'!$AT122-216.711*'BMP P Tracking Table'!$AS122-83.853*'BMP P Tracking Table'!$AR122-42.834*'BMP P Tracking Table'!$AQ122)+SQRT((3630*'BMP P Tracking Table'!$AO122+20.691*'BMP P Tracking Table'!$AT122-216.711*'BMP P Tracking Table'!$AS122-83.853*'BMP P Tracking Table'!$AR122-42.834*'BMP P Tracking Table'!$AQ122)^2-(4*(149.919*'BMP P Tracking Table'!$AQ122+236.676*'BMP P Tracking Table'!$AR122+726*'BMP P Tracking Table'!$AS122+996.798*'BMP P Tracking Table'!$AT122)*-'BMP P Tracking Table'!$AW122)))/(2*(149.919*'BMP P Tracking Table'!$AQ122+236.676*'BMP P Tracking Table'!$AR122+726*'BMP P Tracking Table'!$AS122+996.798*'BMP P Tracking Table'!$AT122))))),MIN(2,IF('BMP P Tracking Table'!$AP122="Total Pervious",(-(3630*'BMP P Tracking Table'!$U122+20.691*'BMP P Tracking Table'!$AA122)+SQRT((3630*'BMP P Tracking Table'!$U122+20.691*'BMP P Tracking Table'!$AA122)^2-(4*(996.798*'BMP P Tracking Table'!$AA122)*-'BMP P Tracking Table'!$AW122)))/(2*(996.798*'BMP P Tracking Table'!$AA122)),IF(SUM('BMP P Tracking Table'!$W122:$Z122)=0,'BMP P Tracking Table'!$AW122/(-3630*'BMP P Tracking Table'!$U122),(-(3630*'BMP P Tracking Table'!$U122+20.691*'BMP P Tracking Table'!$Z122-216.711*'BMP P Tracking Table'!$Y122-83.853*'BMP P Tracking Table'!$X122-42.834*'BMP P Tracking Table'!$W122)+SQRT((3630*'BMP P Tracking Table'!$U122+20.691*'BMP P Tracking Table'!$Z122-216.711*'BMP P Tracking Table'!$Y122-83.853*'BMP P Tracking Table'!$X122-42.834*'BMP P Tracking Table'!$W122)^2-(4*(149.919*'BMP P Tracking Table'!$W122+236.676*'BMP P Tracking Table'!$X122+726*'BMP P Tracking Table'!$Y122+996.798*'BMP P Tracking Table'!$Z122)*-'BMP P Tracking Table'!$AW122)))/(2*(149.919*'BMP P Tracking Table'!$W122+236.676*'BMP P Tracking Table'!$X122+726*'BMP P Tracking Table'!$Y122+996.798*'BMP P Tracking Table'!$Z122)))))),"")</f>
        <v/>
      </c>
      <c r="BA122" s="101" t="str">
        <f>IFERROR((VLOOKUP(CONCATENATE('BMP P Tracking Table'!$AV122," ",'BMP P Tracking Table'!$AX122),'Performance Curves'!$C$1:$L$45,MATCH('BMP P Tracking Table'!$AZ122,'Performance Curves'!$E$1:$L$1,1)+2,FALSE)-VLOOKUP(CONCATENATE('BMP P Tracking Table'!$AV122," ",'BMP P Tracking Table'!$AX122),'Performance Curves'!$C$1:$L$45,MATCH('BMP P Tracking Table'!$AZ122,'Performance Curves'!$E$1:$L$1,1)+1,FALSE)),"")</f>
        <v/>
      </c>
      <c r="BB122" s="101" t="str">
        <f>IFERROR(('BMP P Tracking Table'!$AZ122-INDEX('Performance Curves'!$E$1:$L$1,1,MATCH('BMP P Tracking Table'!$AZ122,'Performance Curves'!$E$1:$L$1,1)))/(INDEX('Performance Curves'!$E$1:$L$1,1,MATCH('BMP P Tracking Table'!$AZ122,'Performance Curves'!$E$1:$L$1,1)+1)-INDEX('Performance Curves'!$E$1:$L$1,1,MATCH('BMP P Tracking Table'!$AZ122,'Performance Curves'!$E$1:$L$1,1))),"")</f>
        <v/>
      </c>
      <c r="BC122" s="102" t="str">
        <f>IFERROR(IF('BMP P Tracking Table'!$AZ122=2,VLOOKUP(CONCATENATE('BMP P Tracking Table'!$AV122," ",'BMP P Tracking Table'!$AX122),'Performance Curves'!$C$1:$L$44,MATCH('BMP P Tracking Table'!$AZ122,'Performance Curves'!$E$1:$L$1,1)+1,FALSE),'BMP P Tracking Table'!$BA122*'BMP P Tracking Table'!$BB122+VLOOKUP(CONCATENATE('BMP P Tracking Table'!$AV122," ",'BMP P Tracking Table'!$AX122),'Performance Curves'!$C$1:$L$44,MATCH('BMP P Tracking Table'!$AZ122,'Performance Curves'!$E$1:$L$1,1)+1,FALSE)),"")</f>
        <v/>
      </c>
      <c r="BD122" s="101" t="str">
        <f>IFERROR('BMP P Tracking Table'!$BC122*'BMP P Tracking Table'!$AY122,"")</f>
        <v/>
      </c>
      <c r="BE122" s="96"/>
      <c r="BF122" s="37">
        <f t="shared" si="15"/>
        <v>0</v>
      </c>
    </row>
    <row r="123" spans="1:58" x14ac:dyDescent="0.3">
      <c r="A123" s="169"/>
      <c r="B123" s="169"/>
      <c r="C123" s="169"/>
      <c r="D123" s="169"/>
      <c r="E123" s="170"/>
      <c r="F123" s="170"/>
      <c r="G123" s="169"/>
      <c r="H123" s="169"/>
      <c r="I123" s="169"/>
      <c r="J123" s="171"/>
      <c r="K123" s="169"/>
      <c r="L123" s="169"/>
      <c r="M123" s="169"/>
      <c r="N123" s="169"/>
      <c r="O123" s="169"/>
      <c r="P123" s="169"/>
      <c r="Q123" s="169" t="str">
        <f>IFERROR(VLOOKUP('BMP P Tracking Table'!$P123,Dropdowns!$C$2:$E$15,3,FALSE),"")</f>
        <v/>
      </c>
      <c r="R123" s="169" t="str">
        <f>IFERROR(VLOOKUP('BMP P Tracking Table'!$Q123,Dropdowns!$P$3:$Q$23,2,FALSE),"")</f>
        <v/>
      </c>
      <c r="S123" s="169"/>
      <c r="T123" s="169"/>
      <c r="U123" s="169"/>
      <c r="V123" s="169"/>
      <c r="W123" s="169"/>
      <c r="X123" s="169"/>
      <c r="Y123" s="169"/>
      <c r="Z123" s="169"/>
      <c r="AA123" s="169"/>
      <c r="AB123" s="174"/>
      <c r="AC123" s="169"/>
      <c r="AD123" s="175" t="str">
        <f>IFERROR('BMP P Tracking Table'!$U123*VLOOKUP('BMP P Tracking Table'!$Q123,'Loading Rates'!$B$1:$L$24,4,FALSE)+IF('BMP P Tracking Table'!$V123="By HSG",'BMP P Tracking Table'!$W123*VLOOKUP('BMP P Tracking Table'!$Q123,'Loading Rates'!$B$1:$L$24,6,FALSE)+'BMP P Tracking Table'!$X123*VLOOKUP('BMP P Tracking Table'!$Q123,'Loading Rates'!$B$1:$L$24,7,FALSE)+'BMP P Tracking Table'!$Y123*VLOOKUP('BMP P Tracking Table'!$Q123,'Loading Rates'!$B$1:$L$24,8,FALSE)+'BMP P Tracking Table'!$Z123*VLOOKUP('BMP P Tracking Table'!$Q123,'Loading Rates'!$B$1:$L$24,9,FALSE),'BMP P Tracking Table'!$AA123*VLOOKUP('BMP P Tracking Table'!$Q123,'Loading Rates'!$B$1:$L$24,10,FALSE)),"")</f>
        <v/>
      </c>
      <c r="AE123" s="175" t="str">
        <f>IFERROR(MIN(2,IF('BMP P Tracking Table'!$V123="Total Pervious",(-(3630*'BMP P Tracking Table'!$U123+20.691*'BMP P Tracking Table'!$AA123)+SQRT((3630*'BMP P Tracking Table'!$U123+20.691*'BMP P Tracking Table'!$AA123)^2-(4*(996.798*'BMP P Tracking Table'!$AA123)*-'BMP P Tracking Table'!$AB123)))/(2*(996.798*'BMP P Tracking Table'!$AA123)),IF(SUM('BMP P Tracking Table'!$W123:$Z123)=0,'BMP P Tracking Table'!$AB123/(-3630*'BMP P Tracking Table'!$U123),(-(3630*'BMP P Tracking Table'!$U123+20.691*'BMP P Tracking Table'!$Z123-216.711*'BMP P Tracking Table'!$Y123-83.853*'BMP P Tracking Table'!$X123-42.834*'BMP P Tracking Table'!$W123)+SQRT((3630*'BMP P Tracking Table'!$U123+20.691*'BMP P Tracking Table'!$Z123-216.711*'BMP P Tracking Table'!$Y123-83.853*'BMP P Tracking Table'!$X123-42.834*'BMP P Tracking Table'!$W123)^2-(4*(149.919*'BMP P Tracking Table'!$W123+236.676*'BMP P Tracking Table'!$X123+726*'BMP P Tracking Table'!$Y123+996.798*'BMP P Tracking Table'!$Z123)*-'BMP P Tracking Table'!$AB123)))/(2*(149.919*'BMP P Tracking Table'!$W123+236.676*'BMP P Tracking Table'!$X123+726*'BMP P Tracking Table'!$Y123+996.798*'BMP P Tracking Table'!$Z123))))),"")</f>
        <v/>
      </c>
      <c r="AF123" s="175" t="str">
        <f>IFERROR((VLOOKUP(CONCATENATE('BMP P Tracking Table'!$T123," ",'BMP P Tracking Table'!$AC123),'Performance Curves'!$C$1:$L$45,MATCH('BMP P Tracking Table'!$AE123,'Performance Curves'!$E$1:$L$1,1)+2,FALSE)-VLOOKUP(CONCATENATE('BMP P Tracking Table'!$T123," ",'BMP P Tracking Table'!$AC123),'Performance Curves'!$C$1:$L$45,MATCH('BMP P Tracking Table'!$AE123,'Performance Curves'!$E$1:$L$1,1)+1,FALSE)),"")</f>
        <v/>
      </c>
      <c r="AG123" s="175" t="str">
        <f>IFERROR(('BMP P Tracking Table'!$AE123-INDEX('Performance Curves'!$E$1:$L$1,1,MATCH('BMP P Tracking Table'!$AE123,'Performance Curves'!$E$1:$L$1,1)))/(INDEX('Performance Curves'!$E$1:$L$1,1,MATCH('BMP P Tracking Table'!$AE123,'Performance Curves'!$E$1:$L$1,1)+1)-INDEX('Performance Curves'!$E$1:$L$1,1,MATCH('BMP P Tracking Table'!$AE123,'Performance Curves'!$E$1:$L$1,1))),"")</f>
        <v/>
      </c>
      <c r="AH123" s="176" t="str">
        <f>IFERROR(IF('BMP P Tracking Table'!$AE123=2,VLOOKUP(CONCATENATE('BMP P Tracking Table'!$T123," ",'BMP P Tracking Table'!$AC123),'Performance Curves'!$C$1:$L$45,MATCH('BMP P Tracking Table'!$AE123,'Performance Curves'!$E$1:$L$1,1)+1,FALSE),'BMP P Tracking Table'!$AF123*'BMP P Tracking Table'!$AG123+VLOOKUP(CONCATENATE('BMP P Tracking Table'!$T123," ",'BMP P Tracking Table'!$AC123),'Performance Curves'!$C$1:$L$45,MATCH('BMP P Tracking Table'!$AE123,'Performance Curves'!$E$1:$L$1,1)+1,FALSE)),"")</f>
        <v/>
      </c>
      <c r="AI123" s="175" t="str">
        <f>IFERROR('BMP P Tracking Table'!$AH123*'BMP P Tracking Table'!$AD123,"")</f>
        <v/>
      </c>
      <c r="AJ123" s="169"/>
      <c r="AK123" s="173"/>
      <c r="AL123" s="173"/>
      <c r="AM123" s="177"/>
      <c r="AN123" s="178" t="str">
        <f t="shared" si="14"/>
        <v/>
      </c>
      <c r="AO123" s="96"/>
      <c r="AP123" s="96"/>
      <c r="AQ123" s="96"/>
      <c r="AR123" s="96"/>
      <c r="AS123" s="96"/>
      <c r="AT123" s="96"/>
      <c r="AU123" s="96"/>
      <c r="AV123" s="64"/>
      <c r="AW123" s="97"/>
      <c r="AX123" s="97"/>
      <c r="AY123" s="101" t="str">
        <f>IF('BMP P Tracking Table'!$AK123="Yes",IF('BMP P Tracking Table'!$AL123="No",'BMP P Tracking Table'!$U123*VLOOKUP('BMP P Tracking Table'!$Q123,'Loading Rates'!$B$1:$L$24,4,FALSE)+IF('BMP P Tracking Table'!$V123="By HSG",'BMP P Tracking Table'!$W123*VLOOKUP('BMP P Tracking Table'!$Q123,'Loading Rates'!$B$1:$L$24,6,FALSE)+'BMP P Tracking Table'!$X123*VLOOKUP('BMP P Tracking Table'!$Q123,'Loading Rates'!$B$1:$L$24,7,FALSE)+'BMP P Tracking Table'!$Y123*VLOOKUP('BMP P Tracking Table'!$Q123,'Loading Rates'!$B$1:$L$24,8,FALSE)+'BMP P Tracking Table'!$Z123*VLOOKUP('BMP P Tracking Table'!$Q123,'Loading Rates'!$B$1:$L$24,9,FALSE),'BMP P Tracking Table'!$AA123*VLOOKUP('BMP P Tracking Table'!$Q123,'Loading Rates'!$B$1:$L$24,10,FALSE)),'BMP P Tracking Table'!$AO123*VLOOKUP('BMP P Tracking Table'!$Q123,'Loading Rates'!$B$1:$L$24,4,FALSE)+IF('BMP P Tracking Table'!$AP123="By HSG",'BMP P Tracking Table'!$AQ123*VLOOKUP('BMP P Tracking Table'!$Q123,'Loading Rates'!$B$1:$L$24,6,FALSE)+'BMP P Tracking Table'!$AR123*VLOOKUP('BMP P Tracking Table'!$Q123,'Loading Rates'!$B$1:$L$24,7,FALSE)+'BMP P Tracking Table'!$AS123*VLOOKUP('BMP P Tracking Table'!$Q123,'Loading Rates'!$B$1:$L$24,8,FALSE)+'BMP P Tracking Table'!$AT123*VLOOKUP('BMP P Tracking Table'!$Q123,'Loading Rates'!$B$1:$L$24,9,FALSE),'BMP P Tracking Table'!$AU123*VLOOKUP('BMP P Tracking Table'!$Q123,'Loading Rates'!$B$1:$L$24,10,FALSE))),"")</f>
        <v/>
      </c>
      <c r="AZ123" s="101" t="str">
        <f>IFERROR(IF('BMP P Tracking Table'!$AL123="Yes",MIN(2,IF('BMP P Tracking Table'!$AP123="Total Pervious",(-(3630*'BMP P Tracking Table'!$AO123+20.691*'BMP P Tracking Table'!$AU123)+SQRT((3630*'BMP P Tracking Table'!$AO123+20.691*'BMP P Tracking Table'!$AU123)^2-(4*(996.798*'BMP P Tracking Table'!$AU123)*-'BMP P Tracking Table'!$AW123)))/(2*(996.798*'BMP P Tracking Table'!$AU123)),IF(SUM('BMP P Tracking Table'!$AQ123:$AT123)=0,'BMP P Tracking Table'!$AU123/(-3630*'BMP P Tracking Table'!$AO123),(-(3630*'BMP P Tracking Table'!$AO123+20.691*'BMP P Tracking Table'!$AT123-216.711*'BMP P Tracking Table'!$AS123-83.853*'BMP P Tracking Table'!$AR123-42.834*'BMP P Tracking Table'!$AQ123)+SQRT((3630*'BMP P Tracking Table'!$AO123+20.691*'BMP P Tracking Table'!$AT123-216.711*'BMP P Tracking Table'!$AS123-83.853*'BMP P Tracking Table'!$AR123-42.834*'BMP P Tracking Table'!$AQ123)^2-(4*(149.919*'BMP P Tracking Table'!$AQ123+236.676*'BMP P Tracking Table'!$AR123+726*'BMP P Tracking Table'!$AS123+996.798*'BMP P Tracking Table'!$AT123)*-'BMP P Tracking Table'!$AW123)))/(2*(149.919*'BMP P Tracking Table'!$AQ123+236.676*'BMP P Tracking Table'!$AR123+726*'BMP P Tracking Table'!$AS123+996.798*'BMP P Tracking Table'!$AT123))))),MIN(2,IF('BMP P Tracking Table'!$AP123="Total Pervious",(-(3630*'BMP P Tracking Table'!$U123+20.691*'BMP P Tracking Table'!$AA123)+SQRT((3630*'BMP P Tracking Table'!$U123+20.691*'BMP P Tracking Table'!$AA123)^2-(4*(996.798*'BMP P Tracking Table'!$AA123)*-'BMP P Tracking Table'!$AW123)))/(2*(996.798*'BMP P Tracking Table'!$AA123)),IF(SUM('BMP P Tracking Table'!$W123:$Z123)=0,'BMP P Tracking Table'!$AW123/(-3630*'BMP P Tracking Table'!$U123),(-(3630*'BMP P Tracking Table'!$U123+20.691*'BMP P Tracking Table'!$Z123-216.711*'BMP P Tracking Table'!$Y123-83.853*'BMP P Tracking Table'!$X123-42.834*'BMP P Tracking Table'!$W123)+SQRT((3630*'BMP P Tracking Table'!$U123+20.691*'BMP P Tracking Table'!$Z123-216.711*'BMP P Tracking Table'!$Y123-83.853*'BMP P Tracking Table'!$X123-42.834*'BMP P Tracking Table'!$W123)^2-(4*(149.919*'BMP P Tracking Table'!$W123+236.676*'BMP P Tracking Table'!$X123+726*'BMP P Tracking Table'!$Y123+996.798*'BMP P Tracking Table'!$Z123)*-'BMP P Tracking Table'!$AW123)))/(2*(149.919*'BMP P Tracking Table'!$W123+236.676*'BMP P Tracking Table'!$X123+726*'BMP P Tracking Table'!$Y123+996.798*'BMP P Tracking Table'!$Z123)))))),"")</f>
        <v/>
      </c>
      <c r="BA123" s="101" t="str">
        <f>IFERROR((VLOOKUP(CONCATENATE('BMP P Tracking Table'!$AV123," ",'BMP P Tracking Table'!$AX123),'Performance Curves'!$C$1:$L$45,MATCH('BMP P Tracking Table'!$AZ123,'Performance Curves'!$E$1:$L$1,1)+2,FALSE)-VLOOKUP(CONCATENATE('BMP P Tracking Table'!$AV123," ",'BMP P Tracking Table'!$AX123),'Performance Curves'!$C$1:$L$45,MATCH('BMP P Tracking Table'!$AZ123,'Performance Curves'!$E$1:$L$1,1)+1,FALSE)),"")</f>
        <v/>
      </c>
      <c r="BB123" s="101" t="str">
        <f>IFERROR(('BMP P Tracking Table'!$AZ123-INDEX('Performance Curves'!$E$1:$L$1,1,MATCH('BMP P Tracking Table'!$AZ123,'Performance Curves'!$E$1:$L$1,1)))/(INDEX('Performance Curves'!$E$1:$L$1,1,MATCH('BMP P Tracking Table'!$AZ123,'Performance Curves'!$E$1:$L$1,1)+1)-INDEX('Performance Curves'!$E$1:$L$1,1,MATCH('BMP P Tracking Table'!$AZ123,'Performance Curves'!$E$1:$L$1,1))),"")</f>
        <v/>
      </c>
      <c r="BC123" s="102" t="str">
        <f>IFERROR(IF('BMP P Tracking Table'!$AZ123=2,VLOOKUP(CONCATENATE('BMP P Tracking Table'!$AV123," ",'BMP P Tracking Table'!$AX123),'Performance Curves'!$C$1:$L$44,MATCH('BMP P Tracking Table'!$AZ123,'Performance Curves'!$E$1:$L$1,1)+1,FALSE),'BMP P Tracking Table'!$BA123*'BMP P Tracking Table'!$BB123+VLOOKUP(CONCATENATE('BMP P Tracking Table'!$AV123," ",'BMP P Tracking Table'!$AX123),'Performance Curves'!$C$1:$L$44,MATCH('BMP P Tracking Table'!$AZ123,'Performance Curves'!$E$1:$L$1,1)+1,FALSE)),"")</f>
        <v/>
      </c>
      <c r="BD123" s="101" t="str">
        <f>IFERROR('BMP P Tracking Table'!$BC123*'BMP P Tracking Table'!$AY123,"")</f>
        <v/>
      </c>
      <c r="BE123" s="96"/>
      <c r="BF123" s="37">
        <f t="shared" si="15"/>
        <v>0</v>
      </c>
    </row>
    <row r="124" spans="1:58" x14ac:dyDescent="0.3">
      <c r="A124" s="169"/>
      <c r="B124" s="169"/>
      <c r="C124" s="169"/>
      <c r="D124" s="169"/>
      <c r="E124" s="170"/>
      <c r="F124" s="170"/>
      <c r="G124" s="169"/>
      <c r="H124" s="169"/>
      <c r="I124" s="169"/>
      <c r="J124" s="171"/>
      <c r="K124" s="169"/>
      <c r="L124" s="169"/>
      <c r="M124" s="169"/>
      <c r="N124" s="169"/>
      <c r="O124" s="169"/>
      <c r="P124" s="169"/>
      <c r="Q124" s="169" t="str">
        <f>IFERROR(VLOOKUP('BMP P Tracking Table'!$P124,Dropdowns!$C$2:$E$15,3,FALSE),"")</f>
        <v/>
      </c>
      <c r="R124" s="169" t="str">
        <f>IFERROR(VLOOKUP('BMP P Tracking Table'!$Q124,Dropdowns!$P$3:$Q$23,2,FALSE),"")</f>
        <v/>
      </c>
      <c r="S124" s="169"/>
      <c r="T124" s="169"/>
      <c r="U124" s="169"/>
      <c r="V124" s="169"/>
      <c r="W124" s="169"/>
      <c r="X124" s="169"/>
      <c r="Y124" s="169"/>
      <c r="Z124" s="169"/>
      <c r="AA124" s="169"/>
      <c r="AB124" s="174"/>
      <c r="AC124" s="169"/>
      <c r="AD124" s="175" t="str">
        <f>IFERROR('BMP P Tracking Table'!$U124*VLOOKUP('BMP P Tracking Table'!$Q124,'Loading Rates'!$B$1:$L$24,4,FALSE)+IF('BMP P Tracking Table'!$V124="By HSG",'BMP P Tracking Table'!$W124*VLOOKUP('BMP P Tracking Table'!$Q124,'Loading Rates'!$B$1:$L$24,6,FALSE)+'BMP P Tracking Table'!$X124*VLOOKUP('BMP P Tracking Table'!$Q124,'Loading Rates'!$B$1:$L$24,7,FALSE)+'BMP P Tracking Table'!$Y124*VLOOKUP('BMP P Tracking Table'!$Q124,'Loading Rates'!$B$1:$L$24,8,FALSE)+'BMP P Tracking Table'!$Z124*VLOOKUP('BMP P Tracking Table'!$Q124,'Loading Rates'!$B$1:$L$24,9,FALSE),'BMP P Tracking Table'!$AA124*VLOOKUP('BMP P Tracking Table'!$Q124,'Loading Rates'!$B$1:$L$24,10,FALSE)),"")</f>
        <v/>
      </c>
      <c r="AE124" s="175" t="str">
        <f>IFERROR(MIN(2,IF('BMP P Tracking Table'!$V124="Total Pervious",(-(3630*'BMP P Tracking Table'!$U124+20.691*'BMP P Tracking Table'!$AA124)+SQRT((3630*'BMP P Tracking Table'!$U124+20.691*'BMP P Tracking Table'!$AA124)^2-(4*(996.798*'BMP P Tracking Table'!$AA124)*-'BMP P Tracking Table'!$AB124)))/(2*(996.798*'BMP P Tracking Table'!$AA124)),IF(SUM('BMP P Tracking Table'!$W124:$Z124)=0,'BMP P Tracking Table'!$AB124/(-3630*'BMP P Tracking Table'!$U124),(-(3630*'BMP P Tracking Table'!$U124+20.691*'BMP P Tracking Table'!$Z124-216.711*'BMP P Tracking Table'!$Y124-83.853*'BMP P Tracking Table'!$X124-42.834*'BMP P Tracking Table'!$W124)+SQRT((3630*'BMP P Tracking Table'!$U124+20.691*'BMP P Tracking Table'!$Z124-216.711*'BMP P Tracking Table'!$Y124-83.853*'BMP P Tracking Table'!$X124-42.834*'BMP P Tracking Table'!$W124)^2-(4*(149.919*'BMP P Tracking Table'!$W124+236.676*'BMP P Tracking Table'!$X124+726*'BMP P Tracking Table'!$Y124+996.798*'BMP P Tracking Table'!$Z124)*-'BMP P Tracking Table'!$AB124)))/(2*(149.919*'BMP P Tracking Table'!$W124+236.676*'BMP P Tracking Table'!$X124+726*'BMP P Tracking Table'!$Y124+996.798*'BMP P Tracking Table'!$Z124))))),"")</f>
        <v/>
      </c>
      <c r="AF124" s="175" t="str">
        <f>IFERROR((VLOOKUP(CONCATENATE('BMP P Tracking Table'!$T124," ",'BMP P Tracking Table'!$AC124),'Performance Curves'!$C$1:$L$45,MATCH('BMP P Tracking Table'!$AE124,'Performance Curves'!$E$1:$L$1,1)+2,FALSE)-VLOOKUP(CONCATENATE('BMP P Tracking Table'!$T124," ",'BMP P Tracking Table'!$AC124),'Performance Curves'!$C$1:$L$45,MATCH('BMP P Tracking Table'!$AE124,'Performance Curves'!$E$1:$L$1,1)+1,FALSE)),"")</f>
        <v/>
      </c>
      <c r="AG124" s="175" t="str">
        <f>IFERROR(('BMP P Tracking Table'!$AE124-INDEX('Performance Curves'!$E$1:$L$1,1,MATCH('BMP P Tracking Table'!$AE124,'Performance Curves'!$E$1:$L$1,1)))/(INDEX('Performance Curves'!$E$1:$L$1,1,MATCH('BMP P Tracking Table'!$AE124,'Performance Curves'!$E$1:$L$1,1)+1)-INDEX('Performance Curves'!$E$1:$L$1,1,MATCH('BMP P Tracking Table'!$AE124,'Performance Curves'!$E$1:$L$1,1))),"")</f>
        <v/>
      </c>
      <c r="AH124" s="176" t="str">
        <f>IFERROR(IF('BMP P Tracking Table'!$AE124=2,VLOOKUP(CONCATENATE('BMP P Tracking Table'!$T124," ",'BMP P Tracking Table'!$AC124),'Performance Curves'!$C$1:$L$45,MATCH('BMP P Tracking Table'!$AE124,'Performance Curves'!$E$1:$L$1,1)+1,FALSE),'BMP P Tracking Table'!$AF124*'BMP P Tracking Table'!$AG124+VLOOKUP(CONCATENATE('BMP P Tracking Table'!$T124," ",'BMP P Tracking Table'!$AC124),'Performance Curves'!$C$1:$L$45,MATCH('BMP P Tracking Table'!$AE124,'Performance Curves'!$E$1:$L$1,1)+1,FALSE)),"")</f>
        <v/>
      </c>
      <c r="AI124" s="175" t="str">
        <f>IFERROR('BMP P Tracking Table'!$AH124*'BMP P Tracking Table'!$AD124,"")</f>
        <v/>
      </c>
      <c r="AJ124" s="169"/>
      <c r="AK124" s="173"/>
      <c r="AL124" s="173"/>
      <c r="AM124" s="177"/>
      <c r="AN124" s="178" t="str">
        <f t="shared" si="14"/>
        <v/>
      </c>
      <c r="AO124" s="96"/>
      <c r="AP124" s="96"/>
      <c r="AQ124" s="96"/>
      <c r="AR124" s="96"/>
      <c r="AS124" s="96"/>
      <c r="AT124" s="96"/>
      <c r="AU124" s="96"/>
      <c r="AV124" s="64"/>
      <c r="AW124" s="97"/>
      <c r="AX124" s="97"/>
      <c r="AY124" s="101" t="str">
        <f>IF('BMP P Tracking Table'!$AK124="Yes",IF('BMP P Tracking Table'!$AL124="No",'BMP P Tracking Table'!$U124*VLOOKUP('BMP P Tracking Table'!$Q124,'Loading Rates'!$B$1:$L$24,4,FALSE)+IF('BMP P Tracking Table'!$V124="By HSG",'BMP P Tracking Table'!$W124*VLOOKUP('BMP P Tracking Table'!$Q124,'Loading Rates'!$B$1:$L$24,6,FALSE)+'BMP P Tracking Table'!$X124*VLOOKUP('BMP P Tracking Table'!$Q124,'Loading Rates'!$B$1:$L$24,7,FALSE)+'BMP P Tracking Table'!$Y124*VLOOKUP('BMP P Tracking Table'!$Q124,'Loading Rates'!$B$1:$L$24,8,FALSE)+'BMP P Tracking Table'!$Z124*VLOOKUP('BMP P Tracking Table'!$Q124,'Loading Rates'!$B$1:$L$24,9,FALSE),'BMP P Tracking Table'!$AA124*VLOOKUP('BMP P Tracking Table'!$Q124,'Loading Rates'!$B$1:$L$24,10,FALSE)),'BMP P Tracking Table'!$AO124*VLOOKUP('BMP P Tracking Table'!$Q124,'Loading Rates'!$B$1:$L$24,4,FALSE)+IF('BMP P Tracking Table'!$AP124="By HSG",'BMP P Tracking Table'!$AQ124*VLOOKUP('BMP P Tracking Table'!$Q124,'Loading Rates'!$B$1:$L$24,6,FALSE)+'BMP P Tracking Table'!$AR124*VLOOKUP('BMP P Tracking Table'!$Q124,'Loading Rates'!$B$1:$L$24,7,FALSE)+'BMP P Tracking Table'!$AS124*VLOOKUP('BMP P Tracking Table'!$Q124,'Loading Rates'!$B$1:$L$24,8,FALSE)+'BMP P Tracking Table'!$AT124*VLOOKUP('BMP P Tracking Table'!$Q124,'Loading Rates'!$B$1:$L$24,9,FALSE),'BMP P Tracking Table'!$AU124*VLOOKUP('BMP P Tracking Table'!$Q124,'Loading Rates'!$B$1:$L$24,10,FALSE))),"")</f>
        <v/>
      </c>
      <c r="AZ124" s="101" t="str">
        <f>IFERROR(IF('BMP P Tracking Table'!$AL124="Yes",MIN(2,IF('BMP P Tracking Table'!$AP124="Total Pervious",(-(3630*'BMP P Tracking Table'!$AO124+20.691*'BMP P Tracking Table'!$AU124)+SQRT((3630*'BMP P Tracking Table'!$AO124+20.691*'BMP P Tracking Table'!$AU124)^2-(4*(996.798*'BMP P Tracking Table'!$AU124)*-'BMP P Tracking Table'!$AW124)))/(2*(996.798*'BMP P Tracking Table'!$AU124)),IF(SUM('BMP P Tracking Table'!$AQ124:$AT124)=0,'BMP P Tracking Table'!$AU124/(-3630*'BMP P Tracking Table'!$AO124),(-(3630*'BMP P Tracking Table'!$AO124+20.691*'BMP P Tracking Table'!$AT124-216.711*'BMP P Tracking Table'!$AS124-83.853*'BMP P Tracking Table'!$AR124-42.834*'BMP P Tracking Table'!$AQ124)+SQRT((3630*'BMP P Tracking Table'!$AO124+20.691*'BMP P Tracking Table'!$AT124-216.711*'BMP P Tracking Table'!$AS124-83.853*'BMP P Tracking Table'!$AR124-42.834*'BMP P Tracking Table'!$AQ124)^2-(4*(149.919*'BMP P Tracking Table'!$AQ124+236.676*'BMP P Tracking Table'!$AR124+726*'BMP P Tracking Table'!$AS124+996.798*'BMP P Tracking Table'!$AT124)*-'BMP P Tracking Table'!$AW124)))/(2*(149.919*'BMP P Tracking Table'!$AQ124+236.676*'BMP P Tracking Table'!$AR124+726*'BMP P Tracking Table'!$AS124+996.798*'BMP P Tracking Table'!$AT124))))),MIN(2,IF('BMP P Tracking Table'!$AP124="Total Pervious",(-(3630*'BMP P Tracking Table'!$U124+20.691*'BMP P Tracking Table'!$AA124)+SQRT((3630*'BMP P Tracking Table'!$U124+20.691*'BMP P Tracking Table'!$AA124)^2-(4*(996.798*'BMP P Tracking Table'!$AA124)*-'BMP P Tracking Table'!$AW124)))/(2*(996.798*'BMP P Tracking Table'!$AA124)),IF(SUM('BMP P Tracking Table'!$W124:$Z124)=0,'BMP P Tracking Table'!$AW124/(-3630*'BMP P Tracking Table'!$U124),(-(3630*'BMP P Tracking Table'!$U124+20.691*'BMP P Tracking Table'!$Z124-216.711*'BMP P Tracking Table'!$Y124-83.853*'BMP P Tracking Table'!$X124-42.834*'BMP P Tracking Table'!$W124)+SQRT((3630*'BMP P Tracking Table'!$U124+20.691*'BMP P Tracking Table'!$Z124-216.711*'BMP P Tracking Table'!$Y124-83.853*'BMP P Tracking Table'!$X124-42.834*'BMP P Tracking Table'!$W124)^2-(4*(149.919*'BMP P Tracking Table'!$W124+236.676*'BMP P Tracking Table'!$X124+726*'BMP P Tracking Table'!$Y124+996.798*'BMP P Tracking Table'!$Z124)*-'BMP P Tracking Table'!$AW124)))/(2*(149.919*'BMP P Tracking Table'!$W124+236.676*'BMP P Tracking Table'!$X124+726*'BMP P Tracking Table'!$Y124+996.798*'BMP P Tracking Table'!$Z124)))))),"")</f>
        <v/>
      </c>
      <c r="BA124" s="101" t="str">
        <f>IFERROR((VLOOKUP(CONCATENATE('BMP P Tracking Table'!$AV124," ",'BMP P Tracking Table'!$AX124),'Performance Curves'!$C$1:$L$45,MATCH('BMP P Tracking Table'!$AZ124,'Performance Curves'!$E$1:$L$1,1)+2,FALSE)-VLOOKUP(CONCATENATE('BMP P Tracking Table'!$AV124," ",'BMP P Tracking Table'!$AX124),'Performance Curves'!$C$1:$L$45,MATCH('BMP P Tracking Table'!$AZ124,'Performance Curves'!$E$1:$L$1,1)+1,FALSE)),"")</f>
        <v/>
      </c>
      <c r="BB124" s="101" t="str">
        <f>IFERROR(('BMP P Tracking Table'!$AZ124-INDEX('Performance Curves'!$E$1:$L$1,1,MATCH('BMP P Tracking Table'!$AZ124,'Performance Curves'!$E$1:$L$1,1)))/(INDEX('Performance Curves'!$E$1:$L$1,1,MATCH('BMP P Tracking Table'!$AZ124,'Performance Curves'!$E$1:$L$1,1)+1)-INDEX('Performance Curves'!$E$1:$L$1,1,MATCH('BMP P Tracking Table'!$AZ124,'Performance Curves'!$E$1:$L$1,1))),"")</f>
        <v/>
      </c>
      <c r="BC124" s="102" t="str">
        <f>IFERROR(IF('BMP P Tracking Table'!$AZ124=2,VLOOKUP(CONCATENATE('BMP P Tracking Table'!$AV124," ",'BMP P Tracking Table'!$AX124),'Performance Curves'!$C$1:$L$44,MATCH('BMP P Tracking Table'!$AZ124,'Performance Curves'!$E$1:$L$1,1)+1,FALSE),'BMP P Tracking Table'!$BA124*'BMP P Tracking Table'!$BB124+VLOOKUP(CONCATENATE('BMP P Tracking Table'!$AV124," ",'BMP P Tracking Table'!$AX124),'Performance Curves'!$C$1:$L$44,MATCH('BMP P Tracking Table'!$AZ124,'Performance Curves'!$E$1:$L$1,1)+1,FALSE)),"")</f>
        <v/>
      </c>
      <c r="BD124" s="101" t="str">
        <f>IFERROR('BMP P Tracking Table'!$BC124*'BMP P Tracking Table'!$AY124,"")</f>
        <v/>
      </c>
      <c r="BE124" s="96"/>
      <c r="BF124" s="37">
        <f t="shared" si="15"/>
        <v>0</v>
      </c>
    </row>
    <row r="125" spans="1:58" x14ac:dyDescent="0.3">
      <c r="A125" s="169"/>
      <c r="B125" s="169"/>
      <c r="C125" s="169"/>
      <c r="D125" s="169"/>
      <c r="E125" s="170"/>
      <c r="F125" s="170"/>
      <c r="G125" s="169"/>
      <c r="H125" s="169"/>
      <c r="I125" s="169"/>
      <c r="J125" s="171"/>
      <c r="K125" s="169"/>
      <c r="L125" s="169"/>
      <c r="M125" s="169"/>
      <c r="N125" s="169"/>
      <c r="O125" s="169"/>
      <c r="P125" s="169"/>
      <c r="Q125" s="169" t="str">
        <f>IFERROR(VLOOKUP('BMP P Tracking Table'!$P125,Dropdowns!$C$2:$E$15,3,FALSE),"")</f>
        <v/>
      </c>
      <c r="R125" s="169" t="str">
        <f>IFERROR(VLOOKUP('BMP P Tracking Table'!$Q125,Dropdowns!$P$3:$Q$23,2,FALSE),"")</f>
        <v/>
      </c>
      <c r="S125" s="169"/>
      <c r="T125" s="169"/>
      <c r="U125" s="169"/>
      <c r="V125" s="169"/>
      <c r="W125" s="169"/>
      <c r="X125" s="169"/>
      <c r="Y125" s="169"/>
      <c r="Z125" s="169"/>
      <c r="AA125" s="169"/>
      <c r="AB125" s="174"/>
      <c r="AC125" s="169"/>
      <c r="AD125" s="175" t="str">
        <f>IFERROR('BMP P Tracking Table'!$U125*VLOOKUP('BMP P Tracking Table'!$Q125,'Loading Rates'!$B$1:$L$24,4,FALSE)+IF('BMP P Tracking Table'!$V125="By HSG",'BMP P Tracking Table'!$W125*VLOOKUP('BMP P Tracking Table'!$Q125,'Loading Rates'!$B$1:$L$24,6,FALSE)+'BMP P Tracking Table'!$X125*VLOOKUP('BMP P Tracking Table'!$Q125,'Loading Rates'!$B$1:$L$24,7,FALSE)+'BMP P Tracking Table'!$Y125*VLOOKUP('BMP P Tracking Table'!$Q125,'Loading Rates'!$B$1:$L$24,8,FALSE)+'BMP P Tracking Table'!$Z125*VLOOKUP('BMP P Tracking Table'!$Q125,'Loading Rates'!$B$1:$L$24,9,FALSE),'BMP P Tracking Table'!$AA125*VLOOKUP('BMP P Tracking Table'!$Q125,'Loading Rates'!$B$1:$L$24,10,FALSE)),"")</f>
        <v/>
      </c>
      <c r="AE125" s="175" t="str">
        <f>IFERROR(MIN(2,IF('BMP P Tracking Table'!$V125="Total Pervious",(-(3630*'BMP P Tracking Table'!$U125+20.691*'BMP P Tracking Table'!$AA125)+SQRT((3630*'BMP P Tracking Table'!$U125+20.691*'BMP P Tracking Table'!$AA125)^2-(4*(996.798*'BMP P Tracking Table'!$AA125)*-'BMP P Tracking Table'!$AB125)))/(2*(996.798*'BMP P Tracking Table'!$AA125)),IF(SUM('BMP P Tracking Table'!$W125:$Z125)=0,'BMP P Tracking Table'!$AB125/(-3630*'BMP P Tracking Table'!$U125),(-(3630*'BMP P Tracking Table'!$U125+20.691*'BMP P Tracking Table'!$Z125-216.711*'BMP P Tracking Table'!$Y125-83.853*'BMP P Tracking Table'!$X125-42.834*'BMP P Tracking Table'!$W125)+SQRT((3630*'BMP P Tracking Table'!$U125+20.691*'BMP P Tracking Table'!$Z125-216.711*'BMP P Tracking Table'!$Y125-83.853*'BMP P Tracking Table'!$X125-42.834*'BMP P Tracking Table'!$W125)^2-(4*(149.919*'BMP P Tracking Table'!$W125+236.676*'BMP P Tracking Table'!$X125+726*'BMP P Tracking Table'!$Y125+996.798*'BMP P Tracking Table'!$Z125)*-'BMP P Tracking Table'!$AB125)))/(2*(149.919*'BMP P Tracking Table'!$W125+236.676*'BMP P Tracking Table'!$X125+726*'BMP P Tracking Table'!$Y125+996.798*'BMP P Tracking Table'!$Z125))))),"")</f>
        <v/>
      </c>
      <c r="AF125" s="175" t="str">
        <f>IFERROR((VLOOKUP(CONCATENATE('BMP P Tracking Table'!$T125," ",'BMP P Tracking Table'!$AC125),'Performance Curves'!$C$1:$L$45,MATCH('BMP P Tracking Table'!$AE125,'Performance Curves'!$E$1:$L$1,1)+2,FALSE)-VLOOKUP(CONCATENATE('BMP P Tracking Table'!$T125," ",'BMP P Tracking Table'!$AC125),'Performance Curves'!$C$1:$L$45,MATCH('BMP P Tracking Table'!$AE125,'Performance Curves'!$E$1:$L$1,1)+1,FALSE)),"")</f>
        <v/>
      </c>
      <c r="AG125" s="175" t="str">
        <f>IFERROR(('BMP P Tracking Table'!$AE125-INDEX('Performance Curves'!$E$1:$L$1,1,MATCH('BMP P Tracking Table'!$AE125,'Performance Curves'!$E$1:$L$1,1)))/(INDEX('Performance Curves'!$E$1:$L$1,1,MATCH('BMP P Tracking Table'!$AE125,'Performance Curves'!$E$1:$L$1,1)+1)-INDEX('Performance Curves'!$E$1:$L$1,1,MATCH('BMP P Tracking Table'!$AE125,'Performance Curves'!$E$1:$L$1,1))),"")</f>
        <v/>
      </c>
      <c r="AH125" s="176" t="str">
        <f>IFERROR(IF('BMP P Tracking Table'!$AE125=2,VLOOKUP(CONCATENATE('BMP P Tracking Table'!$T125," ",'BMP P Tracking Table'!$AC125),'Performance Curves'!$C$1:$L$45,MATCH('BMP P Tracking Table'!$AE125,'Performance Curves'!$E$1:$L$1,1)+1,FALSE),'BMP P Tracking Table'!$AF125*'BMP P Tracking Table'!$AG125+VLOOKUP(CONCATENATE('BMP P Tracking Table'!$T125," ",'BMP P Tracking Table'!$AC125),'Performance Curves'!$C$1:$L$45,MATCH('BMP P Tracking Table'!$AE125,'Performance Curves'!$E$1:$L$1,1)+1,FALSE)),"")</f>
        <v/>
      </c>
      <c r="AI125" s="175" t="str">
        <f>IFERROR('BMP P Tracking Table'!$AH125*'BMP P Tracking Table'!$AD125,"")</f>
        <v/>
      </c>
      <c r="AJ125" s="169"/>
      <c r="AK125" s="173"/>
      <c r="AL125" s="173"/>
      <c r="AM125" s="177"/>
      <c r="AN125" s="178" t="str">
        <f t="shared" si="14"/>
        <v/>
      </c>
      <c r="AO125" s="96"/>
      <c r="AP125" s="96"/>
      <c r="AQ125" s="96"/>
      <c r="AR125" s="96"/>
      <c r="AS125" s="96"/>
      <c r="AT125" s="96"/>
      <c r="AU125" s="96"/>
      <c r="AV125" s="64"/>
      <c r="AW125" s="97"/>
      <c r="AX125" s="97"/>
      <c r="AY125" s="101" t="str">
        <f>IF('BMP P Tracking Table'!$AK125="Yes",IF('BMP P Tracking Table'!$AL125="No",'BMP P Tracking Table'!$U125*VLOOKUP('BMP P Tracking Table'!$Q125,'Loading Rates'!$B$1:$L$24,4,FALSE)+IF('BMP P Tracking Table'!$V125="By HSG",'BMP P Tracking Table'!$W125*VLOOKUP('BMP P Tracking Table'!$Q125,'Loading Rates'!$B$1:$L$24,6,FALSE)+'BMP P Tracking Table'!$X125*VLOOKUP('BMP P Tracking Table'!$Q125,'Loading Rates'!$B$1:$L$24,7,FALSE)+'BMP P Tracking Table'!$Y125*VLOOKUP('BMP P Tracking Table'!$Q125,'Loading Rates'!$B$1:$L$24,8,FALSE)+'BMP P Tracking Table'!$Z125*VLOOKUP('BMP P Tracking Table'!$Q125,'Loading Rates'!$B$1:$L$24,9,FALSE),'BMP P Tracking Table'!$AA125*VLOOKUP('BMP P Tracking Table'!$Q125,'Loading Rates'!$B$1:$L$24,10,FALSE)),'BMP P Tracking Table'!$AO125*VLOOKUP('BMP P Tracking Table'!$Q125,'Loading Rates'!$B$1:$L$24,4,FALSE)+IF('BMP P Tracking Table'!$AP125="By HSG",'BMP P Tracking Table'!$AQ125*VLOOKUP('BMP P Tracking Table'!$Q125,'Loading Rates'!$B$1:$L$24,6,FALSE)+'BMP P Tracking Table'!$AR125*VLOOKUP('BMP P Tracking Table'!$Q125,'Loading Rates'!$B$1:$L$24,7,FALSE)+'BMP P Tracking Table'!$AS125*VLOOKUP('BMP P Tracking Table'!$Q125,'Loading Rates'!$B$1:$L$24,8,FALSE)+'BMP P Tracking Table'!$AT125*VLOOKUP('BMP P Tracking Table'!$Q125,'Loading Rates'!$B$1:$L$24,9,FALSE),'BMP P Tracking Table'!$AU125*VLOOKUP('BMP P Tracking Table'!$Q125,'Loading Rates'!$B$1:$L$24,10,FALSE))),"")</f>
        <v/>
      </c>
      <c r="AZ125" s="101" t="str">
        <f>IFERROR(IF('BMP P Tracking Table'!$AL125="Yes",MIN(2,IF('BMP P Tracking Table'!$AP125="Total Pervious",(-(3630*'BMP P Tracking Table'!$AO125+20.691*'BMP P Tracking Table'!$AU125)+SQRT((3630*'BMP P Tracking Table'!$AO125+20.691*'BMP P Tracking Table'!$AU125)^2-(4*(996.798*'BMP P Tracking Table'!$AU125)*-'BMP P Tracking Table'!$AW125)))/(2*(996.798*'BMP P Tracking Table'!$AU125)),IF(SUM('BMP P Tracking Table'!$AQ125:$AT125)=0,'BMP P Tracking Table'!$AU125/(-3630*'BMP P Tracking Table'!$AO125),(-(3630*'BMP P Tracking Table'!$AO125+20.691*'BMP P Tracking Table'!$AT125-216.711*'BMP P Tracking Table'!$AS125-83.853*'BMP P Tracking Table'!$AR125-42.834*'BMP P Tracking Table'!$AQ125)+SQRT((3630*'BMP P Tracking Table'!$AO125+20.691*'BMP P Tracking Table'!$AT125-216.711*'BMP P Tracking Table'!$AS125-83.853*'BMP P Tracking Table'!$AR125-42.834*'BMP P Tracking Table'!$AQ125)^2-(4*(149.919*'BMP P Tracking Table'!$AQ125+236.676*'BMP P Tracking Table'!$AR125+726*'BMP P Tracking Table'!$AS125+996.798*'BMP P Tracking Table'!$AT125)*-'BMP P Tracking Table'!$AW125)))/(2*(149.919*'BMP P Tracking Table'!$AQ125+236.676*'BMP P Tracking Table'!$AR125+726*'BMP P Tracking Table'!$AS125+996.798*'BMP P Tracking Table'!$AT125))))),MIN(2,IF('BMP P Tracking Table'!$AP125="Total Pervious",(-(3630*'BMP P Tracking Table'!$U125+20.691*'BMP P Tracking Table'!$AA125)+SQRT((3630*'BMP P Tracking Table'!$U125+20.691*'BMP P Tracking Table'!$AA125)^2-(4*(996.798*'BMP P Tracking Table'!$AA125)*-'BMP P Tracking Table'!$AW125)))/(2*(996.798*'BMP P Tracking Table'!$AA125)),IF(SUM('BMP P Tracking Table'!$W125:$Z125)=0,'BMP P Tracking Table'!$AW125/(-3630*'BMP P Tracking Table'!$U125),(-(3630*'BMP P Tracking Table'!$U125+20.691*'BMP P Tracking Table'!$Z125-216.711*'BMP P Tracking Table'!$Y125-83.853*'BMP P Tracking Table'!$X125-42.834*'BMP P Tracking Table'!$W125)+SQRT((3630*'BMP P Tracking Table'!$U125+20.691*'BMP P Tracking Table'!$Z125-216.711*'BMP P Tracking Table'!$Y125-83.853*'BMP P Tracking Table'!$X125-42.834*'BMP P Tracking Table'!$W125)^2-(4*(149.919*'BMP P Tracking Table'!$W125+236.676*'BMP P Tracking Table'!$X125+726*'BMP P Tracking Table'!$Y125+996.798*'BMP P Tracking Table'!$Z125)*-'BMP P Tracking Table'!$AW125)))/(2*(149.919*'BMP P Tracking Table'!$W125+236.676*'BMP P Tracking Table'!$X125+726*'BMP P Tracking Table'!$Y125+996.798*'BMP P Tracking Table'!$Z125)))))),"")</f>
        <v/>
      </c>
      <c r="BA125" s="101" t="str">
        <f>IFERROR((VLOOKUP(CONCATENATE('BMP P Tracking Table'!$AV125," ",'BMP P Tracking Table'!$AX125),'Performance Curves'!$C$1:$L$45,MATCH('BMP P Tracking Table'!$AZ125,'Performance Curves'!$E$1:$L$1,1)+2,FALSE)-VLOOKUP(CONCATENATE('BMP P Tracking Table'!$AV125," ",'BMP P Tracking Table'!$AX125),'Performance Curves'!$C$1:$L$45,MATCH('BMP P Tracking Table'!$AZ125,'Performance Curves'!$E$1:$L$1,1)+1,FALSE)),"")</f>
        <v/>
      </c>
      <c r="BB125" s="101" t="str">
        <f>IFERROR(('BMP P Tracking Table'!$AZ125-INDEX('Performance Curves'!$E$1:$L$1,1,MATCH('BMP P Tracking Table'!$AZ125,'Performance Curves'!$E$1:$L$1,1)))/(INDEX('Performance Curves'!$E$1:$L$1,1,MATCH('BMP P Tracking Table'!$AZ125,'Performance Curves'!$E$1:$L$1,1)+1)-INDEX('Performance Curves'!$E$1:$L$1,1,MATCH('BMP P Tracking Table'!$AZ125,'Performance Curves'!$E$1:$L$1,1))),"")</f>
        <v/>
      </c>
      <c r="BC125" s="102" t="str">
        <f>IFERROR(IF('BMP P Tracking Table'!$AZ125=2,VLOOKUP(CONCATENATE('BMP P Tracking Table'!$AV125," ",'BMP P Tracking Table'!$AX125),'Performance Curves'!$C$1:$L$44,MATCH('BMP P Tracking Table'!$AZ125,'Performance Curves'!$E$1:$L$1,1)+1,FALSE),'BMP P Tracking Table'!$BA125*'BMP P Tracking Table'!$BB125+VLOOKUP(CONCATENATE('BMP P Tracking Table'!$AV125," ",'BMP P Tracking Table'!$AX125),'Performance Curves'!$C$1:$L$44,MATCH('BMP P Tracking Table'!$AZ125,'Performance Curves'!$E$1:$L$1,1)+1,FALSE)),"")</f>
        <v/>
      </c>
      <c r="BD125" s="101" t="str">
        <f>IFERROR('BMP P Tracking Table'!$BC125*'BMP P Tracking Table'!$AY125,"")</f>
        <v/>
      </c>
      <c r="BE125" s="96"/>
      <c r="BF125" s="37">
        <f t="shared" si="15"/>
        <v>0</v>
      </c>
    </row>
    <row r="126" spans="1:58" x14ac:dyDescent="0.3">
      <c r="A126" s="169"/>
      <c r="B126" s="169"/>
      <c r="C126" s="169"/>
      <c r="D126" s="169"/>
      <c r="E126" s="170"/>
      <c r="F126" s="170"/>
      <c r="G126" s="169"/>
      <c r="H126" s="169"/>
      <c r="I126" s="169"/>
      <c r="J126" s="171"/>
      <c r="K126" s="169"/>
      <c r="L126" s="169"/>
      <c r="M126" s="169"/>
      <c r="N126" s="169"/>
      <c r="O126" s="169"/>
      <c r="P126" s="169"/>
      <c r="Q126" s="169" t="str">
        <f>IFERROR(VLOOKUP('BMP P Tracking Table'!$P126,Dropdowns!$C$2:$E$15,3,FALSE),"")</f>
        <v/>
      </c>
      <c r="R126" s="169" t="str">
        <f>IFERROR(VLOOKUP('BMP P Tracking Table'!$Q126,Dropdowns!$P$3:$Q$23,2,FALSE),"")</f>
        <v/>
      </c>
      <c r="S126" s="169"/>
      <c r="T126" s="169"/>
      <c r="U126" s="169"/>
      <c r="V126" s="169"/>
      <c r="W126" s="169"/>
      <c r="X126" s="169"/>
      <c r="Y126" s="169"/>
      <c r="Z126" s="169"/>
      <c r="AA126" s="169"/>
      <c r="AB126" s="174"/>
      <c r="AC126" s="169"/>
      <c r="AD126" s="175" t="str">
        <f>IFERROR('BMP P Tracking Table'!$U126*VLOOKUP('BMP P Tracking Table'!$Q126,'Loading Rates'!$B$1:$L$24,4,FALSE)+IF('BMP P Tracking Table'!$V126="By HSG",'BMP P Tracking Table'!$W126*VLOOKUP('BMP P Tracking Table'!$Q126,'Loading Rates'!$B$1:$L$24,6,FALSE)+'BMP P Tracking Table'!$X126*VLOOKUP('BMP P Tracking Table'!$Q126,'Loading Rates'!$B$1:$L$24,7,FALSE)+'BMP P Tracking Table'!$Y126*VLOOKUP('BMP P Tracking Table'!$Q126,'Loading Rates'!$B$1:$L$24,8,FALSE)+'BMP P Tracking Table'!$Z126*VLOOKUP('BMP P Tracking Table'!$Q126,'Loading Rates'!$B$1:$L$24,9,FALSE),'BMP P Tracking Table'!$AA126*VLOOKUP('BMP P Tracking Table'!$Q126,'Loading Rates'!$B$1:$L$24,10,FALSE)),"")</f>
        <v/>
      </c>
      <c r="AE126" s="175" t="str">
        <f>IFERROR(MIN(2,IF('BMP P Tracking Table'!$V126="Total Pervious",(-(3630*'BMP P Tracking Table'!$U126+20.691*'BMP P Tracking Table'!$AA126)+SQRT((3630*'BMP P Tracking Table'!$U126+20.691*'BMP P Tracking Table'!$AA126)^2-(4*(996.798*'BMP P Tracking Table'!$AA126)*-'BMP P Tracking Table'!$AB126)))/(2*(996.798*'BMP P Tracking Table'!$AA126)),IF(SUM('BMP P Tracking Table'!$W126:$Z126)=0,'BMP P Tracking Table'!$AB126/(-3630*'BMP P Tracking Table'!$U126),(-(3630*'BMP P Tracking Table'!$U126+20.691*'BMP P Tracking Table'!$Z126-216.711*'BMP P Tracking Table'!$Y126-83.853*'BMP P Tracking Table'!$X126-42.834*'BMP P Tracking Table'!$W126)+SQRT((3630*'BMP P Tracking Table'!$U126+20.691*'BMP P Tracking Table'!$Z126-216.711*'BMP P Tracking Table'!$Y126-83.853*'BMP P Tracking Table'!$X126-42.834*'BMP P Tracking Table'!$W126)^2-(4*(149.919*'BMP P Tracking Table'!$W126+236.676*'BMP P Tracking Table'!$X126+726*'BMP P Tracking Table'!$Y126+996.798*'BMP P Tracking Table'!$Z126)*-'BMP P Tracking Table'!$AB126)))/(2*(149.919*'BMP P Tracking Table'!$W126+236.676*'BMP P Tracking Table'!$X126+726*'BMP P Tracking Table'!$Y126+996.798*'BMP P Tracking Table'!$Z126))))),"")</f>
        <v/>
      </c>
      <c r="AF126" s="175" t="str">
        <f>IFERROR((VLOOKUP(CONCATENATE('BMP P Tracking Table'!$T126," ",'BMP P Tracking Table'!$AC126),'Performance Curves'!$C$1:$L$45,MATCH('BMP P Tracking Table'!$AE126,'Performance Curves'!$E$1:$L$1,1)+2,FALSE)-VLOOKUP(CONCATENATE('BMP P Tracking Table'!$T126," ",'BMP P Tracking Table'!$AC126),'Performance Curves'!$C$1:$L$45,MATCH('BMP P Tracking Table'!$AE126,'Performance Curves'!$E$1:$L$1,1)+1,FALSE)),"")</f>
        <v/>
      </c>
      <c r="AG126" s="175" t="str">
        <f>IFERROR(('BMP P Tracking Table'!$AE126-INDEX('Performance Curves'!$E$1:$L$1,1,MATCH('BMP P Tracking Table'!$AE126,'Performance Curves'!$E$1:$L$1,1)))/(INDEX('Performance Curves'!$E$1:$L$1,1,MATCH('BMP P Tracking Table'!$AE126,'Performance Curves'!$E$1:$L$1,1)+1)-INDEX('Performance Curves'!$E$1:$L$1,1,MATCH('BMP P Tracking Table'!$AE126,'Performance Curves'!$E$1:$L$1,1))),"")</f>
        <v/>
      </c>
      <c r="AH126" s="176" t="str">
        <f>IFERROR(IF('BMP P Tracking Table'!$AE126=2,VLOOKUP(CONCATENATE('BMP P Tracking Table'!$T126," ",'BMP P Tracking Table'!$AC126),'Performance Curves'!$C$1:$L$45,MATCH('BMP P Tracking Table'!$AE126,'Performance Curves'!$E$1:$L$1,1)+1,FALSE),'BMP P Tracking Table'!$AF126*'BMP P Tracking Table'!$AG126+VLOOKUP(CONCATENATE('BMP P Tracking Table'!$T126," ",'BMP P Tracking Table'!$AC126),'Performance Curves'!$C$1:$L$45,MATCH('BMP P Tracking Table'!$AE126,'Performance Curves'!$E$1:$L$1,1)+1,FALSE)),"")</f>
        <v/>
      </c>
      <c r="AI126" s="175" t="str">
        <f>IFERROR('BMP P Tracking Table'!$AH126*'BMP P Tracking Table'!$AD126,"")</f>
        <v/>
      </c>
      <c r="AJ126" s="169"/>
      <c r="AK126" s="173"/>
      <c r="AL126" s="173"/>
      <c r="AM126" s="177"/>
      <c r="AN126" s="178" t="str">
        <f t="shared" si="14"/>
        <v/>
      </c>
      <c r="AO126" s="96"/>
      <c r="AP126" s="96"/>
      <c r="AQ126" s="96"/>
      <c r="AR126" s="96"/>
      <c r="AS126" s="96"/>
      <c r="AT126" s="96"/>
      <c r="AU126" s="96"/>
      <c r="AV126" s="64"/>
      <c r="AW126" s="97"/>
      <c r="AX126" s="97"/>
      <c r="AY126" s="101" t="str">
        <f>IF('BMP P Tracking Table'!$AK126="Yes",IF('BMP P Tracking Table'!$AL126="No",'BMP P Tracking Table'!$U126*VLOOKUP('BMP P Tracking Table'!$Q126,'Loading Rates'!$B$1:$L$24,4,FALSE)+IF('BMP P Tracking Table'!$V126="By HSG",'BMP P Tracking Table'!$W126*VLOOKUP('BMP P Tracking Table'!$Q126,'Loading Rates'!$B$1:$L$24,6,FALSE)+'BMP P Tracking Table'!$X126*VLOOKUP('BMP P Tracking Table'!$Q126,'Loading Rates'!$B$1:$L$24,7,FALSE)+'BMP P Tracking Table'!$Y126*VLOOKUP('BMP P Tracking Table'!$Q126,'Loading Rates'!$B$1:$L$24,8,FALSE)+'BMP P Tracking Table'!$Z126*VLOOKUP('BMP P Tracking Table'!$Q126,'Loading Rates'!$B$1:$L$24,9,FALSE),'BMP P Tracking Table'!$AA126*VLOOKUP('BMP P Tracking Table'!$Q126,'Loading Rates'!$B$1:$L$24,10,FALSE)),'BMP P Tracking Table'!$AO126*VLOOKUP('BMP P Tracking Table'!$Q126,'Loading Rates'!$B$1:$L$24,4,FALSE)+IF('BMP P Tracking Table'!$AP126="By HSG",'BMP P Tracking Table'!$AQ126*VLOOKUP('BMP P Tracking Table'!$Q126,'Loading Rates'!$B$1:$L$24,6,FALSE)+'BMP P Tracking Table'!$AR126*VLOOKUP('BMP P Tracking Table'!$Q126,'Loading Rates'!$B$1:$L$24,7,FALSE)+'BMP P Tracking Table'!$AS126*VLOOKUP('BMP P Tracking Table'!$Q126,'Loading Rates'!$B$1:$L$24,8,FALSE)+'BMP P Tracking Table'!$AT126*VLOOKUP('BMP P Tracking Table'!$Q126,'Loading Rates'!$B$1:$L$24,9,FALSE),'BMP P Tracking Table'!$AU126*VLOOKUP('BMP P Tracking Table'!$Q126,'Loading Rates'!$B$1:$L$24,10,FALSE))),"")</f>
        <v/>
      </c>
      <c r="AZ126" s="101" t="str">
        <f>IFERROR(IF('BMP P Tracking Table'!$AL126="Yes",MIN(2,IF('BMP P Tracking Table'!$AP126="Total Pervious",(-(3630*'BMP P Tracking Table'!$AO126+20.691*'BMP P Tracking Table'!$AU126)+SQRT((3630*'BMP P Tracking Table'!$AO126+20.691*'BMP P Tracking Table'!$AU126)^2-(4*(996.798*'BMP P Tracking Table'!$AU126)*-'BMP P Tracking Table'!$AW126)))/(2*(996.798*'BMP P Tracking Table'!$AU126)),IF(SUM('BMP P Tracking Table'!$AQ126:$AT126)=0,'BMP P Tracking Table'!$AU126/(-3630*'BMP P Tracking Table'!$AO126),(-(3630*'BMP P Tracking Table'!$AO126+20.691*'BMP P Tracking Table'!$AT126-216.711*'BMP P Tracking Table'!$AS126-83.853*'BMP P Tracking Table'!$AR126-42.834*'BMP P Tracking Table'!$AQ126)+SQRT((3630*'BMP P Tracking Table'!$AO126+20.691*'BMP P Tracking Table'!$AT126-216.711*'BMP P Tracking Table'!$AS126-83.853*'BMP P Tracking Table'!$AR126-42.834*'BMP P Tracking Table'!$AQ126)^2-(4*(149.919*'BMP P Tracking Table'!$AQ126+236.676*'BMP P Tracking Table'!$AR126+726*'BMP P Tracking Table'!$AS126+996.798*'BMP P Tracking Table'!$AT126)*-'BMP P Tracking Table'!$AW126)))/(2*(149.919*'BMP P Tracking Table'!$AQ126+236.676*'BMP P Tracking Table'!$AR126+726*'BMP P Tracking Table'!$AS126+996.798*'BMP P Tracking Table'!$AT126))))),MIN(2,IF('BMP P Tracking Table'!$AP126="Total Pervious",(-(3630*'BMP P Tracking Table'!$U126+20.691*'BMP P Tracking Table'!$AA126)+SQRT((3630*'BMP P Tracking Table'!$U126+20.691*'BMP P Tracking Table'!$AA126)^2-(4*(996.798*'BMP P Tracking Table'!$AA126)*-'BMP P Tracking Table'!$AW126)))/(2*(996.798*'BMP P Tracking Table'!$AA126)),IF(SUM('BMP P Tracking Table'!$W126:$Z126)=0,'BMP P Tracking Table'!$AW126/(-3630*'BMP P Tracking Table'!$U126),(-(3630*'BMP P Tracking Table'!$U126+20.691*'BMP P Tracking Table'!$Z126-216.711*'BMP P Tracking Table'!$Y126-83.853*'BMP P Tracking Table'!$X126-42.834*'BMP P Tracking Table'!$W126)+SQRT((3630*'BMP P Tracking Table'!$U126+20.691*'BMP P Tracking Table'!$Z126-216.711*'BMP P Tracking Table'!$Y126-83.853*'BMP P Tracking Table'!$X126-42.834*'BMP P Tracking Table'!$W126)^2-(4*(149.919*'BMP P Tracking Table'!$W126+236.676*'BMP P Tracking Table'!$X126+726*'BMP P Tracking Table'!$Y126+996.798*'BMP P Tracking Table'!$Z126)*-'BMP P Tracking Table'!$AW126)))/(2*(149.919*'BMP P Tracking Table'!$W126+236.676*'BMP P Tracking Table'!$X126+726*'BMP P Tracking Table'!$Y126+996.798*'BMP P Tracking Table'!$Z126)))))),"")</f>
        <v/>
      </c>
      <c r="BA126" s="101" t="str">
        <f>IFERROR((VLOOKUP(CONCATENATE('BMP P Tracking Table'!$AV126," ",'BMP P Tracking Table'!$AX126),'Performance Curves'!$C$1:$L$45,MATCH('BMP P Tracking Table'!$AZ126,'Performance Curves'!$E$1:$L$1,1)+2,FALSE)-VLOOKUP(CONCATENATE('BMP P Tracking Table'!$AV126," ",'BMP P Tracking Table'!$AX126),'Performance Curves'!$C$1:$L$45,MATCH('BMP P Tracking Table'!$AZ126,'Performance Curves'!$E$1:$L$1,1)+1,FALSE)),"")</f>
        <v/>
      </c>
      <c r="BB126" s="101" t="str">
        <f>IFERROR(('BMP P Tracking Table'!$AZ126-INDEX('Performance Curves'!$E$1:$L$1,1,MATCH('BMP P Tracking Table'!$AZ126,'Performance Curves'!$E$1:$L$1,1)))/(INDEX('Performance Curves'!$E$1:$L$1,1,MATCH('BMP P Tracking Table'!$AZ126,'Performance Curves'!$E$1:$L$1,1)+1)-INDEX('Performance Curves'!$E$1:$L$1,1,MATCH('BMP P Tracking Table'!$AZ126,'Performance Curves'!$E$1:$L$1,1))),"")</f>
        <v/>
      </c>
      <c r="BC126" s="102" t="str">
        <f>IFERROR(IF('BMP P Tracking Table'!$AZ126=2,VLOOKUP(CONCATENATE('BMP P Tracking Table'!$AV126," ",'BMP P Tracking Table'!$AX126),'Performance Curves'!$C$1:$L$44,MATCH('BMP P Tracking Table'!$AZ126,'Performance Curves'!$E$1:$L$1,1)+1,FALSE),'BMP P Tracking Table'!$BA126*'BMP P Tracking Table'!$BB126+VLOOKUP(CONCATENATE('BMP P Tracking Table'!$AV126," ",'BMP P Tracking Table'!$AX126),'Performance Curves'!$C$1:$L$44,MATCH('BMP P Tracking Table'!$AZ126,'Performance Curves'!$E$1:$L$1,1)+1,FALSE)),"")</f>
        <v/>
      </c>
      <c r="BD126" s="101" t="str">
        <f>IFERROR('BMP P Tracking Table'!$BC126*'BMP P Tracking Table'!$AY126,"")</f>
        <v/>
      </c>
      <c r="BE126" s="96"/>
      <c r="BF126" s="37">
        <f t="shared" si="15"/>
        <v>0</v>
      </c>
    </row>
    <row r="127" spans="1:58" x14ac:dyDescent="0.3">
      <c r="A127" s="169"/>
      <c r="B127" s="169"/>
      <c r="C127" s="169"/>
      <c r="D127" s="169"/>
      <c r="E127" s="170"/>
      <c r="F127" s="170"/>
      <c r="G127" s="169"/>
      <c r="H127" s="169"/>
      <c r="I127" s="169"/>
      <c r="J127" s="171"/>
      <c r="K127" s="169"/>
      <c r="L127" s="169"/>
      <c r="M127" s="169"/>
      <c r="N127" s="169"/>
      <c r="O127" s="169"/>
      <c r="P127" s="169"/>
      <c r="Q127" s="169" t="str">
        <f>IFERROR(VLOOKUP('BMP P Tracking Table'!$P127,Dropdowns!$C$2:$E$15,3,FALSE),"")</f>
        <v/>
      </c>
      <c r="R127" s="169" t="str">
        <f>IFERROR(VLOOKUP('BMP P Tracking Table'!$Q127,Dropdowns!$P$3:$Q$23,2,FALSE),"")</f>
        <v/>
      </c>
      <c r="S127" s="169"/>
      <c r="T127" s="169"/>
      <c r="U127" s="169"/>
      <c r="V127" s="169"/>
      <c r="W127" s="169"/>
      <c r="X127" s="169"/>
      <c r="Y127" s="169"/>
      <c r="Z127" s="169"/>
      <c r="AA127" s="169"/>
      <c r="AB127" s="174"/>
      <c r="AC127" s="169"/>
      <c r="AD127" s="175" t="str">
        <f>IFERROR('BMP P Tracking Table'!$U127*VLOOKUP('BMP P Tracking Table'!$Q127,'Loading Rates'!$B$1:$L$24,4,FALSE)+IF('BMP P Tracking Table'!$V127="By HSG",'BMP P Tracking Table'!$W127*VLOOKUP('BMP P Tracking Table'!$Q127,'Loading Rates'!$B$1:$L$24,6,FALSE)+'BMP P Tracking Table'!$X127*VLOOKUP('BMP P Tracking Table'!$Q127,'Loading Rates'!$B$1:$L$24,7,FALSE)+'BMP P Tracking Table'!$Y127*VLOOKUP('BMP P Tracking Table'!$Q127,'Loading Rates'!$B$1:$L$24,8,FALSE)+'BMP P Tracking Table'!$Z127*VLOOKUP('BMP P Tracking Table'!$Q127,'Loading Rates'!$B$1:$L$24,9,FALSE),'BMP P Tracking Table'!$AA127*VLOOKUP('BMP P Tracking Table'!$Q127,'Loading Rates'!$B$1:$L$24,10,FALSE)),"")</f>
        <v/>
      </c>
      <c r="AE127" s="175" t="str">
        <f>IFERROR(MIN(2,IF('BMP P Tracking Table'!$V127="Total Pervious",(-(3630*'BMP P Tracking Table'!$U127+20.691*'BMP P Tracking Table'!$AA127)+SQRT((3630*'BMP P Tracking Table'!$U127+20.691*'BMP P Tracking Table'!$AA127)^2-(4*(996.798*'BMP P Tracking Table'!$AA127)*-'BMP P Tracking Table'!$AB127)))/(2*(996.798*'BMP P Tracking Table'!$AA127)),IF(SUM('BMP P Tracking Table'!$W127:$Z127)=0,'BMP P Tracking Table'!$AB127/(-3630*'BMP P Tracking Table'!$U127),(-(3630*'BMP P Tracking Table'!$U127+20.691*'BMP P Tracking Table'!$Z127-216.711*'BMP P Tracking Table'!$Y127-83.853*'BMP P Tracking Table'!$X127-42.834*'BMP P Tracking Table'!$W127)+SQRT((3630*'BMP P Tracking Table'!$U127+20.691*'BMP P Tracking Table'!$Z127-216.711*'BMP P Tracking Table'!$Y127-83.853*'BMP P Tracking Table'!$X127-42.834*'BMP P Tracking Table'!$W127)^2-(4*(149.919*'BMP P Tracking Table'!$W127+236.676*'BMP P Tracking Table'!$X127+726*'BMP P Tracking Table'!$Y127+996.798*'BMP P Tracking Table'!$Z127)*-'BMP P Tracking Table'!$AB127)))/(2*(149.919*'BMP P Tracking Table'!$W127+236.676*'BMP P Tracking Table'!$X127+726*'BMP P Tracking Table'!$Y127+996.798*'BMP P Tracking Table'!$Z127))))),"")</f>
        <v/>
      </c>
      <c r="AF127" s="175" t="str">
        <f>IFERROR((VLOOKUP(CONCATENATE('BMP P Tracking Table'!$T127," ",'BMP P Tracking Table'!$AC127),'Performance Curves'!$C$1:$L$45,MATCH('BMP P Tracking Table'!$AE127,'Performance Curves'!$E$1:$L$1,1)+2,FALSE)-VLOOKUP(CONCATENATE('BMP P Tracking Table'!$T127," ",'BMP P Tracking Table'!$AC127),'Performance Curves'!$C$1:$L$45,MATCH('BMP P Tracking Table'!$AE127,'Performance Curves'!$E$1:$L$1,1)+1,FALSE)),"")</f>
        <v/>
      </c>
      <c r="AG127" s="175" t="str">
        <f>IFERROR(('BMP P Tracking Table'!$AE127-INDEX('Performance Curves'!$E$1:$L$1,1,MATCH('BMP P Tracking Table'!$AE127,'Performance Curves'!$E$1:$L$1,1)))/(INDEX('Performance Curves'!$E$1:$L$1,1,MATCH('BMP P Tracking Table'!$AE127,'Performance Curves'!$E$1:$L$1,1)+1)-INDEX('Performance Curves'!$E$1:$L$1,1,MATCH('BMP P Tracking Table'!$AE127,'Performance Curves'!$E$1:$L$1,1))),"")</f>
        <v/>
      </c>
      <c r="AH127" s="176" t="str">
        <f>IFERROR(IF('BMP P Tracking Table'!$AE127=2,VLOOKUP(CONCATENATE('BMP P Tracking Table'!$T127," ",'BMP P Tracking Table'!$AC127),'Performance Curves'!$C$1:$L$45,MATCH('BMP P Tracking Table'!$AE127,'Performance Curves'!$E$1:$L$1,1)+1,FALSE),'BMP P Tracking Table'!$AF127*'BMP P Tracking Table'!$AG127+VLOOKUP(CONCATENATE('BMP P Tracking Table'!$T127," ",'BMP P Tracking Table'!$AC127),'Performance Curves'!$C$1:$L$45,MATCH('BMP P Tracking Table'!$AE127,'Performance Curves'!$E$1:$L$1,1)+1,FALSE)),"")</f>
        <v/>
      </c>
      <c r="AI127" s="175" t="str">
        <f>IFERROR('BMP P Tracking Table'!$AH127*'BMP P Tracking Table'!$AD127,"")</f>
        <v/>
      </c>
      <c r="AJ127" s="169"/>
      <c r="AK127" s="173"/>
      <c r="AL127" s="173"/>
      <c r="AM127" s="177"/>
      <c r="AN127" s="178" t="str">
        <f t="shared" si="14"/>
        <v/>
      </c>
      <c r="AO127" s="96"/>
      <c r="AP127" s="96"/>
      <c r="AQ127" s="96"/>
      <c r="AR127" s="96"/>
      <c r="AS127" s="96"/>
      <c r="AT127" s="96"/>
      <c r="AU127" s="96"/>
      <c r="AV127" s="64"/>
      <c r="AW127" s="97"/>
      <c r="AX127" s="97"/>
      <c r="AY127" s="101" t="str">
        <f>IF('BMP P Tracking Table'!$AK127="Yes",IF('BMP P Tracking Table'!$AL127="No",'BMP P Tracking Table'!$U127*VLOOKUP('BMP P Tracking Table'!$Q127,'Loading Rates'!$B$1:$L$24,4,FALSE)+IF('BMP P Tracking Table'!$V127="By HSG",'BMP P Tracking Table'!$W127*VLOOKUP('BMP P Tracking Table'!$Q127,'Loading Rates'!$B$1:$L$24,6,FALSE)+'BMP P Tracking Table'!$X127*VLOOKUP('BMP P Tracking Table'!$Q127,'Loading Rates'!$B$1:$L$24,7,FALSE)+'BMP P Tracking Table'!$Y127*VLOOKUP('BMP P Tracking Table'!$Q127,'Loading Rates'!$B$1:$L$24,8,FALSE)+'BMP P Tracking Table'!$Z127*VLOOKUP('BMP P Tracking Table'!$Q127,'Loading Rates'!$B$1:$L$24,9,FALSE),'BMP P Tracking Table'!$AA127*VLOOKUP('BMP P Tracking Table'!$Q127,'Loading Rates'!$B$1:$L$24,10,FALSE)),'BMP P Tracking Table'!$AO127*VLOOKUP('BMP P Tracking Table'!$Q127,'Loading Rates'!$B$1:$L$24,4,FALSE)+IF('BMP P Tracking Table'!$AP127="By HSG",'BMP P Tracking Table'!$AQ127*VLOOKUP('BMP P Tracking Table'!$Q127,'Loading Rates'!$B$1:$L$24,6,FALSE)+'BMP P Tracking Table'!$AR127*VLOOKUP('BMP P Tracking Table'!$Q127,'Loading Rates'!$B$1:$L$24,7,FALSE)+'BMP P Tracking Table'!$AS127*VLOOKUP('BMP P Tracking Table'!$Q127,'Loading Rates'!$B$1:$L$24,8,FALSE)+'BMP P Tracking Table'!$AT127*VLOOKUP('BMP P Tracking Table'!$Q127,'Loading Rates'!$B$1:$L$24,9,FALSE),'BMP P Tracking Table'!$AU127*VLOOKUP('BMP P Tracking Table'!$Q127,'Loading Rates'!$B$1:$L$24,10,FALSE))),"")</f>
        <v/>
      </c>
      <c r="AZ127" s="101" t="str">
        <f>IFERROR(IF('BMP P Tracking Table'!$AL127="Yes",MIN(2,IF('BMP P Tracking Table'!$AP127="Total Pervious",(-(3630*'BMP P Tracking Table'!$AO127+20.691*'BMP P Tracking Table'!$AU127)+SQRT((3630*'BMP P Tracking Table'!$AO127+20.691*'BMP P Tracking Table'!$AU127)^2-(4*(996.798*'BMP P Tracking Table'!$AU127)*-'BMP P Tracking Table'!$AW127)))/(2*(996.798*'BMP P Tracking Table'!$AU127)),IF(SUM('BMP P Tracking Table'!$AQ127:$AT127)=0,'BMP P Tracking Table'!$AU127/(-3630*'BMP P Tracking Table'!$AO127),(-(3630*'BMP P Tracking Table'!$AO127+20.691*'BMP P Tracking Table'!$AT127-216.711*'BMP P Tracking Table'!$AS127-83.853*'BMP P Tracking Table'!$AR127-42.834*'BMP P Tracking Table'!$AQ127)+SQRT((3630*'BMP P Tracking Table'!$AO127+20.691*'BMP P Tracking Table'!$AT127-216.711*'BMP P Tracking Table'!$AS127-83.853*'BMP P Tracking Table'!$AR127-42.834*'BMP P Tracking Table'!$AQ127)^2-(4*(149.919*'BMP P Tracking Table'!$AQ127+236.676*'BMP P Tracking Table'!$AR127+726*'BMP P Tracking Table'!$AS127+996.798*'BMP P Tracking Table'!$AT127)*-'BMP P Tracking Table'!$AW127)))/(2*(149.919*'BMP P Tracking Table'!$AQ127+236.676*'BMP P Tracking Table'!$AR127+726*'BMP P Tracking Table'!$AS127+996.798*'BMP P Tracking Table'!$AT127))))),MIN(2,IF('BMP P Tracking Table'!$AP127="Total Pervious",(-(3630*'BMP P Tracking Table'!$U127+20.691*'BMP P Tracking Table'!$AA127)+SQRT((3630*'BMP P Tracking Table'!$U127+20.691*'BMP P Tracking Table'!$AA127)^2-(4*(996.798*'BMP P Tracking Table'!$AA127)*-'BMP P Tracking Table'!$AW127)))/(2*(996.798*'BMP P Tracking Table'!$AA127)),IF(SUM('BMP P Tracking Table'!$W127:$Z127)=0,'BMP P Tracking Table'!$AW127/(-3630*'BMP P Tracking Table'!$U127),(-(3630*'BMP P Tracking Table'!$U127+20.691*'BMP P Tracking Table'!$Z127-216.711*'BMP P Tracking Table'!$Y127-83.853*'BMP P Tracking Table'!$X127-42.834*'BMP P Tracking Table'!$W127)+SQRT((3630*'BMP P Tracking Table'!$U127+20.691*'BMP P Tracking Table'!$Z127-216.711*'BMP P Tracking Table'!$Y127-83.853*'BMP P Tracking Table'!$X127-42.834*'BMP P Tracking Table'!$W127)^2-(4*(149.919*'BMP P Tracking Table'!$W127+236.676*'BMP P Tracking Table'!$X127+726*'BMP P Tracking Table'!$Y127+996.798*'BMP P Tracking Table'!$Z127)*-'BMP P Tracking Table'!$AW127)))/(2*(149.919*'BMP P Tracking Table'!$W127+236.676*'BMP P Tracking Table'!$X127+726*'BMP P Tracking Table'!$Y127+996.798*'BMP P Tracking Table'!$Z127)))))),"")</f>
        <v/>
      </c>
      <c r="BA127" s="101" t="str">
        <f>IFERROR((VLOOKUP(CONCATENATE('BMP P Tracking Table'!$AV127," ",'BMP P Tracking Table'!$AX127),'Performance Curves'!$C$1:$L$45,MATCH('BMP P Tracking Table'!$AZ127,'Performance Curves'!$E$1:$L$1,1)+2,FALSE)-VLOOKUP(CONCATENATE('BMP P Tracking Table'!$AV127," ",'BMP P Tracking Table'!$AX127),'Performance Curves'!$C$1:$L$45,MATCH('BMP P Tracking Table'!$AZ127,'Performance Curves'!$E$1:$L$1,1)+1,FALSE)),"")</f>
        <v/>
      </c>
      <c r="BB127" s="101" t="str">
        <f>IFERROR(('BMP P Tracking Table'!$AZ127-INDEX('Performance Curves'!$E$1:$L$1,1,MATCH('BMP P Tracking Table'!$AZ127,'Performance Curves'!$E$1:$L$1,1)))/(INDEX('Performance Curves'!$E$1:$L$1,1,MATCH('BMP P Tracking Table'!$AZ127,'Performance Curves'!$E$1:$L$1,1)+1)-INDEX('Performance Curves'!$E$1:$L$1,1,MATCH('BMP P Tracking Table'!$AZ127,'Performance Curves'!$E$1:$L$1,1))),"")</f>
        <v/>
      </c>
      <c r="BC127" s="102" t="str">
        <f>IFERROR(IF('BMP P Tracking Table'!$AZ127=2,VLOOKUP(CONCATENATE('BMP P Tracking Table'!$AV127," ",'BMP P Tracking Table'!$AX127),'Performance Curves'!$C$1:$L$44,MATCH('BMP P Tracking Table'!$AZ127,'Performance Curves'!$E$1:$L$1,1)+1,FALSE),'BMP P Tracking Table'!$BA127*'BMP P Tracking Table'!$BB127+VLOOKUP(CONCATENATE('BMP P Tracking Table'!$AV127," ",'BMP P Tracking Table'!$AX127),'Performance Curves'!$C$1:$L$44,MATCH('BMP P Tracking Table'!$AZ127,'Performance Curves'!$E$1:$L$1,1)+1,FALSE)),"")</f>
        <v/>
      </c>
      <c r="BD127" s="101" t="str">
        <f>IFERROR('BMP P Tracking Table'!$BC127*'BMP P Tracking Table'!$AY127,"")</f>
        <v/>
      </c>
      <c r="BE127" s="96"/>
      <c r="BF127" s="37">
        <f t="shared" si="15"/>
        <v>0</v>
      </c>
    </row>
    <row r="128" spans="1:58" x14ac:dyDescent="0.3">
      <c r="A128" s="169"/>
      <c r="B128" s="169"/>
      <c r="C128" s="169"/>
      <c r="D128" s="169"/>
      <c r="E128" s="170"/>
      <c r="F128" s="170"/>
      <c r="G128" s="169"/>
      <c r="H128" s="169"/>
      <c r="I128" s="169"/>
      <c r="J128" s="171"/>
      <c r="K128" s="169"/>
      <c r="L128" s="169"/>
      <c r="M128" s="169"/>
      <c r="N128" s="169"/>
      <c r="O128" s="169"/>
      <c r="P128" s="169"/>
      <c r="Q128" s="169" t="str">
        <f>IFERROR(VLOOKUP('BMP P Tracking Table'!$P128,Dropdowns!$C$2:$E$15,3,FALSE),"")</f>
        <v/>
      </c>
      <c r="R128" s="169" t="str">
        <f>IFERROR(VLOOKUP('BMP P Tracking Table'!$Q128,Dropdowns!$P$3:$Q$23,2,FALSE),"")</f>
        <v/>
      </c>
      <c r="S128" s="169"/>
      <c r="T128" s="169"/>
      <c r="U128" s="169"/>
      <c r="V128" s="169"/>
      <c r="W128" s="169"/>
      <c r="X128" s="169"/>
      <c r="Y128" s="169"/>
      <c r="Z128" s="169"/>
      <c r="AA128" s="169"/>
      <c r="AB128" s="174"/>
      <c r="AC128" s="169"/>
      <c r="AD128" s="175" t="str">
        <f>IFERROR('BMP P Tracking Table'!$U128*VLOOKUP('BMP P Tracking Table'!$Q128,'Loading Rates'!$B$1:$L$24,4,FALSE)+IF('BMP P Tracking Table'!$V128="By HSG",'BMP P Tracking Table'!$W128*VLOOKUP('BMP P Tracking Table'!$Q128,'Loading Rates'!$B$1:$L$24,6,FALSE)+'BMP P Tracking Table'!$X128*VLOOKUP('BMP P Tracking Table'!$Q128,'Loading Rates'!$B$1:$L$24,7,FALSE)+'BMP P Tracking Table'!$Y128*VLOOKUP('BMP P Tracking Table'!$Q128,'Loading Rates'!$B$1:$L$24,8,FALSE)+'BMP P Tracking Table'!$Z128*VLOOKUP('BMP P Tracking Table'!$Q128,'Loading Rates'!$B$1:$L$24,9,FALSE),'BMP P Tracking Table'!$AA128*VLOOKUP('BMP P Tracking Table'!$Q128,'Loading Rates'!$B$1:$L$24,10,FALSE)),"")</f>
        <v/>
      </c>
      <c r="AE128" s="175" t="str">
        <f>IFERROR(MIN(2,IF('BMP P Tracking Table'!$V128="Total Pervious",(-(3630*'BMP P Tracking Table'!$U128+20.691*'BMP P Tracking Table'!$AA128)+SQRT((3630*'BMP P Tracking Table'!$U128+20.691*'BMP P Tracking Table'!$AA128)^2-(4*(996.798*'BMP P Tracking Table'!$AA128)*-'BMP P Tracking Table'!$AB128)))/(2*(996.798*'BMP P Tracking Table'!$AA128)),IF(SUM('BMP P Tracking Table'!$W128:$Z128)=0,'BMP P Tracking Table'!$AB128/(-3630*'BMP P Tracking Table'!$U128),(-(3630*'BMP P Tracking Table'!$U128+20.691*'BMP P Tracking Table'!$Z128-216.711*'BMP P Tracking Table'!$Y128-83.853*'BMP P Tracking Table'!$X128-42.834*'BMP P Tracking Table'!$W128)+SQRT((3630*'BMP P Tracking Table'!$U128+20.691*'BMP P Tracking Table'!$Z128-216.711*'BMP P Tracking Table'!$Y128-83.853*'BMP P Tracking Table'!$X128-42.834*'BMP P Tracking Table'!$W128)^2-(4*(149.919*'BMP P Tracking Table'!$W128+236.676*'BMP P Tracking Table'!$X128+726*'BMP P Tracking Table'!$Y128+996.798*'BMP P Tracking Table'!$Z128)*-'BMP P Tracking Table'!$AB128)))/(2*(149.919*'BMP P Tracking Table'!$W128+236.676*'BMP P Tracking Table'!$X128+726*'BMP P Tracking Table'!$Y128+996.798*'BMP P Tracking Table'!$Z128))))),"")</f>
        <v/>
      </c>
      <c r="AF128" s="175" t="str">
        <f>IFERROR((VLOOKUP(CONCATENATE('BMP P Tracking Table'!$T128," ",'BMP P Tracking Table'!$AC128),'Performance Curves'!$C$1:$L$45,MATCH('BMP P Tracking Table'!$AE128,'Performance Curves'!$E$1:$L$1,1)+2,FALSE)-VLOOKUP(CONCATENATE('BMP P Tracking Table'!$T128," ",'BMP P Tracking Table'!$AC128),'Performance Curves'!$C$1:$L$45,MATCH('BMP P Tracking Table'!$AE128,'Performance Curves'!$E$1:$L$1,1)+1,FALSE)),"")</f>
        <v/>
      </c>
      <c r="AG128" s="175" t="str">
        <f>IFERROR(('BMP P Tracking Table'!$AE128-INDEX('Performance Curves'!$E$1:$L$1,1,MATCH('BMP P Tracking Table'!$AE128,'Performance Curves'!$E$1:$L$1,1)))/(INDEX('Performance Curves'!$E$1:$L$1,1,MATCH('BMP P Tracking Table'!$AE128,'Performance Curves'!$E$1:$L$1,1)+1)-INDEX('Performance Curves'!$E$1:$L$1,1,MATCH('BMP P Tracking Table'!$AE128,'Performance Curves'!$E$1:$L$1,1))),"")</f>
        <v/>
      </c>
      <c r="AH128" s="176" t="str">
        <f>IFERROR(IF('BMP P Tracking Table'!$AE128=2,VLOOKUP(CONCATENATE('BMP P Tracking Table'!$T128," ",'BMP P Tracking Table'!$AC128),'Performance Curves'!$C$1:$L$45,MATCH('BMP P Tracking Table'!$AE128,'Performance Curves'!$E$1:$L$1,1)+1,FALSE),'BMP P Tracking Table'!$AF128*'BMP P Tracking Table'!$AG128+VLOOKUP(CONCATENATE('BMP P Tracking Table'!$T128," ",'BMP P Tracking Table'!$AC128),'Performance Curves'!$C$1:$L$45,MATCH('BMP P Tracking Table'!$AE128,'Performance Curves'!$E$1:$L$1,1)+1,FALSE)),"")</f>
        <v/>
      </c>
      <c r="AI128" s="175" t="str">
        <f>IFERROR('BMP P Tracking Table'!$AH128*'BMP P Tracking Table'!$AD128,"")</f>
        <v/>
      </c>
      <c r="AJ128" s="169"/>
      <c r="AK128" s="173"/>
      <c r="AL128" s="173"/>
      <c r="AM128" s="177"/>
      <c r="AN128" s="178" t="str">
        <f t="shared" si="14"/>
        <v/>
      </c>
      <c r="AO128" s="96"/>
      <c r="AP128" s="96"/>
      <c r="AQ128" s="96"/>
      <c r="AR128" s="96"/>
      <c r="AS128" s="96"/>
      <c r="AT128" s="96"/>
      <c r="AU128" s="96"/>
      <c r="AV128" s="64"/>
      <c r="AW128" s="97"/>
      <c r="AX128" s="97"/>
      <c r="AY128" s="101" t="str">
        <f>IF('BMP P Tracking Table'!$AK128="Yes",IF('BMP P Tracking Table'!$AL128="No",'BMP P Tracking Table'!$U128*VLOOKUP('BMP P Tracking Table'!$Q128,'Loading Rates'!$B$1:$L$24,4,FALSE)+IF('BMP P Tracking Table'!$V128="By HSG",'BMP P Tracking Table'!$W128*VLOOKUP('BMP P Tracking Table'!$Q128,'Loading Rates'!$B$1:$L$24,6,FALSE)+'BMP P Tracking Table'!$X128*VLOOKUP('BMP P Tracking Table'!$Q128,'Loading Rates'!$B$1:$L$24,7,FALSE)+'BMP P Tracking Table'!$Y128*VLOOKUP('BMP P Tracking Table'!$Q128,'Loading Rates'!$B$1:$L$24,8,FALSE)+'BMP P Tracking Table'!$Z128*VLOOKUP('BMP P Tracking Table'!$Q128,'Loading Rates'!$B$1:$L$24,9,FALSE),'BMP P Tracking Table'!$AA128*VLOOKUP('BMP P Tracking Table'!$Q128,'Loading Rates'!$B$1:$L$24,10,FALSE)),'BMP P Tracking Table'!$AO128*VLOOKUP('BMP P Tracking Table'!$Q128,'Loading Rates'!$B$1:$L$24,4,FALSE)+IF('BMP P Tracking Table'!$AP128="By HSG",'BMP P Tracking Table'!$AQ128*VLOOKUP('BMP P Tracking Table'!$Q128,'Loading Rates'!$B$1:$L$24,6,FALSE)+'BMP P Tracking Table'!$AR128*VLOOKUP('BMP P Tracking Table'!$Q128,'Loading Rates'!$B$1:$L$24,7,FALSE)+'BMP P Tracking Table'!$AS128*VLOOKUP('BMP P Tracking Table'!$Q128,'Loading Rates'!$B$1:$L$24,8,FALSE)+'BMP P Tracking Table'!$AT128*VLOOKUP('BMP P Tracking Table'!$Q128,'Loading Rates'!$B$1:$L$24,9,FALSE),'BMP P Tracking Table'!$AU128*VLOOKUP('BMP P Tracking Table'!$Q128,'Loading Rates'!$B$1:$L$24,10,FALSE))),"")</f>
        <v/>
      </c>
      <c r="AZ128" s="101" t="str">
        <f>IFERROR(IF('BMP P Tracking Table'!$AL128="Yes",MIN(2,IF('BMP P Tracking Table'!$AP128="Total Pervious",(-(3630*'BMP P Tracking Table'!$AO128+20.691*'BMP P Tracking Table'!$AU128)+SQRT((3630*'BMP P Tracking Table'!$AO128+20.691*'BMP P Tracking Table'!$AU128)^2-(4*(996.798*'BMP P Tracking Table'!$AU128)*-'BMP P Tracking Table'!$AW128)))/(2*(996.798*'BMP P Tracking Table'!$AU128)),IF(SUM('BMP P Tracking Table'!$AQ128:$AT128)=0,'BMP P Tracking Table'!$AU128/(-3630*'BMP P Tracking Table'!$AO128),(-(3630*'BMP P Tracking Table'!$AO128+20.691*'BMP P Tracking Table'!$AT128-216.711*'BMP P Tracking Table'!$AS128-83.853*'BMP P Tracking Table'!$AR128-42.834*'BMP P Tracking Table'!$AQ128)+SQRT((3630*'BMP P Tracking Table'!$AO128+20.691*'BMP P Tracking Table'!$AT128-216.711*'BMP P Tracking Table'!$AS128-83.853*'BMP P Tracking Table'!$AR128-42.834*'BMP P Tracking Table'!$AQ128)^2-(4*(149.919*'BMP P Tracking Table'!$AQ128+236.676*'BMP P Tracking Table'!$AR128+726*'BMP P Tracking Table'!$AS128+996.798*'BMP P Tracking Table'!$AT128)*-'BMP P Tracking Table'!$AW128)))/(2*(149.919*'BMP P Tracking Table'!$AQ128+236.676*'BMP P Tracking Table'!$AR128+726*'BMP P Tracking Table'!$AS128+996.798*'BMP P Tracking Table'!$AT128))))),MIN(2,IF('BMP P Tracking Table'!$AP128="Total Pervious",(-(3630*'BMP P Tracking Table'!$U128+20.691*'BMP P Tracking Table'!$AA128)+SQRT((3630*'BMP P Tracking Table'!$U128+20.691*'BMP P Tracking Table'!$AA128)^2-(4*(996.798*'BMP P Tracking Table'!$AA128)*-'BMP P Tracking Table'!$AW128)))/(2*(996.798*'BMP P Tracking Table'!$AA128)),IF(SUM('BMP P Tracking Table'!$W128:$Z128)=0,'BMP P Tracking Table'!$AW128/(-3630*'BMP P Tracking Table'!$U128),(-(3630*'BMP P Tracking Table'!$U128+20.691*'BMP P Tracking Table'!$Z128-216.711*'BMP P Tracking Table'!$Y128-83.853*'BMP P Tracking Table'!$X128-42.834*'BMP P Tracking Table'!$W128)+SQRT((3630*'BMP P Tracking Table'!$U128+20.691*'BMP P Tracking Table'!$Z128-216.711*'BMP P Tracking Table'!$Y128-83.853*'BMP P Tracking Table'!$X128-42.834*'BMP P Tracking Table'!$W128)^2-(4*(149.919*'BMP P Tracking Table'!$W128+236.676*'BMP P Tracking Table'!$X128+726*'BMP P Tracking Table'!$Y128+996.798*'BMP P Tracking Table'!$Z128)*-'BMP P Tracking Table'!$AW128)))/(2*(149.919*'BMP P Tracking Table'!$W128+236.676*'BMP P Tracking Table'!$X128+726*'BMP P Tracking Table'!$Y128+996.798*'BMP P Tracking Table'!$Z128)))))),"")</f>
        <v/>
      </c>
      <c r="BA128" s="101" t="str">
        <f>IFERROR((VLOOKUP(CONCATENATE('BMP P Tracking Table'!$AV128," ",'BMP P Tracking Table'!$AX128),'Performance Curves'!$C$1:$L$45,MATCH('BMP P Tracking Table'!$AZ128,'Performance Curves'!$E$1:$L$1,1)+2,FALSE)-VLOOKUP(CONCATENATE('BMP P Tracking Table'!$AV128," ",'BMP P Tracking Table'!$AX128),'Performance Curves'!$C$1:$L$45,MATCH('BMP P Tracking Table'!$AZ128,'Performance Curves'!$E$1:$L$1,1)+1,FALSE)),"")</f>
        <v/>
      </c>
      <c r="BB128" s="101" t="str">
        <f>IFERROR(('BMP P Tracking Table'!$AZ128-INDEX('Performance Curves'!$E$1:$L$1,1,MATCH('BMP P Tracking Table'!$AZ128,'Performance Curves'!$E$1:$L$1,1)))/(INDEX('Performance Curves'!$E$1:$L$1,1,MATCH('BMP P Tracking Table'!$AZ128,'Performance Curves'!$E$1:$L$1,1)+1)-INDEX('Performance Curves'!$E$1:$L$1,1,MATCH('BMP P Tracking Table'!$AZ128,'Performance Curves'!$E$1:$L$1,1))),"")</f>
        <v/>
      </c>
      <c r="BC128" s="102" t="str">
        <f>IFERROR(IF('BMP P Tracking Table'!$AZ128=2,VLOOKUP(CONCATENATE('BMP P Tracking Table'!$AV128," ",'BMP P Tracking Table'!$AX128),'Performance Curves'!$C$1:$L$44,MATCH('BMP P Tracking Table'!$AZ128,'Performance Curves'!$E$1:$L$1,1)+1,FALSE),'BMP P Tracking Table'!$BA128*'BMP P Tracking Table'!$BB128+VLOOKUP(CONCATENATE('BMP P Tracking Table'!$AV128," ",'BMP P Tracking Table'!$AX128),'Performance Curves'!$C$1:$L$44,MATCH('BMP P Tracking Table'!$AZ128,'Performance Curves'!$E$1:$L$1,1)+1,FALSE)),"")</f>
        <v/>
      </c>
      <c r="BD128" s="101" t="str">
        <f>IFERROR('BMP P Tracking Table'!$BC128*'BMP P Tracking Table'!$AY128,"")</f>
        <v/>
      </c>
      <c r="BE128" s="96"/>
      <c r="BF128" s="37">
        <f t="shared" si="15"/>
        <v>0</v>
      </c>
    </row>
    <row r="129" spans="1:58" x14ac:dyDescent="0.3">
      <c r="A129" s="169"/>
      <c r="B129" s="169"/>
      <c r="C129" s="169"/>
      <c r="D129" s="169"/>
      <c r="E129" s="170"/>
      <c r="F129" s="170"/>
      <c r="G129" s="169"/>
      <c r="H129" s="169"/>
      <c r="I129" s="169"/>
      <c r="J129" s="171"/>
      <c r="K129" s="169"/>
      <c r="L129" s="169"/>
      <c r="M129" s="169"/>
      <c r="N129" s="169"/>
      <c r="O129" s="169"/>
      <c r="P129" s="169"/>
      <c r="Q129" s="169" t="str">
        <f>IFERROR(VLOOKUP('BMP P Tracking Table'!$P129,Dropdowns!$C$2:$E$15,3,FALSE),"")</f>
        <v/>
      </c>
      <c r="R129" s="169" t="str">
        <f>IFERROR(VLOOKUP('BMP P Tracking Table'!$Q129,Dropdowns!$P$3:$Q$23,2,FALSE),"")</f>
        <v/>
      </c>
      <c r="S129" s="169"/>
      <c r="T129" s="169"/>
      <c r="U129" s="169"/>
      <c r="V129" s="169"/>
      <c r="W129" s="169"/>
      <c r="X129" s="169"/>
      <c r="Y129" s="169"/>
      <c r="Z129" s="169"/>
      <c r="AA129" s="169"/>
      <c r="AB129" s="174"/>
      <c r="AC129" s="169"/>
      <c r="AD129" s="175" t="str">
        <f>IFERROR('BMP P Tracking Table'!$U129*VLOOKUP('BMP P Tracking Table'!$Q129,'Loading Rates'!$B$1:$L$24,4,FALSE)+IF('BMP P Tracking Table'!$V129="By HSG",'BMP P Tracking Table'!$W129*VLOOKUP('BMP P Tracking Table'!$Q129,'Loading Rates'!$B$1:$L$24,6,FALSE)+'BMP P Tracking Table'!$X129*VLOOKUP('BMP P Tracking Table'!$Q129,'Loading Rates'!$B$1:$L$24,7,FALSE)+'BMP P Tracking Table'!$Y129*VLOOKUP('BMP P Tracking Table'!$Q129,'Loading Rates'!$B$1:$L$24,8,FALSE)+'BMP P Tracking Table'!$Z129*VLOOKUP('BMP P Tracking Table'!$Q129,'Loading Rates'!$B$1:$L$24,9,FALSE),'BMP P Tracking Table'!$AA129*VLOOKUP('BMP P Tracking Table'!$Q129,'Loading Rates'!$B$1:$L$24,10,FALSE)),"")</f>
        <v/>
      </c>
      <c r="AE129" s="175" t="str">
        <f>IFERROR(MIN(2,IF('BMP P Tracking Table'!$V129="Total Pervious",(-(3630*'BMP P Tracking Table'!$U129+20.691*'BMP P Tracking Table'!$AA129)+SQRT((3630*'BMP P Tracking Table'!$U129+20.691*'BMP P Tracking Table'!$AA129)^2-(4*(996.798*'BMP P Tracking Table'!$AA129)*-'BMP P Tracking Table'!$AB129)))/(2*(996.798*'BMP P Tracking Table'!$AA129)),IF(SUM('BMP P Tracking Table'!$W129:$Z129)=0,'BMP P Tracking Table'!$AB129/(-3630*'BMP P Tracking Table'!$U129),(-(3630*'BMP P Tracking Table'!$U129+20.691*'BMP P Tracking Table'!$Z129-216.711*'BMP P Tracking Table'!$Y129-83.853*'BMP P Tracking Table'!$X129-42.834*'BMP P Tracking Table'!$W129)+SQRT((3630*'BMP P Tracking Table'!$U129+20.691*'BMP P Tracking Table'!$Z129-216.711*'BMP P Tracking Table'!$Y129-83.853*'BMP P Tracking Table'!$X129-42.834*'BMP P Tracking Table'!$W129)^2-(4*(149.919*'BMP P Tracking Table'!$W129+236.676*'BMP P Tracking Table'!$X129+726*'BMP P Tracking Table'!$Y129+996.798*'BMP P Tracking Table'!$Z129)*-'BMP P Tracking Table'!$AB129)))/(2*(149.919*'BMP P Tracking Table'!$W129+236.676*'BMP P Tracking Table'!$X129+726*'BMP P Tracking Table'!$Y129+996.798*'BMP P Tracking Table'!$Z129))))),"")</f>
        <v/>
      </c>
      <c r="AF129" s="175" t="str">
        <f>IFERROR((VLOOKUP(CONCATENATE('BMP P Tracking Table'!$T129," ",'BMP P Tracking Table'!$AC129),'Performance Curves'!$C$1:$L$45,MATCH('BMP P Tracking Table'!$AE129,'Performance Curves'!$E$1:$L$1,1)+2,FALSE)-VLOOKUP(CONCATENATE('BMP P Tracking Table'!$T129," ",'BMP P Tracking Table'!$AC129),'Performance Curves'!$C$1:$L$45,MATCH('BMP P Tracking Table'!$AE129,'Performance Curves'!$E$1:$L$1,1)+1,FALSE)),"")</f>
        <v/>
      </c>
      <c r="AG129" s="175" t="str">
        <f>IFERROR(('BMP P Tracking Table'!$AE129-INDEX('Performance Curves'!$E$1:$L$1,1,MATCH('BMP P Tracking Table'!$AE129,'Performance Curves'!$E$1:$L$1,1)))/(INDEX('Performance Curves'!$E$1:$L$1,1,MATCH('BMP P Tracking Table'!$AE129,'Performance Curves'!$E$1:$L$1,1)+1)-INDEX('Performance Curves'!$E$1:$L$1,1,MATCH('BMP P Tracking Table'!$AE129,'Performance Curves'!$E$1:$L$1,1))),"")</f>
        <v/>
      </c>
      <c r="AH129" s="176" t="str">
        <f>IFERROR(IF('BMP P Tracking Table'!$AE129=2,VLOOKUP(CONCATENATE('BMP P Tracking Table'!$T129," ",'BMP P Tracking Table'!$AC129),'Performance Curves'!$C$1:$L$45,MATCH('BMP P Tracking Table'!$AE129,'Performance Curves'!$E$1:$L$1,1)+1,FALSE),'BMP P Tracking Table'!$AF129*'BMP P Tracking Table'!$AG129+VLOOKUP(CONCATENATE('BMP P Tracking Table'!$T129," ",'BMP P Tracking Table'!$AC129),'Performance Curves'!$C$1:$L$45,MATCH('BMP P Tracking Table'!$AE129,'Performance Curves'!$E$1:$L$1,1)+1,FALSE)),"")</f>
        <v/>
      </c>
      <c r="AI129" s="175" t="str">
        <f>IFERROR('BMP P Tracking Table'!$AH129*'BMP P Tracking Table'!$AD129,"")</f>
        <v/>
      </c>
      <c r="AJ129" s="169"/>
      <c r="AK129" s="173"/>
      <c r="AL129" s="173"/>
      <c r="AM129" s="177"/>
      <c r="AN129" s="178" t="str">
        <f t="shared" si="14"/>
        <v/>
      </c>
      <c r="AO129" s="96"/>
      <c r="AP129" s="96"/>
      <c r="AQ129" s="96"/>
      <c r="AR129" s="96"/>
      <c r="AS129" s="96"/>
      <c r="AT129" s="96"/>
      <c r="AU129" s="96"/>
      <c r="AV129" s="64"/>
      <c r="AW129" s="97"/>
      <c r="AX129" s="97"/>
      <c r="AY129" s="101" t="str">
        <f>IF('BMP P Tracking Table'!$AK129="Yes",IF('BMP P Tracking Table'!$AL129="No",'BMP P Tracking Table'!$U129*VLOOKUP('BMP P Tracking Table'!$Q129,'Loading Rates'!$B$1:$L$24,4,FALSE)+IF('BMP P Tracking Table'!$V129="By HSG",'BMP P Tracking Table'!$W129*VLOOKUP('BMP P Tracking Table'!$Q129,'Loading Rates'!$B$1:$L$24,6,FALSE)+'BMP P Tracking Table'!$X129*VLOOKUP('BMP P Tracking Table'!$Q129,'Loading Rates'!$B$1:$L$24,7,FALSE)+'BMP P Tracking Table'!$Y129*VLOOKUP('BMP P Tracking Table'!$Q129,'Loading Rates'!$B$1:$L$24,8,FALSE)+'BMP P Tracking Table'!$Z129*VLOOKUP('BMP P Tracking Table'!$Q129,'Loading Rates'!$B$1:$L$24,9,FALSE),'BMP P Tracking Table'!$AA129*VLOOKUP('BMP P Tracking Table'!$Q129,'Loading Rates'!$B$1:$L$24,10,FALSE)),'BMP P Tracking Table'!$AO129*VLOOKUP('BMP P Tracking Table'!$Q129,'Loading Rates'!$B$1:$L$24,4,FALSE)+IF('BMP P Tracking Table'!$AP129="By HSG",'BMP P Tracking Table'!$AQ129*VLOOKUP('BMP P Tracking Table'!$Q129,'Loading Rates'!$B$1:$L$24,6,FALSE)+'BMP P Tracking Table'!$AR129*VLOOKUP('BMP P Tracking Table'!$Q129,'Loading Rates'!$B$1:$L$24,7,FALSE)+'BMP P Tracking Table'!$AS129*VLOOKUP('BMP P Tracking Table'!$Q129,'Loading Rates'!$B$1:$L$24,8,FALSE)+'BMP P Tracking Table'!$AT129*VLOOKUP('BMP P Tracking Table'!$Q129,'Loading Rates'!$B$1:$L$24,9,FALSE),'BMP P Tracking Table'!$AU129*VLOOKUP('BMP P Tracking Table'!$Q129,'Loading Rates'!$B$1:$L$24,10,FALSE))),"")</f>
        <v/>
      </c>
      <c r="AZ129" s="101" t="str">
        <f>IFERROR(IF('BMP P Tracking Table'!$AL129="Yes",MIN(2,IF('BMP P Tracking Table'!$AP129="Total Pervious",(-(3630*'BMP P Tracking Table'!$AO129+20.691*'BMP P Tracking Table'!$AU129)+SQRT((3630*'BMP P Tracking Table'!$AO129+20.691*'BMP P Tracking Table'!$AU129)^2-(4*(996.798*'BMP P Tracking Table'!$AU129)*-'BMP P Tracking Table'!$AW129)))/(2*(996.798*'BMP P Tracking Table'!$AU129)),IF(SUM('BMP P Tracking Table'!$AQ129:$AT129)=0,'BMP P Tracking Table'!$AU129/(-3630*'BMP P Tracking Table'!$AO129),(-(3630*'BMP P Tracking Table'!$AO129+20.691*'BMP P Tracking Table'!$AT129-216.711*'BMP P Tracking Table'!$AS129-83.853*'BMP P Tracking Table'!$AR129-42.834*'BMP P Tracking Table'!$AQ129)+SQRT((3630*'BMP P Tracking Table'!$AO129+20.691*'BMP P Tracking Table'!$AT129-216.711*'BMP P Tracking Table'!$AS129-83.853*'BMP P Tracking Table'!$AR129-42.834*'BMP P Tracking Table'!$AQ129)^2-(4*(149.919*'BMP P Tracking Table'!$AQ129+236.676*'BMP P Tracking Table'!$AR129+726*'BMP P Tracking Table'!$AS129+996.798*'BMP P Tracking Table'!$AT129)*-'BMP P Tracking Table'!$AW129)))/(2*(149.919*'BMP P Tracking Table'!$AQ129+236.676*'BMP P Tracking Table'!$AR129+726*'BMP P Tracking Table'!$AS129+996.798*'BMP P Tracking Table'!$AT129))))),MIN(2,IF('BMP P Tracking Table'!$AP129="Total Pervious",(-(3630*'BMP P Tracking Table'!$U129+20.691*'BMP P Tracking Table'!$AA129)+SQRT((3630*'BMP P Tracking Table'!$U129+20.691*'BMP P Tracking Table'!$AA129)^2-(4*(996.798*'BMP P Tracking Table'!$AA129)*-'BMP P Tracking Table'!$AW129)))/(2*(996.798*'BMP P Tracking Table'!$AA129)),IF(SUM('BMP P Tracking Table'!$W129:$Z129)=0,'BMP P Tracking Table'!$AW129/(-3630*'BMP P Tracking Table'!$U129),(-(3630*'BMP P Tracking Table'!$U129+20.691*'BMP P Tracking Table'!$Z129-216.711*'BMP P Tracking Table'!$Y129-83.853*'BMP P Tracking Table'!$X129-42.834*'BMP P Tracking Table'!$W129)+SQRT((3630*'BMP P Tracking Table'!$U129+20.691*'BMP P Tracking Table'!$Z129-216.711*'BMP P Tracking Table'!$Y129-83.853*'BMP P Tracking Table'!$X129-42.834*'BMP P Tracking Table'!$W129)^2-(4*(149.919*'BMP P Tracking Table'!$W129+236.676*'BMP P Tracking Table'!$X129+726*'BMP P Tracking Table'!$Y129+996.798*'BMP P Tracking Table'!$Z129)*-'BMP P Tracking Table'!$AW129)))/(2*(149.919*'BMP P Tracking Table'!$W129+236.676*'BMP P Tracking Table'!$X129+726*'BMP P Tracking Table'!$Y129+996.798*'BMP P Tracking Table'!$Z129)))))),"")</f>
        <v/>
      </c>
      <c r="BA129" s="101" t="str">
        <f>IFERROR((VLOOKUP(CONCATENATE('BMP P Tracking Table'!$AV129," ",'BMP P Tracking Table'!$AX129),'Performance Curves'!$C$1:$L$45,MATCH('BMP P Tracking Table'!$AZ129,'Performance Curves'!$E$1:$L$1,1)+2,FALSE)-VLOOKUP(CONCATENATE('BMP P Tracking Table'!$AV129," ",'BMP P Tracking Table'!$AX129),'Performance Curves'!$C$1:$L$45,MATCH('BMP P Tracking Table'!$AZ129,'Performance Curves'!$E$1:$L$1,1)+1,FALSE)),"")</f>
        <v/>
      </c>
      <c r="BB129" s="101" t="str">
        <f>IFERROR(('BMP P Tracking Table'!$AZ129-INDEX('Performance Curves'!$E$1:$L$1,1,MATCH('BMP P Tracking Table'!$AZ129,'Performance Curves'!$E$1:$L$1,1)))/(INDEX('Performance Curves'!$E$1:$L$1,1,MATCH('BMP P Tracking Table'!$AZ129,'Performance Curves'!$E$1:$L$1,1)+1)-INDEX('Performance Curves'!$E$1:$L$1,1,MATCH('BMP P Tracking Table'!$AZ129,'Performance Curves'!$E$1:$L$1,1))),"")</f>
        <v/>
      </c>
      <c r="BC129" s="102" t="str">
        <f>IFERROR(IF('BMP P Tracking Table'!$AZ129=2,VLOOKUP(CONCATENATE('BMP P Tracking Table'!$AV129," ",'BMP P Tracking Table'!$AX129),'Performance Curves'!$C$1:$L$44,MATCH('BMP P Tracking Table'!$AZ129,'Performance Curves'!$E$1:$L$1,1)+1,FALSE),'BMP P Tracking Table'!$BA129*'BMP P Tracking Table'!$BB129+VLOOKUP(CONCATENATE('BMP P Tracking Table'!$AV129," ",'BMP P Tracking Table'!$AX129),'Performance Curves'!$C$1:$L$44,MATCH('BMP P Tracking Table'!$AZ129,'Performance Curves'!$E$1:$L$1,1)+1,FALSE)),"")</f>
        <v/>
      </c>
      <c r="BD129" s="101" t="str">
        <f>IFERROR('BMP P Tracking Table'!$BC129*'BMP P Tracking Table'!$AY129,"")</f>
        <v/>
      </c>
      <c r="BE129" s="96"/>
      <c r="BF129" s="37">
        <f t="shared" si="15"/>
        <v>0</v>
      </c>
    </row>
    <row r="130" spans="1:58" x14ac:dyDescent="0.3">
      <c r="A130" s="169"/>
      <c r="B130" s="169"/>
      <c r="C130" s="169"/>
      <c r="D130" s="169"/>
      <c r="E130" s="170"/>
      <c r="F130" s="170"/>
      <c r="G130" s="169"/>
      <c r="H130" s="169"/>
      <c r="I130" s="169"/>
      <c r="J130" s="171"/>
      <c r="K130" s="169"/>
      <c r="L130" s="169"/>
      <c r="M130" s="169"/>
      <c r="N130" s="169"/>
      <c r="O130" s="169"/>
      <c r="P130" s="169"/>
      <c r="Q130" s="169" t="str">
        <f>IFERROR(VLOOKUP('BMP P Tracking Table'!$P130,Dropdowns!$C$2:$E$15,3,FALSE),"")</f>
        <v/>
      </c>
      <c r="R130" s="169" t="str">
        <f>IFERROR(VLOOKUP('BMP P Tracking Table'!$Q130,Dropdowns!$P$3:$Q$23,2,FALSE),"")</f>
        <v/>
      </c>
      <c r="S130" s="169"/>
      <c r="T130" s="169"/>
      <c r="U130" s="169"/>
      <c r="V130" s="169"/>
      <c r="W130" s="169"/>
      <c r="X130" s="169"/>
      <c r="Y130" s="169"/>
      <c r="Z130" s="169"/>
      <c r="AA130" s="169"/>
      <c r="AB130" s="174"/>
      <c r="AC130" s="169"/>
      <c r="AD130" s="175" t="str">
        <f>IFERROR('BMP P Tracking Table'!$U130*VLOOKUP('BMP P Tracking Table'!$Q130,'Loading Rates'!$B$1:$L$24,4,FALSE)+IF('BMP P Tracking Table'!$V130="By HSG",'BMP P Tracking Table'!$W130*VLOOKUP('BMP P Tracking Table'!$Q130,'Loading Rates'!$B$1:$L$24,6,FALSE)+'BMP P Tracking Table'!$X130*VLOOKUP('BMP P Tracking Table'!$Q130,'Loading Rates'!$B$1:$L$24,7,FALSE)+'BMP P Tracking Table'!$Y130*VLOOKUP('BMP P Tracking Table'!$Q130,'Loading Rates'!$B$1:$L$24,8,FALSE)+'BMP P Tracking Table'!$Z130*VLOOKUP('BMP P Tracking Table'!$Q130,'Loading Rates'!$B$1:$L$24,9,FALSE),'BMP P Tracking Table'!$AA130*VLOOKUP('BMP P Tracking Table'!$Q130,'Loading Rates'!$B$1:$L$24,10,FALSE)),"")</f>
        <v/>
      </c>
      <c r="AE130" s="175" t="str">
        <f>IFERROR(MIN(2,IF('BMP P Tracking Table'!$V130="Total Pervious",(-(3630*'BMP P Tracking Table'!$U130+20.691*'BMP P Tracking Table'!$AA130)+SQRT((3630*'BMP P Tracking Table'!$U130+20.691*'BMP P Tracking Table'!$AA130)^2-(4*(996.798*'BMP P Tracking Table'!$AA130)*-'BMP P Tracking Table'!$AB130)))/(2*(996.798*'BMP P Tracking Table'!$AA130)),IF(SUM('BMP P Tracking Table'!$W130:$Z130)=0,'BMP P Tracking Table'!$AB130/(-3630*'BMP P Tracking Table'!$U130),(-(3630*'BMP P Tracking Table'!$U130+20.691*'BMP P Tracking Table'!$Z130-216.711*'BMP P Tracking Table'!$Y130-83.853*'BMP P Tracking Table'!$X130-42.834*'BMP P Tracking Table'!$W130)+SQRT((3630*'BMP P Tracking Table'!$U130+20.691*'BMP P Tracking Table'!$Z130-216.711*'BMP P Tracking Table'!$Y130-83.853*'BMP P Tracking Table'!$X130-42.834*'BMP P Tracking Table'!$W130)^2-(4*(149.919*'BMP P Tracking Table'!$W130+236.676*'BMP P Tracking Table'!$X130+726*'BMP P Tracking Table'!$Y130+996.798*'BMP P Tracking Table'!$Z130)*-'BMP P Tracking Table'!$AB130)))/(2*(149.919*'BMP P Tracking Table'!$W130+236.676*'BMP P Tracking Table'!$X130+726*'BMP P Tracking Table'!$Y130+996.798*'BMP P Tracking Table'!$Z130))))),"")</f>
        <v/>
      </c>
      <c r="AF130" s="175" t="str">
        <f>IFERROR((VLOOKUP(CONCATENATE('BMP P Tracking Table'!$T130," ",'BMP P Tracking Table'!$AC130),'Performance Curves'!$C$1:$L$45,MATCH('BMP P Tracking Table'!$AE130,'Performance Curves'!$E$1:$L$1,1)+2,FALSE)-VLOOKUP(CONCATENATE('BMP P Tracking Table'!$T130," ",'BMP P Tracking Table'!$AC130),'Performance Curves'!$C$1:$L$45,MATCH('BMP P Tracking Table'!$AE130,'Performance Curves'!$E$1:$L$1,1)+1,FALSE)),"")</f>
        <v/>
      </c>
      <c r="AG130" s="175" t="str">
        <f>IFERROR(('BMP P Tracking Table'!$AE130-INDEX('Performance Curves'!$E$1:$L$1,1,MATCH('BMP P Tracking Table'!$AE130,'Performance Curves'!$E$1:$L$1,1)))/(INDEX('Performance Curves'!$E$1:$L$1,1,MATCH('BMP P Tracking Table'!$AE130,'Performance Curves'!$E$1:$L$1,1)+1)-INDEX('Performance Curves'!$E$1:$L$1,1,MATCH('BMP P Tracking Table'!$AE130,'Performance Curves'!$E$1:$L$1,1))),"")</f>
        <v/>
      </c>
      <c r="AH130" s="176" t="str">
        <f>IFERROR(IF('BMP P Tracking Table'!$AE130=2,VLOOKUP(CONCATENATE('BMP P Tracking Table'!$T130," ",'BMP P Tracking Table'!$AC130),'Performance Curves'!$C$1:$L$45,MATCH('BMP P Tracking Table'!$AE130,'Performance Curves'!$E$1:$L$1,1)+1,FALSE),'BMP P Tracking Table'!$AF130*'BMP P Tracking Table'!$AG130+VLOOKUP(CONCATENATE('BMP P Tracking Table'!$T130," ",'BMP P Tracking Table'!$AC130),'Performance Curves'!$C$1:$L$45,MATCH('BMP P Tracking Table'!$AE130,'Performance Curves'!$E$1:$L$1,1)+1,FALSE)),"")</f>
        <v/>
      </c>
      <c r="AI130" s="175" t="str">
        <f>IFERROR('BMP P Tracking Table'!$AH130*'BMP P Tracking Table'!$AD130,"")</f>
        <v/>
      </c>
      <c r="AJ130" s="169"/>
      <c r="AK130" s="173"/>
      <c r="AL130" s="173"/>
      <c r="AM130" s="177"/>
      <c r="AN130" s="178" t="str">
        <f t="shared" si="14"/>
        <v/>
      </c>
      <c r="AO130" s="96"/>
      <c r="AP130" s="96"/>
      <c r="AQ130" s="96"/>
      <c r="AR130" s="96"/>
      <c r="AS130" s="96"/>
      <c r="AT130" s="96"/>
      <c r="AU130" s="96"/>
      <c r="AV130" s="64"/>
      <c r="AW130" s="97"/>
      <c r="AX130" s="97"/>
      <c r="AY130" s="101" t="str">
        <f>IF('BMP P Tracking Table'!$AK130="Yes",IF('BMP P Tracking Table'!$AL130="No",'BMP P Tracking Table'!$U130*VLOOKUP('BMP P Tracking Table'!$Q130,'Loading Rates'!$B$1:$L$24,4,FALSE)+IF('BMP P Tracking Table'!$V130="By HSG",'BMP P Tracking Table'!$W130*VLOOKUP('BMP P Tracking Table'!$Q130,'Loading Rates'!$B$1:$L$24,6,FALSE)+'BMP P Tracking Table'!$X130*VLOOKUP('BMP P Tracking Table'!$Q130,'Loading Rates'!$B$1:$L$24,7,FALSE)+'BMP P Tracking Table'!$Y130*VLOOKUP('BMP P Tracking Table'!$Q130,'Loading Rates'!$B$1:$L$24,8,FALSE)+'BMP P Tracking Table'!$Z130*VLOOKUP('BMP P Tracking Table'!$Q130,'Loading Rates'!$B$1:$L$24,9,FALSE),'BMP P Tracking Table'!$AA130*VLOOKUP('BMP P Tracking Table'!$Q130,'Loading Rates'!$B$1:$L$24,10,FALSE)),'BMP P Tracking Table'!$AO130*VLOOKUP('BMP P Tracking Table'!$Q130,'Loading Rates'!$B$1:$L$24,4,FALSE)+IF('BMP P Tracking Table'!$AP130="By HSG",'BMP P Tracking Table'!$AQ130*VLOOKUP('BMP P Tracking Table'!$Q130,'Loading Rates'!$B$1:$L$24,6,FALSE)+'BMP P Tracking Table'!$AR130*VLOOKUP('BMP P Tracking Table'!$Q130,'Loading Rates'!$B$1:$L$24,7,FALSE)+'BMP P Tracking Table'!$AS130*VLOOKUP('BMP P Tracking Table'!$Q130,'Loading Rates'!$B$1:$L$24,8,FALSE)+'BMP P Tracking Table'!$AT130*VLOOKUP('BMP P Tracking Table'!$Q130,'Loading Rates'!$B$1:$L$24,9,FALSE),'BMP P Tracking Table'!$AU130*VLOOKUP('BMP P Tracking Table'!$Q130,'Loading Rates'!$B$1:$L$24,10,FALSE))),"")</f>
        <v/>
      </c>
      <c r="AZ130" s="101" t="str">
        <f>IFERROR(IF('BMP P Tracking Table'!$AL130="Yes",MIN(2,IF('BMP P Tracking Table'!$AP130="Total Pervious",(-(3630*'BMP P Tracking Table'!$AO130+20.691*'BMP P Tracking Table'!$AU130)+SQRT((3630*'BMP P Tracking Table'!$AO130+20.691*'BMP P Tracking Table'!$AU130)^2-(4*(996.798*'BMP P Tracking Table'!$AU130)*-'BMP P Tracking Table'!$AW130)))/(2*(996.798*'BMP P Tracking Table'!$AU130)),IF(SUM('BMP P Tracking Table'!$AQ130:$AT130)=0,'BMP P Tracking Table'!$AU130/(-3630*'BMP P Tracking Table'!$AO130),(-(3630*'BMP P Tracking Table'!$AO130+20.691*'BMP P Tracking Table'!$AT130-216.711*'BMP P Tracking Table'!$AS130-83.853*'BMP P Tracking Table'!$AR130-42.834*'BMP P Tracking Table'!$AQ130)+SQRT((3630*'BMP P Tracking Table'!$AO130+20.691*'BMP P Tracking Table'!$AT130-216.711*'BMP P Tracking Table'!$AS130-83.853*'BMP P Tracking Table'!$AR130-42.834*'BMP P Tracking Table'!$AQ130)^2-(4*(149.919*'BMP P Tracking Table'!$AQ130+236.676*'BMP P Tracking Table'!$AR130+726*'BMP P Tracking Table'!$AS130+996.798*'BMP P Tracking Table'!$AT130)*-'BMP P Tracking Table'!$AW130)))/(2*(149.919*'BMP P Tracking Table'!$AQ130+236.676*'BMP P Tracking Table'!$AR130+726*'BMP P Tracking Table'!$AS130+996.798*'BMP P Tracking Table'!$AT130))))),MIN(2,IF('BMP P Tracking Table'!$AP130="Total Pervious",(-(3630*'BMP P Tracking Table'!$U130+20.691*'BMP P Tracking Table'!$AA130)+SQRT((3630*'BMP P Tracking Table'!$U130+20.691*'BMP P Tracking Table'!$AA130)^2-(4*(996.798*'BMP P Tracking Table'!$AA130)*-'BMP P Tracking Table'!$AW130)))/(2*(996.798*'BMP P Tracking Table'!$AA130)),IF(SUM('BMP P Tracking Table'!$W130:$Z130)=0,'BMP P Tracking Table'!$AW130/(-3630*'BMP P Tracking Table'!$U130),(-(3630*'BMP P Tracking Table'!$U130+20.691*'BMP P Tracking Table'!$Z130-216.711*'BMP P Tracking Table'!$Y130-83.853*'BMP P Tracking Table'!$X130-42.834*'BMP P Tracking Table'!$W130)+SQRT((3630*'BMP P Tracking Table'!$U130+20.691*'BMP P Tracking Table'!$Z130-216.711*'BMP P Tracking Table'!$Y130-83.853*'BMP P Tracking Table'!$X130-42.834*'BMP P Tracking Table'!$W130)^2-(4*(149.919*'BMP P Tracking Table'!$W130+236.676*'BMP P Tracking Table'!$X130+726*'BMP P Tracking Table'!$Y130+996.798*'BMP P Tracking Table'!$Z130)*-'BMP P Tracking Table'!$AW130)))/(2*(149.919*'BMP P Tracking Table'!$W130+236.676*'BMP P Tracking Table'!$X130+726*'BMP P Tracking Table'!$Y130+996.798*'BMP P Tracking Table'!$Z130)))))),"")</f>
        <v/>
      </c>
      <c r="BA130" s="101" t="str">
        <f>IFERROR((VLOOKUP(CONCATENATE('BMP P Tracking Table'!$AV130," ",'BMP P Tracking Table'!$AX130),'Performance Curves'!$C$1:$L$45,MATCH('BMP P Tracking Table'!$AZ130,'Performance Curves'!$E$1:$L$1,1)+2,FALSE)-VLOOKUP(CONCATENATE('BMP P Tracking Table'!$AV130," ",'BMP P Tracking Table'!$AX130),'Performance Curves'!$C$1:$L$45,MATCH('BMP P Tracking Table'!$AZ130,'Performance Curves'!$E$1:$L$1,1)+1,FALSE)),"")</f>
        <v/>
      </c>
      <c r="BB130" s="101" t="str">
        <f>IFERROR(('BMP P Tracking Table'!$AZ130-INDEX('Performance Curves'!$E$1:$L$1,1,MATCH('BMP P Tracking Table'!$AZ130,'Performance Curves'!$E$1:$L$1,1)))/(INDEX('Performance Curves'!$E$1:$L$1,1,MATCH('BMP P Tracking Table'!$AZ130,'Performance Curves'!$E$1:$L$1,1)+1)-INDEX('Performance Curves'!$E$1:$L$1,1,MATCH('BMP P Tracking Table'!$AZ130,'Performance Curves'!$E$1:$L$1,1))),"")</f>
        <v/>
      </c>
      <c r="BC130" s="102" t="str">
        <f>IFERROR(IF('BMP P Tracking Table'!$AZ130=2,VLOOKUP(CONCATENATE('BMP P Tracking Table'!$AV130," ",'BMP P Tracking Table'!$AX130),'Performance Curves'!$C$1:$L$44,MATCH('BMP P Tracking Table'!$AZ130,'Performance Curves'!$E$1:$L$1,1)+1,FALSE),'BMP P Tracking Table'!$BA130*'BMP P Tracking Table'!$BB130+VLOOKUP(CONCATENATE('BMP P Tracking Table'!$AV130," ",'BMP P Tracking Table'!$AX130),'Performance Curves'!$C$1:$L$44,MATCH('BMP P Tracking Table'!$AZ130,'Performance Curves'!$E$1:$L$1,1)+1,FALSE)),"")</f>
        <v/>
      </c>
      <c r="BD130" s="101" t="str">
        <f>IFERROR('BMP P Tracking Table'!$BC130*'BMP P Tracking Table'!$AY130,"")</f>
        <v/>
      </c>
      <c r="BE130" s="96"/>
      <c r="BF130" s="37">
        <f t="shared" si="15"/>
        <v>0</v>
      </c>
    </row>
    <row r="131" spans="1:58" x14ac:dyDescent="0.3">
      <c r="A131" s="169"/>
      <c r="B131" s="169"/>
      <c r="C131" s="169"/>
      <c r="D131" s="169"/>
      <c r="E131" s="170"/>
      <c r="F131" s="170"/>
      <c r="G131" s="169"/>
      <c r="H131" s="169"/>
      <c r="I131" s="169"/>
      <c r="J131" s="171"/>
      <c r="K131" s="169"/>
      <c r="L131" s="169"/>
      <c r="M131" s="169"/>
      <c r="N131" s="169"/>
      <c r="O131" s="169"/>
      <c r="P131" s="169"/>
      <c r="Q131" s="169" t="str">
        <f>IFERROR(VLOOKUP('BMP P Tracking Table'!$P131,Dropdowns!$C$2:$E$15,3,FALSE),"")</f>
        <v/>
      </c>
      <c r="R131" s="169" t="str">
        <f>IFERROR(VLOOKUP('BMP P Tracking Table'!$Q131,Dropdowns!$P$3:$Q$23,2,FALSE),"")</f>
        <v/>
      </c>
      <c r="S131" s="169"/>
      <c r="T131" s="169"/>
      <c r="U131" s="169"/>
      <c r="V131" s="169"/>
      <c r="W131" s="169"/>
      <c r="X131" s="169"/>
      <c r="Y131" s="169"/>
      <c r="Z131" s="169"/>
      <c r="AA131" s="169"/>
      <c r="AB131" s="174"/>
      <c r="AC131" s="169"/>
      <c r="AD131" s="175" t="str">
        <f>IFERROR('BMP P Tracking Table'!$U131*VLOOKUP('BMP P Tracking Table'!$Q131,'Loading Rates'!$B$1:$L$24,4,FALSE)+IF('BMP P Tracking Table'!$V131="By HSG",'BMP P Tracking Table'!$W131*VLOOKUP('BMP P Tracking Table'!$Q131,'Loading Rates'!$B$1:$L$24,6,FALSE)+'BMP P Tracking Table'!$X131*VLOOKUP('BMP P Tracking Table'!$Q131,'Loading Rates'!$B$1:$L$24,7,FALSE)+'BMP P Tracking Table'!$Y131*VLOOKUP('BMP P Tracking Table'!$Q131,'Loading Rates'!$B$1:$L$24,8,FALSE)+'BMP P Tracking Table'!$Z131*VLOOKUP('BMP P Tracking Table'!$Q131,'Loading Rates'!$B$1:$L$24,9,FALSE),'BMP P Tracking Table'!$AA131*VLOOKUP('BMP P Tracking Table'!$Q131,'Loading Rates'!$B$1:$L$24,10,FALSE)),"")</f>
        <v/>
      </c>
      <c r="AE131" s="175" t="str">
        <f>IFERROR(MIN(2,IF('BMP P Tracking Table'!$V131="Total Pervious",(-(3630*'BMP P Tracking Table'!$U131+20.691*'BMP P Tracking Table'!$AA131)+SQRT((3630*'BMP P Tracking Table'!$U131+20.691*'BMP P Tracking Table'!$AA131)^2-(4*(996.798*'BMP P Tracking Table'!$AA131)*-'BMP P Tracking Table'!$AB131)))/(2*(996.798*'BMP P Tracking Table'!$AA131)),IF(SUM('BMP P Tracking Table'!$W131:$Z131)=0,'BMP P Tracking Table'!$AB131/(-3630*'BMP P Tracking Table'!$U131),(-(3630*'BMP P Tracking Table'!$U131+20.691*'BMP P Tracking Table'!$Z131-216.711*'BMP P Tracking Table'!$Y131-83.853*'BMP P Tracking Table'!$X131-42.834*'BMP P Tracking Table'!$W131)+SQRT((3630*'BMP P Tracking Table'!$U131+20.691*'BMP P Tracking Table'!$Z131-216.711*'BMP P Tracking Table'!$Y131-83.853*'BMP P Tracking Table'!$X131-42.834*'BMP P Tracking Table'!$W131)^2-(4*(149.919*'BMP P Tracking Table'!$W131+236.676*'BMP P Tracking Table'!$X131+726*'BMP P Tracking Table'!$Y131+996.798*'BMP P Tracking Table'!$Z131)*-'BMP P Tracking Table'!$AB131)))/(2*(149.919*'BMP P Tracking Table'!$W131+236.676*'BMP P Tracking Table'!$X131+726*'BMP P Tracking Table'!$Y131+996.798*'BMP P Tracking Table'!$Z131))))),"")</f>
        <v/>
      </c>
      <c r="AF131" s="175" t="str">
        <f>IFERROR((VLOOKUP(CONCATENATE('BMP P Tracking Table'!$T131," ",'BMP P Tracking Table'!$AC131),'Performance Curves'!$C$1:$L$45,MATCH('BMP P Tracking Table'!$AE131,'Performance Curves'!$E$1:$L$1,1)+2,FALSE)-VLOOKUP(CONCATENATE('BMP P Tracking Table'!$T131," ",'BMP P Tracking Table'!$AC131),'Performance Curves'!$C$1:$L$45,MATCH('BMP P Tracking Table'!$AE131,'Performance Curves'!$E$1:$L$1,1)+1,FALSE)),"")</f>
        <v/>
      </c>
      <c r="AG131" s="175" t="str">
        <f>IFERROR(('BMP P Tracking Table'!$AE131-INDEX('Performance Curves'!$E$1:$L$1,1,MATCH('BMP P Tracking Table'!$AE131,'Performance Curves'!$E$1:$L$1,1)))/(INDEX('Performance Curves'!$E$1:$L$1,1,MATCH('BMP P Tracking Table'!$AE131,'Performance Curves'!$E$1:$L$1,1)+1)-INDEX('Performance Curves'!$E$1:$L$1,1,MATCH('BMP P Tracking Table'!$AE131,'Performance Curves'!$E$1:$L$1,1))),"")</f>
        <v/>
      </c>
      <c r="AH131" s="176" t="str">
        <f>IFERROR(IF('BMP P Tracking Table'!$AE131=2,VLOOKUP(CONCATENATE('BMP P Tracking Table'!$T131," ",'BMP P Tracking Table'!$AC131),'Performance Curves'!$C$1:$L$45,MATCH('BMP P Tracking Table'!$AE131,'Performance Curves'!$E$1:$L$1,1)+1,FALSE),'BMP P Tracking Table'!$AF131*'BMP P Tracking Table'!$AG131+VLOOKUP(CONCATENATE('BMP P Tracking Table'!$T131," ",'BMP P Tracking Table'!$AC131),'Performance Curves'!$C$1:$L$45,MATCH('BMP P Tracking Table'!$AE131,'Performance Curves'!$E$1:$L$1,1)+1,FALSE)),"")</f>
        <v/>
      </c>
      <c r="AI131" s="175" t="str">
        <f>IFERROR('BMP P Tracking Table'!$AH131*'BMP P Tracking Table'!$AD131,"")</f>
        <v/>
      </c>
      <c r="AJ131" s="169"/>
      <c r="AK131" s="173"/>
      <c r="AL131" s="173"/>
      <c r="AM131" s="177"/>
      <c r="AN131" s="178" t="str">
        <f t="shared" si="14"/>
        <v/>
      </c>
      <c r="AO131" s="96"/>
      <c r="AP131" s="96"/>
      <c r="AQ131" s="96"/>
      <c r="AR131" s="96"/>
      <c r="AS131" s="96"/>
      <c r="AT131" s="96"/>
      <c r="AU131" s="96"/>
      <c r="AV131" s="64"/>
      <c r="AW131" s="97"/>
      <c r="AX131" s="97"/>
      <c r="AY131" s="101" t="str">
        <f>IF('BMP P Tracking Table'!$AK131="Yes",IF('BMP P Tracking Table'!$AL131="No",'BMP P Tracking Table'!$U131*VLOOKUP('BMP P Tracking Table'!$Q131,'Loading Rates'!$B$1:$L$24,4,FALSE)+IF('BMP P Tracking Table'!$V131="By HSG",'BMP P Tracking Table'!$W131*VLOOKUP('BMP P Tracking Table'!$Q131,'Loading Rates'!$B$1:$L$24,6,FALSE)+'BMP P Tracking Table'!$X131*VLOOKUP('BMP P Tracking Table'!$Q131,'Loading Rates'!$B$1:$L$24,7,FALSE)+'BMP P Tracking Table'!$Y131*VLOOKUP('BMP P Tracking Table'!$Q131,'Loading Rates'!$B$1:$L$24,8,FALSE)+'BMP P Tracking Table'!$Z131*VLOOKUP('BMP P Tracking Table'!$Q131,'Loading Rates'!$B$1:$L$24,9,FALSE),'BMP P Tracking Table'!$AA131*VLOOKUP('BMP P Tracking Table'!$Q131,'Loading Rates'!$B$1:$L$24,10,FALSE)),'BMP P Tracking Table'!$AO131*VLOOKUP('BMP P Tracking Table'!$Q131,'Loading Rates'!$B$1:$L$24,4,FALSE)+IF('BMP P Tracking Table'!$AP131="By HSG",'BMP P Tracking Table'!$AQ131*VLOOKUP('BMP P Tracking Table'!$Q131,'Loading Rates'!$B$1:$L$24,6,FALSE)+'BMP P Tracking Table'!$AR131*VLOOKUP('BMP P Tracking Table'!$Q131,'Loading Rates'!$B$1:$L$24,7,FALSE)+'BMP P Tracking Table'!$AS131*VLOOKUP('BMP P Tracking Table'!$Q131,'Loading Rates'!$B$1:$L$24,8,FALSE)+'BMP P Tracking Table'!$AT131*VLOOKUP('BMP P Tracking Table'!$Q131,'Loading Rates'!$B$1:$L$24,9,FALSE),'BMP P Tracking Table'!$AU131*VLOOKUP('BMP P Tracking Table'!$Q131,'Loading Rates'!$B$1:$L$24,10,FALSE))),"")</f>
        <v/>
      </c>
      <c r="AZ131" s="101" t="str">
        <f>IFERROR(IF('BMP P Tracking Table'!$AL131="Yes",MIN(2,IF('BMP P Tracking Table'!$AP131="Total Pervious",(-(3630*'BMP P Tracking Table'!$AO131+20.691*'BMP P Tracking Table'!$AU131)+SQRT((3630*'BMP P Tracking Table'!$AO131+20.691*'BMP P Tracking Table'!$AU131)^2-(4*(996.798*'BMP P Tracking Table'!$AU131)*-'BMP P Tracking Table'!$AW131)))/(2*(996.798*'BMP P Tracking Table'!$AU131)),IF(SUM('BMP P Tracking Table'!$AQ131:$AT131)=0,'BMP P Tracking Table'!$AU131/(-3630*'BMP P Tracking Table'!$AO131),(-(3630*'BMP P Tracking Table'!$AO131+20.691*'BMP P Tracking Table'!$AT131-216.711*'BMP P Tracking Table'!$AS131-83.853*'BMP P Tracking Table'!$AR131-42.834*'BMP P Tracking Table'!$AQ131)+SQRT((3630*'BMP P Tracking Table'!$AO131+20.691*'BMP P Tracking Table'!$AT131-216.711*'BMP P Tracking Table'!$AS131-83.853*'BMP P Tracking Table'!$AR131-42.834*'BMP P Tracking Table'!$AQ131)^2-(4*(149.919*'BMP P Tracking Table'!$AQ131+236.676*'BMP P Tracking Table'!$AR131+726*'BMP P Tracking Table'!$AS131+996.798*'BMP P Tracking Table'!$AT131)*-'BMP P Tracking Table'!$AW131)))/(2*(149.919*'BMP P Tracking Table'!$AQ131+236.676*'BMP P Tracking Table'!$AR131+726*'BMP P Tracking Table'!$AS131+996.798*'BMP P Tracking Table'!$AT131))))),MIN(2,IF('BMP P Tracking Table'!$AP131="Total Pervious",(-(3630*'BMP P Tracking Table'!$U131+20.691*'BMP P Tracking Table'!$AA131)+SQRT((3630*'BMP P Tracking Table'!$U131+20.691*'BMP P Tracking Table'!$AA131)^2-(4*(996.798*'BMP P Tracking Table'!$AA131)*-'BMP P Tracking Table'!$AW131)))/(2*(996.798*'BMP P Tracking Table'!$AA131)),IF(SUM('BMP P Tracking Table'!$W131:$Z131)=0,'BMP P Tracking Table'!$AW131/(-3630*'BMP P Tracking Table'!$U131),(-(3630*'BMP P Tracking Table'!$U131+20.691*'BMP P Tracking Table'!$Z131-216.711*'BMP P Tracking Table'!$Y131-83.853*'BMP P Tracking Table'!$X131-42.834*'BMP P Tracking Table'!$W131)+SQRT((3630*'BMP P Tracking Table'!$U131+20.691*'BMP P Tracking Table'!$Z131-216.711*'BMP P Tracking Table'!$Y131-83.853*'BMP P Tracking Table'!$X131-42.834*'BMP P Tracking Table'!$W131)^2-(4*(149.919*'BMP P Tracking Table'!$W131+236.676*'BMP P Tracking Table'!$X131+726*'BMP P Tracking Table'!$Y131+996.798*'BMP P Tracking Table'!$Z131)*-'BMP P Tracking Table'!$AW131)))/(2*(149.919*'BMP P Tracking Table'!$W131+236.676*'BMP P Tracking Table'!$X131+726*'BMP P Tracking Table'!$Y131+996.798*'BMP P Tracking Table'!$Z131)))))),"")</f>
        <v/>
      </c>
      <c r="BA131" s="101" t="str">
        <f>IFERROR((VLOOKUP(CONCATENATE('BMP P Tracking Table'!$AV131," ",'BMP P Tracking Table'!$AX131),'Performance Curves'!$C$1:$L$45,MATCH('BMP P Tracking Table'!$AZ131,'Performance Curves'!$E$1:$L$1,1)+2,FALSE)-VLOOKUP(CONCATENATE('BMP P Tracking Table'!$AV131," ",'BMP P Tracking Table'!$AX131),'Performance Curves'!$C$1:$L$45,MATCH('BMP P Tracking Table'!$AZ131,'Performance Curves'!$E$1:$L$1,1)+1,FALSE)),"")</f>
        <v/>
      </c>
      <c r="BB131" s="101" t="str">
        <f>IFERROR(('BMP P Tracking Table'!$AZ131-INDEX('Performance Curves'!$E$1:$L$1,1,MATCH('BMP P Tracking Table'!$AZ131,'Performance Curves'!$E$1:$L$1,1)))/(INDEX('Performance Curves'!$E$1:$L$1,1,MATCH('BMP P Tracking Table'!$AZ131,'Performance Curves'!$E$1:$L$1,1)+1)-INDEX('Performance Curves'!$E$1:$L$1,1,MATCH('BMP P Tracking Table'!$AZ131,'Performance Curves'!$E$1:$L$1,1))),"")</f>
        <v/>
      </c>
      <c r="BC131" s="102" t="str">
        <f>IFERROR(IF('BMP P Tracking Table'!$AZ131=2,VLOOKUP(CONCATENATE('BMP P Tracking Table'!$AV131," ",'BMP P Tracking Table'!$AX131),'Performance Curves'!$C$1:$L$44,MATCH('BMP P Tracking Table'!$AZ131,'Performance Curves'!$E$1:$L$1,1)+1,FALSE),'BMP P Tracking Table'!$BA131*'BMP P Tracking Table'!$BB131+VLOOKUP(CONCATENATE('BMP P Tracking Table'!$AV131," ",'BMP P Tracking Table'!$AX131),'Performance Curves'!$C$1:$L$44,MATCH('BMP P Tracking Table'!$AZ131,'Performance Curves'!$E$1:$L$1,1)+1,FALSE)),"")</f>
        <v/>
      </c>
      <c r="BD131" s="101" t="str">
        <f>IFERROR('BMP P Tracking Table'!$BC131*'BMP P Tracking Table'!$AY131,"")</f>
        <v/>
      </c>
      <c r="BE131" s="91"/>
      <c r="BF131" s="37">
        <f t="shared" si="15"/>
        <v>0</v>
      </c>
    </row>
    <row r="132" spans="1:58" x14ac:dyDescent="0.3">
      <c r="A132" s="169"/>
      <c r="B132" s="169"/>
      <c r="C132" s="169"/>
      <c r="D132" s="169"/>
      <c r="E132" s="170"/>
      <c r="F132" s="170"/>
      <c r="G132" s="169"/>
      <c r="H132" s="169"/>
      <c r="I132" s="169"/>
      <c r="J132" s="171"/>
      <c r="K132" s="169"/>
      <c r="L132" s="169"/>
      <c r="M132" s="169"/>
      <c r="N132" s="169"/>
      <c r="O132" s="169"/>
      <c r="P132" s="169"/>
      <c r="Q132" s="169" t="str">
        <f>IFERROR(VLOOKUP('BMP P Tracking Table'!$P132,Dropdowns!$C$2:$E$15,3,FALSE),"")</f>
        <v/>
      </c>
      <c r="R132" s="169" t="str">
        <f>IFERROR(VLOOKUP('BMP P Tracking Table'!$Q132,Dropdowns!$P$3:$Q$23,2,FALSE),"")</f>
        <v/>
      </c>
      <c r="S132" s="169"/>
      <c r="T132" s="169"/>
      <c r="U132" s="169"/>
      <c r="V132" s="169"/>
      <c r="W132" s="169"/>
      <c r="X132" s="169"/>
      <c r="Y132" s="169"/>
      <c r="Z132" s="169"/>
      <c r="AA132" s="169"/>
      <c r="AB132" s="174"/>
      <c r="AC132" s="169"/>
      <c r="AD132" s="175" t="str">
        <f>IFERROR('BMP P Tracking Table'!$U132*VLOOKUP('BMP P Tracking Table'!$Q132,'Loading Rates'!$B$1:$L$24,4,FALSE)+IF('BMP P Tracking Table'!$V132="By HSG",'BMP P Tracking Table'!$W132*VLOOKUP('BMP P Tracking Table'!$Q132,'Loading Rates'!$B$1:$L$24,6,FALSE)+'BMP P Tracking Table'!$X132*VLOOKUP('BMP P Tracking Table'!$Q132,'Loading Rates'!$B$1:$L$24,7,FALSE)+'BMP P Tracking Table'!$Y132*VLOOKUP('BMP P Tracking Table'!$Q132,'Loading Rates'!$B$1:$L$24,8,FALSE)+'BMP P Tracking Table'!$Z132*VLOOKUP('BMP P Tracking Table'!$Q132,'Loading Rates'!$B$1:$L$24,9,FALSE),'BMP P Tracking Table'!$AA132*VLOOKUP('BMP P Tracking Table'!$Q132,'Loading Rates'!$B$1:$L$24,10,FALSE)),"")</f>
        <v/>
      </c>
      <c r="AE132" s="175" t="str">
        <f>IFERROR(MIN(2,IF('BMP P Tracking Table'!$V132="Total Pervious",(-(3630*'BMP P Tracking Table'!$U132+20.691*'BMP P Tracking Table'!$AA132)+SQRT((3630*'BMP P Tracking Table'!$U132+20.691*'BMP P Tracking Table'!$AA132)^2-(4*(996.798*'BMP P Tracking Table'!$AA132)*-'BMP P Tracking Table'!$AB132)))/(2*(996.798*'BMP P Tracking Table'!$AA132)),IF(SUM('BMP P Tracking Table'!$W132:$Z132)=0,'BMP P Tracking Table'!$AB132/(-3630*'BMP P Tracking Table'!$U132),(-(3630*'BMP P Tracking Table'!$U132+20.691*'BMP P Tracking Table'!$Z132-216.711*'BMP P Tracking Table'!$Y132-83.853*'BMP P Tracking Table'!$X132-42.834*'BMP P Tracking Table'!$W132)+SQRT((3630*'BMP P Tracking Table'!$U132+20.691*'BMP P Tracking Table'!$Z132-216.711*'BMP P Tracking Table'!$Y132-83.853*'BMP P Tracking Table'!$X132-42.834*'BMP P Tracking Table'!$W132)^2-(4*(149.919*'BMP P Tracking Table'!$W132+236.676*'BMP P Tracking Table'!$X132+726*'BMP P Tracking Table'!$Y132+996.798*'BMP P Tracking Table'!$Z132)*-'BMP P Tracking Table'!$AB132)))/(2*(149.919*'BMP P Tracking Table'!$W132+236.676*'BMP P Tracking Table'!$X132+726*'BMP P Tracking Table'!$Y132+996.798*'BMP P Tracking Table'!$Z132))))),"")</f>
        <v/>
      </c>
      <c r="AF132" s="175" t="str">
        <f>IFERROR((VLOOKUP(CONCATENATE('BMP P Tracking Table'!$T132," ",'BMP P Tracking Table'!$AC132),'Performance Curves'!$C$1:$L$45,MATCH('BMP P Tracking Table'!$AE132,'Performance Curves'!$E$1:$L$1,1)+2,FALSE)-VLOOKUP(CONCATENATE('BMP P Tracking Table'!$T132," ",'BMP P Tracking Table'!$AC132),'Performance Curves'!$C$1:$L$45,MATCH('BMP P Tracking Table'!$AE132,'Performance Curves'!$E$1:$L$1,1)+1,FALSE)),"")</f>
        <v/>
      </c>
      <c r="AG132" s="175" t="str">
        <f>IFERROR(('BMP P Tracking Table'!$AE132-INDEX('Performance Curves'!$E$1:$L$1,1,MATCH('BMP P Tracking Table'!$AE132,'Performance Curves'!$E$1:$L$1,1)))/(INDEX('Performance Curves'!$E$1:$L$1,1,MATCH('BMP P Tracking Table'!$AE132,'Performance Curves'!$E$1:$L$1,1)+1)-INDEX('Performance Curves'!$E$1:$L$1,1,MATCH('BMP P Tracking Table'!$AE132,'Performance Curves'!$E$1:$L$1,1))),"")</f>
        <v/>
      </c>
      <c r="AH132" s="176" t="str">
        <f>IFERROR(IF('BMP P Tracking Table'!$AE132=2,VLOOKUP(CONCATENATE('BMP P Tracking Table'!$T132," ",'BMP P Tracking Table'!$AC132),'Performance Curves'!$C$1:$L$45,MATCH('BMP P Tracking Table'!$AE132,'Performance Curves'!$E$1:$L$1,1)+1,FALSE),'BMP P Tracking Table'!$AF132*'BMP P Tracking Table'!$AG132+VLOOKUP(CONCATENATE('BMP P Tracking Table'!$T132," ",'BMP P Tracking Table'!$AC132),'Performance Curves'!$C$1:$L$45,MATCH('BMP P Tracking Table'!$AE132,'Performance Curves'!$E$1:$L$1,1)+1,FALSE)),"")</f>
        <v/>
      </c>
      <c r="AI132" s="175" t="str">
        <f>IFERROR('BMP P Tracking Table'!$AH132*'BMP P Tracking Table'!$AD132,"")</f>
        <v/>
      </c>
      <c r="AJ132" s="169"/>
      <c r="AK132" s="173"/>
      <c r="AL132" s="173"/>
      <c r="AM132" s="177"/>
      <c r="AN132" s="178" t="str">
        <f t="shared" si="14"/>
        <v/>
      </c>
      <c r="AO132" s="96"/>
      <c r="AP132" s="96"/>
      <c r="AQ132" s="96"/>
      <c r="AR132" s="96"/>
      <c r="AS132" s="96"/>
      <c r="AT132" s="96"/>
      <c r="AU132" s="96"/>
      <c r="AV132" s="64"/>
      <c r="AW132" s="97"/>
      <c r="AX132" s="97"/>
      <c r="AY132" s="101" t="str">
        <f>IF('BMP P Tracking Table'!$AK132="Yes",IF('BMP P Tracking Table'!$AL132="No",'BMP P Tracking Table'!$U132*VLOOKUP('BMP P Tracking Table'!$Q132,'Loading Rates'!$B$1:$L$24,4,FALSE)+IF('BMP P Tracking Table'!$V132="By HSG",'BMP P Tracking Table'!$W132*VLOOKUP('BMP P Tracking Table'!$Q132,'Loading Rates'!$B$1:$L$24,6,FALSE)+'BMP P Tracking Table'!$X132*VLOOKUP('BMP P Tracking Table'!$Q132,'Loading Rates'!$B$1:$L$24,7,FALSE)+'BMP P Tracking Table'!$Y132*VLOOKUP('BMP P Tracking Table'!$Q132,'Loading Rates'!$B$1:$L$24,8,FALSE)+'BMP P Tracking Table'!$Z132*VLOOKUP('BMP P Tracking Table'!$Q132,'Loading Rates'!$B$1:$L$24,9,FALSE),'BMP P Tracking Table'!$AA132*VLOOKUP('BMP P Tracking Table'!$Q132,'Loading Rates'!$B$1:$L$24,10,FALSE)),'BMP P Tracking Table'!$AO132*VLOOKUP('BMP P Tracking Table'!$Q132,'Loading Rates'!$B$1:$L$24,4,FALSE)+IF('BMP P Tracking Table'!$AP132="By HSG",'BMP P Tracking Table'!$AQ132*VLOOKUP('BMP P Tracking Table'!$Q132,'Loading Rates'!$B$1:$L$24,6,FALSE)+'BMP P Tracking Table'!$AR132*VLOOKUP('BMP P Tracking Table'!$Q132,'Loading Rates'!$B$1:$L$24,7,FALSE)+'BMP P Tracking Table'!$AS132*VLOOKUP('BMP P Tracking Table'!$Q132,'Loading Rates'!$B$1:$L$24,8,FALSE)+'BMP P Tracking Table'!$AT132*VLOOKUP('BMP P Tracking Table'!$Q132,'Loading Rates'!$B$1:$L$24,9,FALSE),'BMP P Tracking Table'!$AU132*VLOOKUP('BMP P Tracking Table'!$Q132,'Loading Rates'!$B$1:$L$24,10,FALSE))),"")</f>
        <v/>
      </c>
      <c r="AZ132" s="101" t="str">
        <f>IFERROR(IF('BMP P Tracking Table'!$AL132="Yes",MIN(2,IF('BMP P Tracking Table'!$AP132="Total Pervious",(-(3630*'BMP P Tracking Table'!$AO132+20.691*'BMP P Tracking Table'!$AU132)+SQRT((3630*'BMP P Tracking Table'!$AO132+20.691*'BMP P Tracking Table'!$AU132)^2-(4*(996.798*'BMP P Tracking Table'!$AU132)*-'BMP P Tracking Table'!$AW132)))/(2*(996.798*'BMP P Tracking Table'!$AU132)),IF(SUM('BMP P Tracking Table'!$AQ132:$AT132)=0,'BMP P Tracking Table'!$AU132/(-3630*'BMP P Tracking Table'!$AO132),(-(3630*'BMP P Tracking Table'!$AO132+20.691*'BMP P Tracking Table'!$AT132-216.711*'BMP P Tracking Table'!$AS132-83.853*'BMP P Tracking Table'!$AR132-42.834*'BMP P Tracking Table'!$AQ132)+SQRT((3630*'BMP P Tracking Table'!$AO132+20.691*'BMP P Tracking Table'!$AT132-216.711*'BMP P Tracking Table'!$AS132-83.853*'BMP P Tracking Table'!$AR132-42.834*'BMP P Tracking Table'!$AQ132)^2-(4*(149.919*'BMP P Tracking Table'!$AQ132+236.676*'BMP P Tracking Table'!$AR132+726*'BMP P Tracking Table'!$AS132+996.798*'BMP P Tracking Table'!$AT132)*-'BMP P Tracking Table'!$AW132)))/(2*(149.919*'BMP P Tracking Table'!$AQ132+236.676*'BMP P Tracking Table'!$AR132+726*'BMP P Tracking Table'!$AS132+996.798*'BMP P Tracking Table'!$AT132))))),MIN(2,IF('BMP P Tracking Table'!$AP132="Total Pervious",(-(3630*'BMP P Tracking Table'!$U132+20.691*'BMP P Tracking Table'!$AA132)+SQRT((3630*'BMP P Tracking Table'!$U132+20.691*'BMP P Tracking Table'!$AA132)^2-(4*(996.798*'BMP P Tracking Table'!$AA132)*-'BMP P Tracking Table'!$AW132)))/(2*(996.798*'BMP P Tracking Table'!$AA132)),IF(SUM('BMP P Tracking Table'!$W132:$Z132)=0,'BMP P Tracking Table'!$AW132/(-3630*'BMP P Tracking Table'!$U132),(-(3630*'BMP P Tracking Table'!$U132+20.691*'BMP P Tracking Table'!$Z132-216.711*'BMP P Tracking Table'!$Y132-83.853*'BMP P Tracking Table'!$X132-42.834*'BMP P Tracking Table'!$W132)+SQRT((3630*'BMP P Tracking Table'!$U132+20.691*'BMP P Tracking Table'!$Z132-216.711*'BMP P Tracking Table'!$Y132-83.853*'BMP P Tracking Table'!$X132-42.834*'BMP P Tracking Table'!$W132)^2-(4*(149.919*'BMP P Tracking Table'!$W132+236.676*'BMP P Tracking Table'!$X132+726*'BMP P Tracking Table'!$Y132+996.798*'BMP P Tracking Table'!$Z132)*-'BMP P Tracking Table'!$AW132)))/(2*(149.919*'BMP P Tracking Table'!$W132+236.676*'BMP P Tracking Table'!$X132+726*'BMP P Tracking Table'!$Y132+996.798*'BMP P Tracking Table'!$Z132)))))),"")</f>
        <v/>
      </c>
      <c r="BA132" s="101" t="str">
        <f>IFERROR((VLOOKUP(CONCATENATE('BMP P Tracking Table'!$AV132," ",'BMP P Tracking Table'!$AX132),'Performance Curves'!$C$1:$L$45,MATCH('BMP P Tracking Table'!$AZ132,'Performance Curves'!$E$1:$L$1,1)+2,FALSE)-VLOOKUP(CONCATENATE('BMP P Tracking Table'!$AV132," ",'BMP P Tracking Table'!$AX132),'Performance Curves'!$C$1:$L$45,MATCH('BMP P Tracking Table'!$AZ132,'Performance Curves'!$E$1:$L$1,1)+1,FALSE)),"")</f>
        <v/>
      </c>
      <c r="BB132" s="101" t="str">
        <f>IFERROR(('BMP P Tracking Table'!$AZ132-INDEX('Performance Curves'!$E$1:$L$1,1,MATCH('BMP P Tracking Table'!$AZ132,'Performance Curves'!$E$1:$L$1,1)))/(INDEX('Performance Curves'!$E$1:$L$1,1,MATCH('BMP P Tracking Table'!$AZ132,'Performance Curves'!$E$1:$L$1,1)+1)-INDEX('Performance Curves'!$E$1:$L$1,1,MATCH('BMP P Tracking Table'!$AZ132,'Performance Curves'!$E$1:$L$1,1))),"")</f>
        <v/>
      </c>
      <c r="BC132" s="102" t="str">
        <f>IFERROR(IF('BMP P Tracking Table'!$AZ132=2,VLOOKUP(CONCATENATE('BMP P Tracking Table'!$AV132," ",'BMP P Tracking Table'!$AX132),'Performance Curves'!$C$1:$L$44,MATCH('BMP P Tracking Table'!$AZ132,'Performance Curves'!$E$1:$L$1,1)+1,FALSE),'BMP P Tracking Table'!$BA132*'BMP P Tracking Table'!$BB132+VLOOKUP(CONCATENATE('BMP P Tracking Table'!$AV132," ",'BMP P Tracking Table'!$AX132),'Performance Curves'!$C$1:$L$44,MATCH('BMP P Tracking Table'!$AZ132,'Performance Curves'!$E$1:$L$1,1)+1,FALSE)),"")</f>
        <v/>
      </c>
      <c r="BD132" s="101" t="str">
        <f>IFERROR('BMP P Tracking Table'!$BC132*'BMP P Tracking Table'!$AY132,"")</f>
        <v/>
      </c>
      <c r="BE132" s="96"/>
      <c r="BF132" s="37">
        <f t="shared" si="15"/>
        <v>0</v>
      </c>
    </row>
    <row r="133" spans="1:58" x14ac:dyDescent="0.3">
      <c r="A133" s="169"/>
      <c r="B133" s="169"/>
      <c r="C133" s="169"/>
      <c r="D133" s="169"/>
      <c r="E133" s="170"/>
      <c r="F133" s="170"/>
      <c r="G133" s="169"/>
      <c r="H133" s="169"/>
      <c r="I133" s="169"/>
      <c r="J133" s="171"/>
      <c r="K133" s="169"/>
      <c r="L133" s="169"/>
      <c r="M133" s="169"/>
      <c r="N133" s="169"/>
      <c r="O133" s="169"/>
      <c r="P133" s="169"/>
      <c r="Q133" s="169" t="str">
        <f>IFERROR(VLOOKUP('BMP P Tracking Table'!$P133,Dropdowns!$C$2:$E$15,3,FALSE),"")</f>
        <v/>
      </c>
      <c r="R133" s="169" t="str">
        <f>IFERROR(VLOOKUP('BMP P Tracking Table'!$Q133,Dropdowns!$P$3:$Q$23,2,FALSE),"")</f>
        <v/>
      </c>
      <c r="S133" s="169"/>
      <c r="T133" s="169"/>
      <c r="U133" s="169"/>
      <c r="V133" s="169"/>
      <c r="W133" s="169"/>
      <c r="X133" s="169"/>
      <c r="Y133" s="169"/>
      <c r="Z133" s="169"/>
      <c r="AA133" s="169"/>
      <c r="AB133" s="174"/>
      <c r="AC133" s="169"/>
      <c r="AD133" s="175" t="str">
        <f>IFERROR('BMP P Tracking Table'!$U133*VLOOKUP('BMP P Tracking Table'!$Q133,'Loading Rates'!$B$1:$L$24,4,FALSE)+IF('BMP P Tracking Table'!$V133="By HSG",'BMP P Tracking Table'!$W133*VLOOKUP('BMP P Tracking Table'!$Q133,'Loading Rates'!$B$1:$L$24,6,FALSE)+'BMP P Tracking Table'!$X133*VLOOKUP('BMP P Tracking Table'!$Q133,'Loading Rates'!$B$1:$L$24,7,FALSE)+'BMP P Tracking Table'!$Y133*VLOOKUP('BMP P Tracking Table'!$Q133,'Loading Rates'!$B$1:$L$24,8,FALSE)+'BMP P Tracking Table'!$Z133*VLOOKUP('BMP P Tracking Table'!$Q133,'Loading Rates'!$B$1:$L$24,9,FALSE),'BMP P Tracking Table'!$AA133*VLOOKUP('BMP P Tracking Table'!$Q133,'Loading Rates'!$B$1:$L$24,10,FALSE)),"")</f>
        <v/>
      </c>
      <c r="AE133" s="175" t="str">
        <f>IFERROR(MIN(2,IF('BMP P Tracking Table'!$V133="Total Pervious",(-(3630*'BMP P Tracking Table'!$U133+20.691*'BMP P Tracking Table'!$AA133)+SQRT((3630*'BMP P Tracking Table'!$U133+20.691*'BMP P Tracking Table'!$AA133)^2-(4*(996.798*'BMP P Tracking Table'!$AA133)*-'BMP P Tracking Table'!$AB133)))/(2*(996.798*'BMP P Tracking Table'!$AA133)),IF(SUM('BMP P Tracking Table'!$W133:$Z133)=0,'BMP P Tracking Table'!$AB133/(-3630*'BMP P Tracking Table'!$U133),(-(3630*'BMP P Tracking Table'!$U133+20.691*'BMP P Tracking Table'!$Z133-216.711*'BMP P Tracking Table'!$Y133-83.853*'BMP P Tracking Table'!$X133-42.834*'BMP P Tracking Table'!$W133)+SQRT((3630*'BMP P Tracking Table'!$U133+20.691*'BMP P Tracking Table'!$Z133-216.711*'BMP P Tracking Table'!$Y133-83.853*'BMP P Tracking Table'!$X133-42.834*'BMP P Tracking Table'!$W133)^2-(4*(149.919*'BMP P Tracking Table'!$W133+236.676*'BMP P Tracking Table'!$X133+726*'BMP P Tracking Table'!$Y133+996.798*'BMP P Tracking Table'!$Z133)*-'BMP P Tracking Table'!$AB133)))/(2*(149.919*'BMP P Tracking Table'!$W133+236.676*'BMP P Tracking Table'!$X133+726*'BMP P Tracking Table'!$Y133+996.798*'BMP P Tracking Table'!$Z133))))),"")</f>
        <v/>
      </c>
      <c r="AF133" s="175" t="str">
        <f>IFERROR((VLOOKUP(CONCATENATE('BMP P Tracking Table'!$T133," ",'BMP P Tracking Table'!$AC133),'Performance Curves'!$C$1:$L$45,MATCH('BMP P Tracking Table'!$AE133,'Performance Curves'!$E$1:$L$1,1)+2,FALSE)-VLOOKUP(CONCATENATE('BMP P Tracking Table'!$T133," ",'BMP P Tracking Table'!$AC133),'Performance Curves'!$C$1:$L$45,MATCH('BMP P Tracking Table'!$AE133,'Performance Curves'!$E$1:$L$1,1)+1,FALSE)),"")</f>
        <v/>
      </c>
      <c r="AG133" s="175" t="str">
        <f>IFERROR(('BMP P Tracking Table'!$AE133-INDEX('Performance Curves'!$E$1:$L$1,1,MATCH('BMP P Tracking Table'!$AE133,'Performance Curves'!$E$1:$L$1,1)))/(INDEX('Performance Curves'!$E$1:$L$1,1,MATCH('BMP P Tracking Table'!$AE133,'Performance Curves'!$E$1:$L$1,1)+1)-INDEX('Performance Curves'!$E$1:$L$1,1,MATCH('BMP P Tracking Table'!$AE133,'Performance Curves'!$E$1:$L$1,1))),"")</f>
        <v/>
      </c>
      <c r="AH133" s="176" t="str">
        <f>IFERROR(IF('BMP P Tracking Table'!$AE133=2,VLOOKUP(CONCATENATE('BMP P Tracking Table'!$T133," ",'BMP P Tracking Table'!$AC133),'Performance Curves'!$C$1:$L$45,MATCH('BMP P Tracking Table'!$AE133,'Performance Curves'!$E$1:$L$1,1)+1,FALSE),'BMP P Tracking Table'!$AF133*'BMP P Tracking Table'!$AG133+VLOOKUP(CONCATENATE('BMP P Tracking Table'!$T133," ",'BMP P Tracking Table'!$AC133),'Performance Curves'!$C$1:$L$45,MATCH('BMP P Tracking Table'!$AE133,'Performance Curves'!$E$1:$L$1,1)+1,FALSE)),"")</f>
        <v/>
      </c>
      <c r="AI133" s="175" t="str">
        <f>IFERROR('BMP P Tracking Table'!$AH133*'BMP P Tracking Table'!$AD133,"")</f>
        <v/>
      </c>
      <c r="AJ133" s="169"/>
      <c r="AK133" s="173"/>
      <c r="AL133" s="173"/>
      <c r="AM133" s="177"/>
      <c r="AN133" s="178" t="str">
        <f t="shared" si="14"/>
        <v/>
      </c>
      <c r="AO133" s="96"/>
      <c r="AP133" s="96"/>
      <c r="AQ133" s="96"/>
      <c r="AR133" s="96"/>
      <c r="AS133" s="96"/>
      <c r="AT133" s="96"/>
      <c r="AU133" s="96"/>
      <c r="AV133" s="64"/>
      <c r="AW133" s="97"/>
      <c r="AX133" s="97"/>
      <c r="AY133" s="101" t="str">
        <f>IF('BMP P Tracking Table'!$AK133="Yes",IF('BMP P Tracking Table'!$AL133="No",'BMP P Tracking Table'!$U133*VLOOKUP('BMP P Tracking Table'!$Q133,'Loading Rates'!$B$1:$L$24,4,FALSE)+IF('BMP P Tracking Table'!$V133="By HSG",'BMP P Tracking Table'!$W133*VLOOKUP('BMP P Tracking Table'!$Q133,'Loading Rates'!$B$1:$L$24,6,FALSE)+'BMP P Tracking Table'!$X133*VLOOKUP('BMP P Tracking Table'!$Q133,'Loading Rates'!$B$1:$L$24,7,FALSE)+'BMP P Tracking Table'!$Y133*VLOOKUP('BMP P Tracking Table'!$Q133,'Loading Rates'!$B$1:$L$24,8,FALSE)+'BMP P Tracking Table'!$Z133*VLOOKUP('BMP P Tracking Table'!$Q133,'Loading Rates'!$B$1:$L$24,9,FALSE),'BMP P Tracking Table'!$AA133*VLOOKUP('BMP P Tracking Table'!$Q133,'Loading Rates'!$B$1:$L$24,10,FALSE)),'BMP P Tracking Table'!$AO133*VLOOKUP('BMP P Tracking Table'!$Q133,'Loading Rates'!$B$1:$L$24,4,FALSE)+IF('BMP P Tracking Table'!$AP133="By HSG",'BMP P Tracking Table'!$AQ133*VLOOKUP('BMP P Tracking Table'!$Q133,'Loading Rates'!$B$1:$L$24,6,FALSE)+'BMP P Tracking Table'!$AR133*VLOOKUP('BMP P Tracking Table'!$Q133,'Loading Rates'!$B$1:$L$24,7,FALSE)+'BMP P Tracking Table'!$AS133*VLOOKUP('BMP P Tracking Table'!$Q133,'Loading Rates'!$B$1:$L$24,8,FALSE)+'BMP P Tracking Table'!$AT133*VLOOKUP('BMP P Tracking Table'!$Q133,'Loading Rates'!$B$1:$L$24,9,FALSE),'BMP P Tracking Table'!$AU133*VLOOKUP('BMP P Tracking Table'!$Q133,'Loading Rates'!$B$1:$L$24,10,FALSE))),"")</f>
        <v/>
      </c>
      <c r="AZ133" s="101" t="str">
        <f>IFERROR(IF('BMP P Tracking Table'!$AL133="Yes",MIN(2,IF('BMP P Tracking Table'!$AP133="Total Pervious",(-(3630*'BMP P Tracking Table'!$AO133+20.691*'BMP P Tracking Table'!$AU133)+SQRT((3630*'BMP P Tracking Table'!$AO133+20.691*'BMP P Tracking Table'!$AU133)^2-(4*(996.798*'BMP P Tracking Table'!$AU133)*-'BMP P Tracking Table'!$AW133)))/(2*(996.798*'BMP P Tracking Table'!$AU133)),IF(SUM('BMP P Tracking Table'!$AQ133:$AT133)=0,'BMP P Tracking Table'!$AU133/(-3630*'BMP P Tracking Table'!$AO133),(-(3630*'BMP P Tracking Table'!$AO133+20.691*'BMP P Tracking Table'!$AT133-216.711*'BMP P Tracking Table'!$AS133-83.853*'BMP P Tracking Table'!$AR133-42.834*'BMP P Tracking Table'!$AQ133)+SQRT((3630*'BMP P Tracking Table'!$AO133+20.691*'BMP P Tracking Table'!$AT133-216.711*'BMP P Tracking Table'!$AS133-83.853*'BMP P Tracking Table'!$AR133-42.834*'BMP P Tracking Table'!$AQ133)^2-(4*(149.919*'BMP P Tracking Table'!$AQ133+236.676*'BMP P Tracking Table'!$AR133+726*'BMP P Tracking Table'!$AS133+996.798*'BMP P Tracking Table'!$AT133)*-'BMP P Tracking Table'!$AW133)))/(2*(149.919*'BMP P Tracking Table'!$AQ133+236.676*'BMP P Tracking Table'!$AR133+726*'BMP P Tracking Table'!$AS133+996.798*'BMP P Tracking Table'!$AT133))))),MIN(2,IF('BMP P Tracking Table'!$AP133="Total Pervious",(-(3630*'BMP P Tracking Table'!$U133+20.691*'BMP P Tracking Table'!$AA133)+SQRT((3630*'BMP P Tracking Table'!$U133+20.691*'BMP P Tracking Table'!$AA133)^2-(4*(996.798*'BMP P Tracking Table'!$AA133)*-'BMP P Tracking Table'!$AW133)))/(2*(996.798*'BMP P Tracking Table'!$AA133)),IF(SUM('BMP P Tracking Table'!$W133:$Z133)=0,'BMP P Tracking Table'!$AW133/(-3630*'BMP P Tracking Table'!$U133),(-(3630*'BMP P Tracking Table'!$U133+20.691*'BMP P Tracking Table'!$Z133-216.711*'BMP P Tracking Table'!$Y133-83.853*'BMP P Tracking Table'!$X133-42.834*'BMP P Tracking Table'!$W133)+SQRT((3630*'BMP P Tracking Table'!$U133+20.691*'BMP P Tracking Table'!$Z133-216.711*'BMP P Tracking Table'!$Y133-83.853*'BMP P Tracking Table'!$X133-42.834*'BMP P Tracking Table'!$W133)^2-(4*(149.919*'BMP P Tracking Table'!$W133+236.676*'BMP P Tracking Table'!$X133+726*'BMP P Tracking Table'!$Y133+996.798*'BMP P Tracking Table'!$Z133)*-'BMP P Tracking Table'!$AW133)))/(2*(149.919*'BMP P Tracking Table'!$W133+236.676*'BMP P Tracking Table'!$X133+726*'BMP P Tracking Table'!$Y133+996.798*'BMP P Tracking Table'!$Z133)))))),"")</f>
        <v/>
      </c>
      <c r="BA133" s="101" t="str">
        <f>IFERROR((VLOOKUP(CONCATENATE('BMP P Tracking Table'!$AV133," ",'BMP P Tracking Table'!$AX133),'Performance Curves'!$C$1:$L$45,MATCH('BMP P Tracking Table'!$AZ133,'Performance Curves'!$E$1:$L$1,1)+2,FALSE)-VLOOKUP(CONCATENATE('BMP P Tracking Table'!$AV133," ",'BMP P Tracking Table'!$AX133),'Performance Curves'!$C$1:$L$45,MATCH('BMP P Tracking Table'!$AZ133,'Performance Curves'!$E$1:$L$1,1)+1,FALSE)),"")</f>
        <v/>
      </c>
      <c r="BB133" s="101" t="str">
        <f>IFERROR(('BMP P Tracking Table'!$AZ133-INDEX('Performance Curves'!$E$1:$L$1,1,MATCH('BMP P Tracking Table'!$AZ133,'Performance Curves'!$E$1:$L$1,1)))/(INDEX('Performance Curves'!$E$1:$L$1,1,MATCH('BMP P Tracking Table'!$AZ133,'Performance Curves'!$E$1:$L$1,1)+1)-INDEX('Performance Curves'!$E$1:$L$1,1,MATCH('BMP P Tracking Table'!$AZ133,'Performance Curves'!$E$1:$L$1,1))),"")</f>
        <v/>
      </c>
      <c r="BC133" s="102" t="str">
        <f>IFERROR(IF('BMP P Tracking Table'!$AZ133=2,VLOOKUP(CONCATENATE('BMP P Tracking Table'!$AV133," ",'BMP P Tracking Table'!$AX133),'Performance Curves'!$C$1:$L$44,MATCH('BMP P Tracking Table'!$AZ133,'Performance Curves'!$E$1:$L$1,1)+1,FALSE),'BMP P Tracking Table'!$BA133*'BMP P Tracking Table'!$BB133+VLOOKUP(CONCATENATE('BMP P Tracking Table'!$AV133," ",'BMP P Tracking Table'!$AX133),'Performance Curves'!$C$1:$L$44,MATCH('BMP P Tracking Table'!$AZ133,'Performance Curves'!$E$1:$L$1,1)+1,FALSE)),"")</f>
        <v/>
      </c>
      <c r="BD133" s="101" t="str">
        <f>IFERROR('BMP P Tracking Table'!$BC133*'BMP P Tracking Table'!$AY133,"")</f>
        <v/>
      </c>
      <c r="BE133" s="96"/>
      <c r="BF133" s="37">
        <f t="shared" si="15"/>
        <v>0</v>
      </c>
    </row>
    <row r="134" spans="1:58" x14ac:dyDescent="0.3">
      <c r="A134" s="169"/>
      <c r="B134" s="169"/>
      <c r="C134" s="169"/>
      <c r="D134" s="169"/>
      <c r="E134" s="170"/>
      <c r="F134" s="170"/>
      <c r="G134" s="169"/>
      <c r="H134" s="169"/>
      <c r="I134" s="169"/>
      <c r="J134" s="171"/>
      <c r="K134" s="169"/>
      <c r="L134" s="169"/>
      <c r="M134" s="169"/>
      <c r="N134" s="169"/>
      <c r="O134" s="169"/>
      <c r="P134" s="169"/>
      <c r="Q134" s="169" t="str">
        <f>IFERROR(VLOOKUP('BMP P Tracking Table'!$P134,Dropdowns!$C$2:$E$15,3,FALSE),"")</f>
        <v/>
      </c>
      <c r="R134" s="169" t="str">
        <f>IFERROR(VLOOKUP('BMP P Tracking Table'!$Q134,Dropdowns!$P$3:$Q$23,2,FALSE),"")</f>
        <v/>
      </c>
      <c r="S134" s="169"/>
      <c r="T134" s="169"/>
      <c r="U134" s="169"/>
      <c r="V134" s="169"/>
      <c r="W134" s="169"/>
      <c r="X134" s="169"/>
      <c r="Y134" s="169"/>
      <c r="Z134" s="169"/>
      <c r="AA134" s="169"/>
      <c r="AB134" s="174"/>
      <c r="AC134" s="169"/>
      <c r="AD134" s="175" t="str">
        <f>IFERROR('BMP P Tracking Table'!$U134*VLOOKUP('BMP P Tracking Table'!$Q134,'Loading Rates'!$B$1:$L$24,4,FALSE)+IF('BMP P Tracking Table'!$V134="By HSG",'BMP P Tracking Table'!$W134*VLOOKUP('BMP P Tracking Table'!$Q134,'Loading Rates'!$B$1:$L$24,6,FALSE)+'BMP P Tracking Table'!$X134*VLOOKUP('BMP P Tracking Table'!$Q134,'Loading Rates'!$B$1:$L$24,7,FALSE)+'BMP P Tracking Table'!$Y134*VLOOKUP('BMP P Tracking Table'!$Q134,'Loading Rates'!$B$1:$L$24,8,FALSE)+'BMP P Tracking Table'!$Z134*VLOOKUP('BMP P Tracking Table'!$Q134,'Loading Rates'!$B$1:$L$24,9,FALSE),'BMP P Tracking Table'!$AA134*VLOOKUP('BMP P Tracking Table'!$Q134,'Loading Rates'!$B$1:$L$24,10,FALSE)),"")</f>
        <v/>
      </c>
      <c r="AE134" s="175" t="str">
        <f>IFERROR(MIN(2,IF('BMP P Tracking Table'!$V134="Total Pervious",(-(3630*'BMP P Tracking Table'!$U134+20.691*'BMP P Tracking Table'!$AA134)+SQRT((3630*'BMP P Tracking Table'!$U134+20.691*'BMP P Tracking Table'!$AA134)^2-(4*(996.798*'BMP P Tracking Table'!$AA134)*-'BMP P Tracking Table'!$AB134)))/(2*(996.798*'BMP P Tracking Table'!$AA134)),IF(SUM('BMP P Tracking Table'!$W134:$Z134)=0,'BMP P Tracking Table'!$AB134/(-3630*'BMP P Tracking Table'!$U134),(-(3630*'BMP P Tracking Table'!$U134+20.691*'BMP P Tracking Table'!$Z134-216.711*'BMP P Tracking Table'!$Y134-83.853*'BMP P Tracking Table'!$X134-42.834*'BMP P Tracking Table'!$W134)+SQRT((3630*'BMP P Tracking Table'!$U134+20.691*'BMP P Tracking Table'!$Z134-216.711*'BMP P Tracking Table'!$Y134-83.853*'BMP P Tracking Table'!$X134-42.834*'BMP P Tracking Table'!$W134)^2-(4*(149.919*'BMP P Tracking Table'!$W134+236.676*'BMP P Tracking Table'!$X134+726*'BMP P Tracking Table'!$Y134+996.798*'BMP P Tracking Table'!$Z134)*-'BMP P Tracking Table'!$AB134)))/(2*(149.919*'BMP P Tracking Table'!$W134+236.676*'BMP P Tracking Table'!$X134+726*'BMP P Tracking Table'!$Y134+996.798*'BMP P Tracking Table'!$Z134))))),"")</f>
        <v/>
      </c>
      <c r="AF134" s="175" t="str">
        <f>IFERROR((VLOOKUP(CONCATENATE('BMP P Tracking Table'!$T134," ",'BMP P Tracking Table'!$AC134),'Performance Curves'!$C$1:$L$45,MATCH('BMP P Tracking Table'!$AE134,'Performance Curves'!$E$1:$L$1,1)+2,FALSE)-VLOOKUP(CONCATENATE('BMP P Tracking Table'!$T134," ",'BMP P Tracking Table'!$AC134),'Performance Curves'!$C$1:$L$45,MATCH('BMP P Tracking Table'!$AE134,'Performance Curves'!$E$1:$L$1,1)+1,FALSE)),"")</f>
        <v/>
      </c>
      <c r="AG134" s="175" t="str">
        <f>IFERROR(('BMP P Tracking Table'!$AE134-INDEX('Performance Curves'!$E$1:$L$1,1,MATCH('BMP P Tracking Table'!$AE134,'Performance Curves'!$E$1:$L$1,1)))/(INDEX('Performance Curves'!$E$1:$L$1,1,MATCH('BMP P Tracking Table'!$AE134,'Performance Curves'!$E$1:$L$1,1)+1)-INDEX('Performance Curves'!$E$1:$L$1,1,MATCH('BMP P Tracking Table'!$AE134,'Performance Curves'!$E$1:$L$1,1))),"")</f>
        <v/>
      </c>
      <c r="AH134" s="176" t="str">
        <f>IFERROR(IF('BMP P Tracking Table'!$AE134=2,VLOOKUP(CONCATENATE('BMP P Tracking Table'!$T134," ",'BMP P Tracking Table'!$AC134),'Performance Curves'!$C$1:$L$45,MATCH('BMP P Tracking Table'!$AE134,'Performance Curves'!$E$1:$L$1,1)+1,FALSE),'BMP P Tracking Table'!$AF134*'BMP P Tracking Table'!$AG134+VLOOKUP(CONCATENATE('BMP P Tracking Table'!$T134," ",'BMP P Tracking Table'!$AC134),'Performance Curves'!$C$1:$L$45,MATCH('BMP P Tracking Table'!$AE134,'Performance Curves'!$E$1:$L$1,1)+1,FALSE)),"")</f>
        <v/>
      </c>
      <c r="AI134" s="175" t="str">
        <f>IFERROR('BMP P Tracking Table'!$AH134*'BMP P Tracking Table'!$AD134,"")</f>
        <v/>
      </c>
      <c r="AJ134" s="169"/>
      <c r="AK134" s="173"/>
      <c r="AL134" s="173"/>
      <c r="AM134" s="177"/>
      <c r="AN134" s="178" t="str">
        <f t="shared" si="14"/>
        <v/>
      </c>
      <c r="AO134" s="96"/>
      <c r="AP134" s="96"/>
      <c r="AQ134" s="96"/>
      <c r="AR134" s="96"/>
      <c r="AS134" s="96"/>
      <c r="AT134" s="96"/>
      <c r="AU134" s="96"/>
      <c r="AV134" s="64"/>
      <c r="AW134" s="97"/>
      <c r="AX134" s="97"/>
      <c r="AY134" s="101" t="str">
        <f>IF('BMP P Tracking Table'!$AK134="Yes",IF('BMP P Tracking Table'!$AL134="No",'BMP P Tracking Table'!$U134*VLOOKUP('BMP P Tracking Table'!$Q134,'Loading Rates'!$B$1:$L$24,4,FALSE)+IF('BMP P Tracking Table'!$V134="By HSG",'BMP P Tracking Table'!$W134*VLOOKUP('BMP P Tracking Table'!$Q134,'Loading Rates'!$B$1:$L$24,6,FALSE)+'BMP P Tracking Table'!$X134*VLOOKUP('BMP P Tracking Table'!$Q134,'Loading Rates'!$B$1:$L$24,7,FALSE)+'BMP P Tracking Table'!$Y134*VLOOKUP('BMP P Tracking Table'!$Q134,'Loading Rates'!$B$1:$L$24,8,FALSE)+'BMP P Tracking Table'!$Z134*VLOOKUP('BMP P Tracking Table'!$Q134,'Loading Rates'!$B$1:$L$24,9,FALSE),'BMP P Tracking Table'!$AA134*VLOOKUP('BMP P Tracking Table'!$Q134,'Loading Rates'!$B$1:$L$24,10,FALSE)),'BMP P Tracking Table'!$AO134*VLOOKUP('BMP P Tracking Table'!$Q134,'Loading Rates'!$B$1:$L$24,4,FALSE)+IF('BMP P Tracking Table'!$AP134="By HSG",'BMP P Tracking Table'!$AQ134*VLOOKUP('BMP P Tracking Table'!$Q134,'Loading Rates'!$B$1:$L$24,6,FALSE)+'BMP P Tracking Table'!$AR134*VLOOKUP('BMP P Tracking Table'!$Q134,'Loading Rates'!$B$1:$L$24,7,FALSE)+'BMP P Tracking Table'!$AS134*VLOOKUP('BMP P Tracking Table'!$Q134,'Loading Rates'!$B$1:$L$24,8,FALSE)+'BMP P Tracking Table'!$AT134*VLOOKUP('BMP P Tracking Table'!$Q134,'Loading Rates'!$B$1:$L$24,9,FALSE),'BMP P Tracking Table'!$AU134*VLOOKUP('BMP P Tracking Table'!$Q134,'Loading Rates'!$B$1:$L$24,10,FALSE))),"")</f>
        <v/>
      </c>
      <c r="AZ134" s="101" t="str">
        <f>IFERROR(IF('BMP P Tracking Table'!$AL134="Yes",MIN(2,IF('BMP P Tracking Table'!$AP134="Total Pervious",(-(3630*'BMP P Tracking Table'!$AO134+20.691*'BMP P Tracking Table'!$AU134)+SQRT((3630*'BMP P Tracking Table'!$AO134+20.691*'BMP P Tracking Table'!$AU134)^2-(4*(996.798*'BMP P Tracking Table'!$AU134)*-'BMP P Tracking Table'!$AW134)))/(2*(996.798*'BMP P Tracking Table'!$AU134)),IF(SUM('BMP P Tracking Table'!$AQ134:$AT134)=0,'BMP P Tracking Table'!$AU134/(-3630*'BMP P Tracking Table'!$AO134),(-(3630*'BMP P Tracking Table'!$AO134+20.691*'BMP P Tracking Table'!$AT134-216.711*'BMP P Tracking Table'!$AS134-83.853*'BMP P Tracking Table'!$AR134-42.834*'BMP P Tracking Table'!$AQ134)+SQRT((3630*'BMP P Tracking Table'!$AO134+20.691*'BMP P Tracking Table'!$AT134-216.711*'BMP P Tracking Table'!$AS134-83.853*'BMP P Tracking Table'!$AR134-42.834*'BMP P Tracking Table'!$AQ134)^2-(4*(149.919*'BMP P Tracking Table'!$AQ134+236.676*'BMP P Tracking Table'!$AR134+726*'BMP P Tracking Table'!$AS134+996.798*'BMP P Tracking Table'!$AT134)*-'BMP P Tracking Table'!$AW134)))/(2*(149.919*'BMP P Tracking Table'!$AQ134+236.676*'BMP P Tracking Table'!$AR134+726*'BMP P Tracking Table'!$AS134+996.798*'BMP P Tracking Table'!$AT134))))),MIN(2,IF('BMP P Tracking Table'!$AP134="Total Pervious",(-(3630*'BMP P Tracking Table'!$U134+20.691*'BMP P Tracking Table'!$AA134)+SQRT((3630*'BMP P Tracking Table'!$U134+20.691*'BMP P Tracking Table'!$AA134)^2-(4*(996.798*'BMP P Tracking Table'!$AA134)*-'BMP P Tracking Table'!$AW134)))/(2*(996.798*'BMP P Tracking Table'!$AA134)),IF(SUM('BMP P Tracking Table'!$W134:$Z134)=0,'BMP P Tracking Table'!$AW134/(-3630*'BMP P Tracking Table'!$U134),(-(3630*'BMP P Tracking Table'!$U134+20.691*'BMP P Tracking Table'!$Z134-216.711*'BMP P Tracking Table'!$Y134-83.853*'BMP P Tracking Table'!$X134-42.834*'BMP P Tracking Table'!$W134)+SQRT((3630*'BMP P Tracking Table'!$U134+20.691*'BMP P Tracking Table'!$Z134-216.711*'BMP P Tracking Table'!$Y134-83.853*'BMP P Tracking Table'!$X134-42.834*'BMP P Tracking Table'!$W134)^2-(4*(149.919*'BMP P Tracking Table'!$W134+236.676*'BMP P Tracking Table'!$X134+726*'BMP P Tracking Table'!$Y134+996.798*'BMP P Tracking Table'!$Z134)*-'BMP P Tracking Table'!$AW134)))/(2*(149.919*'BMP P Tracking Table'!$W134+236.676*'BMP P Tracking Table'!$X134+726*'BMP P Tracking Table'!$Y134+996.798*'BMP P Tracking Table'!$Z134)))))),"")</f>
        <v/>
      </c>
      <c r="BA134" s="101" t="str">
        <f>IFERROR((VLOOKUP(CONCATENATE('BMP P Tracking Table'!$AV134," ",'BMP P Tracking Table'!$AX134),'Performance Curves'!$C$1:$L$45,MATCH('BMP P Tracking Table'!$AZ134,'Performance Curves'!$E$1:$L$1,1)+2,FALSE)-VLOOKUP(CONCATENATE('BMP P Tracking Table'!$AV134," ",'BMP P Tracking Table'!$AX134),'Performance Curves'!$C$1:$L$45,MATCH('BMP P Tracking Table'!$AZ134,'Performance Curves'!$E$1:$L$1,1)+1,FALSE)),"")</f>
        <v/>
      </c>
      <c r="BB134" s="101" t="str">
        <f>IFERROR(('BMP P Tracking Table'!$AZ134-INDEX('Performance Curves'!$E$1:$L$1,1,MATCH('BMP P Tracking Table'!$AZ134,'Performance Curves'!$E$1:$L$1,1)))/(INDEX('Performance Curves'!$E$1:$L$1,1,MATCH('BMP P Tracking Table'!$AZ134,'Performance Curves'!$E$1:$L$1,1)+1)-INDEX('Performance Curves'!$E$1:$L$1,1,MATCH('BMP P Tracking Table'!$AZ134,'Performance Curves'!$E$1:$L$1,1))),"")</f>
        <v/>
      </c>
      <c r="BC134" s="102" t="str">
        <f>IFERROR(IF('BMP P Tracking Table'!$AZ134=2,VLOOKUP(CONCATENATE('BMP P Tracking Table'!$AV134," ",'BMP P Tracking Table'!$AX134),'Performance Curves'!$C$1:$L$44,MATCH('BMP P Tracking Table'!$AZ134,'Performance Curves'!$E$1:$L$1,1)+1,FALSE),'BMP P Tracking Table'!$BA134*'BMP P Tracking Table'!$BB134+VLOOKUP(CONCATENATE('BMP P Tracking Table'!$AV134," ",'BMP P Tracking Table'!$AX134),'Performance Curves'!$C$1:$L$44,MATCH('BMP P Tracking Table'!$AZ134,'Performance Curves'!$E$1:$L$1,1)+1,FALSE)),"")</f>
        <v/>
      </c>
      <c r="BD134" s="101" t="str">
        <f>IFERROR('BMP P Tracking Table'!$BC134*'BMP P Tracking Table'!$AY134,"")</f>
        <v/>
      </c>
      <c r="BE134" s="96"/>
      <c r="BF134" s="37">
        <f t="shared" si="15"/>
        <v>0</v>
      </c>
    </row>
    <row r="135" spans="1:58" x14ac:dyDescent="0.3">
      <c r="A135" s="169"/>
      <c r="B135" s="169"/>
      <c r="C135" s="169"/>
      <c r="D135" s="169"/>
      <c r="E135" s="170"/>
      <c r="F135" s="170"/>
      <c r="G135" s="169"/>
      <c r="H135" s="169"/>
      <c r="I135" s="169"/>
      <c r="J135" s="171"/>
      <c r="K135" s="169"/>
      <c r="L135" s="169"/>
      <c r="M135" s="169"/>
      <c r="N135" s="169"/>
      <c r="O135" s="169"/>
      <c r="P135" s="169"/>
      <c r="Q135" s="169" t="str">
        <f>IFERROR(VLOOKUP('BMP P Tracking Table'!$P135,Dropdowns!$C$2:$E$15,3,FALSE),"")</f>
        <v/>
      </c>
      <c r="R135" s="169" t="str">
        <f>IFERROR(VLOOKUP('BMP P Tracking Table'!$Q135,Dropdowns!$P$3:$Q$23,2,FALSE),"")</f>
        <v/>
      </c>
      <c r="S135" s="169"/>
      <c r="T135" s="169"/>
      <c r="U135" s="169"/>
      <c r="V135" s="169"/>
      <c r="W135" s="169"/>
      <c r="X135" s="169"/>
      <c r="Y135" s="169"/>
      <c r="Z135" s="169"/>
      <c r="AA135" s="169"/>
      <c r="AB135" s="174"/>
      <c r="AC135" s="169"/>
      <c r="AD135" s="175" t="str">
        <f>IFERROR('BMP P Tracking Table'!$U135*VLOOKUP('BMP P Tracking Table'!$Q135,'Loading Rates'!$B$1:$L$24,4,FALSE)+IF('BMP P Tracking Table'!$V135="By HSG",'BMP P Tracking Table'!$W135*VLOOKUP('BMP P Tracking Table'!$Q135,'Loading Rates'!$B$1:$L$24,6,FALSE)+'BMP P Tracking Table'!$X135*VLOOKUP('BMP P Tracking Table'!$Q135,'Loading Rates'!$B$1:$L$24,7,FALSE)+'BMP P Tracking Table'!$Y135*VLOOKUP('BMP P Tracking Table'!$Q135,'Loading Rates'!$B$1:$L$24,8,FALSE)+'BMP P Tracking Table'!$Z135*VLOOKUP('BMP P Tracking Table'!$Q135,'Loading Rates'!$B$1:$L$24,9,FALSE),'BMP P Tracking Table'!$AA135*VLOOKUP('BMP P Tracking Table'!$Q135,'Loading Rates'!$B$1:$L$24,10,FALSE)),"")</f>
        <v/>
      </c>
      <c r="AE135" s="175" t="str">
        <f>IFERROR(MIN(2,IF('BMP P Tracking Table'!$V135="Total Pervious",(-(3630*'BMP P Tracking Table'!$U135+20.691*'BMP P Tracking Table'!$AA135)+SQRT((3630*'BMP P Tracking Table'!$U135+20.691*'BMP P Tracking Table'!$AA135)^2-(4*(996.798*'BMP P Tracking Table'!$AA135)*-'BMP P Tracking Table'!$AB135)))/(2*(996.798*'BMP P Tracking Table'!$AA135)),IF(SUM('BMP P Tracking Table'!$W135:$Z135)=0,'BMP P Tracking Table'!$AB135/(-3630*'BMP P Tracking Table'!$U135),(-(3630*'BMP P Tracking Table'!$U135+20.691*'BMP P Tracking Table'!$Z135-216.711*'BMP P Tracking Table'!$Y135-83.853*'BMP P Tracking Table'!$X135-42.834*'BMP P Tracking Table'!$W135)+SQRT((3630*'BMP P Tracking Table'!$U135+20.691*'BMP P Tracking Table'!$Z135-216.711*'BMP P Tracking Table'!$Y135-83.853*'BMP P Tracking Table'!$X135-42.834*'BMP P Tracking Table'!$W135)^2-(4*(149.919*'BMP P Tracking Table'!$W135+236.676*'BMP P Tracking Table'!$X135+726*'BMP P Tracking Table'!$Y135+996.798*'BMP P Tracking Table'!$Z135)*-'BMP P Tracking Table'!$AB135)))/(2*(149.919*'BMP P Tracking Table'!$W135+236.676*'BMP P Tracking Table'!$X135+726*'BMP P Tracking Table'!$Y135+996.798*'BMP P Tracking Table'!$Z135))))),"")</f>
        <v/>
      </c>
      <c r="AF135" s="175" t="str">
        <f>IFERROR((VLOOKUP(CONCATENATE('BMP P Tracking Table'!$T135," ",'BMP P Tracking Table'!$AC135),'Performance Curves'!$C$1:$L$45,MATCH('BMP P Tracking Table'!$AE135,'Performance Curves'!$E$1:$L$1,1)+2,FALSE)-VLOOKUP(CONCATENATE('BMP P Tracking Table'!$T135," ",'BMP P Tracking Table'!$AC135),'Performance Curves'!$C$1:$L$45,MATCH('BMP P Tracking Table'!$AE135,'Performance Curves'!$E$1:$L$1,1)+1,FALSE)),"")</f>
        <v/>
      </c>
      <c r="AG135" s="175" t="str">
        <f>IFERROR(('BMP P Tracking Table'!$AE135-INDEX('Performance Curves'!$E$1:$L$1,1,MATCH('BMP P Tracking Table'!$AE135,'Performance Curves'!$E$1:$L$1,1)))/(INDEX('Performance Curves'!$E$1:$L$1,1,MATCH('BMP P Tracking Table'!$AE135,'Performance Curves'!$E$1:$L$1,1)+1)-INDEX('Performance Curves'!$E$1:$L$1,1,MATCH('BMP P Tracking Table'!$AE135,'Performance Curves'!$E$1:$L$1,1))),"")</f>
        <v/>
      </c>
      <c r="AH135" s="176" t="str">
        <f>IFERROR(IF('BMP P Tracking Table'!$AE135=2,VLOOKUP(CONCATENATE('BMP P Tracking Table'!$T135," ",'BMP P Tracking Table'!$AC135),'Performance Curves'!$C$1:$L$45,MATCH('BMP P Tracking Table'!$AE135,'Performance Curves'!$E$1:$L$1,1)+1,FALSE),'BMP P Tracking Table'!$AF135*'BMP P Tracking Table'!$AG135+VLOOKUP(CONCATENATE('BMP P Tracking Table'!$T135," ",'BMP P Tracking Table'!$AC135),'Performance Curves'!$C$1:$L$45,MATCH('BMP P Tracking Table'!$AE135,'Performance Curves'!$E$1:$L$1,1)+1,FALSE)),"")</f>
        <v/>
      </c>
      <c r="AI135" s="175" t="str">
        <f>IFERROR('BMP P Tracking Table'!$AH135*'BMP P Tracking Table'!$AD135,"")</f>
        <v/>
      </c>
      <c r="AJ135" s="169"/>
      <c r="AK135" s="173"/>
      <c r="AL135" s="173"/>
      <c r="AM135" s="177"/>
      <c r="AN135" s="178" t="str">
        <f t="shared" si="14"/>
        <v/>
      </c>
      <c r="AO135" s="96"/>
      <c r="AP135" s="96"/>
      <c r="AQ135" s="96"/>
      <c r="AR135" s="96"/>
      <c r="AS135" s="96"/>
      <c r="AT135" s="96"/>
      <c r="AU135" s="96"/>
      <c r="AV135" s="64"/>
      <c r="AW135" s="97"/>
      <c r="AX135" s="97"/>
      <c r="AY135" s="101" t="str">
        <f>IF('BMP P Tracking Table'!$AK135="Yes",IF('BMP P Tracking Table'!$AL135="No",'BMP P Tracking Table'!$U135*VLOOKUP('BMP P Tracking Table'!$Q135,'Loading Rates'!$B$1:$L$24,4,FALSE)+IF('BMP P Tracking Table'!$V135="By HSG",'BMP P Tracking Table'!$W135*VLOOKUP('BMP P Tracking Table'!$Q135,'Loading Rates'!$B$1:$L$24,6,FALSE)+'BMP P Tracking Table'!$X135*VLOOKUP('BMP P Tracking Table'!$Q135,'Loading Rates'!$B$1:$L$24,7,FALSE)+'BMP P Tracking Table'!$Y135*VLOOKUP('BMP P Tracking Table'!$Q135,'Loading Rates'!$B$1:$L$24,8,FALSE)+'BMP P Tracking Table'!$Z135*VLOOKUP('BMP P Tracking Table'!$Q135,'Loading Rates'!$B$1:$L$24,9,FALSE),'BMP P Tracking Table'!$AA135*VLOOKUP('BMP P Tracking Table'!$Q135,'Loading Rates'!$B$1:$L$24,10,FALSE)),'BMP P Tracking Table'!$AO135*VLOOKUP('BMP P Tracking Table'!$Q135,'Loading Rates'!$B$1:$L$24,4,FALSE)+IF('BMP P Tracking Table'!$AP135="By HSG",'BMP P Tracking Table'!$AQ135*VLOOKUP('BMP P Tracking Table'!$Q135,'Loading Rates'!$B$1:$L$24,6,FALSE)+'BMP P Tracking Table'!$AR135*VLOOKUP('BMP P Tracking Table'!$Q135,'Loading Rates'!$B$1:$L$24,7,FALSE)+'BMP P Tracking Table'!$AS135*VLOOKUP('BMP P Tracking Table'!$Q135,'Loading Rates'!$B$1:$L$24,8,FALSE)+'BMP P Tracking Table'!$AT135*VLOOKUP('BMP P Tracking Table'!$Q135,'Loading Rates'!$B$1:$L$24,9,FALSE),'BMP P Tracking Table'!$AU135*VLOOKUP('BMP P Tracking Table'!$Q135,'Loading Rates'!$B$1:$L$24,10,FALSE))),"")</f>
        <v/>
      </c>
      <c r="AZ135" s="101" t="str">
        <f>IFERROR(IF('BMP P Tracking Table'!$AL135="Yes",MIN(2,IF('BMP P Tracking Table'!$AP135="Total Pervious",(-(3630*'BMP P Tracking Table'!$AO135+20.691*'BMP P Tracking Table'!$AU135)+SQRT((3630*'BMP P Tracking Table'!$AO135+20.691*'BMP P Tracking Table'!$AU135)^2-(4*(996.798*'BMP P Tracking Table'!$AU135)*-'BMP P Tracking Table'!$AW135)))/(2*(996.798*'BMP P Tracking Table'!$AU135)),IF(SUM('BMP P Tracking Table'!$AQ135:$AT135)=0,'BMP P Tracking Table'!$AU135/(-3630*'BMP P Tracking Table'!$AO135),(-(3630*'BMP P Tracking Table'!$AO135+20.691*'BMP P Tracking Table'!$AT135-216.711*'BMP P Tracking Table'!$AS135-83.853*'BMP P Tracking Table'!$AR135-42.834*'BMP P Tracking Table'!$AQ135)+SQRT((3630*'BMP P Tracking Table'!$AO135+20.691*'BMP P Tracking Table'!$AT135-216.711*'BMP P Tracking Table'!$AS135-83.853*'BMP P Tracking Table'!$AR135-42.834*'BMP P Tracking Table'!$AQ135)^2-(4*(149.919*'BMP P Tracking Table'!$AQ135+236.676*'BMP P Tracking Table'!$AR135+726*'BMP P Tracking Table'!$AS135+996.798*'BMP P Tracking Table'!$AT135)*-'BMP P Tracking Table'!$AW135)))/(2*(149.919*'BMP P Tracking Table'!$AQ135+236.676*'BMP P Tracking Table'!$AR135+726*'BMP P Tracking Table'!$AS135+996.798*'BMP P Tracking Table'!$AT135))))),MIN(2,IF('BMP P Tracking Table'!$AP135="Total Pervious",(-(3630*'BMP P Tracking Table'!$U135+20.691*'BMP P Tracking Table'!$AA135)+SQRT((3630*'BMP P Tracking Table'!$U135+20.691*'BMP P Tracking Table'!$AA135)^2-(4*(996.798*'BMP P Tracking Table'!$AA135)*-'BMP P Tracking Table'!$AW135)))/(2*(996.798*'BMP P Tracking Table'!$AA135)),IF(SUM('BMP P Tracking Table'!$W135:$Z135)=0,'BMP P Tracking Table'!$AW135/(-3630*'BMP P Tracking Table'!$U135),(-(3630*'BMP P Tracking Table'!$U135+20.691*'BMP P Tracking Table'!$Z135-216.711*'BMP P Tracking Table'!$Y135-83.853*'BMP P Tracking Table'!$X135-42.834*'BMP P Tracking Table'!$W135)+SQRT((3630*'BMP P Tracking Table'!$U135+20.691*'BMP P Tracking Table'!$Z135-216.711*'BMP P Tracking Table'!$Y135-83.853*'BMP P Tracking Table'!$X135-42.834*'BMP P Tracking Table'!$W135)^2-(4*(149.919*'BMP P Tracking Table'!$W135+236.676*'BMP P Tracking Table'!$X135+726*'BMP P Tracking Table'!$Y135+996.798*'BMP P Tracking Table'!$Z135)*-'BMP P Tracking Table'!$AW135)))/(2*(149.919*'BMP P Tracking Table'!$W135+236.676*'BMP P Tracking Table'!$X135+726*'BMP P Tracking Table'!$Y135+996.798*'BMP P Tracking Table'!$Z135)))))),"")</f>
        <v/>
      </c>
      <c r="BA135" s="101" t="str">
        <f>IFERROR((VLOOKUP(CONCATENATE('BMP P Tracking Table'!$AV135," ",'BMP P Tracking Table'!$AX135),'Performance Curves'!$C$1:$L$45,MATCH('BMP P Tracking Table'!$AZ135,'Performance Curves'!$E$1:$L$1,1)+2,FALSE)-VLOOKUP(CONCATENATE('BMP P Tracking Table'!$AV135," ",'BMP P Tracking Table'!$AX135),'Performance Curves'!$C$1:$L$45,MATCH('BMP P Tracking Table'!$AZ135,'Performance Curves'!$E$1:$L$1,1)+1,FALSE)),"")</f>
        <v/>
      </c>
      <c r="BB135" s="101" t="str">
        <f>IFERROR(('BMP P Tracking Table'!$AZ135-INDEX('Performance Curves'!$E$1:$L$1,1,MATCH('BMP P Tracking Table'!$AZ135,'Performance Curves'!$E$1:$L$1,1)))/(INDEX('Performance Curves'!$E$1:$L$1,1,MATCH('BMP P Tracking Table'!$AZ135,'Performance Curves'!$E$1:$L$1,1)+1)-INDEX('Performance Curves'!$E$1:$L$1,1,MATCH('BMP P Tracking Table'!$AZ135,'Performance Curves'!$E$1:$L$1,1))),"")</f>
        <v/>
      </c>
      <c r="BC135" s="102" t="str">
        <f>IFERROR(IF('BMP P Tracking Table'!$AZ135=2,VLOOKUP(CONCATENATE('BMP P Tracking Table'!$AV135," ",'BMP P Tracking Table'!$AX135),'Performance Curves'!$C$1:$L$44,MATCH('BMP P Tracking Table'!$AZ135,'Performance Curves'!$E$1:$L$1,1)+1,FALSE),'BMP P Tracking Table'!$BA135*'BMP P Tracking Table'!$BB135+VLOOKUP(CONCATENATE('BMP P Tracking Table'!$AV135," ",'BMP P Tracking Table'!$AX135),'Performance Curves'!$C$1:$L$44,MATCH('BMP P Tracking Table'!$AZ135,'Performance Curves'!$E$1:$L$1,1)+1,FALSE)),"")</f>
        <v/>
      </c>
      <c r="BD135" s="101" t="str">
        <f>IFERROR('BMP P Tracking Table'!$BC135*'BMP P Tracking Table'!$AY135,"")</f>
        <v/>
      </c>
      <c r="BE135" s="96"/>
      <c r="BF135" s="37">
        <f t="shared" si="15"/>
        <v>0</v>
      </c>
    </row>
    <row r="136" spans="1:58" x14ac:dyDescent="0.3">
      <c r="A136" s="169"/>
      <c r="B136" s="169"/>
      <c r="C136" s="169"/>
      <c r="D136" s="169"/>
      <c r="E136" s="170"/>
      <c r="F136" s="170"/>
      <c r="G136" s="169"/>
      <c r="H136" s="169"/>
      <c r="I136" s="169"/>
      <c r="J136" s="171"/>
      <c r="K136" s="169"/>
      <c r="L136" s="169"/>
      <c r="M136" s="169"/>
      <c r="N136" s="169"/>
      <c r="O136" s="169"/>
      <c r="P136" s="169"/>
      <c r="Q136" s="169" t="str">
        <f>IFERROR(VLOOKUP('BMP P Tracking Table'!$P136,Dropdowns!$C$2:$E$15,3,FALSE),"")</f>
        <v/>
      </c>
      <c r="R136" s="169" t="str">
        <f>IFERROR(VLOOKUP('BMP P Tracking Table'!$Q136,Dropdowns!$P$3:$Q$23,2,FALSE),"")</f>
        <v/>
      </c>
      <c r="S136" s="169"/>
      <c r="T136" s="169"/>
      <c r="U136" s="169"/>
      <c r="V136" s="169"/>
      <c r="W136" s="169"/>
      <c r="X136" s="169"/>
      <c r="Y136" s="169"/>
      <c r="Z136" s="169"/>
      <c r="AA136" s="169"/>
      <c r="AB136" s="174"/>
      <c r="AC136" s="169"/>
      <c r="AD136" s="175" t="str">
        <f>IFERROR('BMP P Tracking Table'!$U136*VLOOKUP('BMP P Tracking Table'!$Q136,'Loading Rates'!$B$1:$L$24,4,FALSE)+IF('BMP P Tracking Table'!$V136="By HSG",'BMP P Tracking Table'!$W136*VLOOKUP('BMP P Tracking Table'!$Q136,'Loading Rates'!$B$1:$L$24,6,FALSE)+'BMP P Tracking Table'!$X136*VLOOKUP('BMP P Tracking Table'!$Q136,'Loading Rates'!$B$1:$L$24,7,FALSE)+'BMP P Tracking Table'!$Y136*VLOOKUP('BMP P Tracking Table'!$Q136,'Loading Rates'!$B$1:$L$24,8,FALSE)+'BMP P Tracking Table'!$Z136*VLOOKUP('BMP P Tracking Table'!$Q136,'Loading Rates'!$B$1:$L$24,9,FALSE),'BMP P Tracking Table'!$AA136*VLOOKUP('BMP P Tracking Table'!$Q136,'Loading Rates'!$B$1:$L$24,10,FALSE)),"")</f>
        <v/>
      </c>
      <c r="AE136" s="175" t="str">
        <f>IFERROR(MIN(2,IF('BMP P Tracking Table'!$V136="Total Pervious",(-(3630*'BMP P Tracking Table'!$U136+20.691*'BMP P Tracking Table'!$AA136)+SQRT((3630*'BMP P Tracking Table'!$U136+20.691*'BMP P Tracking Table'!$AA136)^2-(4*(996.798*'BMP P Tracking Table'!$AA136)*-'BMP P Tracking Table'!$AB136)))/(2*(996.798*'BMP P Tracking Table'!$AA136)),IF(SUM('BMP P Tracking Table'!$W136:$Z136)=0,'BMP P Tracking Table'!$AB136/(-3630*'BMP P Tracking Table'!$U136),(-(3630*'BMP P Tracking Table'!$U136+20.691*'BMP P Tracking Table'!$Z136-216.711*'BMP P Tracking Table'!$Y136-83.853*'BMP P Tracking Table'!$X136-42.834*'BMP P Tracking Table'!$W136)+SQRT((3630*'BMP P Tracking Table'!$U136+20.691*'BMP P Tracking Table'!$Z136-216.711*'BMP P Tracking Table'!$Y136-83.853*'BMP P Tracking Table'!$X136-42.834*'BMP P Tracking Table'!$W136)^2-(4*(149.919*'BMP P Tracking Table'!$W136+236.676*'BMP P Tracking Table'!$X136+726*'BMP P Tracking Table'!$Y136+996.798*'BMP P Tracking Table'!$Z136)*-'BMP P Tracking Table'!$AB136)))/(2*(149.919*'BMP P Tracking Table'!$W136+236.676*'BMP P Tracking Table'!$X136+726*'BMP P Tracking Table'!$Y136+996.798*'BMP P Tracking Table'!$Z136))))),"")</f>
        <v/>
      </c>
      <c r="AF136" s="175" t="str">
        <f>IFERROR((VLOOKUP(CONCATENATE('BMP P Tracking Table'!$T136," ",'BMP P Tracking Table'!$AC136),'Performance Curves'!$C$1:$L$45,MATCH('BMP P Tracking Table'!$AE136,'Performance Curves'!$E$1:$L$1,1)+2,FALSE)-VLOOKUP(CONCATENATE('BMP P Tracking Table'!$T136," ",'BMP P Tracking Table'!$AC136),'Performance Curves'!$C$1:$L$45,MATCH('BMP P Tracking Table'!$AE136,'Performance Curves'!$E$1:$L$1,1)+1,FALSE)),"")</f>
        <v/>
      </c>
      <c r="AG136" s="175" t="str">
        <f>IFERROR(('BMP P Tracking Table'!$AE136-INDEX('Performance Curves'!$E$1:$L$1,1,MATCH('BMP P Tracking Table'!$AE136,'Performance Curves'!$E$1:$L$1,1)))/(INDEX('Performance Curves'!$E$1:$L$1,1,MATCH('BMP P Tracking Table'!$AE136,'Performance Curves'!$E$1:$L$1,1)+1)-INDEX('Performance Curves'!$E$1:$L$1,1,MATCH('BMP P Tracking Table'!$AE136,'Performance Curves'!$E$1:$L$1,1))),"")</f>
        <v/>
      </c>
      <c r="AH136" s="176" t="str">
        <f>IFERROR(IF('BMP P Tracking Table'!$AE136=2,VLOOKUP(CONCATENATE('BMP P Tracking Table'!$T136," ",'BMP P Tracking Table'!$AC136),'Performance Curves'!$C$1:$L$45,MATCH('BMP P Tracking Table'!$AE136,'Performance Curves'!$E$1:$L$1,1)+1,FALSE),'BMP P Tracking Table'!$AF136*'BMP P Tracking Table'!$AG136+VLOOKUP(CONCATENATE('BMP P Tracking Table'!$T136," ",'BMP P Tracking Table'!$AC136),'Performance Curves'!$C$1:$L$45,MATCH('BMP P Tracking Table'!$AE136,'Performance Curves'!$E$1:$L$1,1)+1,FALSE)),"")</f>
        <v/>
      </c>
      <c r="AI136" s="175" t="str">
        <f>IFERROR('BMP P Tracking Table'!$AH136*'BMP P Tracking Table'!$AD136,"")</f>
        <v/>
      </c>
      <c r="AJ136" s="169"/>
      <c r="AK136" s="173"/>
      <c r="AL136" s="173"/>
      <c r="AM136" s="177"/>
      <c r="AN136" s="178" t="str">
        <f t="shared" si="14"/>
        <v/>
      </c>
      <c r="AO136" s="96"/>
      <c r="AP136" s="96"/>
      <c r="AQ136" s="96"/>
      <c r="AR136" s="96"/>
      <c r="AS136" s="96"/>
      <c r="AT136" s="96"/>
      <c r="AU136" s="96"/>
      <c r="AV136" s="64"/>
      <c r="AW136" s="97"/>
      <c r="AX136" s="97"/>
      <c r="AY136" s="101" t="str">
        <f>IF('BMP P Tracking Table'!$AK136="Yes",IF('BMP P Tracking Table'!$AL136="No",'BMP P Tracking Table'!$U136*VLOOKUP('BMP P Tracking Table'!$Q136,'Loading Rates'!$B$1:$L$24,4,FALSE)+IF('BMP P Tracking Table'!$V136="By HSG",'BMP P Tracking Table'!$W136*VLOOKUP('BMP P Tracking Table'!$Q136,'Loading Rates'!$B$1:$L$24,6,FALSE)+'BMP P Tracking Table'!$X136*VLOOKUP('BMP P Tracking Table'!$Q136,'Loading Rates'!$B$1:$L$24,7,FALSE)+'BMP P Tracking Table'!$Y136*VLOOKUP('BMP P Tracking Table'!$Q136,'Loading Rates'!$B$1:$L$24,8,FALSE)+'BMP P Tracking Table'!$Z136*VLOOKUP('BMP P Tracking Table'!$Q136,'Loading Rates'!$B$1:$L$24,9,FALSE),'BMP P Tracking Table'!$AA136*VLOOKUP('BMP P Tracking Table'!$Q136,'Loading Rates'!$B$1:$L$24,10,FALSE)),'BMP P Tracking Table'!$AO136*VLOOKUP('BMP P Tracking Table'!$Q136,'Loading Rates'!$B$1:$L$24,4,FALSE)+IF('BMP P Tracking Table'!$AP136="By HSG",'BMP P Tracking Table'!$AQ136*VLOOKUP('BMP P Tracking Table'!$Q136,'Loading Rates'!$B$1:$L$24,6,FALSE)+'BMP P Tracking Table'!$AR136*VLOOKUP('BMP P Tracking Table'!$Q136,'Loading Rates'!$B$1:$L$24,7,FALSE)+'BMP P Tracking Table'!$AS136*VLOOKUP('BMP P Tracking Table'!$Q136,'Loading Rates'!$B$1:$L$24,8,FALSE)+'BMP P Tracking Table'!$AT136*VLOOKUP('BMP P Tracking Table'!$Q136,'Loading Rates'!$B$1:$L$24,9,FALSE),'BMP P Tracking Table'!$AU136*VLOOKUP('BMP P Tracking Table'!$Q136,'Loading Rates'!$B$1:$L$24,10,FALSE))),"")</f>
        <v/>
      </c>
      <c r="AZ136" s="101" t="str">
        <f>IFERROR(IF('BMP P Tracking Table'!$AL136="Yes",MIN(2,IF('BMP P Tracking Table'!$AP136="Total Pervious",(-(3630*'BMP P Tracking Table'!$AO136+20.691*'BMP P Tracking Table'!$AU136)+SQRT((3630*'BMP P Tracking Table'!$AO136+20.691*'BMP P Tracking Table'!$AU136)^2-(4*(996.798*'BMP P Tracking Table'!$AU136)*-'BMP P Tracking Table'!$AW136)))/(2*(996.798*'BMP P Tracking Table'!$AU136)),IF(SUM('BMP P Tracking Table'!$AQ136:$AT136)=0,'BMP P Tracking Table'!$AU136/(-3630*'BMP P Tracking Table'!$AO136),(-(3630*'BMP P Tracking Table'!$AO136+20.691*'BMP P Tracking Table'!$AT136-216.711*'BMP P Tracking Table'!$AS136-83.853*'BMP P Tracking Table'!$AR136-42.834*'BMP P Tracking Table'!$AQ136)+SQRT((3630*'BMP P Tracking Table'!$AO136+20.691*'BMP P Tracking Table'!$AT136-216.711*'BMP P Tracking Table'!$AS136-83.853*'BMP P Tracking Table'!$AR136-42.834*'BMP P Tracking Table'!$AQ136)^2-(4*(149.919*'BMP P Tracking Table'!$AQ136+236.676*'BMP P Tracking Table'!$AR136+726*'BMP P Tracking Table'!$AS136+996.798*'BMP P Tracking Table'!$AT136)*-'BMP P Tracking Table'!$AW136)))/(2*(149.919*'BMP P Tracking Table'!$AQ136+236.676*'BMP P Tracking Table'!$AR136+726*'BMP P Tracking Table'!$AS136+996.798*'BMP P Tracking Table'!$AT136))))),MIN(2,IF('BMP P Tracking Table'!$AP136="Total Pervious",(-(3630*'BMP P Tracking Table'!$U136+20.691*'BMP P Tracking Table'!$AA136)+SQRT((3630*'BMP P Tracking Table'!$U136+20.691*'BMP P Tracking Table'!$AA136)^2-(4*(996.798*'BMP P Tracking Table'!$AA136)*-'BMP P Tracking Table'!$AW136)))/(2*(996.798*'BMP P Tracking Table'!$AA136)),IF(SUM('BMP P Tracking Table'!$W136:$Z136)=0,'BMP P Tracking Table'!$AW136/(-3630*'BMP P Tracking Table'!$U136),(-(3630*'BMP P Tracking Table'!$U136+20.691*'BMP P Tracking Table'!$Z136-216.711*'BMP P Tracking Table'!$Y136-83.853*'BMP P Tracking Table'!$X136-42.834*'BMP P Tracking Table'!$W136)+SQRT((3630*'BMP P Tracking Table'!$U136+20.691*'BMP P Tracking Table'!$Z136-216.711*'BMP P Tracking Table'!$Y136-83.853*'BMP P Tracking Table'!$X136-42.834*'BMP P Tracking Table'!$W136)^2-(4*(149.919*'BMP P Tracking Table'!$W136+236.676*'BMP P Tracking Table'!$X136+726*'BMP P Tracking Table'!$Y136+996.798*'BMP P Tracking Table'!$Z136)*-'BMP P Tracking Table'!$AW136)))/(2*(149.919*'BMP P Tracking Table'!$W136+236.676*'BMP P Tracking Table'!$X136+726*'BMP P Tracking Table'!$Y136+996.798*'BMP P Tracking Table'!$Z136)))))),"")</f>
        <v/>
      </c>
      <c r="BA136" s="101" t="str">
        <f>IFERROR((VLOOKUP(CONCATENATE('BMP P Tracking Table'!$AV136," ",'BMP P Tracking Table'!$AX136),'Performance Curves'!$C$1:$L$45,MATCH('BMP P Tracking Table'!$AZ136,'Performance Curves'!$E$1:$L$1,1)+2,FALSE)-VLOOKUP(CONCATENATE('BMP P Tracking Table'!$AV136," ",'BMP P Tracking Table'!$AX136),'Performance Curves'!$C$1:$L$45,MATCH('BMP P Tracking Table'!$AZ136,'Performance Curves'!$E$1:$L$1,1)+1,FALSE)),"")</f>
        <v/>
      </c>
      <c r="BB136" s="101" t="str">
        <f>IFERROR(('BMP P Tracking Table'!$AZ136-INDEX('Performance Curves'!$E$1:$L$1,1,MATCH('BMP P Tracking Table'!$AZ136,'Performance Curves'!$E$1:$L$1,1)))/(INDEX('Performance Curves'!$E$1:$L$1,1,MATCH('BMP P Tracking Table'!$AZ136,'Performance Curves'!$E$1:$L$1,1)+1)-INDEX('Performance Curves'!$E$1:$L$1,1,MATCH('BMP P Tracking Table'!$AZ136,'Performance Curves'!$E$1:$L$1,1))),"")</f>
        <v/>
      </c>
      <c r="BC136" s="102" t="str">
        <f>IFERROR(IF('BMP P Tracking Table'!$AZ136=2,VLOOKUP(CONCATENATE('BMP P Tracking Table'!$AV136," ",'BMP P Tracking Table'!$AX136),'Performance Curves'!$C$1:$L$44,MATCH('BMP P Tracking Table'!$AZ136,'Performance Curves'!$E$1:$L$1,1)+1,FALSE),'BMP P Tracking Table'!$BA136*'BMP P Tracking Table'!$BB136+VLOOKUP(CONCATENATE('BMP P Tracking Table'!$AV136," ",'BMP P Tracking Table'!$AX136),'Performance Curves'!$C$1:$L$44,MATCH('BMP P Tracking Table'!$AZ136,'Performance Curves'!$E$1:$L$1,1)+1,FALSE)),"")</f>
        <v/>
      </c>
      <c r="BD136" s="101" t="str">
        <f>IFERROR('BMP P Tracking Table'!$BC136*'BMP P Tracking Table'!$AY136,"")</f>
        <v/>
      </c>
      <c r="BE136" s="96"/>
      <c r="BF136" s="37">
        <f t="shared" si="15"/>
        <v>0</v>
      </c>
    </row>
    <row r="137" spans="1:58" x14ac:dyDescent="0.3">
      <c r="A137" s="169"/>
      <c r="B137" s="169"/>
      <c r="C137" s="169"/>
      <c r="D137" s="169"/>
      <c r="E137" s="170"/>
      <c r="F137" s="170"/>
      <c r="G137" s="169"/>
      <c r="H137" s="169"/>
      <c r="I137" s="169"/>
      <c r="J137" s="171"/>
      <c r="K137" s="169"/>
      <c r="L137" s="169"/>
      <c r="M137" s="169"/>
      <c r="N137" s="169"/>
      <c r="O137" s="169"/>
      <c r="P137" s="169"/>
      <c r="Q137" s="169" t="str">
        <f>IFERROR(VLOOKUP('BMP P Tracking Table'!$P137,Dropdowns!$C$2:$E$15,3,FALSE),"")</f>
        <v/>
      </c>
      <c r="R137" s="169" t="str">
        <f>IFERROR(VLOOKUP('BMP P Tracking Table'!$Q137,Dropdowns!$P$3:$Q$23,2,FALSE),"")</f>
        <v/>
      </c>
      <c r="S137" s="169"/>
      <c r="T137" s="169"/>
      <c r="U137" s="169"/>
      <c r="V137" s="169"/>
      <c r="W137" s="169"/>
      <c r="X137" s="169"/>
      <c r="Y137" s="169"/>
      <c r="Z137" s="169"/>
      <c r="AA137" s="169"/>
      <c r="AB137" s="174"/>
      <c r="AC137" s="169"/>
      <c r="AD137" s="175" t="str">
        <f>IFERROR('BMP P Tracking Table'!$U137*VLOOKUP('BMP P Tracking Table'!$Q137,'Loading Rates'!$B$1:$L$24,4,FALSE)+IF('BMP P Tracking Table'!$V137="By HSG",'BMP P Tracking Table'!$W137*VLOOKUP('BMP P Tracking Table'!$Q137,'Loading Rates'!$B$1:$L$24,6,FALSE)+'BMP P Tracking Table'!$X137*VLOOKUP('BMP P Tracking Table'!$Q137,'Loading Rates'!$B$1:$L$24,7,FALSE)+'BMP P Tracking Table'!$Y137*VLOOKUP('BMP P Tracking Table'!$Q137,'Loading Rates'!$B$1:$L$24,8,FALSE)+'BMP P Tracking Table'!$Z137*VLOOKUP('BMP P Tracking Table'!$Q137,'Loading Rates'!$B$1:$L$24,9,FALSE),'BMP P Tracking Table'!$AA137*VLOOKUP('BMP P Tracking Table'!$Q137,'Loading Rates'!$B$1:$L$24,10,FALSE)),"")</f>
        <v/>
      </c>
      <c r="AE137" s="175" t="str">
        <f>IFERROR(MIN(2,IF('BMP P Tracking Table'!$V137="Total Pervious",(-(3630*'BMP P Tracking Table'!$U137+20.691*'BMP P Tracking Table'!$AA137)+SQRT((3630*'BMP P Tracking Table'!$U137+20.691*'BMP P Tracking Table'!$AA137)^2-(4*(996.798*'BMP P Tracking Table'!$AA137)*-'BMP P Tracking Table'!$AB137)))/(2*(996.798*'BMP P Tracking Table'!$AA137)),IF(SUM('BMP P Tracking Table'!$W137:$Z137)=0,'BMP P Tracking Table'!$AB137/(-3630*'BMP P Tracking Table'!$U137),(-(3630*'BMP P Tracking Table'!$U137+20.691*'BMP P Tracking Table'!$Z137-216.711*'BMP P Tracking Table'!$Y137-83.853*'BMP P Tracking Table'!$X137-42.834*'BMP P Tracking Table'!$W137)+SQRT((3630*'BMP P Tracking Table'!$U137+20.691*'BMP P Tracking Table'!$Z137-216.711*'BMP P Tracking Table'!$Y137-83.853*'BMP P Tracking Table'!$X137-42.834*'BMP P Tracking Table'!$W137)^2-(4*(149.919*'BMP P Tracking Table'!$W137+236.676*'BMP P Tracking Table'!$X137+726*'BMP P Tracking Table'!$Y137+996.798*'BMP P Tracking Table'!$Z137)*-'BMP P Tracking Table'!$AB137)))/(2*(149.919*'BMP P Tracking Table'!$W137+236.676*'BMP P Tracking Table'!$X137+726*'BMP P Tracking Table'!$Y137+996.798*'BMP P Tracking Table'!$Z137))))),"")</f>
        <v/>
      </c>
      <c r="AF137" s="175" t="str">
        <f>IFERROR((VLOOKUP(CONCATENATE('BMP P Tracking Table'!$T137," ",'BMP P Tracking Table'!$AC137),'Performance Curves'!$C$1:$L$45,MATCH('BMP P Tracking Table'!$AE137,'Performance Curves'!$E$1:$L$1,1)+2,FALSE)-VLOOKUP(CONCATENATE('BMP P Tracking Table'!$T137," ",'BMP P Tracking Table'!$AC137),'Performance Curves'!$C$1:$L$45,MATCH('BMP P Tracking Table'!$AE137,'Performance Curves'!$E$1:$L$1,1)+1,FALSE)),"")</f>
        <v/>
      </c>
      <c r="AG137" s="175" t="str">
        <f>IFERROR(('BMP P Tracking Table'!$AE137-INDEX('Performance Curves'!$E$1:$L$1,1,MATCH('BMP P Tracking Table'!$AE137,'Performance Curves'!$E$1:$L$1,1)))/(INDEX('Performance Curves'!$E$1:$L$1,1,MATCH('BMP P Tracking Table'!$AE137,'Performance Curves'!$E$1:$L$1,1)+1)-INDEX('Performance Curves'!$E$1:$L$1,1,MATCH('BMP P Tracking Table'!$AE137,'Performance Curves'!$E$1:$L$1,1))),"")</f>
        <v/>
      </c>
      <c r="AH137" s="176" t="str">
        <f>IFERROR(IF('BMP P Tracking Table'!$AE137=2,VLOOKUP(CONCATENATE('BMP P Tracking Table'!$T137," ",'BMP P Tracking Table'!$AC137),'Performance Curves'!$C$1:$L$45,MATCH('BMP P Tracking Table'!$AE137,'Performance Curves'!$E$1:$L$1,1)+1,FALSE),'BMP P Tracking Table'!$AF137*'BMP P Tracking Table'!$AG137+VLOOKUP(CONCATENATE('BMP P Tracking Table'!$T137," ",'BMP P Tracking Table'!$AC137),'Performance Curves'!$C$1:$L$45,MATCH('BMP P Tracking Table'!$AE137,'Performance Curves'!$E$1:$L$1,1)+1,FALSE)),"")</f>
        <v/>
      </c>
      <c r="AI137" s="175" t="str">
        <f>IFERROR('BMP P Tracking Table'!$AH137*'BMP P Tracking Table'!$AD137,"")</f>
        <v/>
      </c>
      <c r="AJ137" s="169"/>
      <c r="AK137" s="173"/>
      <c r="AL137" s="173"/>
      <c r="AM137" s="177"/>
      <c r="AN137" s="178" t="str">
        <f t="shared" si="14"/>
        <v/>
      </c>
      <c r="AO137" s="96"/>
      <c r="AP137" s="96"/>
      <c r="AQ137" s="96"/>
      <c r="AR137" s="96"/>
      <c r="AS137" s="96"/>
      <c r="AT137" s="96"/>
      <c r="AU137" s="96"/>
      <c r="AV137" s="64"/>
      <c r="AW137" s="97"/>
      <c r="AX137" s="97"/>
      <c r="AY137" s="101" t="str">
        <f>IF('BMP P Tracking Table'!$AK137="Yes",IF('BMP P Tracking Table'!$AL137="No",'BMP P Tracking Table'!$U137*VLOOKUP('BMP P Tracking Table'!$Q137,'Loading Rates'!$B$1:$L$24,4,FALSE)+IF('BMP P Tracking Table'!$V137="By HSG",'BMP P Tracking Table'!$W137*VLOOKUP('BMP P Tracking Table'!$Q137,'Loading Rates'!$B$1:$L$24,6,FALSE)+'BMP P Tracking Table'!$X137*VLOOKUP('BMP P Tracking Table'!$Q137,'Loading Rates'!$B$1:$L$24,7,FALSE)+'BMP P Tracking Table'!$Y137*VLOOKUP('BMP P Tracking Table'!$Q137,'Loading Rates'!$B$1:$L$24,8,FALSE)+'BMP P Tracking Table'!$Z137*VLOOKUP('BMP P Tracking Table'!$Q137,'Loading Rates'!$B$1:$L$24,9,FALSE),'BMP P Tracking Table'!$AA137*VLOOKUP('BMP P Tracking Table'!$Q137,'Loading Rates'!$B$1:$L$24,10,FALSE)),'BMP P Tracking Table'!$AO137*VLOOKUP('BMP P Tracking Table'!$Q137,'Loading Rates'!$B$1:$L$24,4,FALSE)+IF('BMP P Tracking Table'!$AP137="By HSG",'BMP P Tracking Table'!$AQ137*VLOOKUP('BMP P Tracking Table'!$Q137,'Loading Rates'!$B$1:$L$24,6,FALSE)+'BMP P Tracking Table'!$AR137*VLOOKUP('BMP P Tracking Table'!$Q137,'Loading Rates'!$B$1:$L$24,7,FALSE)+'BMP P Tracking Table'!$AS137*VLOOKUP('BMP P Tracking Table'!$Q137,'Loading Rates'!$B$1:$L$24,8,FALSE)+'BMP P Tracking Table'!$AT137*VLOOKUP('BMP P Tracking Table'!$Q137,'Loading Rates'!$B$1:$L$24,9,FALSE),'BMP P Tracking Table'!$AU137*VLOOKUP('BMP P Tracking Table'!$Q137,'Loading Rates'!$B$1:$L$24,10,FALSE))),"")</f>
        <v/>
      </c>
      <c r="AZ137" s="101" t="str">
        <f>IFERROR(IF('BMP P Tracking Table'!$AL137="Yes",MIN(2,IF('BMP P Tracking Table'!$AP137="Total Pervious",(-(3630*'BMP P Tracking Table'!$AO137+20.691*'BMP P Tracking Table'!$AU137)+SQRT((3630*'BMP P Tracking Table'!$AO137+20.691*'BMP P Tracking Table'!$AU137)^2-(4*(996.798*'BMP P Tracking Table'!$AU137)*-'BMP P Tracking Table'!$AW137)))/(2*(996.798*'BMP P Tracking Table'!$AU137)),IF(SUM('BMP P Tracking Table'!$AQ137:$AT137)=0,'BMP P Tracking Table'!$AU137/(-3630*'BMP P Tracking Table'!$AO137),(-(3630*'BMP P Tracking Table'!$AO137+20.691*'BMP P Tracking Table'!$AT137-216.711*'BMP P Tracking Table'!$AS137-83.853*'BMP P Tracking Table'!$AR137-42.834*'BMP P Tracking Table'!$AQ137)+SQRT((3630*'BMP P Tracking Table'!$AO137+20.691*'BMP P Tracking Table'!$AT137-216.711*'BMP P Tracking Table'!$AS137-83.853*'BMP P Tracking Table'!$AR137-42.834*'BMP P Tracking Table'!$AQ137)^2-(4*(149.919*'BMP P Tracking Table'!$AQ137+236.676*'BMP P Tracking Table'!$AR137+726*'BMP P Tracking Table'!$AS137+996.798*'BMP P Tracking Table'!$AT137)*-'BMP P Tracking Table'!$AW137)))/(2*(149.919*'BMP P Tracking Table'!$AQ137+236.676*'BMP P Tracking Table'!$AR137+726*'BMP P Tracking Table'!$AS137+996.798*'BMP P Tracking Table'!$AT137))))),MIN(2,IF('BMP P Tracking Table'!$AP137="Total Pervious",(-(3630*'BMP P Tracking Table'!$U137+20.691*'BMP P Tracking Table'!$AA137)+SQRT((3630*'BMP P Tracking Table'!$U137+20.691*'BMP P Tracking Table'!$AA137)^2-(4*(996.798*'BMP P Tracking Table'!$AA137)*-'BMP P Tracking Table'!$AW137)))/(2*(996.798*'BMP P Tracking Table'!$AA137)),IF(SUM('BMP P Tracking Table'!$W137:$Z137)=0,'BMP P Tracking Table'!$AW137/(-3630*'BMP P Tracking Table'!$U137),(-(3630*'BMP P Tracking Table'!$U137+20.691*'BMP P Tracking Table'!$Z137-216.711*'BMP P Tracking Table'!$Y137-83.853*'BMP P Tracking Table'!$X137-42.834*'BMP P Tracking Table'!$W137)+SQRT((3630*'BMP P Tracking Table'!$U137+20.691*'BMP P Tracking Table'!$Z137-216.711*'BMP P Tracking Table'!$Y137-83.853*'BMP P Tracking Table'!$X137-42.834*'BMP P Tracking Table'!$W137)^2-(4*(149.919*'BMP P Tracking Table'!$W137+236.676*'BMP P Tracking Table'!$X137+726*'BMP P Tracking Table'!$Y137+996.798*'BMP P Tracking Table'!$Z137)*-'BMP P Tracking Table'!$AW137)))/(2*(149.919*'BMP P Tracking Table'!$W137+236.676*'BMP P Tracking Table'!$X137+726*'BMP P Tracking Table'!$Y137+996.798*'BMP P Tracking Table'!$Z137)))))),"")</f>
        <v/>
      </c>
      <c r="BA137" s="101" t="str">
        <f>IFERROR((VLOOKUP(CONCATENATE('BMP P Tracking Table'!$AV137," ",'BMP P Tracking Table'!$AX137),'Performance Curves'!$C$1:$L$45,MATCH('BMP P Tracking Table'!$AZ137,'Performance Curves'!$E$1:$L$1,1)+2,FALSE)-VLOOKUP(CONCATENATE('BMP P Tracking Table'!$AV137," ",'BMP P Tracking Table'!$AX137),'Performance Curves'!$C$1:$L$45,MATCH('BMP P Tracking Table'!$AZ137,'Performance Curves'!$E$1:$L$1,1)+1,FALSE)),"")</f>
        <v/>
      </c>
      <c r="BB137" s="101" t="str">
        <f>IFERROR(('BMP P Tracking Table'!$AZ137-INDEX('Performance Curves'!$E$1:$L$1,1,MATCH('BMP P Tracking Table'!$AZ137,'Performance Curves'!$E$1:$L$1,1)))/(INDEX('Performance Curves'!$E$1:$L$1,1,MATCH('BMP P Tracking Table'!$AZ137,'Performance Curves'!$E$1:$L$1,1)+1)-INDEX('Performance Curves'!$E$1:$L$1,1,MATCH('BMP P Tracking Table'!$AZ137,'Performance Curves'!$E$1:$L$1,1))),"")</f>
        <v/>
      </c>
      <c r="BC137" s="102" t="str">
        <f>IFERROR(IF('BMP P Tracking Table'!$AZ137=2,VLOOKUP(CONCATENATE('BMP P Tracking Table'!$AV137," ",'BMP P Tracking Table'!$AX137),'Performance Curves'!$C$1:$L$44,MATCH('BMP P Tracking Table'!$AZ137,'Performance Curves'!$E$1:$L$1,1)+1,FALSE),'BMP P Tracking Table'!$BA137*'BMP P Tracking Table'!$BB137+VLOOKUP(CONCATENATE('BMP P Tracking Table'!$AV137," ",'BMP P Tracking Table'!$AX137),'Performance Curves'!$C$1:$L$44,MATCH('BMP P Tracking Table'!$AZ137,'Performance Curves'!$E$1:$L$1,1)+1,FALSE)),"")</f>
        <v/>
      </c>
      <c r="BD137" s="101" t="str">
        <f>IFERROR('BMP P Tracking Table'!$BC137*'BMP P Tracking Table'!$AY137,"")</f>
        <v/>
      </c>
      <c r="BE137" s="96"/>
      <c r="BF137" s="37">
        <f t="shared" si="15"/>
        <v>0</v>
      </c>
    </row>
    <row r="138" spans="1:58" x14ac:dyDescent="0.3">
      <c r="A138" s="169"/>
      <c r="B138" s="169"/>
      <c r="C138" s="169"/>
      <c r="D138" s="169"/>
      <c r="E138" s="170"/>
      <c r="F138" s="170"/>
      <c r="G138" s="169"/>
      <c r="H138" s="169"/>
      <c r="I138" s="169"/>
      <c r="J138" s="171"/>
      <c r="K138" s="169"/>
      <c r="L138" s="169"/>
      <c r="M138" s="169"/>
      <c r="N138" s="169"/>
      <c r="O138" s="169"/>
      <c r="P138" s="169"/>
      <c r="Q138" s="169" t="str">
        <f>IFERROR(VLOOKUP('BMP P Tracking Table'!$P138,Dropdowns!$C$2:$E$15,3,FALSE),"")</f>
        <v/>
      </c>
      <c r="R138" s="169" t="str">
        <f>IFERROR(VLOOKUP('BMP P Tracking Table'!$Q138,Dropdowns!$P$3:$Q$23,2,FALSE),"")</f>
        <v/>
      </c>
      <c r="S138" s="169"/>
      <c r="T138" s="169"/>
      <c r="U138" s="169"/>
      <c r="V138" s="169"/>
      <c r="W138" s="169"/>
      <c r="X138" s="169"/>
      <c r="Y138" s="169"/>
      <c r="Z138" s="169"/>
      <c r="AA138" s="169"/>
      <c r="AB138" s="174"/>
      <c r="AC138" s="169"/>
      <c r="AD138" s="175" t="str">
        <f>IFERROR('BMP P Tracking Table'!$U138*VLOOKUP('BMP P Tracking Table'!$Q138,'Loading Rates'!$B$1:$L$24,4,FALSE)+IF('BMP P Tracking Table'!$V138="By HSG",'BMP P Tracking Table'!$W138*VLOOKUP('BMP P Tracking Table'!$Q138,'Loading Rates'!$B$1:$L$24,6,FALSE)+'BMP P Tracking Table'!$X138*VLOOKUP('BMP P Tracking Table'!$Q138,'Loading Rates'!$B$1:$L$24,7,FALSE)+'BMP P Tracking Table'!$Y138*VLOOKUP('BMP P Tracking Table'!$Q138,'Loading Rates'!$B$1:$L$24,8,FALSE)+'BMP P Tracking Table'!$Z138*VLOOKUP('BMP P Tracking Table'!$Q138,'Loading Rates'!$B$1:$L$24,9,FALSE),'BMP P Tracking Table'!$AA138*VLOOKUP('BMP P Tracking Table'!$Q138,'Loading Rates'!$B$1:$L$24,10,FALSE)),"")</f>
        <v/>
      </c>
      <c r="AE138" s="175" t="str">
        <f>IFERROR(MIN(2,IF('BMP P Tracking Table'!$V138="Total Pervious",(-(3630*'BMP P Tracking Table'!$U138+20.691*'BMP P Tracking Table'!$AA138)+SQRT((3630*'BMP P Tracking Table'!$U138+20.691*'BMP P Tracking Table'!$AA138)^2-(4*(996.798*'BMP P Tracking Table'!$AA138)*-'BMP P Tracking Table'!$AB138)))/(2*(996.798*'BMP P Tracking Table'!$AA138)),IF(SUM('BMP P Tracking Table'!$W138:$Z138)=0,'BMP P Tracking Table'!$AB138/(-3630*'BMP P Tracking Table'!$U138),(-(3630*'BMP P Tracking Table'!$U138+20.691*'BMP P Tracking Table'!$Z138-216.711*'BMP P Tracking Table'!$Y138-83.853*'BMP P Tracking Table'!$X138-42.834*'BMP P Tracking Table'!$W138)+SQRT((3630*'BMP P Tracking Table'!$U138+20.691*'BMP P Tracking Table'!$Z138-216.711*'BMP P Tracking Table'!$Y138-83.853*'BMP P Tracking Table'!$X138-42.834*'BMP P Tracking Table'!$W138)^2-(4*(149.919*'BMP P Tracking Table'!$W138+236.676*'BMP P Tracking Table'!$X138+726*'BMP P Tracking Table'!$Y138+996.798*'BMP P Tracking Table'!$Z138)*-'BMP P Tracking Table'!$AB138)))/(2*(149.919*'BMP P Tracking Table'!$W138+236.676*'BMP P Tracking Table'!$X138+726*'BMP P Tracking Table'!$Y138+996.798*'BMP P Tracking Table'!$Z138))))),"")</f>
        <v/>
      </c>
      <c r="AF138" s="175" t="str">
        <f>IFERROR((VLOOKUP(CONCATENATE('BMP P Tracking Table'!$T138," ",'BMP P Tracking Table'!$AC138),'Performance Curves'!$C$1:$L$45,MATCH('BMP P Tracking Table'!$AE138,'Performance Curves'!$E$1:$L$1,1)+2,FALSE)-VLOOKUP(CONCATENATE('BMP P Tracking Table'!$T138," ",'BMP P Tracking Table'!$AC138),'Performance Curves'!$C$1:$L$45,MATCH('BMP P Tracking Table'!$AE138,'Performance Curves'!$E$1:$L$1,1)+1,FALSE)),"")</f>
        <v/>
      </c>
      <c r="AG138" s="175" t="str">
        <f>IFERROR(('BMP P Tracking Table'!$AE138-INDEX('Performance Curves'!$E$1:$L$1,1,MATCH('BMP P Tracking Table'!$AE138,'Performance Curves'!$E$1:$L$1,1)))/(INDEX('Performance Curves'!$E$1:$L$1,1,MATCH('BMP P Tracking Table'!$AE138,'Performance Curves'!$E$1:$L$1,1)+1)-INDEX('Performance Curves'!$E$1:$L$1,1,MATCH('BMP P Tracking Table'!$AE138,'Performance Curves'!$E$1:$L$1,1))),"")</f>
        <v/>
      </c>
      <c r="AH138" s="176" t="str">
        <f>IFERROR(IF('BMP P Tracking Table'!$AE138=2,VLOOKUP(CONCATENATE('BMP P Tracking Table'!$T138," ",'BMP P Tracking Table'!$AC138),'Performance Curves'!$C$1:$L$45,MATCH('BMP P Tracking Table'!$AE138,'Performance Curves'!$E$1:$L$1,1)+1,FALSE),'BMP P Tracking Table'!$AF138*'BMP P Tracking Table'!$AG138+VLOOKUP(CONCATENATE('BMP P Tracking Table'!$T138," ",'BMP P Tracking Table'!$AC138),'Performance Curves'!$C$1:$L$45,MATCH('BMP P Tracking Table'!$AE138,'Performance Curves'!$E$1:$L$1,1)+1,FALSE)),"")</f>
        <v/>
      </c>
      <c r="AI138" s="175" t="str">
        <f>IFERROR('BMP P Tracking Table'!$AH138*'BMP P Tracking Table'!$AD138,"")</f>
        <v/>
      </c>
      <c r="AJ138" s="169"/>
      <c r="AK138" s="173"/>
      <c r="AL138" s="173"/>
      <c r="AM138" s="177"/>
      <c r="AN138" s="178" t="str">
        <f t="shared" si="14"/>
        <v/>
      </c>
      <c r="AO138" s="96"/>
      <c r="AP138" s="96"/>
      <c r="AQ138" s="96"/>
      <c r="AR138" s="96"/>
      <c r="AS138" s="96"/>
      <c r="AT138" s="96"/>
      <c r="AU138" s="96"/>
      <c r="AV138" s="64"/>
      <c r="AW138" s="97"/>
      <c r="AX138" s="97"/>
      <c r="AY138" s="101" t="str">
        <f>IF('BMP P Tracking Table'!$AK138="Yes",IF('BMP P Tracking Table'!$AL138="No",'BMP P Tracking Table'!$U138*VLOOKUP('BMP P Tracking Table'!$Q138,'Loading Rates'!$B$1:$L$24,4,FALSE)+IF('BMP P Tracking Table'!$V138="By HSG",'BMP P Tracking Table'!$W138*VLOOKUP('BMP P Tracking Table'!$Q138,'Loading Rates'!$B$1:$L$24,6,FALSE)+'BMP P Tracking Table'!$X138*VLOOKUP('BMP P Tracking Table'!$Q138,'Loading Rates'!$B$1:$L$24,7,FALSE)+'BMP P Tracking Table'!$Y138*VLOOKUP('BMP P Tracking Table'!$Q138,'Loading Rates'!$B$1:$L$24,8,FALSE)+'BMP P Tracking Table'!$Z138*VLOOKUP('BMP P Tracking Table'!$Q138,'Loading Rates'!$B$1:$L$24,9,FALSE),'BMP P Tracking Table'!$AA138*VLOOKUP('BMP P Tracking Table'!$Q138,'Loading Rates'!$B$1:$L$24,10,FALSE)),'BMP P Tracking Table'!$AO138*VLOOKUP('BMP P Tracking Table'!$Q138,'Loading Rates'!$B$1:$L$24,4,FALSE)+IF('BMP P Tracking Table'!$AP138="By HSG",'BMP P Tracking Table'!$AQ138*VLOOKUP('BMP P Tracking Table'!$Q138,'Loading Rates'!$B$1:$L$24,6,FALSE)+'BMP P Tracking Table'!$AR138*VLOOKUP('BMP P Tracking Table'!$Q138,'Loading Rates'!$B$1:$L$24,7,FALSE)+'BMP P Tracking Table'!$AS138*VLOOKUP('BMP P Tracking Table'!$Q138,'Loading Rates'!$B$1:$L$24,8,FALSE)+'BMP P Tracking Table'!$AT138*VLOOKUP('BMP P Tracking Table'!$Q138,'Loading Rates'!$B$1:$L$24,9,FALSE),'BMP P Tracking Table'!$AU138*VLOOKUP('BMP P Tracking Table'!$Q138,'Loading Rates'!$B$1:$L$24,10,FALSE))),"")</f>
        <v/>
      </c>
      <c r="AZ138" s="101" t="str">
        <f>IFERROR(IF('BMP P Tracking Table'!$AL138="Yes",MIN(2,IF('BMP P Tracking Table'!$AP138="Total Pervious",(-(3630*'BMP P Tracking Table'!$AO138+20.691*'BMP P Tracking Table'!$AU138)+SQRT((3630*'BMP P Tracking Table'!$AO138+20.691*'BMP P Tracking Table'!$AU138)^2-(4*(996.798*'BMP P Tracking Table'!$AU138)*-'BMP P Tracking Table'!$AW138)))/(2*(996.798*'BMP P Tracking Table'!$AU138)),IF(SUM('BMP P Tracking Table'!$AQ138:$AT138)=0,'BMP P Tracking Table'!$AU138/(-3630*'BMP P Tracking Table'!$AO138),(-(3630*'BMP P Tracking Table'!$AO138+20.691*'BMP P Tracking Table'!$AT138-216.711*'BMP P Tracking Table'!$AS138-83.853*'BMP P Tracking Table'!$AR138-42.834*'BMP P Tracking Table'!$AQ138)+SQRT((3630*'BMP P Tracking Table'!$AO138+20.691*'BMP P Tracking Table'!$AT138-216.711*'BMP P Tracking Table'!$AS138-83.853*'BMP P Tracking Table'!$AR138-42.834*'BMP P Tracking Table'!$AQ138)^2-(4*(149.919*'BMP P Tracking Table'!$AQ138+236.676*'BMP P Tracking Table'!$AR138+726*'BMP P Tracking Table'!$AS138+996.798*'BMP P Tracking Table'!$AT138)*-'BMP P Tracking Table'!$AW138)))/(2*(149.919*'BMP P Tracking Table'!$AQ138+236.676*'BMP P Tracking Table'!$AR138+726*'BMP P Tracking Table'!$AS138+996.798*'BMP P Tracking Table'!$AT138))))),MIN(2,IF('BMP P Tracking Table'!$AP138="Total Pervious",(-(3630*'BMP P Tracking Table'!$U138+20.691*'BMP P Tracking Table'!$AA138)+SQRT((3630*'BMP P Tracking Table'!$U138+20.691*'BMP P Tracking Table'!$AA138)^2-(4*(996.798*'BMP P Tracking Table'!$AA138)*-'BMP P Tracking Table'!$AW138)))/(2*(996.798*'BMP P Tracking Table'!$AA138)),IF(SUM('BMP P Tracking Table'!$W138:$Z138)=0,'BMP P Tracking Table'!$AW138/(-3630*'BMP P Tracking Table'!$U138),(-(3630*'BMP P Tracking Table'!$U138+20.691*'BMP P Tracking Table'!$Z138-216.711*'BMP P Tracking Table'!$Y138-83.853*'BMP P Tracking Table'!$X138-42.834*'BMP P Tracking Table'!$W138)+SQRT((3630*'BMP P Tracking Table'!$U138+20.691*'BMP P Tracking Table'!$Z138-216.711*'BMP P Tracking Table'!$Y138-83.853*'BMP P Tracking Table'!$X138-42.834*'BMP P Tracking Table'!$W138)^2-(4*(149.919*'BMP P Tracking Table'!$W138+236.676*'BMP P Tracking Table'!$X138+726*'BMP P Tracking Table'!$Y138+996.798*'BMP P Tracking Table'!$Z138)*-'BMP P Tracking Table'!$AW138)))/(2*(149.919*'BMP P Tracking Table'!$W138+236.676*'BMP P Tracking Table'!$X138+726*'BMP P Tracking Table'!$Y138+996.798*'BMP P Tracking Table'!$Z138)))))),"")</f>
        <v/>
      </c>
      <c r="BA138" s="101" t="str">
        <f>IFERROR((VLOOKUP(CONCATENATE('BMP P Tracking Table'!$AV138," ",'BMP P Tracking Table'!$AX138),'Performance Curves'!$C$1:$L$45,MATCH('BMP P Tracking Table'!$AZ138,'Performance Curves'!$E$1:$L$1,1)+2,FALSE)-VLOOKUP(CONCATENATE('BMP P Tracking Table'!$AV138," ",'BMP P Tracking Table'!$AX138),'Performance Curves'!$C$1:$L$45,MATCH('BMP P Tracking Table'!$AZ138,'Performance Curves'!$E$1:$L$1,1)+1,FALSE)),"")</f>
        <v/>
      </c>
      <c r="BB138" s="101" t="str">
        <f>IFERROR(('BMP P Tracking Table'!$AZ138-INDEX('Performance Curves'!$E$1:$L$1,1,MATCH('BMP P Tracking Table'!$AZ138,'Performance Curves'!$E$1:$L$1,1)))/(INDEX('Performance Curves'!$E$1:$L$1,1,MATCH('BMP P Tracking Table'!$AZ138,'Performance Curves'!$E$1:$L$1,1)+1)-INDEX('Performance Curves'!$E$1:$L$1,1,MATCH('BMP P Tracking Table'!$AZ138,'Performance Curves'!$E$1:$L$1,1))),"")</f>
        <v/>
      </c>
      <c r="BC138" s="102" t="str">
        <f>IFERROR(IF('BMP P Tracking Table'!$AZ138=2,VLOOKUP(CONCATENATE('BMP P Tracking Table'!$AV138," ",'BMP P Tracking Table'!$AX138),'Performance Curves'!$C$1:$L$44,MATCH('BMP P Tracking Table'!$AZ138,'Performance Curves'!$E$1:$L$1,1)+1,FALSE),'BMP P Tracking Table'!$BA138*'BMP P Tracking Table'!$BB138+VLOOKUP(CONCATENATE('BMP P Tracking Table'!$AV138," ",'BMP P Tracking Table'!$AX138),'Performance Curves'!$C$1:$L$44,MATCH('BMP P Tracking Table'!$AZ138,'Performance Curves'!$E$1:$L$1,1)+1,FALSE)),"")</f>
        <v/>
      </c>
      <c r="BD138" s="101" t="str">
        <f>IFERROR('BMP P Tracking Table'!$BC138*'BMP P Tracking Table'!$AY138,"")</f>
        <v/>
      </c>
      <c r="BE138" s="96"/>
      <c r="BF138" s="37">
        <f t="shared" si="15"/>
        <v>0</v>
      </c>
    </row>
    <row r="139" spans="1:58" x14ac:dyDescent="0.3">
      <c r="A139" s="169"/>
      <c r="B139" s="169"/>
      <c r="C139" s="169"/>
      <c r="D139" s="169"/>
      <c r="E139" s="170"/>
      <c r="F139" s="170"/>
      <c r="G139" s="169"/>
      <c r="H139" s="169"/>
      <c r="I139" s="169"/>
      <c r="J139" s="171"/>
      <c r="K139" s="169"/>
      <c r="L139" s="169"/>
      <c r="M139" s="169"/>
      <c r="N139" s="169"/>
      <c r="O139" s="169"/>
      <c r="P139" s="169"/>
      <c r="Q139" s="169" t="str">
        <f>IFERROR(VLOOKUP('BMP P Tracking Table'!$P139,Dropdowns!$C$2:$E$15,3,FALSE),"")</f>
        <v/>
      </c>
      <c r="R139" s="169" t="str">
        <f>IFERROR(VLOOKUP('BMP P Tracking Table'!$Q139,Dropdowns!$P$3:$Q$23,2,FALSE),"")</f>
        <v/>
      </c>
      <c r="S139" s="169"/>
      <c r="T139" s="169"/>
      <c r="U139" s="169"/>
      <c r="V139" s="169"/>
      <c r="W139" s="169"/>
      <c r="X139" s="169"/>
      <c r="Y139" s="169"/>
      <c r="Z139" s="169"/>
      <c r="AA139" s="169"/>
      <c r="AB139" s="174"/>
      <c r="AC139" s="169"/>
      <c r="AD139" s="175" t="str">
        <f>IFERROR('BMP P Tracking Table'!$U139*VLOOKUP('BMP P Tracking Table'!$Q139,'Loading Rates'!$B$1:$L$24,4,FALSE)+IF('BMP P Tracking Table'!$V139="By HSG",'BMP P Tracking Table'!$W139*VLOOKUP('BMP P Tracking Table'!$Q139,'Loading Rates'!$B$1:$L$24,6,FALSE)+'BMP P Tracking Table'!$X139*VLOOKUP('BMP P Tracking Table'!$Q139,'Loading Rates'!$B$1:$L$24,7,FALSE)+'BMP P Tracking Table'!$Y139*VLOOKUP('BMP P Tracking Table'!$Q139,'Loading Rates'!$B$1:$L$24,8,FALSE)+'BMP P Tracking Table'!$Z139*VLOOKUP('BMP P Tracking Table'!$Q139,'Loading Rates'!$B$1:$L$24,9,FALSE),'BMP P Tracking Table'!$AA139*VLOOKUP('BMP P Tracking Table'!$Q139,'Loading Rates'!$B$1:$L$24,10,FALSE)),"")</f>
        <v/>
      </c>
      <c r="AE139" s="175" t="str">
        <f>IFERROR(MIN(2,IF('BMP P Tracking Table'!$V139="Total Pervious",(-(3630*'BMP P Tracking Table'!$U139+20.691*'BMP P Tracking Table'!$AA139)+SQRT((3630*'BMP P Tracking Table'!$U139+20.691*'BMP P Tracking Table'!$AA139)^2-(4*(996.798*'BMP P Tracking Table'!$AA139)*-'BMP P Tracking Table'!$AB139)))/(2*(996.798*'BMP P Tracking Table'!$AA139)),IF(SUM('BMP P Tracking Table'!$W139:$Z139)=0,'BMP P Tracking Table'!$AB139/(-3630*'BMP P Tracking Table'!$U139),(-(3630*'BMP P Tracking Table'!$U139+20.691*'BMP P Tracking Table'!$Z139-216.711*'BMP P Tracking Table'!$Y139-83.853*'BMP P Tracking Table'!$X139-42.834*'BMP P Tracking Table'!$W139)+SQRT((3630*'BMP P Tracking Table'!$U139+20.691*'BMP P Tracking Table'!$Z139-216.711*'BMP P Tracking Table'!$Y139-83.853*'BMP P Tracking Table'!$X139-42.834*'BMP P Tracking Table'!$W139)^2-(4*(149.919*'BMP P Tracking Table'!$W139+236.676*'BMP P Tracking Table'!$X139+726*'BMP P Tracking Table'!$Y139+996.798*'BMP P Tracking Table'!$Z139)*-'BMP P Tracking Table'!$AB139)))/(2*(149.919*'BMP P Tracking Table'!$W139+236.676*'BMP P Tracking Table'!$X139+726*'BMP P Tracking Table'!$Y139+996.798*'BMP P Tracking Table'!$Z139))))),"")</f>
        <v/>
      </c>
      <c r="AF139" s="175" t="str">
        <f>IFERROR((VLOOKUP(CONCATENATE('BMP P Tracking Table'!$T139," ",'BMP P Tracking Table'!$AC139),'Performance Curves'!$C$1:$L$45,MATCH('BMP P Tracking Table'!$AE139,'Performance Curves'!$E$1:$L$1,1)+2,FALSE)-VLOOKUP(CONCATENATE('BMP P Tracking Table'!$T139," ",'BMP P Tracking Table'!$AC139),'Performance Curves'!$C$1:$L$45,MATCH('BMP P Tracking Table'!$AE139,'Performance Curves'!$E$1:$L$1,1)+1,FALSE)),"")</f>
        <v/>
      </c>
      <c r="AG139" s="175" t="str">
        <f>IFERROR(('BMP P Tracking Table'!$AE139-INDEX('Performance Curves'!$E$1:$L$1,1,MATCH('BMP P Tracking Table'!$AE139,'Performance Curves'!$E$1:$L$1,1)))/(INDEX('Performance Curves'!$E$1:$L$1,1,MATCH('BMP P Tracking Table'!$AE139,'Performance Curves'!$E$1:$L$1,1)+1)-INDEX('Performance Curves'!$E$1:$L$1,1,MATCH('BMP P Tracking Table'!$AE139,'Performance Curves'!$E$1:$L$1,1))),"")</f>
        <v/>
      </c>
      <c r="AH139" s="176" t="str">
        <f>IFERROR(IF('BMP P Tracking Table'!$AE139=2,VLOOKUP(CONCATENATE('BMP P Tracking Table'!$T139," ",'BMP P Tracking Table'!$AC139),'Performance Curves'!$C$1:$L$45,MATCH('BMP P Tracking Table'!$AE139,'Performance Curves'!$E$1:$L$1,1)+1,FALSE),'BMP P Tracking Table'!$AF139*'BMP P Tracking Table'!$AG139+VLOOKUP(CONCATENATE('BMP P Tracking Table'!$T139," ",'BMP P Tracking Table'!$AC139),'Performance Curves'!$C$1:$L$45,MATCH('BMP P Tracking Table'!$AE139,'Performance Curves'!$E$1:$L$1,1)+1,FALSE)),"")</f>
        <v/>
      </c>
      <c r="AI139" s="175" t="str">
        <f>IFERROR('BMP P Tracking Table'!$AH139*'BMP P Tracking Table'!$AD139,"")</f>
        <v/>
      </c>
      <c r="AJ139" s="169"/>
      <c r="AK139" s="173"/>
      <c r="AL139" s="173"/>
      <c r="AM139" s="177"/>
      <c r="AN139" s="178" t="str">
        <f t="shared" si="14"/>
        <v/>
      </c>
      <c r="AO139" s="96"/>
      <c r="AP139" s="96"/>
      <c r="AQ139" s="96"/>
      <c r="AR139" s="96"/>
      <c r="AS139" s="96"/>
      <c r="AT139" s="96"/>
      <c r="AU139" s="96"/>
      <c r="AV139" s="64"/>
      <c r="AW139" s="97"/>
      <c r="AX139" s="97"/>
      <c r="AY139" s="101" t="str">
        <f>IF('BMP P Tracking Table'!$AK139="Yes",IF('BMP P Tracking Table'!$AL139="No",'BMP P Tracking Table'!$U139*VLOOKUP('BMP P Tracking Table'!$Q139,'Loading Rates'!$B$1:$L$24,4,FALSE)+IF('BMP P Tracking Table'!$V139="By HSG",'BMP P Tracking Table'!$W139*VLOOKUP('BMP P Tracking Table'!$Q139,'Loading Rates'!$B$1:$L$24,6,FALSE)+'BMP P Tracking Table'!$X139*VLOOKUP('BMP P Tracking Table'!$Q139,'Loading Rates'!$B$1:$L$24,7,FALSE)+'BMP P Tracking Table'!$Y139*VLOOKUP('BMP P Tracking Table'!$Q139,'Loading Rates'!$B$1:$L$24,8,FALSE)+'BMP P Tracking Table'!$Z139*VLOOKUP('BMP P Tracking Table'!$Q139,'Loading Rates'!$B$1:$L$24,9,FALSE),'BMP P Tracking Table'!$AA139*VLOOKUP('BMP P Tracking Table'!$Q139,'Loading Rates'!$B$1:$L$24,10,FALSE)),'BMP P Tracking Table'!$AO139*VLOOKUP('BMP P Tracking Table'!$Q139,'Loading Rates'!$B$1:$L$24,4,FALSE)+IF('BMP P Tracking Table'!$AP139="By HSG",'BMP P Tracking Table'!$AQ139*VLOOKUP('BMP P Tracking Table'!$Q139,'Loading Rates'!$B$1:$L$24,6,FALSE)+'BMP P Tracking Table'!$AR139*VLOOKUP('BMP P Tracking Table'!$Q139,'Loading Rates'!$B$1:$L$24,7,FALSE)+'BMP P Tracking Table'!$AS139*VLOOKUP('BMP P Tracking Table'!$Q139,'Loading Rates'!$B$1:$L$24,8,FALSE)+'BMP P Tracking Table'!$AT139*VLOOKUP('BMP P Tracking Table'!$Q139,'Loading Rates'!$B$1:$L$24,9,FALSE),'BMP P Tracking Table'!$AU139*VLOOKUP('BMP P Tracking Table'!$Q139,'Loading Rates'!$B$1:$L$24,10,FALSE))),"")</f>
        <v/>
      </c>
      <c r="AZ139" s="101" t="str">
        <f>IFERROR(IF('BMP P Tracking Table'!$AL139="Yes",MIN(2,IF('BMP P Tracking Table'!$AP139="Total Pervious",(-(3630*'BMP P Tracking Table'!$AO139+20.691*'BMP P Tracking Table'!$AU139)+SQRT((3630*'BMP P Tracking Table'!$AO139+20.691*'BMP P Tracking Table'!$AU139)^2-(4*(996.798*'BMP P Tracking Table'!$AU139)*-'BMP P Tracking Table'!$AW139)))/(2*(996.798*'BMP P Tracking Table'!$AU139)),IF(SUM('BMP P Tracking Table'!$AQ139:$AT139)=0,'BMP P Tracking Table'!$AU139/(-3630*'BMP P Tracking Table'!$AO139),(-(3630*'BMP P Tracking Table'!$AO139+20.691*'BMP P Tracking Table'!$AT139-216.711*'BMP P Tracking Table'!$AS139-83.853*'BMP P Tracking Table'!$AR139-42.834*'BMP P Tracking Table'!$AQ139)+SQRT((3630*'BMP P Tracking Table'!$AO139+20.691*'BMP P Tracking Table'!$AT139-216.711*'BMP P Tracking Table'!$AS139-83.853*'BMP P Tracking Table'!$AR139-42.834*'BMP P Tracking Table'!$AQ139)^2-(4*(149.919*'BMP P Tracking Table'!$AQ139+236.676*'BMP P Tracking Table'!$AR139+726*'BMP P Tracking Table'!$AS139+996.798*'BMP P Tracking Table'!$AT139)*-'BMP P Tracking Table'!$AW139)))/(2*(149.919*'BMP P Tracking Table'!$AQ139+236.676*'BMP P Tracking Table'!$AR139+726*'BMP P Tracking Table'!$AS139+996.798*'BMP P Tracking Table'!$AT139))))),MIN(2,IF('BMP P Tracking Table'!$AP139="Total Pervious",(-(3630*'BMP P Tracking Table'!$U139+20.691*'BMP P Tracking Table'!$AA139)+SQRT((3630*'BMP P Tracking Table'!$U139+20.691*'BMP P Tracking Table'!$AA139)^2-(4*(996.798*'BMP P Tracking Table'!$AA139)*-'BMP P Tracking Table'!$AW139)))/(2*(996.798*'BMP P Tracking Table'!$AA139)),IF(SUM('BMP P Tracking Table'!$W139:$Z139)=0,'BMP P Tracking Table'!$AW139/(-3630*'BMP P Tracking Table'!$U139),(-(3630*'BMP P Tracking Table'!$U139+20.691*'BMP P Tracking Table'!$Z139-216.711*'BMP P Tracking Table'!$Y139-83.853*'BMP P Tracking Table'!$X139-42.834*'BMP P Tracking Table'!$W139)+SQRT((3630*'BMP P Tracking Table'!$U139+20.691*'BMP P Tracking Table'!$Z139-216.711*'BMP P Tracking Table'!$Y139-83.853*'BMP P Tracking Table'!$X139-42.834*'BMP P Tracking Table'!$W139)^2-(4*(149.919*'BMP P Tracking Table'!$W139+236.676*'BMP P Tracking Table'!$X139+726*'BMP P Tracking Table'!$Y139+996.798*'BMP P Tracking Table'!$Z139)*-'BMP P Tracking Table'!$AW139)))/(2*(149.919*'BMP P Tracking Table'!$W139+236.676*'BMP P Tracking Table'!$X139+726*'BMP P Tracking Table'!$Y139+996.798*'BMP P Tracking Table'!$Z139)))))),"")</f>
        <v/>
      </c>
      <c r="BA139" s="101" t="str">
        <f>IFERROR((VLOOKUP(CONCATENATE('BMP P Tracking Table'!$AV139," ",'BMP P Tracking Table'!$AX139),'Performance Curves'!$C$1:$L$45,MATCH('BMP P Tracking Table'!$AZ139,'Performance Curves'!$E$1:$L$1,1)+2,FALSE)-VLOOKUP(CONCATENATE('BMP P Tracking Table'!$AV139," ",'BMP P Tracking Table'!$AX139),'Performance Curves'!$C$1:$L$45,MATCH('BMP P Tracking Table'!$AZ139,'Performance Curves'!$E$1:$L$1,1)+1,FALSE)),"")</f>
        <v/>
      </c>
      <c r="BB139" s="101" t="str">
        <f>IFERROR(('BMP P Tracking Table'!$AZ139-INDEX('Performance Curves'!$E$1:$L$1,1,MATCH('BMP P Tracking Table'!$AZ139,'Performance Curves'!$E$1:$L$1,1)))/(INDEX('Performance Curves'!$E$1:$L$1,1,MATCH('BMP P Tracking Table'!$AZ139,'Performance Curves'!$E$1:$L$1,1)+1)-INDEX('Performance Curves'!$E$1:$L$1,1,MATCH('BMP P Tracking Table'!$AZ139,'Performance Curves'!$E$1:$L$1,1))),"")</f>
        <v/>
      </c>
      <c r="BC139" s="102" t="str">
        <f>IFERROR(IF('BMP P Tracking Table'!$AZ139=2,VLOOKUP(CONCATENATE('BMP P Tracking Table'!$AV139," ",'BMP P Tracking Table'!$AX139),'Performance Curves'!$C$1:$L$44,MATCH('BMP P Tracking Table'!$AZ139,'Performance Curves'!$E$1:$L$1,1)+1,FALSE),'BMP P Tracking Table'!$BA139*'BMP P Tracking Table'!$BB139+VLOOKUP(CONCATENATE('BMP P Tracking Table'!$AV139," ",'BMP P Tracking Table'!$AX139),'Performance Curves'!$C$1:$L$44,MATCH('BMP P Tracking Table'!$AZ139,'Performance Curves'!$E$1:$L$1,1)+1,FALSE)),"")</f>
        <v/>
      </c>
      <c r="BD139" s="101" t="str">
        <f>IFERROR('BMP P Tracking Table'!$BC139*'BMP P Tracking Table'!$AY139,"")</f>
        <v/>
      </c>
      <c r="BE139" s="96"/>
      <c r="BF139" s="37">
        <f t="shared" si="15"/>
        <v>0</v>
      </c>
    </row>
    <row r="140" spans="1:58" x14ac:dyDescent="0.3">
      <c r="A140" s="169"/>
      <c r="B140" s="169"/>
      <c r="C140" s="169"/>
      <c r="D140" s="169"/>
      <c r="E140" s="170"/>
      <c r="F140" s="170"/>
      <c r="G140" s="169"/>
      <c r="H140" s="169"/>
      <c r="I140" s="169"/>
      <c r="J140" s="171"/>
      <c r="K140" s="169"/>
      <c r="L140" s="169"/>
      <c r="M140" s="169"/>
      <c r="N140" s="169"/>
      <c r="O140" s="169"/>
      <c r="P140" s="169"/>
      <c r="Q140" s="169" t="str">
        <f>IFERROR(VLOOKUP('BMP P Tracking Table'!$P140,Dropdowns!$C$2:$E$15,3,FALSE),"")</f>
        <v/>
      </c>
      <c r="R140" s="169" t="str">
        <f>IFERROR(VLOOKUP('BMP P Tracking Table'!$Q140,Dropdowns!$P$3:$Q$23,2,FALSE),"")</f>
        <v/>
      </c>
      <c r="S140" s="169"/>
      <c r="T140" s="169"/>
      <c r="U140" s="169"/>
      <c r="V140" s="169"/>
      <c r="W140" s="169"/>
      <c r="X140" s="169"/>
      <c r="Y140" s="169"/>
      <c r="Z140" s="169"/>
      <c r="AA140" s="169"/>
      <c r="AB140" s="174"/>
      <c r="AC140" s="169"/>
      <c r="AD140" s="175" t="str">
        <f>IFERROR('BMP P Tracking Table'!$U140*VLOOKUP('BMP P Tracking Table'!$Q140,'Loading Rates'!$B$1:$L$24,4,FALSE)+IF('BMP P Tracking Table'!$V140="By HSG",'BMP P Tracking Table'!$W140*VLOOKUP('BMP P Tracking Table'!$Q140,'Loading Rates'!$B$1:$L$24,6,FALSE)+'BMP P Tracking Table'!$X140*VLOOKUP('BMP P Tracking Table'!$Q140,'Loading Rates'!$B$1:$L$24,7,FALSE)+'BMP P Tracking Table'!$Y140*VLOOKUP('BMP P Tracking Table'!$Q140,'Loading Rates'!$B$1:$L$24,8,FALSE)+'BMP P Tracking Table'!$Z140*VLOOKUP('BMP P Tracking Table'!$Q140,'Loading Rates'!$B$1:$L$24,9,FALSE),'BMP P Tracking Table'!$AA140*VLOOKUP('BMP P Tracking Table'!$Q140,'Loading Rates'!$B$1:$L$24,10,FALSE)),"")</f>
        <v/>
      </c>
      <c r="AE140" s="175" t="str">
        <f>IFERROR(MIN(2,IF('BMP P Tracking Table'!$V140="Total Pervious",(-(3630*'BMP P Tracking Table'!$U140+20.691*'BMP P Tracking Table'!$AA140)+SQRT((3630*'BMP P Tracking Table'!$U140+20.691*'BMP P Tracking Table'!$AA140)^2-(4*(996.798*'BMP P Tracking Table'!$AA140)*-'BMP P Tracking Table'!$AB140)))/(2*(996.798*'BMP P Tracking Table'!$AA140)),IF(SUM('BMP P Tracking Table'!$W140:$Z140)=0,'BMP P Tracking Table'!$AB140/(-3630*'BMP P Tracking Table'!$U140),(-(3630*'BMP P Tracking Table'!$U140+20.691*'BMP P Tracking Table'!$Z140-216.711*'BMP P Tracking Table'!$Y140-83.853*'BMP P Tracking Table'!$X140-42.834*'BMP P Tracking Table'!$W140)+SQRT((3630*'BMP P Tracking Table'!$U140+20.691*'BMP P Tracking Table'!$Z140-216.711*'BMP P Tracking Table'!$Y140-83.853*'BMP P Tracking Table'!$X140-42.834*'BMP P Tracking Table'!$W140)^2-(4*(149.919*'BMP P Tracking Table'!$W140+236.676*'BMP P Tracking Table'!$X140+726*'BMP P Tracking Table'!$Y140+996.798*'BMP P Tracking Table'!$Z140)*-'BMP P Tracking Table'!$AB140)))/(2*(149.919*'BMP P Tracking Table'!$W140+236.676*'BMP P Tracking Table'!$X140+726*'BMP P Tracking Table'!$Y140+996.798*'BMP P Tracking Table'!$Z140))))),"")</f>
        <v/>
      </c>
      <c r="AF140" s="175" t="str">
        <f>IFERROR((VLOOKUP(CONCATENATE('BMP P Tracking Table'!$T140," ",'BMP P Tracking Table'!$AC140),'Performance Curves'!$C$1:$L$45,MATCH('BMP P Tracking Table'!$AE140,'Performance Curves'!$E$1:$L$1,1)+2,FALSE)-VLOOKUP(CONCATENATE('BMP P Tracking Table'!$T140," ",'BMP P Tracking Table'!$AC140),'Performance Curves'!$C$1:$L$45,MATCH('BMP P Tracking Table'!$AE140,'Performance Curves'!$E$1:$L$1,1)+1,FALSE)),"")</f>
        <v/>
      </c>
      <c r="AG140" s="175" t="str">
        <f>IFERROR(('BMP P Tracking Table'!$AE140-INDEX('Performance Curves'!$E$1:$L$1,1,MATCH('BMP P Tracking Table'!$AE140,'Performance Curves'!$E$1:$L$1,1)))/(INDEX('Performance Curves'!$E$1:$L$1,1,MATCH('BMP P Tracking Table'!$AE140,'Performance Curves'!$E$1:$L$1,1)+1)-INDEX('Performance Curves'!$E$1:$L$1,1,MATCH('BMP P Tracking Table'!$AE140,'Performance Curves'!$E$1:$L$1,1))),"")</f>
        <v/>
      </c>
      <c r="AH140" s="176" t="str">
        <f>IFERROR(IF('BMP P Tracking Table'!$AE140=2,VLOOKUP(CONCATENATE('BMP P Tracking Table'!$T140," ",'BMP P Tracking Table'!$AC140),'Performance Curves'!$C$1:$L$45,MATCH('BMP P Tracking Table'!$AE140,'Performance Curves'!$E$1:$L$1,1)+1,FALSE),'BMP P Tracking Table'!$AF140*'BMP P Tracking Table'!$AG140+VLOOKUP(CONCATENATE('BMP P Tracking Table'!$T140," ",'BMP P Tracking Table'!$AC140),'Performance Curves'!$C$1:$L$45,MATCH('BMP P Tracking Table'!$AE140,'Performance Curves'!$E$1:$L$1,1)+1,FALSE)),"")</f>
        <v/>
      </c>
      <c r="AI140" s="175" t="str">
        <f>IFERROR('BMP P Tracking Table'!$AH140*'BMP P Tracking Table'!$AD140,"")</f>
        <v/>
      </c>
      <c r="AJ140" s="169"/>
      <c r="AK140" s="173"/>
      <c r="AL140" s="173"/>
      <c r="AM140" s="177"/>
      <c r="AN140" s="178" t="str">
        <f t="shared" si="14"/>
        <v/>
      </c>
      <c r="AO140" s="96"/>
      <c r="AP140" s="96"/>
      <c r="AQ140" s="96"/>
      <c r="AR140" s="96"/>
      <c r="AS140" s="96"/>
      <c r="AT140" s="96"/>
      <c r="AU140" s="96"/>
      <c r="AV140" s="64"/>
      <c r="AW140" s="97"/>
      <c r="AX140" s="97"/>
      <c r="AY140" s="101" t="str">
        <f>IF('BMP P Tracking Table'!$AK140="Yes",IF('BMP P Tracking Table'!$AL140="No",'BMP P Tracking Table'!$U140*VLOOKUP('BMP P Tracking Table'!$Q140,'Loading Rates'!$B$1:$L$24,4,FALSE)+IF('BMP P Tracking Table'!$V140="By HSG",'BMP P Tracking Table'!$W140*VLOOKUP('BMP P Tracking Table'!$Q140,'Loading Rates'!$B$1:$L$24,6,FALSE)+'BMP P Tracking Table'!$X140*VLOOKUP('BMP P Tracking Table'!$Q140,'Loading Rates'!$B$1:$L$24,7,FALSE)+'BMP P Tracking Table'!$Y140*VLOOKUP('BMP P Tracking Table'!$Q140,'Loading Rates'!$B$1:$L$24,8,FALSE)+'BMP P Tracking Table'!$Z140*VLOOKUP('BMP P Tracking Table'!$Q140,'Loading Rates'!$B$1:$L$24,9,FALSE),'BMP P Tracking Table'!$AA140*VLOOKUP('BMP P Tracking Table'!$Q140,'Loading Rates'!$B$1:$L$24,10,FALSE)),'BMP P Tracking Table'!$AO140*VLOOKUP('BMP P Tracking Table'!$Q140,'Loading Rates'!$B$1:$L$24,4,FALSE)+IF('BMP P Tracking Table'!$AP140="By HSG",'BMP P Tracking Table'!$AQ140*VLOOKUP('BMP P Tracking Table'!$Q140,'Loading Rates'!$B$1:$L$24,6,FALSE)+'BMP P Tracking Table'!$AR140*VLOOKUP('BMP P Tracking Table'!$Q140,'Loading Rates'!$B$1:$L$24,7,FALSE)+'BMP P Tracking Table'!$AS140*VLOOKUP('BMP P Tracking Table'!$Q140,'Loading Rates'!$B$1:$L$24,8,FALSE)+'BMP P Tracking Table'!$AT140*VLOOKUP('BMP P Tracking Table'!$Q140,'Loading Rates'!$B$1:$L$24,9,FALSE),'BMP P Tracking Table'!$AU140*VLOOKUP('BMP P Tracking Table'!$Q140,'Loading Rates'!$B$1:$L$24,10,FALSE))),"")</f>
        <v/>
      </c>
      <c r="AZ140" s="101" t="str">
        <f>IFERROR(IF('BMP P Tracking Table'!$AL140="Yes",MIN(2,IF('BMP P Tracking Table'!$AP140="Total Pervious",(-(3630*'BMP P Tracking Table'!$AO140+20.691*'BMP P Tracking Table'!$AU140)+SQRT((3630*'BMP P Tracking Table'!$AO140+20.691*'BMP P Tracking Table'!$AU140)^2-(4*(996.798*'BMP P Tracking Table'!$AU140)*-'BMP P Tracking Table'!$AW140)))/(2*(996.798*'BMP P Tracking Table'!$AU140)),IF(SUM('BMP P Tracking Table'!$AQ140:$AT140)=0,'BMP P Tracking Table'!$AU140/(-3630*'BMP P Tracking Table'!$AO140),(-(3630*'BMP P Tracking Table'!$AO140+20.691*'BMP P Tracking Table'!$AT140-216.711*'BMP P Tracking Table'!$AS140-83.853*'BMP P Tracking Table'!$AR140-42.834*'BMP P Tracking Table'!$AQ140)+SQRT((3630*'BMP P Tracking Table'!$AO140+20.691*'BMP P Tracking Table'!$AT140-216.711*'BMP P Tracking Table'!$AS140-83.853*'BMP P Tracking Table'!$AR140-42.834*'BMP P Tracking Table'!$AQ140)^2-(4*(149.919*'BMP P Tracking Table'!$AQ140+236.676*'BMP P Tracking Table'!$AR140+726*'BMP P Tracking Table'!$AS140+996.798*'BMP P Tracking Table'!$AT140)*-'BMP P Tracking Table'!$AW140)))/(2*(149.919*'BMP P Tracking Table'!$AQ140+236.676*'BMP P Tracking Table'!$AR140+726*'BMP P Tracking Table'!$AS140+996.798*'BMP P Tracking Table'!$AT140))))),MIN(2,IF('BMP P Tracking Table'!$AP140="Total Pervious",(-(3630*'BMP P Tracking Table'!$U140+20.691*'BMP P Tracking Table'!$AA140)+SQRT((3630*'BMP P Tracking Table'!$U140+20.691*'BMP P Tracking Table'!$AA140)^2-(4*(996.798*'BMP P Tracking Table'!$AA140)*-'BMP P Tracking Table'!$AW140)))/(2*(996.798*'BMP P Tracking Table'!$AA140)),IF(SUM('BMP P Tracking Table'!$W140:$Z140)=0,'BMP P Tracking Table'!$AW140/(-3630*'BMP P Tracking Table'!$U140),(-(3630*'BMP P Tracking Table'!$U140+20.691*'BMP P Tracking Table'!$Z140-216.711*'BMP P Tracking Table'!$Y140-83.853*'BMP P Tracking Table'!$X140-42.834*'BMP P Tracking Table'!$W140)+SQRT((3630*'BMP P Tracking Table'!$U140+20.691*'BMP P Tracking Table'!$Z140-216.711*'BMP P Tracking Table'!$Y140-83.853*'BMP P Tracking Table'!$X140-42.834*'BMP P Tracking Table'!$W140)^2-(4*(149.919*'BMP P Tracking Table'!$W140+236.676*'BMP P Tracking Table'!$X140+726*'BMP P Tracking Table'!$Y140+996.798*'BMP P Tracking Table'!$Z140)*-'BMP P Tracking Table'!$AW140)))/(2*(149.919*'BMP P Tracking Table'!$W140+236.676*'BMP P Tracking Table'!$X140+726*'BMP P Tracking Table'!$Y140+996.798*'BMP P Tracking Table'!$Z140)))))),"")</f>
        <v/>
      </c>
      <c r="BA140" s="101" t="str">
        <f>IFERROR((VLOOKUP(CONCATENATE('BMP P Tracking Table'!$AV140," ",'BMP P Tracking Table'!$AX140),'Performance Curves'!$C$1:$L$45,MATCH('BMP P Tracking Table'!$AZ140,'Performance Curves'!$E$1:$L$1,1)+2,FALSE)-VLOOKUP(CONCATENATE('BMP P Tracking Table'!$AV140," ",'BMP P Tracking Table'!$AX140),'Performance Curves'!$C$1:$L$45,MATCH('BMP P Tracking Table'!$AZ140,'Performance Curves'!$E$1:$L$1,1)+1,FALSE)),"")</f>
        <v/>
      </c>
      <c r="BB140" s="101" t="str">
        <f>IFERROR(('BMP P Tracking Table'!$AZ140-INDEX('Performance Curves'!$E$1:$L$1,1,MATCH('BMP P Tracking Table'!$AZ140,'Performance Curves'!$E$1:$L$1,1)))/(INDEX('Performance Curves'!$E$1:$L$1,1,MATCH('BMP P Tracking Table'!$AZ140,'Performance Curves'!$E$1:$L$1,1)+1)-INDEX('Performance Curves'!$E$1:$L$1,1,MATCH('BMP P Tracking Table'!$AZ140,'Performance Curves'!$E$1:$L$1,1))),"")</f>
        <v/>
      </c>
      <c r="BC140" s="102" t="str">
        <f>IFERROR(IF('BMP P Tracking Table'!$AZ140=2,VLOOKUP(CONCATENATE('BMP P Tracking Table'!$AV140," ",'BMP P Tracking Table'!$AX140),'Performance Curves'!$C$1:$L$44,MATCH('BMP P Tracking Table'!$AZ140,'Performance Curves'!$E$1:$L$1,1)+1,FALSE),'BMP P Tracking Table'!$BA140*'BMP P Tracking Table'!$BB140+VLOOKUP(CONCATENATE('BMP P Tracking Table'!$AV140," ",'BMP P Tracking Table'!$AX140),'Performance Curves'!$C$1:$L$44,MATCH('BMP P Tracking Table'!$AZ140,'Performance Curves'!$E$1:$L$1,1)+1,FALSE)),"")</f>
        <v/>
      </c>
      <c r="BD140" s="101" t="str">
        <f>IFERROR('BMP P Tracking Table'!$BC140*'BMP P Tracking Table'!$AY140,"")</f>
        <v/>
      </c>
      <c r="BE140" s="96"/>
      <c r="BF140" s="37">
        <f t="shared" si="15"/>
        <v>0</v>
      </c>
    </row>
    <row r="141" spans="1:58" x14ac:dyDescent="0.3">
      <c r="A141" s="169"/>
      <c r="B141" s="169"/>
      <c r="C141" s="169"/>
      <c r="D141" s="169"/>
      <c r="E141" s="170"/>
      <c r="F141" s="170"/>
      <c r="G141" s="169"/>
      <c r="H141" s="169"/>
      <c r="I141" s="169"/>
      <c r="J141" s="171"/>
      <c r="K141" s="169"/>
      <c r="L141" s="169"/>
      <c r="M141" s="169"/>
      <c r="N141" s="169"/>
      <c r="O141" s="169"/>
      <c r="P141" s="169"/>
      <c r="Q141" s="169" t="str">
        <f>IFERROR(VLOOKUP('BMP P Tracking Table'!$P141,Dropdowns!$C$2:$E$15,3,FALSE),"")</f>
        <v/>
      </c>
      <c r="R141" s="169" t="str">
        <f>IFERROR(VLOOKUP('BMP P Tracking Table'!$Q141,Dropdowns!$P$3:$Q$23,2,FALSE),"")</f>
        <v/>
      </c>
      <c r="S141" s="169"/>
      <c r="T141" s="169"/>
      <c r="U141" s="169"/>
      <c r="V141" s="169"/>
      <c r="W141" s="169"/>
      <c r="X141" s="169"/>
      <c r="Y141" s="169"/>
      <c r="Z141" s="169"/>
      <c r="AA141" s="169"/>
      <c r="AB141" s="174"/>
      <c r="AC141" s="169"/>
      <c r="AD141" s="175" t="str">
        <f>IFERROR('BMP P Tracking Table'!$U141*VLOOKUP('BMP P Tracking Table'!$Q141,'Loading Rates'!$B$1:$L$24,4,FALSE)+IF('BMP P Tracking Table'!$V141="By HSG",'BMP P Tracking Table'!$W141*VLOOKUP('BMP P Tracking Table'!$Q141,'Loading Rates'!$B$1:$L$24,6,FALSE)+'BMP P Tracking Table'!$X141*VLOOKUP('BMP P Tracking Table'!$Q141,'Loading Rates'!$B$1:$L$24,7,FALSE)+'BMP P Tracking Table'!$Y141*VLOOKUP('BMP P Tracking Table'!$Q141,'Loading Rates'!$B$1:$L$24,8,FALSE)+'BMP P Tracking Table'!$Z141*VLOOKUP('BMP P Tracking Table'!$Q141,'Loading Rates'!$B$1:$L$24,9,FALSE),'BMP P Tracking Table'!$AA141*VLOOKUP('BMP P Tracking Table'!$Q141,'Loading Rates'!$B$1:$L$24,10,FALSE)),"")</f>
        <v/>
      </c>
      <c r="AE141" s="175" t="str">
        <f>IFERROR(MIN(2,IF('BMP P Tracking Table'!$V141="Total Pervious",(-(3630*'BMP P Tracking Table'!$U141+20.691*'BMP P Tracking Table'!$AA141)+SQRT((3630*'BMP P Tracking Table'!$U141+20.691*'BMP P Tracking Table'!$AA141)^2-(4*(996.798*'BMP P Tracking Table'!$AA141)*-'BMP P Tracking Table'!$AB141)))/(2*(996.798*'BMP P Tracking Table'!$AA141)),IF(SUM('BMP P Tracking Table'!$W141:$Z141)=0,'BMP P Tracking Table'!$AB141/(-3630*'BMP P Tracking Table'!$U141),(-(3630*'BMP P Tracking Table'!$U141+20.691*'BMP P Tracking Table'!$Z141-216.711*'BMP P Tracking Table'!$Y141-83.853*'BMP P Tracking Table'!$X141-42.834*'BMP P Tracking Table'!$W141)+SQRT((3630*'BMP P Tracking Table'!$U141+20.691*'BMP P Tracking Table'!$Z141-216.711*'BMP P Tracking Table'!$Y141-83.853*'BMP P Tracking Table'!$X141-42.834*'BMP P Tracking Table'!$W141)^2-(4*(149.919*'BMP P Tracking Table'!$W141+236.676*'BMP P Tracking Table'!$X141+726*'BMP P Tracking Table'!$Y141+996.798*'BMP P Tracking Table'!$Z141)*-'BMP P Tracking Table'!$AB141)))/(2*(149.919*'BMP P Tracking Table'!$W141+236.676*'BMP P Tracking Table'!$X141+726*'BMP P Tracking Table'!$Y141+996.798*'BMP P Tracking Table'!$Z141))))),"")</f>
        <v/>
      </c>
      <c r="AF141" s="175" t="str">
        <f>IFERROR((VLOOKUP(CONCATENATE('BMP P Tracking Table'!$T141," ",'BMP P Tracking Table'!$AC141),'Performance Curves'!$C$1:$L$45,MATCH('BMP P Tracking Table'!$AE141,'Performance Curves'!$E$1:$L$1,1)+2,FALSE)-VLOOKUP(CONCATENATE('BMP P Tracking Table'!$T141," ",'BMP P Tracking Table'!$AC141),'Performance Curves'!$C$1:$L$45,MATCH('BMP P Tracking Table'!$AE141,'Performance Curves'!$E$1:$L$1,1)+1,FALSE)),"")</f>
        <v/>
      </c>
      <c r="AG141" s="175" t="str">
        <f>IFERROR(('BMP P Tracking Table'!$AE141-INDEX('Performance Curves'!$E$1:$L$1,1,MATCH('BMP P Tracking Table'!$AE141,'Performance Curves'!$E$1:$L$1,1)))/(INDEX('Performance Curves'!$E$1:$L$1,1,MATCH('BMP P Tracking Table'!$AE141,'Performance Curves'!$E$1:$L$1,1)+1)-INDEX('Performance Curves'!$E$1:$L$1,1,MATCH('BMP P Tracking Table'!$AE141,'Performance Curves'!$E$1:$L$1,1))),"")</f>
        <v/>
      </c>
      <c r="AH141" s="176" t="str">
        <f>IFERROR(IF('BMP P Tracking Table'!$AE141=2,VLOOKUP(CONCATENATE('BMP P Tracking Table'!$T141," ",'BMP P Tracking Table'!$AC141),'Performance Curves'!$C$1:$L$45,MATCH('BMP P Tracking Table'!$AE141,'Performance Curves'!$E$1:$L$1,1)+1,FALSE),'BMP P Tracking Table'!$AF141*'BMP P Tracking Table'!$AG141+VLOOKUP(CONCATENATE('BMP P Tracking Table'!$T141," ",'BMP P Tracking Table'!$AC141),'Performance Curves'!$C$1:$L$45,MATCH('BMP P Tracking Table'!$AE141,'Performance Curves'!$E$1:$L$1,1)+1,FALSE)),"")</f>
        <v/>
      </c>
      <c r="AI141" s="175" t="str">
        <f>IFERROR('BMP P Tracking Table'!$AH141*'BMP P Tracking Table'!$AD141,"")</f>
        <v/>
      </c>
      <c r="AJ141" s="169"/>
      <c r="AK141" s="173"/>
      <c r="AL141" s="173"/>
      <c r="AM141" s="177"/>
      <c r="AN141" s="178" t="str">
        <f t="shared" si="14"/>
        <v/>
      </c>
      <c r="AO141" s="96"/>
      <c r="AP141" s="96"/>
      <c r="AQ141" s="96"/>
      <c r="AR141" s="96"/>
      <c r="AS141" s="96"/>
      <c r="AT141" s="96"/>
      <c r="AU141" s="96"/>
      <c r="AV141" s="64"/>
      <c r="AW141" s="97"/>
      <c r="AX141" s="97"/>
      <c r="AY141" s="101" t="str">
        <f>IF('BMP P Tracking Table'!$AK141="Yes",IF('BMP P Tracking Table'!$AL141="No",'BMP P Tracking Table'!$U141*VLOOKUP('BMP P Tracking Table'!$Q141,'Loading Rates'!$B$1:$L$24,4,FALSE)+IF('BMP P Tracking Table'!$V141="By HSG",'BMP P Tracking Table'!$W141*VLOOKUP('BMP P Tracking Table'!$Q141,'Loading Rates'!$B$1:$L$24,6,FALSE)+'BMP P Tracking Table'!$X141*VLOOKUP('BMP P Tracking Table'!$Q141,'Loading Rates'!$B$1:$L$24,7,FALSE)+'BMP P Tracking Table'!$Y141*VLOOKUP('BMP P Tracking Table'!$Q141,'Loading Rates'!$B$1:$L$24,8,FALSE)+'BMP P Tracking Table'!$Z141*VLOOKUP('BMP P Tracking Table'!$Q141,'Loading Rates'!$B$1:$L$24,9,FALSE),'BMP P Tracking Table'!$AA141*VLOOKUP('BMP P Tracking Table'!$Q141,'Loading Rates'!$B$1:$L$24,10,FALSE)),'BMP P Tracking Table'!$AO141*VLOOKUP('BMP P Tracking Table'!$Q141,'Loading Rates'!$B$1:$L$24,4,FALSE)+IF('BMP P Tracking Table'!$AP141="By HSG",'BMP P Tracking Table'!$AQ141*VLOOKUP('BMP P Tracking Table'!$Q141,'Loading Rates'!$B$1:$L$24,6,FALSE)+'BMP P Tracking Table'!$AR141*VLOOKUP('BMP P Tracking Table'!$Q141,'Loading Rates'!$B$1:$L$24,7,FALSE)+'BMP P Tracking Table'!$AS141*VLOOKUP('BMP P Tracking Table'!$Q141,'Loading Rates'!$B$1:$L$24,8,FALSE)+'BMP P Tracking Table'!$AT141*VLOOKUP('BMP P Tracking Table'!$Q141,'Loading Rates'!$B$1:$L$24,9,FALSE),'BMP P Tracking Table'!$AU141*VLOOKUP('BMP P Tracking Table'!$Q141,'Loading Rates'!$B$1:$L$24,10,FALSE))),"")</f>
        <v/>
      </c>
      <c r="AZ141" s="101" t="str">
        <f>IFERROR(IF('BMP P Tracking Table'!$AL141="Yes",MIN(2,IF('BMP P Tracking Table'!$AP141="Total Pervious",(-(3630*'BMP P Tracking Table'!$AO141+20.691*'BMP P Tracking Table'!$AU141)+SQRT((3630*'BMP P Tracking Table'!$AO141+20.691*'BMP P Tracking Table'!$AU141)^2-(4*(996.798*'BMP P Tracking Table'!$AU141)*-'BMP P Tracking Table'!$AW141)))/(2*(996.798*'BMP P Tracking Table'!$AU141)),IF(SUM('BMP P Tracking Table'!$AQ141:$AT141)=0,'BMP P Tracking Table'!$AU141/(-3630*'BMP P Tracking Table'!$AO141),(-(3630*'BMP P Tracking Table'!$AO141+20.691*'BMP P Tracking Table'!$AT141-216.711*'BMP P Tracking Table'!$AS141-83.853*'BMP P Tracking Table'!$AR141-42.834*'BMP P Tracking Table'!$AQ141)+SQRT((3630*'BMP P Tracking Table'!$AO141+20.691*'BMP P Tracking Table'!$AT141-216.711*'BMP P Tracking Table'!$AS141-83.853*'BMP P Tracking Table'!$AR141-42.834*'BMP P Tracking Table'!$AQ141)^2-(4*(149.919*'BMP P Tracking Table'!$AQ141+236.676*'BMP P Tracking Table'!$AR141+726*'BMP P Tracking Table'!$AS141+996.798*'BMP P Tracking Table'!$AT141)*-'BMP P Tracking Table'!$AW141)))/(2*(149.919*'BMP P Tracking Table'!$AQ141+236.676*'BMP P Tracking Table'!$AR141+726*'BMP P Tracking Table'!$AS141+996.798*'BMP P Tracking Table'!$AT141))))),MIN(2,IF('BMP P Tracking Table'!$AP141="Total Pervious",(-(3630*'BMP P Tracking Table'!$U141+20.691*'BMP P Tracking Table'!$AA141)+SQRT((3630*'BMP P Tracking Table'!$U141+20.691*'BMP P Tracking Table'!$AA141)^2-(4*(996.798*'BMP P Tracking Table'!$AA141)*-'BMP P Tracking Table'!$AW141)))/(2*(996.798*'BMP P Tracking Table'!$AA141)),IF(SUM('BMP P Tracking Table'!$W141:$Z141)=0,'BMP P Tracking Table'!$AW141/(-3630*'BMP P Tracking Table'!$U141),(-(3630*'BMP P Tracking Table'!$U141+20.691*'BMP P Tracking Table'!$Z141-216.711*'BMP P Tracking Table'!$Y141-83.853*'BMP P Tracking Table'!$X141-42.834*'BMP P Tracking Table'!$W141)+SQRT((3630*'BMP P Tracking Table'!$U141+20.691*'BMP P Tracking Table'!$Z141-216.711*'BMP P Tracking Table'!$Y141-83.853*'BMP P Tracking Table'!$X141-42.834*'BMP P Tracking Table'!$W141)^2-(4*(149.919*'BMP P Tracking Table'!$W141+236.676*'BMP P Tracking Table'!$X141+726*'BMP P Tracking Table'!$Y141+996.798*'BMP P Tracking Table'!$Z141)*-'BMP P Tracking Table'!$AW141)))/(2*(149.919*'BMP P Tracking Table'!$W141+236.676*'BMP P Tracking Table'!$X141+726*'BMP P Tracking Table'!$Y141+996.798*'BMP P Tracking Table'!$Z141)))))),"")</f>
        <v/>
      </c>
      <c r="BA141" s="101" t="str">
        <f>IFERROR((VLOOKUP(CONCATENATE('BMP P Tracking Table'!$AV141," ",'BMP P Tracking Table'!$AX141),'Performance Curves'!$C$1:$L$45,MATCH('BMP P Tracking Table'!$AZ141,'Performance Curves'!$E$1:$L$1,1)+2,FALSE)-VLOOKUP(CONCATENATE('BMP P Tracking Table'!$AV141," ",'BMP P Tracking Table'!$AX141),'Performance Curves'!$C$1:$L$45,MATCH('BMP P Tracking Table'!$AZ141,'Performance Curves'!$E$1:$L$1,1)+1,FALSE)),"")</f>
        <v/>
      </c>
      <c r="BB141" s="101" t="str">
        <f>IFERROR(('BMP P Tracking Table'!$AZ141-INDEX('Performance Curves'!$E$1:$L$1,1,MATCH('BMP P Tracking Table'!$AZ141,'Performance Curves'!$E$1:$L$1,1)))/(INDEX('Performance Curves'!$E$1:$L$1,1,MATCH('BMP P Tracking Table'!$AZ141,'Performance Curves'!$E$1:$L$1,1)+1)-INDEX('Performance Curves'!$E$1:$L$1,1,MATCH('BMP P Tracking Table'!$AZ141,'Performance Curves'!$E$1:$L$1,1))),"")</f>
        <v/>
      </c>
      <c r="BC141" s="102" t="str">
        <f>IFERROR(IF('BMP P Tracking Table'!$AZ141=2,VLOOKUP(CONCATENATE('BMP P Tracking Table'!$AV141," ",'BMP P Tracking Table'!$AX141),'Performance Curves'!$C$1:$L$44,MATCH('BMP P Tracking Table'!$AZ141,'Performance Curves'!$E$1:$L$1,1)+1,FALSE),'BMP P Tracking Table'!$BA141*'BMP P Tracking Table'!$BB141+VLOOKUP(CONCATENATE('BMP P Tracking Table'!$AV141," ",'BMP P Tracking Table'!$AX141),'Performance Curves'!$C$1:$L$44,MATCH('BMP P Tracking Table'!$AZ141,'Performance Curves'!$E$1:$L$1,1)+1,FALSE)),"")</f>
        <v/>
      </c>
      <c r="BD141" s="101" t="str">
        <f>IFERROR('BMP P Tracking Table'!$BC141*'BMP P Tracking Table'!$AY141,"")</f>
        <v/>
      </c>
      <c r="BE141" s="96"/>
      <c r="BF141" s="37">
        <f t="shared" si="15"/>
        <v>0</v>
      </c>
    </row>
    <row r="142" spans="1:58" x14ac:dyDescent="0.3">
      <c r="A142" s="169"/>
      <c r="B142" s="169"/>
      <c r="C142" s="169"/>
      <c r="D142" s="169"/>
      <c r="E142" s="170"/>
      <c r="F142" s="170"/>
      <c r="G142" s="169"/>
      <c r="H142" s="169"/>
      <c r="I142" s="169"/>
      <c r="J142" s="171"/>
      <c r="K142" s="169"/>
      <c r="L142" s="169"/>
      <c r="M142" s="169"/>
      <c r="N142" s="169"/>
      <c r="O142" s="169"/>
      <c r="P142" s="169"/>
      <c r="Q142" s="169" t="str">
        <f>IFERROR(VLOOKUP('BMP P Tracking Table'!$P142,Dropdowns!$C$2:$E$15,3,FALSE),"")</f>
        <v/>
      </c>
      <c r="R142" s="169" t="str">
        <f>IFERROR(VLOOKUP('BMP P Tracking Table'!$Q142,Dropdowns!$P$3:$Q$23,2,FALSE),"")</f>
        <v/>
      </c>
      <c r="S142" s="169"/>
      <c r="T142" s="169"/>
      <c r="U142" s="169"/>
      <c r="V142" s="169"/>
      <c r="W142" s="169"/>
      <c r="X142" s="169"/>
      <c r="Y142" s="169"/>
      <c r="Z142" s="169"/>
      <c r="AA142" s="169"/>
      <c r="AB142" s="174"/>
      <c r="AC142" s="169"/>
      <c r="AD142" s="175" t="str">
        <f>IFERROR('BMP P Tracking Table'!$U142*VLOOKUP('BMP P Tracking Table'!$Q142,'Loading Rates'!$B$1:$L$24,4,FALSE)+IF('BMP P Tracking Table'!$V142="By HSG",'BMP P Tracking Table'!$W142*VLOOKUP('BMP P Tracking Table'!$Q142,'Loading Rates'!$B$1:$L$24,6,FALSE)+'BMP P Tracking Table'!$X142*VLOOKUP('BMP P Tracking Table'!$Q142,'Loading Rates'!$B$1:$L$24,7,FALSE)+'BMP P Tracking Table'!$Y142*VLOOKUP('BMP P Tracking Table'!$Q142,'Loading Rates'!$B$1:$L$24,8,FALSE)+'BMP P Tracking Table'!$Z142*VLOOKUP('BMP P Tracking Table'!$Q142,'Loading Rates'!$B$1:$L$24,9,FALSE),'BMP P Tracking Table'!$AA142*VLOOKUP('BMP P Tracking Table'!$Q142,'Loading Rates'!$B$1:$L$24,10,FALSE)),"")</f>
        <v/>
      </c>
      <c r="AE142" s="175" t="str">
        <f>IFERROR(MIN(2,IF('BMP P Tracking Table'!$V142="Total Pervious",(-(3630*'BMP P Tracking Table'!$U142+20.691*'BMP P Tracking Table'!$AA142)+SQRT((3630*'BMP P Tracking Table'!$U142+20.691*'BMP P Tracking Table'!$AA142)^2-(4*(996.798*'BMP P Tracking Table'!$AA142)*-'BMP P Tracking Table'!$AB142)))/(2*(996.798*'BMP P Tracking Table'!$AA142)),IF(SUM('BMP P Tracking Table'!$W142:$Z142)=0,'BMP P Tracking Table'!$AB142/(-3630*'BMP P Tracking Table'!$U142),(-(3630*'BMP P Tracking Table'!$U142+20.691*'BMP P Tracking Table'!$Z142-216.711*'BMP P Tracking Table'!$Y142-83.853*'BMP P Tracking Table'!$X142-42.834*'BMP P Tracking Table'!$W142)+SQRT((3630*'BMP P Tracking Table'!$U142+20.691*'BMP P Tracking Table'!$Z142-216.711*'BMP P Tracking Table'!$Y142-83.853*'BMP P Tracking Table'!$X142-42.834*'BMP P Tracking Table'!$W142)^2-(4*(149.919*'BMP P Tracking Table'!$W142+236.676*'BMP P Tracking Table'!$X142+726*'BMP P Tracking Table'!$Y142+996.798*'BMP P Tracking Table'!$Z142)*-'BMP P Tracking Table'!$AB142)))/(2*(149.919*'BMP P Tracking Table'!$W142+236.676*'BMP P Tracking Table'!$X142+726*'BMP P Tracking Table'!$Y142+996.798*'BMP P Tracking Table'!$Z142))))),"")</f>
        <v/>
      </c>
      <c r="AF142" s="175" t="str">
        <f>IFERROR((VLOOKUP(CONCATENATE('BMP P Tracking Table'!$T142," ",'BMP P Tracking Table'!$AC142),'Performance Curves'!$C$1:$L$45,MATCH('BMP P Tracking Table'!$AE142,'Performance Curves'!$E$1:$L$1,1)+2,FALSE)-VLOOKUP(CONCATENATE('BMP P Tracking Table'!$T142," ",'BMP P Tracking Table'!$AC142),'Performance Curves'!$C$1:$L$45,MATCH('BMP P Tracking Table'!$AE142,'Performance Curves'!$E$1:$L$1,1)+1,FALSE)),"")</f>
        <v/>
      </c>
      <c r="AG142" s="175" t="str">
        <f>IFERROR(('BMP P Tracking Table'!$AE142-INDEX('Performance Curves'!$E$1:$L$1,1,MATCH('BMP P Tracking Table'!$AE142,'Performance Curves'!$E$1:$L$1,1)))/(INDEX('Performance Curves'!$E$1:$L$1,1,MATCH('BMP P Tracking Table'!$AE142,'Performance Curves'!$E$1:$L$1,1)+1)-INDEX('Performance Curves'!$E$1:$L$1,1,MATCH('BMP P Tracking Table'!$AE142,'Performance Curves'!$E$1:$L$1,1))),"")</f>
        <v/>
      </c>
      <c r="AH142" s="176" t="str">
        <f>IFERROR(IF('BMP P Tracking Table'!$AE142=2,VLOOKUP(CONCATENATE('BMP P Tracking Table'!$T142," ",'BMP P Tracking Table'!$AC142),'Performance Curves'!$C$1:$L$45,MATCH('BMP P Tracking Table'!$AE142,'Performance Curves'!$E$1:$L$1,1)+1,FALSE),'BMP P Tracking Table'!$AF142*'BMP P Tracking Table'!$AG142+VLOOKUP(CONCATENATE('BMP P Tracking Table'!$T142," ",'BMP P Tracking Table'!$AC142),'Performance Curves'!$C$1:$L$45,MATCH('BMP P Tracking Table'!$AE142,'Performance Curves'!$E$1:$L$1,1)+1,FALSE)),"")</f>
        <v/>
      </c>
      <c r="AI142" s="175" t="str">
        <f>IFERROR('BMP P Tracking Table'!$AH142*'BMP P Tracking Table'!$AD142,"")</f>
        <v/>
      </c>
      <c r="AJ142" s="169"/>
      <c r="AK142" s="173"/>
      <c r="AL142" s="173"/>
      <c r="AM142" s="177"/>
      <c r="AN142" s="178" t="str">
        <f t="shared" si="14"/>
        <v/>
      </c>
      <c r="AO142" s="96"/>
      <c r="AP142" s="96"/>
      <c r="AQ142" s="96"/>
      <c r="AR142" s="96"/>
      <c r="AS142" s="96"/>
      <c r="AT142" s="96"/>
      <c r="AU142" s="96"/>
      <c r="AV142" s="64"/>
      <c r="AW142" s="97"/>
      <c r="AX142" s="97"/>
      <c r="AY142" s="101" t="str">
        <f>IF('BMP P Tracking Table'!$AK142="Yes",IF('BMP P Tracking Table'!$AL142="No",'BMP P Tracking Table'!$U142*VLOOKUP('BMP P Tracking Table'!$Q142,'Loading Rates'!$B$1:$L$24,4,FALSE)+IF('BMP P Tracking Table'!$V142="By HSG",'BMP P Tracking Table'!$W142*VLOOKUP('BMP P Tracking Table'!$Q142,'Loading Rates'!$B$1:$L$24,6,FALSE)+'BMP P Tracking Table'!$X142*VLOOKUP('BMP P Tracking Table'!$Q142,'Loading Rates'!$B$1:$L$24,7,FALSE)+'BMP P Tracking Table'!$Y142*VLOOKUP('BMP P Tracking Table'!$Q142,'Loading Rates'!$B$1:$L$24,8,FALSE)+'BMP P Tracking Table'!$Z142*VLOOKUP('BMP P Tracking Table'!$Q142,'Loading Rates'!$B$1:$L$24,9,FALSE),'BMP P Tracking Table'!$AA142*VLOOKUP('BMP P Tracking Table'!$Q142,'Loading Rates'!$B$1:$L$24,10,FALSE)),'BMP P Tracking Table'!$AO142*VLOOKUP('BMP P Tracking Table'!$Q142,'Loading Rates'!$B$1:$L$24,4,FALSE)+IF('BMP P Tracking Table'!$AP142="By HSG",'BMP P Tracking Table'!$AQ142*VLOOKUP('BMP P Tracking Table'!$Q142,'Loading Rates'!$B$1:$L$24,6,FALSE)+'BMP P Tracking Table'!$AR142*VLOOKUP('BMP P Tracking Table'!$Q142,'Loading Rates'!$B$1:$L$24,7,FALSE)+'BMP P Tracking Table'!$AS142*VLOOKUP('BMP P Tracking Table'!$Q142,'Loading Rates'!$B$1:$L$24,8,FALSE)+'BMP P Tracking Table'!$AT142*VLOOKUP('BMP P Tracking Table'!$Q142,'Loading Rates'!$B$1:$L$24,9,FALSE),'BMP P Tracking Table'!$AU142*VLOOKUP('BMP P Tracking Table'!$Q142,'Loading Rates'!$B$1:$L$24,10,FALSE))),"")</f>
        <v/>
      </c>
      <c r="AZ142" s="101" t="str">
        <f>IFERROR(IF('BMP P Tracking Table'!$AL142="Yes",MIN(2,IF('BMP P Tracking Table'!$AP142="Total Pervious",(-(3630*'BMP P Tracking Table'!$AO142+20.691*'BMP P Tracking Table'!$AU142)+SQRT((3630*'BMP P Tracking Table'!$AO142+20.691*'BMP P Tracking Table'!$AU142)^2-(4*(996.798*'BMP P Tracking Table'!$AU142)*-'BMP P Tracking Table'!$AW142)))/(2*(996.798*'BMP P Tracking Table'!$AU142)),IF(SUM('BMP P Tracking Table'!$AQ142:$AT142)=0,'BMP P Tracking Table'!$AU142/(-3630*'BMP P Tracking Table'!$AO142),(-(3630*'BMP P Tracking Table'!$AO142+20.691*'BMP P Tracking Table'!$AT142-216.711*'BMP P Tracking Table'!$AS142-83.853*'BMP P Tracking Table'!$AR142-42.834*'BMP P Tracking Table'!$AQ142)+SQRT((3630*'BMP P Tracking Table'!$AO142+20.691*'BMP P Tracking Table'!$AT142-216.711*'BMP P Tracking Table'!$AS142-83.853*'BMP P Tracking Table'!$AR142-42.834*'BMP P Tracking Table'!$AQ142)^2-(4*(149.919*'BMP P Tracking Table'!$AQ142+236.676*'BMP P Tracking Table'!$AR142+726*'BMP P Tracking Table'!$AS142+996.798*'BMP P Tracking Table'!$AT142)*-'BMP P Tracking Table'!$AW142)))/(2*(149.919*'BMP P Tracking Table'!$AQ142+236.676*'BMP P Tracking Table'!$AR142+726*'BMP P Tracking Table'!$AS142+996.798*'BMP P Tracking Table'!$AT142))))),MIN(2,IF('BMP P Tracking Table'!$AP142="Total Pervious",(-(3630*'BMP P Tracking Table'!$U142+20.691*'BMP P Tracking Table'!$AA142)+SQRT((3630*'BMP P Tracking Table'!$U142+20.691*'BMP P Tracking Table'!$AA142)^2-(4*(996.798*'BMP P Tracking Table'!$AA142)*-'BMP P Tracking Table'!$AW142)))/(2*(996.798*'BMP P Tracking Table'!$AA142)),IF(SUM('BMP P Tracking Table'!$W142:$Z142)=0,'BMP P Tracking Table'!$AW142/(-3630*'BMP P Tracking Table'!$U142),(-(3630*'BMP P Tracking Table'!$U142+20.691*'BMP P Tracking Table'!$Z142-216.711*'BMP P Tracking Table'!$Y142-83.853*'BMP P Tracking Table'!$X142-42.834*'BMP P Tracking Table'!$W142)+SQRT((3630*'BMP P Tracking Table'!$U142+20.691*'BMP P Tracking Table'!$Z142-216.711*'BMP P Tracking Table'!$Y142-83.853*'BMP P Tracking Table'!$X142-42.834*'BMP P Tracking Table'!$W142)^2-(4*(149.919*'BMP P Tracking Table'!$W142+236.676*'BMP P Tracking Table'!$X142+726*'BMP P Tracking Table'!$Y142+996.798*'BMP P Tracking Table'!$Z142)*-'BMP P Tracking Table'!$AW142)))/(2*(149.919*'BMP P Tracking Table'!$W142+236.676*'BMP P Tracking Table'!$X142+726*'BMP P Tracking Table'!$Y142+996.798*'BMP P Tracking Table'!$Z142)))))),"")</f>
        <v/>
      </c>
      <c r="BA142" s="101" t="str">
        <f>IFERROR((VLOOKUP(CONCATENATE('BMP P Tracking Table'!$AV142," ",'BMP P Tracking Table'!$AX142),'Performance Curves'!$C$1:$L$45,MATCH('BMP P Tracking Table'!$AZ142,'Performance Curves'!$E$1:$L$1,1)+2,FALSE)-VLOOKUP(CONCATENATE('BMP P Tracking Table'!$AV142," ",'BMP P Tracking Table'!$AX142),'Performance Curves'!$C$1:$L$45,MATCH('BMP P Tracking Table'!$AZ142,'Performance Curves'!$E$1:$L$1,1)+1,FALSE)),"")</f>
        <v/>
      </c>
      <c r="BB142" s="101" t="str">
        <f>IFERROR(('BMP P Tracking Table'!$AZ142-INDEX('Performance Curves'!$E$1:$L$1,1,MATCH('BMP P Tracking Table'!$AZ142,'Performance Curves'!$E$1:$L$1,1)))/(INDEX('Performance Curves'!$E$1:$L$1,1,MATCH('BMP P Tracking Table'!$AZ142,'Performance Curves'!$E$1:$L$1,1)+1)-INDEX('Performance Curves'!$E$1:$L$1,1,MATCH('BMP P Tracking Table'!$AZ142,'Performance Curves'!$E$1:$L$1,1))),"")</f>
        <v/>
      </c>
      <c r="BC142" s="102" t="str">
        <f>IFERROR(IF('BMP P Tracking Table'!$AZ142=2,VLOOKUP(CONCATENATE('BMP P Tracking Table'!$AV142," ",'BMP P Tracking Table'!$AX142),'Performance Curves'!$C$1:$L$44,MATCH('BMP P Tracking Table'!$AZ142,'Performance Curves'!$E$1:$L$1,1)+1,FALSE),'BMP P Tracking Table'!$BA142*'BMP P Tracking Table'!$BB142+VLOOKUP(CONCATENATE('BMP P Tracking Table'!$AV142," ",'BMP P Tracking Table'!$AX142),'Performance Curves'!$C$1:$L$44,MATCH('BMP P Tracking Table'!$AZ142,'Performance Curves'!$E$1:$L$1,1)+1,FALSE)),"")</f>
        <v/>
      </c>
      <c r="BD142" s="101" t="str">
        <f>IFERROR('BMP P Tracking Table'!$BC142*'BMP P Tracking Table'!$AY142,"")</f>
        <v/>
      </c>
      <c r="BE142" s="96"/>
      <c r="BF142" s="37">
        <f t="shared" si="15"/>
        <v>0</v>
      </c>
    </row>
    <row r="143" spans="1:58" x14ac:dyDescent="0.3">
      <c r="A143" s="64"/>
      <c r="B143" s="64"/>
      <c r="C143" s="64"/>
      <c r="D143" s="64"/>
      <c r="E143" s="93"/>
      <c r="F143" s="93"/>
      <c r="G143" s="64"/>
      <c r="H143" s="64"/>
      <c r="I143" s="64"/>
      <c r="J143" s="94"/>
      <c r="K143" s="64"/>
      <c r="L143" s="64"/>
      <c r="M143" s="64"/>
      <c r="N143" s="64"/>
      <c r="O143" s="64"/>
      <c r="P143" s="64"/>
      <c r="Q143" s="64" t="str">
        <f>IFERROR(VLOOKUP('BMP P Tracking Table'!$P143,Dropdowns!$C$2:$E$15,3,FALSE),"")</f>
        <v/>
      </c>
      <c r="R143" s="64" t="str">
        <f>IFERROR(VLOOKUP('BMP P Tracking Table'!$Q143,Dropdowns!$P$3:$Q$23,2,FALSE),"")</f>
        <v/>
      </c>
      <c r="S143" s="64"/>
      <c r="T143" s="64"/>
      <c r="U143" s="64"/>
      <c r="V143" s="64"/>
      <c r="W143" s="64"/>
      <c r="X143" s="64"/>
      <c r="Y143" s="64"/>
      <c r="Z143" s="64"/>
      <c r="AA143" s="64"/>
      <c r="AB143" s="95"/>
      <c r="AC143" s="64"/>
      <c r="AD143" s="101" t="str">
        <f>IFERROR('BMP P Tracking Table'!$U143*VLOOKUP('BMP P Tracking Table'!$Q143,'Loading Rates'!$B$1:$L$24,4,FALSE)+IF('BMP P Tracking Table'!$V143="By HSG",'BMP P Tracking Table'!$W143*VLOOKUP('BMP P Tracking Table'!$Q143,'Loading Rates'!$B$1:$L$24,6,FALSE)+'BMP P Tracking Table'!$X143*VLOOKUP('BMP P Tracking Table'!$Q143,'Loading Rates'!$B$1:$L$24,7,FALSE)+'BMP P Tracking Table'!$Y143*VLOOKUP('BMP P Tracking Table'!$Q143,'Loading Rates'!$B$1:$L$24,8,FALSE)+'BMP P Tracking Table'!$Z143*VLOOKUP('BMP P Tracking Table'!$Q143,'Loading Rates'!$B$1:$L$24,9,FALSE),'BMP P Tracking Table'!$AA143*VLOOKUP('BMP P Tracking Table'!$Q143,'Loading Rates'!$B$1:$L$24,10,FALSE)),"")</f>
        <v/>
      </c>
      <c r="AE143" s="101" t="str">
        <f>IFERROR(MIN(2,IF('BMP P Tracking Table'!$V143="Total Pervious",(-(3630*'BMP P Tracking Table'!$U143+20.691*'BMP P Tracking Table'!$AA143)+SQRT((3630*'BMP P Tracking Table'!$U143+20.691*'BMP P Tracking Table'!$AA143)^2-(4*(996.798*'BMP P Tracking Table'!$AA143)*-'BMP P Tracking Table'!$AB143)))/(2*(996.798*'BMP P Tracking Table'!$AA143)),IF(SUM('BMP P Tracking Table'!$W143:$Z143)=0,'BMP P Tracking Table'!$AB143/(-3630*'BMP P Tracking Table'!$U143),(-(3630*'BMP P Tracking Table'!$U143+20.691*'BMP P Tracking Table'!$Z143-216.711*'BMP P Tracking Table'!$Y143-83.853*'BMP P Tracking Table'!$X143-42.834*'BMP P Tracking Table'!$W143)+SQRT((3630*'BMP P Tracking Table'!$U143+20.691*'BMP P Tracking Table'!$Z143-216.711*'BMP P Tracking Table'!$Y143-83.853*'BMP P Tracking Table'!$X143-42.834*'BMP P Tracking Table'!$W143)^2-(4*(149.919*'BMP P Tracking Table'!$W143+236.676*'BMP P Tracking Table'!$X143+726*'BMP P Tracking Table'!$Y143+996.798*'BMP P Tracking Table'!$Z143)*-'BMP P Tracking Table'!$AB143)))/(2*(149.919*'BMP P Tracking Table'!$W143+236.676*'BMP P Tracking Table'!$X143+726*'BMP P Tracking Table'!$Y143+996.798*'BMP P Tracking Table'!$Z143))))),"")</f>
        <v/>
      </c>
      <c r="AF143" s="101" t="str">
        <f>IFERROR((VLOOKUP(CONCATENATE('BMP P Tracking Table'!$T143," ",'BMP P Tracking Table'!$AC143),'Performance Curves'!$C$1:$L$45,MATCH('BMP P Tracking Table'!$AE143,'Performance Curves'!$E$1:$L$1,1)+2,FALSE)-VLOOKUP(CONCATENATE('BMP P Tracking Table'!$T143," ",'BMP P Tracking Table'!$AC143),'Performance Curves'!$C$1:$L$45,MATCH('BMP P Tracking Table'!$AE143,'Performance Curves'!$E$1:$L$1,1)+1,FALSE)),"")</f>
        <v/>
      </c>
      <c r="AG143" s="101" t="str">
        <f>IFERROR(('BMP P Tracking Table'!$AE143-INDEX('Performance Curves'!$E$1:$L$1,1,MATCH('BMP P Tracking Table'!$AE143,'Performance Curves'!$E$1:$L$1,1)))/(INDEX('Performance Curves'!$E$1:$L$1,1,MATCH('BMP P Tracking Table'!$AE143,'Performance Curves'!$E$1:$L$1,1)+1)-INDEX('Performance Curves'!$E$1:$L$1,1,MATCH('BMP P Tracking Table'!$AE143,'Performance Curves'!$E$1:$L$1,1))),"")</f>
        <v/>
      </c>
      <c r="AH143" s="102" t="str">
        <f>IFERROR(IF('BMP P Tracking Table'!$AE143=2,VLOOKUP(CONCATENATE('BMP P Tracking Table'!$T143," ",'BMP P Tracking Table'!$AC143),'Performance Curves'!$C$1:$L$45,MATCH('BMP P Tracking Table'!$AE143,'Performance Curves'!$E$1:$L$1,1)+1,FALSE),'BMP P Tracking Table'!$AF143*'BMP P Tracking Table'!$AG143+VLOOKUP(CONCATENATE('BMP P Tracking Table'!$T143," ",'BMP P Tracking Table'!$AC143),'Performance Curves'!$C$1:$L$45,MATCH('BMP P Tracking Table'!$AE143,'Performance Curves'!$E$1:$L$1,1)+1,FALSE)),"")</f>
        <v/>
      </c>
      <c r="AI143" s="101" t="str">
        <f>IFERROR('BMP P Tracking Table'!$AH143*'BMP P Tracking Table'!$AD143,"")</f>
        <v/>
      </c>
      <c r="AJ143" s="64"/>
      <c r="AK143" s="96"/>
      <c r="AL143" s="96"/>
      <c r="AM143" s="63"/>
      <c r="AN143" s="99" t="str">
        <f t="shared" si="14"/>
        <v/>
      </c>
      <c r="AO143" s="96"/>
      <c r="AP143" s="96"/>
      <c r="AQ143" s="96"/>
      <c r="AR143" s="96"/>
      <c r="AS143" s="96"/>
      <c r="AT143" s="96"/>
      <c r="AU143" s="96"/>
      <c r="AV143" s="64"/>
      <c r="AW143" s="97"/>
      <c r="AX143" s="97"/>
      <c r="AY143" s="101" t="str">
        <f>IF('BMP P Tracking Table'!$AK143="Yes",IF('BMP P Tracking Table'!$AL143="No",'BMP P Tracking Table'!$U143*VLOOKUP('BMP P Tracking Table'!$Q143,'Loading Rates'!$B$1:$L$24,4,FALSE)+IF('BMP P Tracking Table'!$V143="By HSG",'BMP P Tracking Table'!$W143*VLOOKUP('BMP P Tracking Table'!$Q143,'Loading Rates'!$B$1:$L$24,6,FALSE)+'BMP P Tracking Table'!$X143*VLOOKUP('BMP P Tracking Table'!$Q143,'Loading Rates'!$B$1:$L$24,7,FALSE)+'BMP P Tracking Table'!$Y143*VLOOKUP('BMP P Tracking Table'!$Q143,'Loading Rates'!$B$1:$L$24,8,FALSE)+'BMP P Tracking Table'!$Z143*VLOOKUP('BMP P Tracking Table'!$Q143,'Loading Rates'!$B$1:$L$24,9,FALSE),'BMP P Tracking Table'!$AA143*VLOOKUP('BMP P Tracking Table'!$Q143,'Loading Rates'!$B$1:$L$24,10,FALSE)),'BMP P Tracking Table'!$AO143*VLOOKUP('BMP P Tracking Table'!$Q143,'Loading Rates'!$B$1:$L$24,4,FALSE)+IF('BMP P Tracking Table'!$AP143="By HSG",'BMP P Tracking Table'!$AQ143*VLOOKUP('BMP P Tracking Table'!$Q143,'Loading Rates'!$B$1:$L$24,6,FALSE)+'BMP P Tracking Table'!$AR143*VLOOKUP('BMP P Tracking Table'!$Q143,'Loading Rates'!$B$1:$L$24,7,FALSE)+'BMP P Tracking Table'!$AS143*VLOOKUP('BMP P Tracking Table'!$Q143,'Loading Rates'!$B$1:$L$24,8,FALSE)+'BMP P Tracking Table'!$AT143*VLOOKUP('BMP P Tracking Table'!$Q143,'Loading Rates'!$B$1:$L$24,9,FALSE),'BMP P Tracking Table'!$AU143*VLOOKUP('BMP P Tracking Table'!$Q143,'Loading Rates'!$B$1:$L$24,10,FALSE))),"")</f>
        <v/>
      </c>
      <c r="AZ143" s="101" t="str">
        <f>IFERROR(IF('BMP P Tracking Table'!$AL143="Yes",MIN(2,IF('BMP P Tracking Table'!$AP143="Total Pervious",(-(3630*'BMP P Tracking Table'!$AO143+20.691*'BMP P Tracking Table'!$AU143)+SQRT((3630*'BMP P Tracking Table'!$AO143+20.691*'BMP P Tracking Table'!$AU143)^2-(4*(996.798*'BMP P Tracking Table'!$AU143)*-'BMP P Tracking Table'!$AW143)))/(2*(996.798*'BMP P Tracking Table'!$AU143)),IF(SUM('BMP P Tracking Table'!$AQ143:$AT143)=0,'BMP P Tracking Table'!$AU143/(-3630*'BMP P Tracking Table'!$AO143),(-(3630*'BMP P Tracking Table'!$AO143+20.691*'BMP P Tracking Table'!$AT143-216.711*'BMP P Tracking Table'!$AS143-83.853*'BMP P Tracking Table'!$AR143-42.834*'BMP P Tracking Table'!$AQ143)+SQRT((3630*'BMP P Tracking Table'!$AO143+20.691*'BMP P Tracking Table'!$AT143-216.711*'BMP P Tracking Table'!$AS143-83.853*'BMP P Tracking Table'!$AR143-42.834*'BMP P Tracking Table'!$AQ143)^2-(4*(149.919*'BMP P Tracking Table'!$AQ143+236.676*'BMP P Tracking Table'!$AR143+726*'BMP P Tracking Table'!$AS143+996.798*'BMP P Tracking Table'!$AT143)*-'BMP P Tracking Table'!$AW143)))/(2*(149.919*'BMP P Tracking Table'!$AQ143+236.676*'BMP P Tracking Table'!$AR143+726*'BMP P Tracking Table'!$AS143+996.798*'BMP P Tracking Table'!$AT143))))),MIN(2,IF('BMP P Tracking Table'!$AP143="Total Pervious",(-(3630*'BMP P Tracking Table'!$U143+20.691*'BMP P Tracking Table'!$AA143)+SQRT((3630*'BMP P Tracking Table'!$U143+20.691*'BMP P Tracking Table'!$AA143)^2-(4*(996.798*'BMP P Tracking Table'!$AA143)*-'BMP P Tracking Table'!$AW143)))/(2*(996.798*'BMP P Tracking Table'!$AA143)),IF(SUM('BMP P Tracking Table'!$W143:$Z143)=0,'BMP P Tracking Table'!$AW143/(-3630*'BMP P Tracking Table'!$U143),(-(3630*'BMP P Tracking Table'!$U143+20.691*'BMP P Tracking Table'!$Z143-216.711*'BMP P Tracking Table'!$Y143-83.853*'BMP P Tracking Table'!$X143-42.834*'BMP P Tracking Table'!$W143)+SQRT((3630*'BMP P Tracking Table'!$U143+20.691*'BMP P Tracking Table'!$Z143-216.711*'BMP P Tracking Table'!$Y143-83.853*'BMP P Tracking Table'!$X143-42.834*'BMP P Tracking Table'!$W143)^2-(4*(149.919*'BMP P Tracking Table'!$W143+236.676*'BMP P Tracking Table'!$X143+726*'BMP P Tracking Table'!$Y143+996.798*'BMP P Tracking Table'!$Z143)*-'BMP P Tracking Table'!$AW143)))/(2*(149.919*'BMP P Tracking Table'!$W143+236.676*'BMP P Tracking Table'!$X143+726*'BMP P Tracking Table'!$Y143+996.798*'BMP P Tracking Table'!$Z143)))))),"")</f>
        <v/>
      </c>
      <c r="BA143" s="101" t="str">
        <f>IFERROR((VLOOKUP(CONCATENATE('BMP P Tracking Table'!$AV143," ",'BMP P Tracking Table'!$AX143),'Performance Curves'!$C$1:$L$45,MATCH('BMP P Tracking Table'!$AZ143,'Performance Curves'!$E$1:$L$1,1)+2,FALSE)-VLOOKUP(CONCATENATE('BMP P Tracking Table'!$AV143," ",'BMP P Tracking Table'!$AX143),'Performance Curves'!$C$1:$L$45,MATCH('BMP P Tracking Table'!$AZ143,'Performance Curves'!$E$1:$L$1,1)+1,FALSE)),"")</f>
        <v/>
      </c>
      <c r="BB143" s="101" t="str">
        <f>IFERROR(('BMP P Tracking Table'!$AZ143-INDEX('Performance Curves'!$E$1:$L$1,1,MATCH('BMP P Tracking Table'!$AZ143,'Performance Curves'!$E$1:$L$1,1)))/(INDEX('Performance Curves'!$E$1:$L$1,1,MATCH('BMP P Tracking Table'!$AZ143,'Performance Curves'!$E$1:$L$1,1)+1)-INDEX('Performance Curves'!$E$1:$L$1,1,MATCH('BMP P Tracking Table'!$AZ143,'Performance Curves'!$E$1:$L$1,1))),"")</f>
        <v/>
      </c>
      <c r="BC143" s="102" t="str">
        <f>IFERROR(IF('BMP P Tracking Table'!$AZ143=2,VLOOKUP(CONCATENATE('BMP P Tracking Table'!$AV143," ",'BMP P Tracking Table'!$AX143),'Performance Curves'!$C$1:$L$44,MATCH('BMP P Tracking Table'!$AZ143,'Performance Curves'!$E$1:$L$1,1)+1,FALSE),'BMP P Tracking Table'!$BA143*'BMP P Tracking Table'!$BB143+VLOOKUP(CONCATENATE('BMP P Tracking Table'!$AV143," ",'BMP P Tracking Table'!$AX143),'Performance Curves'!$C$1:$L$44,MATCH('BMP P Tracking Table'!$AZ143,'Performance Curves'!$E$1:$L$1,1)+1,FALSE)),"")</f>
        <v/>
      </c>
      <c r="BD143" s="101" t="str">
        <f>IFERROR('BMP P Tracking Table'!$BC143*'BMP P Tracking Table'!$AY143,"")</f>
        <v/>
      </c>
      <c r="BE143" s="96"/>
      <c r="BF143" s="37">
        <f t="shared" si="15"/>
        <v>0</v>
      </c>
    </row>
    <row r="144" spans="1:58" x14ac:dyDescent="0.3">
      <c r="A144" s="64"/>
      <c r="B144" s="64"/>
      <c r="C144" s="64"/>
      <c r="D144" s="64"/>
      <c r="E144" s="93"/>
      <c r="F144" s="93"/>
      <c r="G144" s="64"/>
      <c r="H144" s="64"/>
      <c r="I144" s="64"/>
      <c r="J144" s="94"/>
      <c r="K144" s="64"/>
      <c r="L144" s="64"/>
      <c r="M144" s="64"/>
      <c r="N144" s="64"/>
      <c r="O144" s="64"/>
      <c r="P144" s="64"/>
      <c r="Q144" s="64" t="str">
        <f>IFERROR(VLOOKUP('BMP P Tracking Table'!$P144,Dropdowns!$C$2:$E$15,3,FALSE),"")</f>
        <v/>
      </c>
      <c r="R144" s="64" t="str">
        <f>IFERROR(VLOOKUP('BMP P Tracking Table'!$Q144,Dropdowns!$P$3:$Q$23,2,FALSE),"")</f>
        <v/>
      </c>
      <c r="S144" s="64"/>
      <c r="T144" s="64"/>
      <c r="U144" s="64"/>
      <c r="V144" s="64"/>
      <c r="W144" s="64"/>
      <c r="X144" s="64"/>
      <c r="Y144" s="64"/>
      <c r="Z144" s="64"/>
      <c r="AA144" s="64"/>
      <c r="AB144" s="95"/>
      <c r="AC144" s="64"/>
      <c r="AD144" s="101" t="str">
        <f>IFERROR('BMP P Tracking Table'!$U144*VLOOKUP('BMP P Tracking Table'!$Q144,'Loading Rates'!$B$1:$L$24,4,FALSE)+IF('BMP P Tracking Table'!$V144="By HSG",'BMP P Tracking Table'!$W144*VLOOKUP('BMP P Tracking Table'!$Q144,'Loading Rates'!$B$1:$L$24,6,FALSE)+'BMP P Tracking Table'!$X144*VLOOKUP('BMP P Tracking Table'!$Q144,'Loading Rates'!$B$1:$L$24,7,FALSE)+'BMP P Tracking Table'!$Y144*VLOOKUP('BMP P Tracking Table'!$Q144,'Loading Rates'!$B$1:$L$24,8,FALSE)+'BMP P Tracking Table'!$Z144*VLOOKUP('BMP P Tracking Table'!$Q144,'Loading Rates'!$B$1:$L$24,9,FALSE),'BMP P Tracking Table'!$AA144*VLOOKUP('BMP P Tracking Table'!$Q144,'Loading Rates'!$B$1:$L$24,10,FALSE)),"")</f>
        <v/>
      </c>
      <c r="AE144" s="101" t="str">
        <f>IFERROR(MIN(2,IF('BMP P Tracking Table'!$V144="Total Pervious",(-(3630*'BMP P Tracking Table'!$U144+20.691*'BMP P Tracking Table'!$AA144)+SQRT((3630*'BMP P Tracking Table'!$U144+20.691*'BMP P Tracking Table'!$AA144)^2-(4*(996.798*'BMP P Tracking Table'!$AA144)*-'BMP P Tracking Table'!$AB144)))/(2*(996.798*'BMP P Tracking Table'!$AA144)),IF(SUM('BMP P Tracking Table'!$W144:$Z144)=0,'BMP P Tracking Table'!$AB144/(-3630*'BMP P Tracking Table'!$U144),(-(3630*'BMP P Tracking Table'!$U144+20.691*'BMP P Tracking Table'!$Z144-216.711*'BMP P Tracking Table'!$Y144-83.853*'BMP P Tracking Table'!$X144-42.834*'BMP P Tracking Table'!$W144)+SQRT((3630*'BMP P Tracking Table'!$U144+20.691*'BMP P Tracking Table'!$Z144-216.711*'BMP P Tracking Table'!$Y144-83.853*'BMP P Tracking Table'!$X144-42.834*'BMP P Tracking Table'!$W144)^2-(4*(149.919*'BMP P Tracking Table'!$W144+236.676*'BMP P Tracking Table'!$X144+726*'BMP P Tracking Table'!$Y144+996.798*'BMP P Tracking Table'!$Z144)*-'BMP P Tracking Table'!$AB144)))/(2*(149.919*'BMP P Tracking Table'!$W144+236.676*'BMP P Tracking Table'!$X144+726*'BMP P Tracking Table'!$Y144+996.798*'BMP P Tracking Table'!$Z144))))),"")</f>
        <v/>
      </c>
      <c r="AF144" s="101" t="str">
        <f>IFERROR((VLOOKUP(CONCATENATE('BMP P Tracking Table'!$T144," ",'BMP P Tracking Table'!$AC144),'Performance Curves'!$C$1:$L$45,MATCH('BMP P Tracking Table'!$AE144,'Performance Curves'!$E$1:$L$1,1)+2,FALSE)-VLOOKUP(CONCATENATE('BMP P Tracking Table'!$T144," ",'BMP P Tracking Table'!$AC144),'Performance Curves'!$C$1:$L$45,MATCH('BMP P Tracking Table'!$AE144,'Performance Curves'!$E$1:$L$1,1)+1,FALSE)),"")</f>
        <v/>
      </c>
      <c r="AG144" s="101" t="str">
        <f>IFERROR(('BMP P Tracking Table'!$AE144-INDEX('Performance Curves'!$E$1:$L$1,1,MATCH('BMP P Tracking Table'!$AE144,'Performance Curves'!$E$1:$L$1,1)))/(INDEX('Performance Curves'!$E$1:$L$1,1,MATCH('BMP P Tracking Table'!$AE144,'Performance Curves'!$E$1:$L$1,1)+1)-INDEX('Performance Curves'!$E$1:$L$1,1,MATCH('BMP P Tracking Table'!$AE144,'Performance Curves'!$E$1:$L$1,1))),"")</f>
        <v/>
      </c>
      <c r="AH144" s="102" t="str">
        <f>IFERROR(IF('BMP P Tracking Table'!$AE144=2,VLOOKUP(CONCATENATE('BMP P Tracking Table'!$T144," ",'BMP P Tracking Table'!$AC144),'Performance Curves'!$C$1:$L$45,MATCH('BMP P Tracking Table'!$AE144,'Performance Curves'!$E$1:$L$1,1)+1,FALSE),'BMP P Tracking Table'!$AF144*'BMP P Tracking Table'!$AG144+VLOOKUP(CONCATENATE('BMP P Tracking Table'!$T144," ",'BMP P Tracking Table'!$AC144),'Performance Curves'!$C$1:$L$45,MATCH('BMP P Tracking Table'!$AE144,'Performance Curves'!$E$1:$L$1,1)+1,FALSE)),"")</f>
        <v/>
      </c>
      <c r="AI144" s="101" t="str">
        <f>IFERROR('BMP P Tracking Table'!$AH144*'BMP P Tracking Table'!$AD144,"")</f>
        <v/>
      </c>
      <c r="AJ144" s="64"/>
      <c r="AK144" s="96"/>
      <c r="AL144" s="96"/>
      <c r="AM144" s="63"/>
      <c r="AN144" s="99" t="str">
        <f t="shared" si="14"/>
        <v/>
      </c>
      <c r="AO144" s="96"/>
      <c r="AP144" s="96"/>
      <c r="AQ144" s="96"/>
      <c r="AR144" s="96"/>
      <c r="AS144" s="96"/>
      <c r="AT144" s="96"/>
      <c r="AU144" s="96"/>
      <c r="AV144" s="64"/>
      <c r="AW144" s="97"/>
      <c r="AX144" s="97"/>
      <c r="AY144" s="101" t="str">
        <f>IF('BMP P Tracking Table'!$AK144="Yes",IF('BMP P Tracking Table'!$AL144="No",'BMP P Tracking Table'!$U144*VLOOKUP('BMP P Tracking Table'!$Q144,'Loading Rates'!$B$1:$L$24,4,FALSE)+IF('BMP P Tracking Table'!$V144="By HSG",'BMP P Tracking Table'!$W144*VLOOKUP('BMP P Tracking Table'!$Q144,'Loading Rates'!$B$1:$L$24,6,FALSE)+'BMP P Tracking Table'!$X144*VLOOKUP('BMP P Tracking Table'!$Q144,'Loading Rates'!$B$1:$L$24,7,FALSE)+'BMP P Tracking Table'!$Y144*VLOOKUP('BMP P Tracking Table'!$Q144,'Loading Rates'!$B$1:$L$24,8,FALSE)+'BMP P Tracking Table'!$Z144*VLOOKUP('BMP P Tracking Table'!$Q144,'Loading Rates'!$B$1:$L$24,9,FALSE),'BMP P Tracking Table'!$AA144*VLOOKUP('BMP P Tracking Table'!$Q144,'Loading Rates'!$B$1:$L$24,10,FALSE)),'BMP P Tracking Table'!$AO144*VLOOKUP('BMP P Tracking Table'!$Q144,'Loading Rates'!$B$1:$L$24,4,FALSE)+IF('BMP P Tracking Table'!$AP144="By HSG",'BMP P Tracking Table'!$AQ144*VLOOKUP('BMP P Tracking Table'!$Q144,'Loading Rates'!$B$1:$L$24,6,FALSE)+'BMP P Tracking Table'!$AR144*VLOOKUP('BMP P Tracking Table'!$Q144,'Loading Rates'!$B$1:$L$24,7,FALSE)+'BMP P Tracking Table'!$AS144*VLOOKUP('BMP P Tracking Table'!$Q144,'Loading Rates'!$B$1:$L$24,8,FALSE)+'BMP P Tracking Table'!$AT144*VLOOKUP('BMP P Tracking Table'!$Q144,'Loading Rates'!$B$1:$L$24,9,FALSE),'BMP P Tracking Table'!$AU144*VLOOKUP('BMP P Tracking Table'!$Q144,'Loading Rates'!$B$1:$L$24,10,FALSE))),"")</f>
        <v/>
      </c>
      <c r="AZ144" s="101" t="str">
        <f>IFERROR(IF('BMP P Tracking Table'!$AL144="Yes",MIN(2,IF('BMP P Tracking Table'!$AP144="Total Pervious",(-(3630*'BMP P Tracking Table'!$AO144+20.691*'BMP P Tracking Table'!$AU144)+SQRT((3630*'BMP P Tracking Table'!$AO144+20.691*'BMP P Tracking Table'!$AU144)^2-(4*(996.798*'BMP P Tracking Table'!$AU144)*-'BMP P Tracking Table'!$AW144)))/(2*(996.798*'BMP P Tracking Table'!$AU144)),IF(SUM('BMP P Tracking Table'!$AQ144:$AT144)=0,'BMP P Tracking Table'!$AU144/(-3630*'BMP P Tracking Table'!$AO144),(-(3630*'BMP P Tracking Table'!$AO144+20.691*'BMP P Tracking Table'!$AT144-216.711*'BMP P Tracking Table'!$AS144-83.853*'BMP P Tracking Table'!$AR144-42.834*'BMP P Tracking Table'!$AQ144)+SQRT((3630*'BMP P Tracking Table'!$AO144+20.691*'BMP P Tracking Table'!$AT144-216.711*'BMP P Tracking Table'!$AS144-83.853*'BMP P Tracking Table'!$AR144-42.834*'BMP P Tracking Table'!$AQ144)^2-(4*(149.919*'BMP P Tracking Table'!$AQ144+236.676*'BMP P Tracking Table'!$AR144+726*'BMP P Tracking Table'!$AS144+996.798*'BMP P Tracking Table'!$AT144)*-'BMP P Tracking Table'!$AW144)))/(2*(149.919*'BMP P Tracking Table'!$AQ144+236.676*'BMP P Tracking Table'!$AR144+726*'BMP P Tracking Table'!$AS144+996.798*'BMP P Tracking Table'!$AT144))))),MIN(2,IF('BMP P Tracking Table'!$AP144="Total Pervious",(-(3630*'BMP P Tracking Table'!$U144+20.691*'BMP P Tracking Table'!$AA144)+SQRT((3630*'BMP P Tracking Table'!$U144+20.691*'BMP P Tracking Table'!$AA144)^2-(4*(996.798*'BMP P Tracking Table'!$AA144)*-'BMP P Tracking Table'!$AW144)))/(2*(996.798*'BMP P Tracking Table'!$AA144)),IF(SUM('BMP P Tracking Table'!$W144:$Z144)=0,'BMP P Tracking Table'!$AW144/(-3630*'BMP P Tracking Table'!$U144),(-(3630*'BMP P Tracking Table'!$U144+20.691*'BMP P Tracking Table'!$Z144-216.711*'BMP P Tracking Table'!$Y144-83.853*'BMP P Tracking Table'!$X144-42.834*'BMP P Tracking Table'!$W144)+SQRT((3630*'BMP P Tracking Table'!$U144+20.691*'BMP P Tracking Table'!$Z144-216.711*'BMP P Tracking Table'!$Y144-83.853*'BMP P Tracking Table'!$X144-42.834*'BMP P Tracking Table'!$W144)^2-(4*(149.919*'BMP P Tracking Table'!$W144+236.676*'BMP P Tracking Table'!$X144+726*'BMP P Tracking Table'!$Y144+996.798*'BMP P Tracking Table'!$Z144)*-'BMP P Tracking Table'!$AW144)))/(2*(149.919*'BMP P Tracking Table'!$W144+236.676*'BMP P Tracking Table'!$X144+726*'BMP P Tracking Table'!$Y144+996.798*'BMP P Tracking Table'!$Z144)))))),"")</f>
        <v/>
      </c>
      <c r="BA144" s="101" t="str">
        <f>IFERROR((VLOOKUP(CONCATENATE('BMP P Tracking Table'!$AV144," ",'BMP P Tracking Table'!$AX144),'Performance Curves'!$C$1:$L$45,MATCH('BMP P Tracking Table'!$AZ144,'Performance Curves'!$E$1:$L$1,1)+2,FALSE)-VLOOKUP(CONCATENATE('BMP P Tracking Table'!$AV144," ",'BMP P Tracking Table'!$AX144),'Performance Curves'!$C$1:$L$45,MATCH('BMP P Tracking Table'!$AZ144,'Performance Curves'!$E$1:$L$1,1)+1,FALSE)),"")</f>
        <v/>
      </c>
      <c r="BB144" s="101" t="str">
        <f>IFERROR(('BMP P Tracking Table'!$AZ144-INDEX('Performance Curves'!$E$1:$L$1,1,MATCH('BMP P Tracking Table'!$AZ144,'Performance Curves'!$E$1:$L$1,1)))/(INDEX('Performance Curves'!$E$1:$L$1,1,MATCH('BMP P Tracking Table'!$AZ144,'Performance Curves'!$E$1:$L$1,1)+1)-INDEX('Performance Curves'!$E$1:$L$1,1,MATCH('BMP P Tracking Table'!$AZ144,'Performance Curves'!$E$1:$L$1,1))),"")</f>
        <v/>
      </c>
      <c r="BC144" s="102" t="str">
        <f>IFERROR(IF('BMP P Tracking Table'!$AZ144=2,VLOOKUP(CONCATENATE('BMP P Tracking Table'!$AV144," ",'BMP P Tracking Table'!$AX144),'Performance Curves'!$C$1:$L$44,MATCH('BMP P Tracking Table'!$AZ144,'Performance Curves'!$E$1:$L$1,1)+1,FALSE),'BMP P Tracking Table'!$BA144*'BMP P Tracking Table'!$BB144+VLOOKUP(CONCATENATE('BMP P Tracking Table'!$AV144," ",'BMP P Tracking Table'!$AX144),'Performance Curves'!$C$1:$L$44,MATCH('BMP P Tracking Table'!$AZ144,'Performance Curves'!$E$1:$L$1,1)+1,FALSE)),"")</f>
        <v/>
      </c>
      <c r="BD144" s="101" t="str">
        <f>IFERROR('BMP P Tracking Table'!$BC144*'BMP P Tracking Table'!$AY144,"")</f>
        <v/>
      </c>
      <c r="BE144" s="96"/>
      <c r="BF144" s="37">
        <f t="shared" si="15"/>
        <v>0</v>
      </c>
    </row>
    <row r="145" spans="1:58" x14ac:dyDescent="0.3">
      <c r="A145" s="64"/>
      <c r="B145" s="64"/>
      <c r="C145" s="64"/>
      <c r="D145" s="64"/>
      <c r="E145" s="93"/>
      <c r="F145" s="93"/>
      <c r="G145" s="64"/>
      <c r="H145" s="64"/>
      <c r="I145" s="64"/>
      <c r="J145" s="94"/>
      <c r="K145" s="64"/>
      <c r="L145" s="64"/>
      <c r="M145" s="64"/>
      <c r="N145" s="64"/>
      <c r="O145" s="64"/>
      <c r="P145" s="64"/>
      <c r="Q145" s="64" t="str">
        <f>IFERROR(VLOOKUP('BMP P Tracking Table'!$P145,Dropdowns!$C$2:$E$15,3,FALSE),"")</f>
        <v/>
      </c>
      <c r="R145" s="64" t="str">
        <f>IFERROR(VLOOKUP('BMP P Tracking Table'!$Q145,Dropdowns!$P$3:$Q$23,2,FALSE),"")</f>
        <v/>
      </c>
      <c r="S145" s="64"/>
      <c r="T145" s="64"/>
      <c r="U145" s="64"/>
      <c r="V145" s="64"/>
      <c r="W145" s="64"/>
      <c r="X145" s="64"/>
      <c r="Y145" s="64"/>
      <c r="Z145" s="64"/>
      <c r="AA145" s="64"/>
      <c r="AB145" s="95"/>
      <c r="AC145" s="64"/>
      <c r="AD145" s="101" t="str">
        <f>IFERROR('BMP P Tracking Table'!$U145*VLOOKUP('BMP P Tracking Table'!$Q145,'Loading Rates'!$B$1:$L$24,4,FALSE)+IF('BMP P Tracking Table'!$V145="By HSG",'BMP P Tracking Table'!$W145*VLOOKUP('BMP P Tracking Table'!$Q145,'Loading Rates'!$B$1:$L$24,6,FALSE)+'BMP P Tracking Table'!$X145*VLOOKUP('BMP P Tracking Table'!$Q145,'Loading Rates'!$B$1:$L$24,7,FALSE)+'BMP P Tracking Table'!$Y145*VLOOKUP('BMP P Tracking Table'!$Q145,'Loading Rates'!$B$1:$L$24,8,FALSE)+'BMP P Tracking Table'!$Z145*VLOOKUP('BMP P Tracking Table'!$Q145,'Loading Rates'!$B$1:$L$24,9,FALSE),'BMP P Tracking Table'!$AA145*VLOOKUP('BMP P Tracking Table'!$Q145,'Loading Rates'!$B$1:$L$24,10,FALSE)),"")</f>
        <v/>
      </c>
      <c r="AE145" s="101" t="str">
        <f>IFERROR(MIN(2,IF('BMP P Tracking Table'!$V145="Total Pervious",(-(3630*'BMP P Tracking Table'!$U145+20.691*'BMP P Tracking Table'!$AA145)+SQRT((3630*'BMP P Tracking Table'!$U145+20.691*'BMP P Tracking Table'!$AA145)^2-(4*(996.798*'BMP P Tracking Table'!$AA145)*-'BMP P Tracking Table'!$AB145)))/(2*(996.798*'BMP P Tracking Table'!$AA145)),IF(SUM('BMP P Tracking Table'!$W145:$Z145)=0,'BMP P Tracking Table'!$AB145/(-3630*'BMP P Tracking Table'!$U145),(-(3630*'BMP P Tracking Table'!$U145+20.691*'BMP P Tracking Table'!$Z145-216.711*'BMP P Tracking Table'!$Y145-83.853*'BMP P Tracking Table'!$X145-42.834*'BMP P Tracking Table'!$W145)+SQRT((3630*'BMP P Tracking Table'!$U145+20.691*'BMP P Tracking Table'!$Z145-216.711*'BMP P Tracking Table'!$Y145-83.853*'BMP P Tracking Table'!$X145-42.834*'BMP P Tracking Table'!$W145)^2-(4*(149.919*'BMP P Tracking Table'!$W145+236.676*'BMP P Tracking Table'!$X145+726*'BMP P Tracking Table'!$Y145+996.798*'BMP P Tracking Table'!$Z145)*-'BMP P Tracking Table'!$AB145)))/(2*(149.919*'BMP P Tracking Table'!$W145+236.676*'BMP P Tracking Table'!$X145+726*'BMP P Tracking Table'!$Y145+996.798*'BMP P Tracking Table'!$Z145))))),"")</f>
        <v/>
      </c>
      <c r="AF145" s="101" t="str">
        <f>IFERROR((VLOOKUP(CONCATENATE('BMP P Tracking Table'!$T145," ",'BMP P Tracking Table'!$AC145),'Performance Curves'!$C$1:$L$45,MATCH('BMP P Tracking Table'!$AE145,'Performance Curves'!$E$1:$L$1,1)+2,FALSE)-VLOOKUP(CONCATENATE('BMP P Tracking Table'!$T145," ",'BMP P Tracking Table'!$AC145),'Performance Curves'!$C$1:$L$45,MATCH('BMP P Tracking Table'!$AE145,'Performance Curves'!$E$1:$L$1,1)+1,FALSE)),"")</f>
        <v/>
      </c>
      <c r="AG145" s="101" t="str">
        <f>IFERROR(('BMP P Tracking Table'!$AE145-INDEX('Performance Curves'!$E$1:$L$1,1,MATCH('BMP P Tracking Table'!$AE145,'Performance Curves'!$E$1:$L$1,1)))/(INDEX('Performance Curves'!$E$1:$L$1,1,MATCH('BMP P Tracking Table'!$AE145,'Performance Curves'!$E$1:$L$1,1)+1)-INDEX('Performance Curves'!$E$1:$L$1,1,MATCH('BMP P Tracking Table'!$AE145,'Performance Curves'!$E$1:$L$1,1))),"")</f>
        <v/>
      </c>
      <c r="AH145" s="102" t="str">
        <f>IFERROR(IF('BMP P Tracking Table'!$AE145=2,VLOOKUP(CONCATENATE('BMP P Tracking Table'!$T145," ",'BMP P Tracking Table'!$AC145),'Performance Curves'!$C$1:$L$45,MATCH('BMP P Tracking Table'!$AE145,'Performance Curves'!$E$1:$L$1,1)+1,FALSE),'BMP P Tracking Table'!$AF145*'BMP P Tracking Table'!$AG145+VLOOKUP(CONCATENATE('BMP P Tracking Table'!$T145," ",'BMP P Tracking Table'!$AC145),'Performance Curves'!$C$1:$L$45,MATCH('BMP P Tracking Table'!$AE145,'Performance Curves'!$E$1:$L$1,1)+1,FALSE)),"")</f>
        <v/>
      </c>
      <c r="AI145" s="101" t="str">
        <f>IFERROR('BMP P Tracking Table'!$AH145*'BMP P Tracking Table'!$AD145,"")</f>
        <v/>
      </c>
      <c r="AJ145" s="64"/>
      <c r="AK145" s="96"/>
      <c r="AL145" s="96"/>
      <c r="AM145" s="63"/>
      <c r="AN145" s="99" t="str">
        <f t="shared" si="14"/>
        <v/>
      </c>
      <c r="AO145" s="96"/>
      <c r="AP145" s="96"/>
      <c r="AQ145" s="96"/>
      <c r="AR145" s="96"/>
      <c r="AS145" s="96"/>
      <c r="AT145" s="96"/>
      <c r="AU145" s="96"/>
      <c r="AV145" s="64"/>
      <c r="AW145" s="97"/>
      <c r="AX145" s="97"/>
      <c r="AY145" s="101" t="str">
        <f>IF('BMP P Tracking Table'!$AK145="Yes",IF('BMP P Tracking Table'!$AL145="No",'BMP P Tracking Table'!$U145*VLOOKUP('BMP P Tracking Table'!$Q145,'Loading Rates'!$B$1:$L$24,4,FALSE)+IF('BMP P Tracking Table'!$V145="By HSG",'BMP P Tracking Table'!$W145*VLOOKUP('BMP P Tracking Table'!$Q145,'Loading Rates'!$B$1:$L$24,6,FALSE)+'BMP P Tracking Table'!$X145*VLOOKUP('BMP P Tracking Table'!$Q145,'Loading Rates'!$B$1:$L$24,7,FALSE)+'BMP P Tracking Table'!$Y145*VLOOKUP('BMP P Tracking Table'!$Q145,'Loading Rates'!$B$1:$L$24,8,FALSE)+'BMP P Tracking Table'!$Z145*VLOOKUP('BMP P Tracking Table'!$Q145,'Loading Rates'!$B$1:$L$24,9,FALSE),'BMP P Tracking Table'!$AA145*VLOOKUP('BMP P Tracking Table'!$Q145,'Loading Rates'!$B$1:$L$24,10,FALSE)),'BMP P Tracking Table'!$AO145*VLOOKUP('BMP P Tracking Table'!$Q145,'Loading Rates'!$B$1:$L$24,4,FALSE)+IF('BMP P Tracking Table'!$AP145="By HSG",'BMP P Tracking Table'!$AQ145*VLOOKUP('BMP P Tracking Table'!$Q145,'Loading Rates'!$B$1:$L$24,6,FALSE)+'BMP P Tracking Table'!$AR145*VLOOKUP('BMP P Tracking Table'!$Q145,'Loading Rates'!$B$1:$L$24,7,FALSE)+'BMP P Tracking Table'!$AS145*VLOOKUP('BMP P Tracking Table'!$Q145,'Loading Rates'!$B$1:$L$24,8,FALSE)+'BMP P Tracking Table'!$AT145*VLOOKUP('BMP P Tracking Table'!$Q145,'Loading Rates'!$B$1:$L$24,9,FALSE),'BMP P Tracking Table'!$AU145*VLOOKUP('BMP P Tracking Table'!$Q145,'Loading Rates'!$B$1:$L$24,10,FALSE))),"")</f>
        <v/>
      </c>
      <c r="AZ145" s="101" t="str">
        <f>IFERROR(IF('BMP P Tracking Table'!$AL145="Yes",MIN(2,IF('BMP P Tracking Table'!$AP145="Total Pervious",(-(3630*'BMP P Tracking Table'!$AO145+20.691*'BMP P Tracking Table'!$AU145)+SQRT((3630*'BMP P Tracking Table'!$AO145+20.691*'BMP P Tracking Table'!$AU145)^2-(4*(996.798*'BMP P Tracking Table'!$AU145)*-'BMP P Tracking Table'!$AW145)))/(2*(996.798*'BMP P Tracking Table'!$AU145)),IF(SUM('BMP P Tracking Table'!$AQ145:$AT145)=0,'BMP P Tracking Table'!$AU145/(-3630*'BMP P Tracking Table'!$AO145),(-(3630*'BMP P Tracking Table'!$AO145+20.691*'BMP P Tracking Table'!$AT145-216.711*'BMP P Tracking Table'!$AS145-83.853*'BMP P Tracking Table'!$AR145-42.834*'BMP P Tracking Table'!$AQ145)+SQRT((3630*'BMP P Tracking Table'!$AO145+20.691*'BMP P Tracking Table'!$AT145-216.711*'BMP P Tracking Table'!$AS145-83.853*'BMP P Tracking Table'!$AR145-42.834*'BMP P Tracking Table'!$AQ145)^2-(4*(149.919*'BMP P Tracking Table'!$AQ145+236.676*'BMP P Tracking Table'!$AR145+726*'BMP P Tracking Table'!$AS145+996.798*'BMP P Tracking Table'!$AT145)*-'BMP P Tracking Table'!$AW145)))/(2*(149.919*'BMP P Tracking Table'!$AQ145+236.676*'BMP P Tracking Table'!$AR145+726*'BMP P Tracking Table'!$AS145+996.798*'BMP P Tracking Table'!$AT145))))),MIN(2,IF('BMP P Tracking Table'!$AP145="Total Pervious",(-(3630*'BMP P Tracking Table'!$U145+20.691*'BMP P Tracking Table'!$AA145)+SQRT((3630*'BMP P Tracking Table'!$U145+20.691*'BMP P Tracking Table'!$AA145)^2-(4*(996.798*'BMP P Tracking Table'!$AA145)*-'BMP P Tracking Table'!$AW145)))/(2*(996.798*'BMP P Tracking Table'!$AA145)),IF(SUM('BMP P Tracking Table'!$W145:$Z145)=0,'BMP P Tracking Table'!$AW145/(-3630*'BMP P Tracking Table'!$U145),(-(3630*'BMP P Tracking Table'!$U145+20.691*'BMP P Tracking Table'!$Z145-216.711*'BMP P Tracking Table'!$Y145-83.853*'BMP P Tracking Table'!$X145-42.834*'BMP P Tracking Table'!$W145)+SQRT((3630*'BMP P Tracking Table'!$U145+20.691*'BMP P Tracking Table'!$Z145-216.711*'BMP P Tracking Table'!$Y145-83.853*'BMP P Tracking Table'!$X145-42.834*'BMP P Tracking Table'!$W145)^2-(4*(149.919*'BMP P Tracking Table'!$W145+236.676*'BMP P Tracking Table'!$X145+726*'BMP P Tracking Table'!$Y145+996.798*'BMP P Tracking Table'!$Z145)*-'BMP P Tracking Table'!$AW145)))/(2*(149.919*'BMP P Tracking Table'!$W145+236.676*'BMP P Tracking Table'!$X145+726*'BMP P Tracking Table'!$Y145+996.798*'BMP P Tracking Table'!$Z145)))))),"")</f>
        <v/>
      </c>
      <c r="BA145" s="101" t="str">
        <f>IFERROR((VLOOKUP(CONCATENATE('BMP P Tracking Table'!$AV145," ",'BMP P Tracking Table'!$AX145),'Performance Curves'!$C$1:$L$45,MATCH('BMP P Tracking Table'!$AZ145,'Performance Curves'!$E$1:$L$1,1)+2,FALSE)-VLOOKUP(CONCATENATE('BMP P Tracking Table'!$AV145," ",'BMP P Tracking Table'!$AX145),'Performance Curves'!$C$1:$L$45,MATCH('BMP P Tracking Table'!$AZ145,'Performance Curves'!$E$1:$L$1,1)+1,FALSE)),"")</f>
        <v/>
      </c>
      <c r="BB145" s="101" t="str">
        <f>IFERROR(('BMP P Tracking Table'!$AZ145-INDEX('Performance Curves'!$E$1:$L$1,1,MATCH('BMP P Tracking Table'!$AZ145,'Performance Curves'!$E$1:$L$1,1)))/(INDEX('Performance Curves'!$E$1:$L$1,1,MATCH('BMP P Tracking Table'!$AZ145,'Performance Curves'!$E$1:$L$1,1)+1)-INDEX('Performance Curves'!$E$1:$L$1,1,MATCH('BMP P Tracking Table'!$AZ145,'Performance Curves'!$E$1:$L$1,1))),"")</f>
        <v/>
      </c>
      <c r="BC145" s="102" t="str">
        <f>IFERROR(IF('BMP P Tracking Table'!$AZ145=2,VLOOKUP(CONCATENATE('BMP P Tracking Table'!$AV145," ",'BMP P Tracking Table'!$AX145),'Performance Curves'!$C$1:$L$44,MATCH('BMP P Tracking Table'!$AZ145,'Performance Curves'!$E$1:$L$1,1)+1,FALSE),'BMP P Tracking Table'!$BA145*'BMP P Tracking Table'!$BB145+VLOOKUP(CONCATENATE('BMP P Tracking Table'!$AV145," ",'BMP P Tracking Table'!$AX145),'Performance Curves'!$C$1:$L$44,MATCH('BMP P Tracking Table'!$AZ145,'Performance Curves'!$E$1:$L$1,1)+1,FALSE)),"")</f>
        <v/>
      </c>
      <c r="BD145" s="101" t="str">
        <f>IFERROR('BMP P Tracking Table'!$BC145*'BMP P Tracking Table'!$AY145,"")</f>
        <v/>
      </c>
      <c r="BE145" s="96"/>
      <c r="BF145" s="37">
        <f t="shared" si="15"/>
        <v>0</v>
      </c>
    </row>
    <row r="146" spans="1:58" x14ac:dyDescent="0.3">
      <c r="A146" s="64"/>
      <c r="B146" s="64"/>
      <c r="C146" s="64"/>
      <c r="D146" s="64"/>
      <c r="E146" s="93"/>
      <c r="F146" s="93"/>
      <c r="G146" s="64"/>
      <c r="H146" s="64"/>
      <c r="I146" s="64"/>
      <c r="J146" s="94"/>
      <c r="K146" s="64"/>
      <c r="L146" s="64"/>
      <c r="M146" s="64"/>
      <c r="N146" s="64"/>
      <c r="O146" s="64"/>
      <c r="P146" s="64"/>
      <c r="Q146" s="64" t="str">
        <f>IFERROR(VLOOKUP('BMP P Tracking Table'!$P146,Dropdowns!$C$2:$E$15,3,FALSE),"")</f>
        <v/>
      </c>
      <c r="R146" s="64" t="str">
        <f>IFERROR(VLOOKUP('BMP P Tracking Table'!$Q146,Dropdowns!$P$3:$Q$23,2,FALSE),"")</f>
        <v/>
      </c>
      <c r="S146" s="64"/>
      <c r="T146" s="64"/>
      <c r="U146" s="64"/>
      <c r="V146" s="64"/>
      <c r="W146" s="64"/>
      <c r="X146" s="64"/>
      <c r="Y146" s="64"/>
      <c r="Z146" s="64"/>
      <c r="AA146" s="64"/>
      <c r="AB146" s="95"/>
      <c r="AC146" s="64"/>
      <c r="AD146" s="101" t="str">
        <f>IFERROR('BMP P Tracking Table'!$U146*VLOOKUP('BMP P Tracking Table'!$Q146,'Loading Rates'!$B$1:$L$24,4,FALSE)+IF('BMP P Tracking Table'!$V146="By HSG",'BMP P Tracking Table'!$W146*VLOOKUP('BMP P Tracking Table'!$Q146,'Loading Rates'!$B$1:$L$24,6,FALSE)+'BMP P Tracking Table'!$X146*VLOOKUP('BMP P Tracking Table'!$Q146,'Loading Rates'!$B$1:$L$24,7,FALSE)+'BMP P Tracking Table'!$Y146*VLOOKUP('BMP P Tracking Table'!$Q146,'Loading Rates'!$B$1:$L$24,8,FALSE)+'BMP P Tracking Table'!$Z146*VLOOKUP('BMP P Tracking Table'!$Q146,'Loading Rates'!$B$1:$L$24,9,FALSE),'BMP P Tracking Table'!$AA146*VLOOKUP('BMP P Tracking Table'!$Q146,'Loading Rates'!$B$1:$L$24,10,FALSE)),"")</f>
        <v/>
      </c>
      <c r="AE146" s="101" t="str">
        <f>IFERROR(MIN(2,IF('BMP P Tracking Table'!$V146="Total Pervious",(-(3630*'BMP P Tracking Table'!$U146+20.691*'BMP P Tracking Table'!$AA146)+SQRT((3630*'BMP P Tracking Table'!$U146+20.691*'BMP P Tracking Table'!$AA146)^2-(4*(996.798*'BMP P Tracking Table'!$AA146)*-'BMP P Tracking Table'!$AB146)))/(2*(996.798*'BMP P Tracking Table'!$AA146)),IF(SUM('BMP P Tracking Table'!$W146:$Z146)=0,'BMP P Tracking Table'!$AB146/(-3630*'BMP P Tracking Table'!$U146),(-(3630*'BMP P Tracking Table'!$U146+20.691*'BMP P Tracking Table'!$Z146-216.711*'BMP P Tracking Table'!$Y146-83.853*'BMP P Tracking Table'!$X146-42.834*'BMP P Tracking Table'!$W146)+SQRT((3630*'BMP P Tracking Table'!$U146+20.691*'BMP P Tracking Table'!$Z146-216.711*'BMP P Tracking Table'!$Y146-83.853*'BMP P Tracking Table'!$X146-42.834*'BMP P Tracking Table'!$W146)^2-(4*(149.919*'BMP P Tracking Table'!$W146+236.676*'BMP P Tracking Table'!$X146+726*'BMP P Tracking Table'!$Y146+996.798*'BMP P Tracking Table'!$Z146)*-'BMP P Tracking Table'!$AB146)))/(2*(149.919*'BMP P Tracking Table'!$W146+236.676*'BMP P Tracking Table'!$X146+726*'BMP P Tracking Table'!$Y146+996.798*'BMP P Tracking Table'!$Z146))))),"")</f>
        <v/>
      </c>
      <c r="AF146" s="101" t="str">
        <f>IFERROR((VLOOKUP(CONCATENATE('BMP P Tracking Table'!$T146," ",'BMP P Tracking Table'!$AC146),'Performance Curves'!$C$1:$L$45,MATCH('BMP P Tracking Table'!$AE146,'Performance Curves'!$E$1:$L$1,1)+2,FALSE)-VLOOKUP(CONCATENATE('BMP P Tracking Table'!$T146," ",'BMP P Tracking Table'!$AC146),'Performance Curves'!$C$1:$L$45,MATCH('BMP P Tracking Table'!$AE146,'Performance Curves'!$E$1:$L$1,1)+1,FALSE)),"")</f>
        <v/>
      </c>
      <c r="AG146" s="101" t="str">
        <f>IFERROR(('BMP P Tracking Table'!$AE146-INDEX('Performance Curves'!$E$1:$L$1,1,MATCH('BMP P Tracking Table'!$AE146,'Performance Curves'!$E$1:$L$1,1)))/(INDEX('Performance Curves'!$E$1:$L$1,1,MATCH('BMP P Tracking Table'!$AE146,'Performance Curves'!$E$1:$L$1,1)+1)-INDEX('Performance Curves'!$E$1:$L$1,1,MATCH('BMP P Tracking Table'!$AE146,'Performance Curves'!$E$1:$L$1,1))),"")</f>
        <v/>
      </c>
      <c r="AH146" s="102" t="str">
        <f>IFERROR(IF('BMP P Tracking Table'!$AE146=2,VLOOKUP(CONCATENATE('BMP P Tracking Table'!$T146," ",'BMP P Tracking Table'!$AC146),'Performance Curves'!$C$1:$L$45,MATCH('BMP P Tracking Table'!$AE146,'Performance Curves'!$E$1:$L$1,1)+1,FALSE),'BMP P Tracking Table'!$AF146*'BMP P Tracking Table'!$AG146+VLOOKUP(CONCATENATE('BMP P Tracking Table'!$T146," ",'BMP P Tracking Table'!$AC146),'Performance Curves'!$C$1:$L$45,MATCH('BMP P Tracking Table'!$AE146,'Performance Curves'!$E$1:$L$1,1)+1,FALSE)),"")</f>
        <v/>
      </c>
      <c r="AI146" s="101" t="str">
        <f>IFERROR('BMP P Tracking Table'!$AH146*'BMP P Tracking Table'!$AD146,"")</f>
        <v/>
      </c>
      <c r="AJ146" s="64"/>
      <c r="AK146" s="96"/>
      <c r="AL146" s="96"/>
      <c r="AM146" s="63"/>
      <c r="AN146" s="99" t="str">
        <f t="shared" si="14"/>
        <v/>
      </c>
      <c r="AO146" s="96"/>
      <c r="AP146" s="96"/>
      <c r="AQ146" s="96"/>
      <c r="AR146" s="96"/>
      <c r="AS146" s="96"/>
      <c r="AT146" s="96"/>
      <c r="AU146" s="96"/>
      <c r="AV146" s="64"/>
      <c r="AW146" s="97"/>
      <c r="AX146" s="97"/>
      <c r="AY146" s="101" t="str">
        <f>IF('BMP P Tracking Table'!$AK146="Yes",IF('BMP P Tracking Table'!$AL146="No",'BMP P Tracking Table'!$U146*VLOOKUP('BMP P Tracking Table'!$Q146,'Loading Rates'!$B$1:$L$24,4,FALSE)+IF('BMP P Tracking Table'!$V146="By HSG",'BMP P Tracking Table'!$W146*VLOOKUP('BMP P Tracking Table'!$Q146,'Loading Rates'!$B$1:$L$24,6,FALSE)+'BMP P Tracking Table'!$X146*VLOOKUP('BMP P Tracking Table'!$Q146,'Loading Rates'!$B$1:$L$24,7,FALSE)+'BMP P Tracking Table'!$Y146*VLOOKUP('BMP P Tracking Table'!$Q146,'Loading Rates'!$B$1:$L$24,8,FALSE)+'BMP P Tracking Table'!$Z146*VLOOKUP('BMP P Tracking Table'!$Q146,'Loading Rates'!$B$1:$L$24,9,FALSE),'BMP P Tracking Table'!$AA146*VLOOKUP('BMP P Tracking Table'!$Q146,'Loading Rates'!$B$1:$L$24,10,FALSE)),'BMP P Tracking Table'!$AO146*VLOOKUP('BMP P Tracking Table'!$Q146,'Loading Rates'!$B$1:$L$24,4,FALSE)+IF('BMP P Tracking Table'!$AP146="By HSG",'BMP P Tracking Table'!$AQ146*VLOOKUP('BMP P Tracking Table'!$Q146,'Loading Rates'!$B$1:$L$24,6,FALSE)+'BMP P Tracking Table'!$AR146*VLOOKUP('BMP P Tracking Table'!$Q146,'Loading Rates'!$B$1:$L$24,7,FALSE)+'BMP P Tracking Table'!$AS146*VLOOKUP('BMP P Tracking Table'!$Q146,'Loading Rates'!$B$1:$L$24,8,FALSE)+'BMP P Tracking Table'!$AT146*VLOOKUP('BMP P Tracking Table'!$Q146,'Loading Rates'!$B$1:$L$24,9,FALSE),'BMP P Tracking Table'!$AU146*VLOOKUP('BMP P Tracking Table'!$Q146,'Loading Rates'!$B$1:$L$24,10,FALSE))),"")</f>
        <v/>
      </c>
      <c r="AZ146" s="101" t="str">
        <f>IFERROR(IF('BMP P Tracking Table'!$AL146="Yes",MIN(2,IF('BMP P Tracking Table'!$AP146="Total Pervious",(-(3630*'BMP P Tracking Table'!$AO146+20.691*'BMP P Tracking Table'!$AU146)+SQRT((3630*'BMP P Tracking Table'!$AO146+20.691*'BMP P Tracking Table'!$AU146)^2-(4*(996.798*'BMP P Tracking Table'!$AU146)*-'BMP P Tracking Table'!$AW146)))/(2*(996.798*'BMP P Tracking Table'!$AU146)),IF(SUM('BMP P Tracking Table'!$AQ146:$AT146)=0,'BMP P Tracking Table'!$AU146/(-3630*'BMP P Tracking Table'!$AO146),(-(3630*'BMP P Tracking Table'!$AO146+20.691*'BMP P Tracking Table'!$AT146-216.711*'BMP P Tracking Table'!$AS146-83.853*'BMP P Tracking Table'!$AR146-42.834*'BMP P Tracking Table'!$AQ146)+SQRT((3630*'BMP P Tracking Table'!$AO146+20.691*'BMP P Tracking Table'!$AT146-216.711*'BMP P Tracking Table'!$AS146-83.853*'BMP P Tracking Table'!$AR146-42.834*'BMP P Tracking Table'!$AQ146)^2-(4*(149.919*'BMP P Tracking Table'!$AQ146+236.676*'BMP P Tracking Table'!$AR146+726*'BMP P Tracking Table'!$AS146+996.798*'BMP P Tracking Table'!$AT146)*-'BMP P Tracking Table'!$AW146)))/(2*(149.919*'BMP P Tracking Table'!$AQ146+236.676*'BMP P Tracking Table'!$AR146+726*'BMP P Tracking Table'!$AS146+996.798*'BMP P Tracking Table'!$AT146))))),MIN(2,IF('BMP P Tracking Table'!$AP146="Total Pervious",(-(3630*'BMP P Tracking Table'!$U146+20.691*'BMP P Tracking Table'!$AA146)+SQRT((3630*'BMP P Tracking Table'!$U146+20.691*'BMP P Tracking Table'!$AA146)^2-(4*(996.798*'BMP P Tracking Table'!$AA146)*-'BMP P Tracking Table'!$AW146)))/(2*(996.798*'BMP P Tracking Table'!$AA146)),IF(SUM('BMP P Tracking Table'!$W146:$Z146)=0,'BMP P Tracking Table'!$AW146/(-3630*'BMP P Tracking Table'!$U146),(-(3630*'BMP P Tracking Table'!$U146+20.691*'BMP P Tracking Table'!$Z146-216.711*'BMP P Tracking Table'!$Y146-83.853*'BMP P Tracking Table'!$X146-42.834*'BMP P Tracking Table'!$W146)+SQRT((3630*'BMP P Tracking Table'!$U146+20.691*'BMP P Tracking Table'!$Z146-216.711*'BMP P Tracking Table'!$Y146-83.853*'BMP P Tracking Table'!$X146-42.834*'BMP P Tracking Table'!$W146)^2-(4*(149.919*'BMP P Tracking Table'!$W146+236.676*'BMP P Tracking Table'!$X146+726*'BMP P Tracking Table'!$Y146+996.798*'BMP P Tracking Table'!$Z146)*-'BMP P Tracking Table'!$AW146)))/(2*(149.919*'BMP P Tracking Table'!$W146+236.676*'BMP P Tracking Table'!$X146+726*'BMP P Tracking Table'!$Y146+996.798*'BMP P Tracking Table'!$Z146)))))),"")</f>
        <v/>
      </c>
      <c r="BA146" s="101" t="str">
        <f>IFERROR((VLOOKUP(CONCATENATE('BMP P Tracking Table'!$AV146," ",'BMP P Tracking Table'!$AX146),'Performance Curves'!$C$1:$L$45,MATCH('BMP P Tracking Table'!$AZ146,'Performance Curves'!$E$1:$L$1,1)+2,FALSE)-VLOOKUP(CONCATENATE('BMP P Tracking Table'!$AV146," ",'BMP P Tracking Table'!$AX146),'Performance Curves'!$C$1:$L$45,MATCH('BMP P Tracking Table'!$AZ146,'Performance Curves'!$E$1:$L$1,1)+1,FALSE)),"")</f>
        <v/>
      </c>
      <c r="BB146" s="101" t="str">
        <f>IFERROR(('BMP P Tracking Table'!$AZ146-INDEX('Performance Curves'!$E$1:$L$1,1,MATCH('BMP P Tracking Table'!$AZ146,'Performance Curves'!$E$1:$L$1,1)))/(INDEX('Performance Curves'!$E$1:$L$1,1,MATCH('BMP P Tracking Table'!$AZ146,'Performance Curves'!$E$1:$L$1,1)+1)-INDEX('Performance Curves'!$E$1:$L$1,1,MATCH('BMP P Tracking Table'!$AZ146,'Performance Curves'!$E$1:$L$1,1))),"")</f>
        <v/>
      </c>
      <c r="BC146" s="102" t="str">
        <f>IFERROR(IF('BMP P Tracking Table'!$AZ146=2,VLOOKUP(CONCATENATE('BMP P Tracking Table'!$AV146," ",'BMP P Tracking Table'!$AX146),'Performance Curves'!$C$1:$L$44,MATCH('BMP P Tracking Table'!$AZ146,'Performance Curves'!$E$1:$L$1,1)+1,FALSE),'BMP P Tracking Table'!$BA146*'BMP P Tracking Table'!$BB146+VLOOKUP(CONCATENATE('BMP P Tracking Table'!$AV146," ",'BMP P Tracking Table'!$AX146),'Performance Curves'!$C$1:$L$44,MATCH('BMP P Tracking Table'!$AZ146,'Performance Curves'!$E$1:$L$1,1)+1,FALSE)),"")</f>
        <v/>
      </c>
      <c r="BD146" s="101" t="str">
        <f>IFERROR('BMP P Tracking Table'!$BC146*'BMP P Tracking Table'!$AY146,"")</f>
        <v/>
      </c>
      <c r="BE146" s="91"/>
      <c r="BF146" s="37">
        <f t="shared" si="15"/>
        <v>0</v>
      </c>
    </row>
    <row r="147" spans="1:58" x14ac:dyDescent="0.3">
      <c r="A147" s="64"/>
      <c r="B147" s="64"/>
      <c r="C147" s="64"/>
      <c r="D147" s="64"/>
      <c r="E147" s="93"/>
      <c r="F147" s="93"/>
      <c r="G147" s="64"/>
      <c r="H147" s="64"/>
      <c r="I147" s="64"/>
      <c r="J147" s="94"/>
      <c r="K147" s="64"/>
      <c r="L147" s="64"/>
      <c r="M147" s="64"/>
      <c r="N147" s="64"/>
      <c r="O147" s="64"/>
      <c r="P147" s="64"/>
      <c r="Q147" s="64" t="str">
        <f>IFERROR(VLOOKUP('BMP P Tracking Table'!$P147,Dropdowns!$C$2:$E$15,3,FALSE),"")</f>
        <v/>
      </c>
      <c r="R147" s="64" t="str">
        <f>IFERROR(VLOOKUP('BMP P Tracking Table'!$Q147,Dropdowns!$P$3:$Q$23,2,FALSE),"")</f>
        <v/>
      </c>
      <c r="S147" s="64"/>
      <c r="T147" s="64"/>
      <c r="U147" s="64"/>
      <c r="V147" s="64"/>
      <c r="W147" s="64"/>
      <c r="X147" s="64"/>
      <c r="Y147" s="64"/>
      <c r="Z147" s="64"/>
      <c r="AA147" s="64"/>
      <c r="AB147" s="95"/>
      <c r="AC147" s="64"/>
      <c r="AD147" s="101" t="str">
        <f>IFERROR('BMP P Tracking Table'!$U147*VLOOKUP('BMP P Tracking Table'!$Q147,'Loading Rates'!$B$1:$L$24,4,FALSE)+IF('BMP P Tracking Table'!$V147="By HSG",'BMP P Tracking Table'!$W147*VLOOKUP('BMP P Tracking Table'!$Q147,'Loading Rates'!$B$1:$L$24,6,FALSE)+'BMP P Tracking Table'!$X147*VLOOKUP('BMP P Tracking Table'!$Q147,'Loading Rates'!$B$1:$L$24,7,FALSE)+'BMP P Tracking Table'!$Y147*VLOOKUP('BMP P Tracking Table'!$Q147,'Loading Rates'!$B$1:$L$24,8,FALSE)+'BMP P Tracking Table'!$Z147*VLOOKUP('BMP P Tracking Table'!$Q147,'Loading Rates'!$B$1:$L$24,9,FALSE),'BMP P Tracking Table'!$AA147*VLOOKUP('BMP P Tracking Table'!$Q147,'Loading Rates'!$B$1:$L$24,10,FALSE)),"")</f>
        <v/>
      </c>
      <c r="AE147" s="101" t="str">
        <f>IFERROR(MIN(2,IF('BMP P Tracking Table'!$V147="Total Pervious",(-(3630*'BMP P Tracking Table'!$U147+20.691*'BMP P Tracking Table'!$AA147)+SQRT((3630*'BMP P Tracking Table'!$U147+20.691*'BMP P Tracking Table'!$AA147)^2-(4*(996.798*'BMP P Tracking Table'!$AA147)*-'BMP P Tracking Table'!$AB147)))/(2*(996.798*'BMP P Tracking Table'!$AA147)),IF(SUM('BMP P Tracking Table'!$W147:$Z147)=0,'BMP P Tracking Table'!$AB147/(-3630*'BMP P Tracking Table'!$U147),(-(3630*'BMP P Tracking Table'!$U147+20.691*'BMP P Tracking Table'!$Z147-216.711*'BMP P Tracking Table'!$Y147-83.853*'BMP P Tracking Table'!$X147-42.834*'BMP P Tracking Table'!$W147)+SQRT((3630*'BMP P Tracking Table'!$U147+20.691*'BMP P Tracking Table'!$Z147-216.711*'BMP P Tracking Table'!$Y147-83.853*'BMP P Tracking Table'!$X147-42.834*'BMP P Tracking Table'!$W147)^2-(4*(149.919*'BMP P Tracking Table'!$W147+236.676*'BMP P Tracking Table'!$X147+726*'BMP P Tracking Table'!$Y147+996.798*'BMP P Tracking Table'!$Z147)*-'BMP P Tracking Table'!$AB147)))/(2*(149.919*'BMP P Tracking Table'!$W147+236.676*'BMP P Tracking Table'!$X147+726*'BMP P Tracking Table'!$Y147+996.798*'BMP P Tracking Table'!$Z147))))),"")</f>
        <v/>
      </c>
      <c r="AF147" s="101" t="str">
        <f>IFERROR((VLOOKUP(CONCATENATE('BMP P Tracking Table'!$T147," ",'BMP P Tracking Table'!$AC147),'Performance Curves'!$C$1:$L$45,MATCH('BMP P Tracking Table'!$AE147,'Performance Curves'!$E$1:$L$1,1)+2,FALSE)-VLOOKUP(CONCATENATE('BMP P Tracking Table'!$T147," ",'BMP P Tracking Table'!$AC147),'Performance Curves'!$C$1:$L$45,MATCH('BMP P Tracking Table'!$AE147,'Performance Curves'!$E$1:$L$1,1)+1,FALSE)),"")</f>
        <v/>
      </c>
      <c r="AG147" s="101" t="str">
        <f>IFERROR(('BMP P Tracking Table'!$AE147-INDEX('Performance Curves'!$E$1:$L$1,1,MATCH('BMP P Tracking Table'!$AE147,'Performance Curves'!$E$1:$L$1,1)))/(INDEX('Performance Curves'!$E$1:$L$1,1,MATCH('BMP P Tracking Table'!$AE147,'Performance Curves'!$E$1:$L$1,1)+1)-INDEX('Performance Curves'!$E$1:$L$1,1,MATCH('BMP P Tracking Table'!$AE147,'Performance Curves'!$E$1:$L$1,1))),"")</f>
        <v/>
      </c>
      <c r="AH147" s="102" t="str">
        <f>IFERROR(IF('BMP P Tracking Table'!$AE147=2,VLOOKUP(CONCATENATE('BMP P Tracking Table'!$T147," ",'BMP P Tracking Table'!$AC147),'Performance Curves'!$C$1:$L$45,MATCH('BMP P Tracking Table'!$AE147,'Performance Curves'!$E$1:$L$1,1)+1,FALSE),'BMP P Tracking Table'!$AF147*'BMP P Tracking Table'!$AG147+VLOOKUP(CONCATENATE('BMP P Tracking Table'!$T147," ",'BMP P Tracking Table'!$AC147),'Performance Curves'!$C$1:$L$45,MATCH('BMP P Tracking Table'!$AE147,'Performance Curves'!$E$1:$L$1,1)+1,FALSE)),"")</f>
        <v/>
      </c>
      <c r="AI147" s="101" t="str">
        <f>IFERROR('BMP P Tracking Table'!$AH147*'BMP P Tracking Table'!$AD147,"")</f>
        <v/>
      </c>
      <c r="AJ147" s="64"/>
      <c r="AK147" s="96"/>
      <c r="AL147" s="96"/>
      <c r="AM147" s="63"/>
      <c r="AN147" s="99" t="str">
        <f t="shared" si="14"/>
        <v/>
      </c>
      <c r="AO147" s="96"/>
      <c r="AP147" s="96"/>
      <c r="AQ147" s="96"/>
      <c r="AR147" s="96"/>
      <c r="AS147" s="96"/>
      <c r="AT147" s="96"/>
      <c r="AU147" s="96"/>
      <c r="AV147" s="64"/>
      <c r="AW147" s="97"/>
      <c r="AX147" s="97"/>
      <c r="AY147" s="101" t="str">
        <f>IF('BMP P Tracking Table'!$AK147="Yes",IF('BMP P Tracking Table'!$AL147="No",'BMP P Tracking Table'!$U147*VLOOKUP('BMP P Tracking Table'!$Q147,'Loading Rates'!$B$1:$L$24,4,FALSE)+IF('BMP P Tracking Table'!$V147="By HSG",'BMP P Tracking Table'!$W147*VLOOKUP('BMP P Tracking Table'!$Q147,'Loading Rates'!$B$1:$L$24,6,FALSE)+'BMP P Tracking Table'!$X147*VLOOKUP('BMP P Tracking Table'!$Q147,'Loading Rates'!$B$1:$L$24,7,FALSE)+'BMP P Tracking Table'!$Y147*VLOOKUP('BMP P Tracking Table'!$Q147,'Loading Rates'!$B$1:$L$24,8,FALSE)+'BMP P Tracking Table'!$Z147*VLOOKUP('BMP P Tracking Table'!$Q147,'Loading Rates'!$B$1:$L$24,9,FALSE),'BMP P Tracking Table'!$AA147*VLOOKUP('BMP P Tracking Table'!$Q147,'Loading Rates'!$B$1:$L$24,10,FALSE)),'BMP P Tracking Table'!$AO147*VLOOKUP('BMP P Tracking Table'!$Q147,'Loading Rates'!$B$1:$L$24,4,FALSE)+IF('BMP P Tracking Table'!$AP147="By HSG",'BMP P Tracking Table'!$AQ147*VLOOKUP('BMP P Tracking Table'!$Q147,'Loading Rates'!$B$1:$L$24,6,FALSE)+'BMP P Tracking Table'!$AR147*VLOOKUP('BMP P Tracking Table'!$Q147,'Loading Rates'!$B$1:$L$24,7,FALSE)+'BMP P Tracking Table'!$AS147*VLOOKUP('BMP P Tracking Table'!$Q147,'Loading Rates'!$B$1:$L$24,8,FALSE)+'BMP P Tracking Table'!$AT147*VLOOKUP('BMP P Tracking Table'!$Q147,'Loading Rates'!$B$1:$L$24,9,FALSE),'BMP P Tracking Table'!$AU147*VLOOKUP('BMP P Tracking Table'!$Q147,'Loading Rates'!$B$1:$L$24,10,FALSE))),"")</f>
        <v/>
      </c>
      <c r="AZ147" s="101" t="str">
        <f>IFERROR(IF('BMP P Tracking Table'!$AL147="Yes",MIN(2,IF('BMP P Tracking Table'!$AP147="Total Pervious",(-(3630*'BMP P Tracking Table'!$AO147+20.691*'BMP P Tracking Table'!$AU147)+SQRT((3630*'BMP P Tracking Table'!$AO147+20.691*'BMP P Tracking Table'!$AU147)^2-(4*(996.798*'BMP P Tracking Table'!$AU147)*-'BMP P Tracking Table'!$AW147)))/(2*(996.798*'BMP P Tracking Table'!$AU147)),IF(SUM('BMP P Tracking Table'!$AQ147:$AT147)=0,'BMP P Tracking Table'!$AU147/(-3630*'BMP P Tracking Table'!$AO147),(-(3630*'BMP P Tracking Table'!$AO147+20.691*'BMP P Tracking Table'!$AT147-216.711*'BMP P Tracking Table'!$AS147-83.853*'BMP P Tracking Table'!$AR147-42.834*'BMP P Tracking Table'!$AQ147)+SQRT((3630*'BMP P Tracking Table'!$AO147+20.691*'BMP P Tracking Table'!$AT147-216.711*'BMP P Tracking Table'!$AS147-83.853*'BMP P Tracking Table'!$AR147-42.834*'BMP P Tracking Table'!$AQ147)^2-(4*(149.919*'BMP P Tracking Table'!$AQ147+236.676*'BMP P Tracking Table'!$AR147+726*'BMP P Tracking Table'!$AS147+996.798*'BMP P Tracking Table'!$AT147)*-'BMP P Tracking Table'!$AW147)))/(2*(149.919*'BMP P Tracking Table'!$AQ147+236.676*'BMP P Tracking Table'!$AR147+726*'BMP P Tracking Table'!$AS147+996.798*'BMP P Tracking Table'!$AT147))))),MIN(2,IF('BMP P Tracking Table'!$AP147="Total Pervious",(-(3630*'BMP P Tracking Table'!$U147+20.691*'BMP P Tracking Table'!$AA147)+SQRT((3630*'BMP P Tracking Table'!$U147+20.691*'BMP P Tracking Table'!$AA147)^2-(4*(996.798*'BMP P Tracking Table'!$AA147)*-'BMP P Tracking Table'!$AW147)))/(2*(996.798*'BMP P Tracking Table'!$AA147)),IF(SUM('BMP P Tracking Table'!$W147:$Z147)=0,'BMP P Tracking Table'!$AW147/(-3630*'BMP P Tracking Table'!$U147),(-(3630*'BMP P Tracking Table'!$U147+20.691*'BMP P Tracking Table'!$Z147-216.711*'BMP P Tracking Table'!$Y147-83.853*'BMP P Tracking Table'!$X147-42.834*'BMP P Tracking Table'!$W147)+SQRT((3630*'BMP P Tracking Table'!$U147+20.691*'BMP P Tracking Table'!$Z147-216.711*'BMP P Tracking Table'!$Y147-83.853*'BMP P Tracking Table'!$X147-42.834*'BMP P Tracking Table'!$W147)^2-(4*(149.919*'BMP P Tracking Table'!$W147+236.676*'BMP P Tracking Table'!$X147+726*'BMP P Tracking Table'!$Y147+996.798*'BMP P Tracking Table'!$Z147)*-'BMP P Tracking Table'!$AW147)))/(2*(149.919*'BMP P Tracking Table'!$W147+236.676*'BMP P Tracking Table'!$X147+726*'BMP P Tracking Table'!$Y147+996.798*'BMP P Tracking Table'!$Z147)))))),"")</f>
        <v/>
      </c>
      <c r="BA147" s="101" t="str">
        <f>IFERROR((VLOOKUP(CONCATENATE('BMP P Tracking Table'!$AV147," ",'BMP P Tracking Table'!$AX147),'Performance Curves'!$C$1:$L$45,MATCH('BMP P Tracking Table'!$AZ147,'Performance Curves'!$E$1:$L$1,1)+2,FALSE)-VLOOKUP(CONCATENATE('BMP P Tracking Table'!$AV147," ",'BMP P Tracking Table'!$AX147),'Performance Curves'!$C$1:$L$45,MATCH('BMP P Tracking Table'!$AZ147,'Performance Curves'!$E$1:$L$1,1)+1,FALSE)),"")</f>
        <v/>
      </c>
      <c r="BB147" s="101" t="str">
        <f>IFERROR(('BMP P Tracking Table'!$AZ147-INDEX('Performance Curves'!$E$1:$L$1,1,MATCH('BMP P Tracking Table'!$AZ147,'Performance Curves'!$E$1:$L$1,1)))/(INDEX('Performance Curves'!$E$1:$L$1,1,MATCH('BMP P Tracking Table'!$AZ147,'Performance Curves'!$E$1:$L$1,1)+1)-INDEX('Performance Curves'!$E$1:$L$1,1,MATCH('BMP P Tracking Table'!$AZ147,'Performance Curves'!$E$1:$L$1,1))),"")</f>
        <v/>
      </c>
      <c r="BC147" s="102" t="str">
        <f>IFERROR(IF('BMP P Tracking Table'!$AZ147=2,VLOOKUP(CONCATENATE('BMP P Tracking Table'!$AV147," ",'BMP P Tracking Table'!$AX147),'Performance Curves'!$C$1:$L$44,MATCH('BMP P Tracking Table'!$AZ147,'Performance Curves'!$E$1:$L$1,1)+1,FALSE),'BMP P Tracking Table'!$BA147*'BMP P Tracking Table'!$BB147+VLOOKUP(CONCATENATE('BMP P Tracking Table'!$AV147," ",'BMP P Tracking Table'!$AX147),'Performance Curves'!$C$1:$L$44,MATCH('BMP P Tracking Table'!$AZ147,'Performance Curves'!$E$1:$L$1,1)+1,FALSE)),"")</f>
        <v/>
      </c>
      <c r="BD147" s="101" t="str">
        <f>IFERROR('BMP P Tracking Table'!$BC147*'BMP P Tracking Table'!$AY147,"")</f>
        <v/>
      </c>
      <c r="BE147" s="96"/>
      <c r="BF147" s="37">
        <f t="shared" si="15"/>
        <v>0</v>
      </c>
    </row>
    <row r="148" spans="1:58" x14ac:dyDescent="0.3">
      <c r="A148" s="64"/>
      <c r="B148" s="64"/>
      <c r="C148" s="64"/>
      <c r="D148" s="64"/>
      <c r="E148" s="93"/>
      <c r="F148" s="93"/>
      <c r="G148" s="64"/>
      <c r="H148" s="64"/>
      <c r="I148" s="64"/>
      <c r="J148" s="94"/>
      <c r="K148" s="64"/>
      <c r="L148" s="64"/>
      <c r="M148" s="64"/>
      <c r="N148" s="64"/>
      <c r="O148" s="64"/>
      <c r="P148" s="64"/>
      <c r="Q148" s="64" t="str">
        <f>IFERROR(VLOOKUP('BMP P Tracking Table'!$P148,Dropdowns!$C$2:$E$15,3,FALSE),"")</f>
        <v/>
      </c>
      <c r="R148" s="64" t="str">
        <f>IFERROR(VLOOKUP('BMP P Tracking Table'!$Q148,Dropdowns!$P$3:$Q$23,2,FALSE),"")</f>
        <v/>
      </c>
      <c r="S148" s="64"/>
      <c r="T148" s="64"/>
      <c r="U148" s="64"/>
      <c r="V148" s="64"/>
      <c r="W148" s="64"/>
      <c r="X148" s="64"/>
      <c r="Y148" s="64"/>
      <c r="Z148" s="64"/>
      <c r="AA148" s="64"/>
      <c r="AB148" s="95"/>
      <c r="AC148" s="64"/>
      <c r="AD148" s="101" t="str">
        <f>IFERROR('BMP P Tracking Table'!$U148*VLOOKUP('BMP P Tracking Table'!$Q148,'Loading Rates'!$B$1:$L$24,4,FALSE)+IF('BMP P Tracking Table'!$V148="By HSG",'BMP P Tracking Table'!$W148*VLOOKUP('BMP P Tracking Table'!$Q148,'Loading Rates'!$B$1:$L$24,6,FALSE)+'BMP P Tracking Table'!$X148*VLOOKUP('BMP P Tracking Table'!$Q148,'Loading Rates'!$B$1:$L$24,7,FALSE)+'BMP P Tracking Table'!$Y148*VLOOKUP('BMP P Tracking Table'!$Q148,'Loading Rates'!$B$1:$L$24,8,FALSE)+'BMP P Tracking Table'!$Z148*VLOOKUP('BMP P Tracking Table'!$Q148,'Loading Rates'!$B$1:$L$24,9,FALSE),'BMP P Tracking Table'!$AA148*VLOOKUP('BMP P Tracking Table'!$Q148,'Loading Rates'!$B$1:$L$24,10,FALSE)),"")</f>
        <v/>
      </c>
      <c r="AE148" s="101" t="str">
        <f>IFERROR(MIN(2,IF('BMP P Tracking Table'!$V148="Total Pervious",(-(3630*'BMP P Tracking Table'!$U148+20.691*'BMP P Tracking Table'!$AA148)+SQRT((3630*'BMP P Tracking Table'!$U148+20.691*'BMP P Tracking Table'!$AA148)^2-(4*(996.798*'BMP P Tracking Table'!$AA148)*-'BMP P Tracking Table'!$AB148)))/(2*(996.798*'BMP P Tracking Table'!$AA148)),IF(SUM('BMP P Tracking Table'!$W148:$Z148)=0,'BMP P Tracking Table'!$AB148/(-3630*'BMP P Tracking Table'!$U148),(-(3630*'BMP P Tracking Table'!$U148+20.691*'BMP P Tracking Table'!$Z148-216.711*'BMP P Tracking Table'!$Y148-83.853*'BMP P Tracking Table'!$X148-42.834*'BMP P Tracking Table'!$W148)+SQRT((3630*'BMP P Tracking Table'!$U148+20.691*'BMP P Tracking Table'!$Z148-216.711*'BMP P Tracking Table'!$Y148-83.853*'BMP P Tracking Table'!$X148-42.834*'BMP P Tracking Table'!$W148)^2-(4*(149.919*'BMP P Tracking Table'!$W148+236.676*'BMP P Tracking Table'!$X148+726*'BMP P Tracking Table'!$Y148+996.798*'BMP P Tracking Table'!$Z148)*-'BMP P Tracking Table'!$AB148)))/(2*(149.919*'BMP P Tracking Table'!$W148+236.676*'BMP P Tracking Table'!$X148+726*'BMP P Tracking Table'!$Y148+996.798*'BMP P Tracking Table'!$Z148))))),"")</f>
        <v/>
      </c>
      <c r="AF148" s="101" t="str">
        <f>IFERROR((VLOOKUP(CONCATENATE('BMP P Tracking Table'!$T148," ",'BMP P Tracking Table'!$AC148),'Performance Curves'!$C$1:$L$45,MATCH('BMP P Tracking Table'!$AE148,'Performance Curves'!$E$1:$L$1,1)+2,FALSE)-VLOOKUP(CONCATENATE('BMP P Tracking Table'!$T148," ",'BMP P Tracking Table'!$AC148),'Performance Curves'!$C$1:$L$45,MATCH('BMP P Tracking Table'!$AE148,'Performance Curves'!$E$1:$L$1,1)+1,FALSE)),"")</f>
        <v/>
      </c>
      <c r="AG148" s="101" t="str">
        <f>IFERROR(('BMP P Tracking Table'!$AE148-INDEX('Performance Curves'!$E$1:$L$1,1,MATCH('BMP P Tracking Table'!$AE148,'Performance Curves'!$E$1:$L$1,1)))/(INDEX('Performance Curves'!$E$1:$L$1,1,MATCH('BMP P Tracking Table'!$AE148,'Performance Curves'!$E$1:$L$1,1)+1)-INDEX('Performance Curves'!$E$1:$L$1,1,MATCH('BMP P Tracking Table'!$AE148,'Performance Curves'!$E$1:$L$1,1))),"")</f>
        <v/>
      </c>
      <c r="AH148" s="102" t="str">
        <f>IFERROR(IF('BMP P Tracking Table'!$AE148=2,VLOOKUP(CONCATENATE('BMP P Tracking Table'!$T148," ",'BMP P Tracking Table'!$AC148),'Performance Curves'!$C$1:$L$45,MATCH('BMP P Tracking Table'!$AE148,'Performance Curves'!$E$1:$L$1,1)+1,FALSE),'BMP P Tracking Table'!$AF148*'BMP P Tracking Table'!$AG148+VLOOKUP(CONCATENATE('BMP P Tracking Table'!$T148," ",'BMP P Tracking Table'!$AC148),'Performance Curves'!$C$1:$L$45,MATCH('BMP P Tracking Table'!$AE148,'Performance Curves'!$E$1:$L$1,1)+1,FALSE)),"")</f>
        <v/>
      </c>
      <c r="AI148" s="101" t="str">
        <f>IFERROR('BMP P Tracking Table'!$AH148*'BMP P Tracking Table'!$AD148,"")</f>
        <v/>
      </c>
      <c r="AJ148" s="64"/>
      <c r="AK148" s="96"/>
      <c r="AL148" s="96"/>
      <c r="AM148" s="63"/>
      <c r="AN148" s="99" t="str">
        <f t="shared" si="14"/>
        <v/>
      </c>
      <c r="AO148" s="96"/>
      <c r="AP148" s="96"/>
      <c r="AQ148" s="96"/>
      <c r="AR148" s="96"/>
      <c r="AS148" s="96"/>
      <c r="AT148" s="96"/>
      <c r="AU148" s="96"/>
      <c r="AV148" s="64"/>
      <c r="AW148" s="97"/>
      <c r="AX148" s="97"/>
      <c r="AY148" s="101" t="str">
        <f>IF('BMP P Tracking Table'!$AK148="Yes",IF('BMP P Tracking Table'!$AL148="No",'BMP P Tracking Table'!$U148*VLOOKUP('BMP P Tracking Table'!$Q148,'Loading Rates'!$B$1:$L$24,4,FALSE)+IF('BMP P Tracking Table'!$V148="By HSG",'BMP P Tracking Table'!$W148*VLOOKUP('BMP P Tracking Table'!$Q148,'Loading Rates'!$B$1:$L$24,6,FALSE)+'BMP P Tracking Table'!$X148*VLOOKUP('BMP P Tracking Table'!$Q148,'Loading Rates'!$B$1:$L$24,7,FALSE)+'BMP P Tracking Table'!$Y148*VLOOKUP('BMP P Tracking Table'!$Q148,'Loading Rates'!$B$1:$L$24,8,FALSE)+'BMP P Tracking Table'!$Z148*VLOOKUP('BMP P Tracking Table'!$Q148,'Loading Rates'!$B$1:$L$24,9,FALSE),'BMP P Tracking Table'!$AA148*VLOOKUP('BMP P Tracking Table'!$Q148,'Loading Rates'!$B$1:$L$24,10,FALSE)),'BMP P Tracking Table'!$AO148*VLOOKUP('BMP P Tracking Table'!$Q148,'Loading Rates'!$B$1:$L$24,4,FALSE)+IF('BMP P Tracking Table'!$AP148="By HSG",'BMP P Tracking Table'!$AQ148*VLOOKUP('BMP P Tracking Table'!$Q148,'Loading Rates'!$B$1:$L$24,6,FALSE)+'BMP P Tracking Table'!$AR148*VLOOKUP('BMP P Tracking Table'!$Q148,'Loading Rates'!$B$1:$L$24,7,FALSE)+'BMP P Tracking Table'!$AS148*VLOOKUP('BMP P Tracking Table'!$Q148,'Loading Rates'!$B$1:$L$24,8,FALSE)+'BMP P Tracking Table'!$AT148*VLOOKUP('BMP P Tracking Table'!$Q148,'Loading Rates'!$B$1:$L$24,9,FALSE),'BMP P Tracking Table'!$AU148*VLOOKUP('BMP P Tracking Table'!$Q148,'Loading Rates'!$B$1:$L$24,10,FALSE))),"")</f>
        <v/>
      </c>
      <c r="AZ148" s="101" t="str">
        <f>IFERROR(IF('BMP P Tracking Table'!$AL148="Yes",MIN(2,IF('BMP P Tracking Table'!$AP148="Total Pervious",(-(3630*'BMP P Tracking Table'!$AO148+20.691*'BMP P Tracking Table'!$AU148)+SQRT((3630*'BMP P Tracking Table'!$AO148+20.691*'BMP P Tracking Table'!$AU148)^2-(4*(996.798*'BMP P Tracking Table'!$AU148)*-'BMP P Tracking Table'!$AW148)))/(2*(996.798*'BMP P Tracking Table'!$AU148)),IF(SUM('BMP P Tracking Table'!$AQ148:$AT148)=0,'BMP P Tracking Table'!$AU148/(-3630*'BMP P Tracking Table'!$AO148),(-(3630*'BMP P Tracking Table'!$AO148+20.691*'BMP P Tracking Table'!$AT148-216.711*'BMP P Tracking Table'!$AS148-83.853*'BMP P Tracking Table'!$AR148-42.834*'BMP P Tracking Table'!$AQ148)+SQRT((3630*'BMP P Tracking Table'!$AO148+20.691*'BMP P Tracking Table'!$AT148-216.711*'BMP P Tracking Table'!$AS148-83.853*'BMP P Tracking Table'!$AR148-42.834*'BMP P Tracking Table'!$AQ148)^2-(4*(149.919*'BMP P Tracking Table'!$AQ148+236.676*'BMP P Tracking Table'!$AR148+726*'BMP P Tracking Table'!$AS148+996.798*'BMP P Tracking Table'!$AT148)*-'BMP P Tracking Table'!$AW148)))/(2*(149.919*'BMP P Tracking Table'!$AQ148+236.676*'BMP P Tracking Table'!$AR148+726*'BMP P Tracking Table'!$AS148+996.798*'BMP P Tracking Table'!$AT148))))),MIN(2,IF('BMP P Tracking Table'!$AP148="Total Pervious",(-(3630*'BMP P Tracking Table'!$U148+20.691*'BMP P Tracking Table'!$AA148)+SQRT((3630*'BMP P Tracking Table'!$U148+20.691*'BMP P Tracking Table'!$AA148)^2-(4*(996.798*'BMP P Tracking Table'!$AA148)*-'BMP P Tracking Table'!$AW148)))/(2*(996.798*'BMP P Tracking Table'!$AA148)),IF(SUM('BMP P Tracking Table'!$W148:$Z148)=0,'BMP P Tracking Table'!$AW148/(-3630*'BMP P Tracking Table'!$U148),(-(3630*'BMP P Tracking Table'!$U148+20.691*'BMP P Tracking Table'!$Z148-216.711*'BMP P Tracking Table'!$Y148-83.853*'BMP P Tracking Table'!$X148-42.834*'BMP P Tracking Table'!$W148)+SQRT((3630*'BMP P Tracking Table'!$U148+20.691*'BMP P Tracking Table'!$Z148-216.711*'BMP P Tracking Table'!$Y148-83.853*'BMP P Tracking Table'!$X148-42.834*'BMP P Tracking Table'!$W148)^2-(4*(149.919*'BMP P Tracking Table'!$W148+236.676*'BMP P Tracking Table'!$X148+726*'BMP P Tracking Table'!$Y148+996.798*'BMP P Tracking Table'!$Z148)*-'BMP P Tracking Table'!$AW148)))/(2*(149.919*'BMP P Tracking Table'!$W148+236.676*'BMP P Tracking Table'!$X148+726*'BMP P Tracking Table'!$Y148+996.798*'BMP P Tracking Table'!$Z148)))))),"")</f>
        <v/>
      </c>
      <c r="BA148" s="101" t="str">
        <f>IFERROR((VLOOKUP(CONCATENATE('BMP P Tracking Table'!$AV148," ",'BMP P Tracking Table'!$AX148),'Performance Curves'!$C$1:$L$45,MATCH('BMP P Tracking Table'!$AZ148,'Performance Curves'!$E$1:$L$1,1)+2,FALSE)-VLOOKUP(CONCATENATE('BMP P Tracking Table'!$AV148," ",'BMP P Tracking Table'!$AX148),'Performance Curves'!$C$1:$L$45,MATCH('BMP P Tracking Table'!$AZ148,'Performance Curves'!$E$1:$L$1,1)+1,FALSE)),"")</f>
        <v/>
      </c>
      <c r="BB148" s="101" t="str">
        <f>IFERROR(('BMP P Tracking Table'!$AZ148-INDEX('Performance Curves'!$E$1:$L$1,1,MATCH('BMP P Tracking Table'!$AZ148,'Performance Curves'!$E$1:$L$1,1)))/(INDEX('Performance Curves'!$E$1:$L$1,1,MATCH('BMP P Tracking Table'!$AZ148,'Performance Curves'!$E$1:$L$1,1)+1)-INDEX('Performance Curves'!$E$1:$L$1,1,MATCH('BMP P Tracking Table'!$AZ148,'Performance Curves'!$E$1:$L$1,1))),"")</f>
        <v/>
      </c>
      <c r="BC148" s="102" t="str">
        <f>IFERROR(IF('BMP P Tracking Table'!$AZ148=2,VLOOKUP(CONCATENATE('BMP P Tracking Table'!$AV148," ",'BMP P Tracking Table'!$AX148),'Performance Curves'!$C$1:$L$44,MATCH('BMP P Tracking Table'!$AZ148,'Performance Curves'!$E$1:$L$1,1)+1,FALSE),'BMP P Tracking Table'!$BA148*'BMP P Tracking Table'!$BB148+VLOOKUP(CONCATENATE('BMP P Tracking Table'!$AV148," ",'BMP P Tracking Table'!$AX148),'Performance Curves'!$C$1:$L$44,MATCH('BMP P Tracking Table'!$AZ148,'Performance Curves'!$E$1:$L$1,1)+1,FALSE)),"")</f>
        <v/>
      </c>
      <c r="BD148" s="101" t="str">
        <f>IFERROR('BMP P Tracking Table'!$BC148*'BMP P Tracking Table'!$AY148,"")</f>
        <v/>
      </c>
      <c r="BE148" s="96"/>
      <c r="BF148" s="37">
        <f t="shared" si="15"/>
        <v>0</v>
      </c>
    </row>
    <row r="149" spans="1:58" x14ac:dyDescent="0.3">
      <c r="A149" s="64"/>
      <c r="B149" s="64"/>
      <c r="C149" s="64"/>
      <c r="D149" s="64"/>
      <c r="E149" s="93"/>
      <c r="F149" s="93"/>
      <c r="G149" s="64"/>
      <c r="H149" s="64"/>
      <c r="I149" s="64"/>
      <c r="J149" s="94"/>
      <c r="K149" s="64"/>
      <c r="L149" s="64"/>
      <c r="M149" s="64"/>
      <c r="N149" s="64"/>
      <c r="O149" s="64"/>
      <c r="P149" s="64"/>
      <c r="Q149" s="64" t="str">
        <f>IFERROR(VLOOKUP('BMP P Tracking Table'!$P149,Dropdowns!$C$2:$E$15,3,FALSE),"")</f>
        <v/>
      </c>
      <c r="R149" s="64" t="str">
        <f>IFERROR(VLOOKUP('BMP P Tracking Table'!$Q149,Dropdowns!$P$3:$Q$23,2,FALSE),"")</f>
        <v/>
      </c>
      <c r="S149" s="64"/>
      <c r="T149" s="64"/>
      <c r="U149" s="64"/>
      <c r="V149" s="64"/>
      <c r="W149" s="64"/>
      <c r="X149" s="64"/>
      <c r="Y149" s="64"/>
      <c r="Z149" s="64"/>
      <c r="AA149" s="64"/>
      <c r="AB149" s="95"/>
      <c r="AC149" s="64"/>
      <c r="AD149" s="101" t="str">
        <f>IFERROR('BMP P Tracking Table'!$U149*VLOOKUP('BMP P Tracking Table'!$Q149,'Loading Rates'!$B$1:$L$24,4,FALSE)+IF('BMP P Tracking Table'!$V149="By HSG",'BMP P Tracking Table'!$W149*VLOOKUP('BMP P Tracking Table'!$Q149,'Loading Rates'!$B$1:$L$24,6,FALSE)+'BMP P Tracking Table'!$X149*VLOOKUP('BMP P Tracking Table'!$Q149,'Loading Rates'!$B$1:$L$24,7,FALSE)+'BMP P Tracking Table'!$Y149*VLOOKUP('BMP P Tracking Table'!$Q149,'Loading Rates'!$B$1:$L$24,8,FALSE)+'BMP P Tracking Table'!$Z149*VLOOKUP('BMP P Tracking Table'!$Q149,'Loading Rates'!$B$1:$L$24,9,FALSE),'BMP P Tracking Table'!$AA149*VLOOKUP('BMP P Tracking Table'!$Q149,'Loading Rates'!$B$1:$L$24,10,FALSE)),"")</f>
        <v/>
      </c>
      <c r="AE149" s="101" t="str">
        <f>IFERROR(MIN(2,IF('BMP P Tracking Table'!$V149="Total Pervious",(-(3630*'BMP P Tracking Table'!$U149+20.691*'BMP P Tracking Table'!$AA149)+SQRT((3630*'BMP P Tracking Table'!$U149+20.691*'BMP P Tracking Table'!$AA149)^2-(4*(996.798*'BMP P Tracking Table'!$AA149)*-'BMP P Tracking Table'!$AB149)))/(2*(996.798*'BMP P Tracking Table'!$AA149)),IF(SUM('BMP P Tracking Table'!$W149:$Z149)=0,'BMP P Tracking Table'!$AB149/(-3630*'BMP P Tracking Table'!$U149),(-(3630*'BMP P Tracking Table'!$U149+20.691*'BMP P Tracking Table'!$Z149-216.711*'BMP P Tracking Table'!$Y149-83.853*'BMP P Tracking Table'!$X149-42.834*'BMP P Tracking Table'!$W149)+SQRT((3630*'BMP P Tracking Table'!$U149+20.691*'BMP P Tracking Table'!$Z149-216.711*'BMP P Tracking Table'!$Y149-83.853*'BMP P Tracking Table'!$X149-42.834*'BMP P Tracking Table'!$W149)^2-(4*(149.919*'BMP P Tracking Table'!$W149+236.676*'BMP P Tracking Table'!$X149+726*'BMP P Tracking Table'!$Y149+996.798*'BMP P Tracking Table'!$Z149)*-'BMP P Tracking Table'!$AB149)))/(2*(149.919*'BMP P Tracking Table'!$W149+236.676*'BMP P Tracking Table'!$X149+726*'BMP P Tracking Table'!$Y149+996.798*'BMP P Tracking Table'!$Z149))))),"")</f>
        <v/>
      </c>
      <c r="AF149" s="101" t="str">
        <f>IFERROR((VLOOKUP(CONCATENATE('BMP P Tracking Table'!$T149," ",'BMP P Tracking Table'!$AC149),'Performance Curves'!$C$1:$L$45,MATCH('BMP P Tracking Table'!$AE149,'Performance Curves'!$E$1:$L$1,1)+2,FALSE)-VLOOKUP(CONCATENATE('BMP P Tracking Table'!$T149," ",'BMP P Tracking Table'!$AC149),'Performance Curves'!$C$1:$L$45,MATCH('BMP P Tracking Table'!$AE149,'Performance Curves'!$E$1:$L$1,1)+1,FALSE)),"")</f>
        <v/>
      </c>
      <c r="AG149" s="101" t="str">
        <f>IFERROR(('BMP P Tracking Table'!$AE149-INDEX('Performance Curves'!$E$1:$L$1,1,MATCH('BMP P Tracking Table'!$AE149,'Performance Curves'!$E$1:$L$1,1)))/(INDEX('Performance Curves'!$E$1:$L$1,1,MATCH('BMP P Tracking Table'!$AE149,'Performance Curves'!$E$1:$L$1,1)+1)-INDEX('Performance Curves'!$E$1:$L$1,1,MATCH('BMP P Tracking Table'!$AE149,'Performance Curves'!$E$1:$L$1,1))),"")</f>
        <v/>
      </c>
      <c r="AH149" s="102" t="str">
        <f>IFERROR(IF('BMP P Tracking Table'!$AE149=2,VLOOKUP(CONCATENATE('BMP P Tracking Table'!$T149," ",'BMP P Tracking Table'!$AC149),'Performance Curves'!$C$1:$L$45,MATCH('BMP P Tracking Table'!$AE149,'Performance Curves'!$E$1:$L$1,1)+1,FALSE),'BMP P Tracking Table'!$AF149*'BMP P Tracking Table'!$AG149+VLOOKUP(CONCATENATE('BMP P Tracking Table'!$T149," ",'BMP P Tracking Table'!$AC149),'Performance Curves'!$C$1:$L$45,MATCH('BMP P Tracking Table'!$AE149,'Performance Curves'!$E$1:$L$1,1)+1,FALSE)),"")</f>
        <v/>
      </c>
      <c r="AI149" s="101" t="str">
        <f>IFERROR('BMP P Tracking Table'!$AH149*'BMP P Tracking Table'!$AD149,"")</f>
        <v/>
      </c>
      <c r="AJ149" s="64"/>
      <c r="AK149" s="96"/>
      <c r="AL149" s="96"/>
      <c r="AM149" s="63"/>
      <c r="AN149" s="99" t="str">
        <f t="shared" si="14"/>
        <v/>
      </c>
      <c r="AO149" s="96"/>
      <c r="AP149" s="96"/>
      <c r="AQ149" s="96"/>
      <c r="AR149" s="96"/>
      <c r="AS149" s="96"/>
      <c r="AT149" s="96"/>
      <c r="AU149" s="96"/>
      <c r="AV149" s="64"/>
      <c r="AW149" s="97"/>
      <c r="AX149" s="97"/>
      <c r="AY149" s="101" t="str">
        <f>IF('BMP P Tracking Table'!$AK149="Yes",IF('BMP P Tracking Table'!$AL149="No",'BMP P Tracking Table'!$U149*VLOOKUP('BMP P Tracking Table'!$Q149,'Loading Rates'!$B$1:$L$24,4,FALSE)+IF('BMP P Tracking Table'!$V149="By HSG",'BMP P Tracking Table'!$W149*VLOOKUP('BMP P Tracking Table'!$Q149,'Loading Rates'!$B$1:$L$24,6,FALSE)+'BMP P Tracking Table'!$X149*VLOOKUP('BMP P Tracking Table'!$Q149,'Loading Rates'!$B$1:$L$24,7,FALSE)+'BMP P Tracking Table'!$Y149*VLOOKUP('BMP P Tracking Table'!$Q149,'Loading Rates'!$B$1:$L$24,8,FALSE)+'BMP P Tracking Table'!$Z149*VLOOKUP('BMP P Tracking Table'!$Q149,'Loading Rates'!$B$1:$L$24,9,FALSE),'BMP P Tracking Table'!$AA149*VLOOKUP('BMP P Tracking Table'!$Q149,'Loading Rates'!$B$1:$L$24,10,FALSE)),'BMP P Tracking Table'!$AO149*VLOOKUP('BMP P Tracking Table'!$Q149,'Loading Rates'!$B$1:$L$24,4,FALSE)+IF('BMP P Tracking Table'!$AP149="By HSG",'BMP P Tracking Table'!$AQ149*VLOOKUP('BMP P Tracking Table'!$Q149,'Loading Rates'!$B$1:$L$24,6,FALSE)+'BMP P Tracking Table'!$AR149*VLOOKUP('BMP P Tracking Table'!$Q149,'Loading Rates'!$B$1:$L$24,7,FALSE)+'BMP P Tracking Table'!$AS149*VLOOKUP('BMP P Tracking Table'!$Q149,'Loading Rates'!$B$1:$L$24,8,FALSE)+'BMP P Tracking Table'!$AT149*VLOOKUP('BMP P Tracking Table'!$Q149,'Loading Rates'!$B$1:$L$24,9,FALSE),'BMP P Tracking Table'!$AU149*VLOOKUP('BMP P Tracking Table'!$Q149,'Loading Rates'!$B$1:$L$24,10,FALSE))),"")</f>
        <v/>
      </c>
      <c r="AZ149" s="101" t="str">
        <f>IFERROR(IF('BMP P Tracking Table'!$AL149="Yes",MIN(2,IF('BMP P Tracking Table'!$AP149="Total Pervious",(-(3630*'BMP P Tracking Table'!$AO149+20.691*'BMP P Tracking Table'!$AU149)+SQRT((3630*'BMP P Tracking Table'!$AO149+20.691*'BMP P Tracking Table'!$AU149)^2-(4*(996.798*'BMP P Tracking Table'!$AU149)*-'BMP P Tracking Table'!$AW149)))/(2*(996.798*'BMP P Tracking Table'!$AU149)),IF(SUM('BMP P Tracking Table'!$AQ149:$AT149)=0,'BMP P Tracking Table'!$AU149/(-3630*'BMP P Tracking Table'!$AO149),(-(3630*'BMP P Tracking Table'!$AO149+20.691*'BMP P Tracking Table'!$AT149-216.711*'BMP P Tracking Table'!$AS149-83.853*'BMP P Tracking Table'!$AR149-42.834*'BMP P Tracking Table'!$AQ149)+SQRT((3630*'BMP P Tracking Table'!$AO149+20.691*'BMP P Tracking Table'!$AT149-216.711*'BMP P Tracking Table'!$AS149-83.853*'BMP P Tracking Table'!$AR149-42.834*'BMP P Tracking Table'!$AQ149)^2-(4*(149.919*'BMP P Tracking Table'!$AQ149+236.676*'BMP P Tracking Table'!$AR149+726*'BMP P Tracking Table'!$AS149+996.798*'BMP P Tracking Table'!$AT149)*-'BMP P Tracking Table'!$AW149)))/(2*(149.919*'BMP P Tracking Table'!$AQ149+236.676*'BMP P Tracking Table'!$AR149+726*'BMP P Tracking Table'!$AS149+996.798*'BMP P Tracking Table'!$AT149))))),MIN(2,IF('BMP P Tracking Table'!$AP149="Total Pervious",(-(3630*'BMP P Tracking Table'!$U149+20.691*'BMP P Tracking Table'!$AA149)+SQRT((3630*'BMP P Tracking Table'!$U149+20.691*'BMP P Tracking Table'!$AA149)^2-(4*(996.798*'BMP P Tracking Table'!$AA149)*-'BMP P Tracking Table'!$AW149)))/(2*(996.798*'BMP P Tracking Table'!$AA149)),IF(SUM('BMP P Tracking Table'!$W149:$Z149)=0,'BMP P Tracking Table'!$AW149/(-3630*'BMP P Tracking Table'!$U149),(-(3630*'BMP P Tracking Table'!$U149+20.691*'BMP P Tracking Table'!$Z149-216.711*'BMP P Tracking Table'!$Y149-83.853*'BMP P Tracking Table'!$X149-42.834*'BMP P Tracking Table'!$W149)+SQRT((3630*'BMP P Tracking Table'!$U149+20.691*'BMP P Tracking Table'!$Z149-216.711*'BMP P Tracking Table'!$Y149-83.853*'BMP P Tracking Table'!$X149-42.834*'BMP P Tracking Table'!$W149)^2-(4*(149.919*'BMP P Tracking Table'!$W149+236.676*'BMP P Tracking Table'!$X149+726*'BMP P Tracking Table'!$Y149+996.798*'BMP P Tracking Table'!$Z149)*-'BMP P Tracking Table'!$AW149)))/(2*(149.919*'BMP P Tracking Table'!$W149+236.676*'BMP P Tracking Table'!$X149+726*'BMP P Tracking Table'!$Y149+996.798*'BMP P Tracking Table'!$Z149)))))),"")</f>
        <v/>
      </c>
      <c r="BA149" s="101" t="str">
        <f>IFERROR((VLOOKUP(CONCATENATE('BMP P Tracking Table'!$AV149," ",'BMP P Tracking Table'!$AX149),'Performance Curves'!$C$1:$L$45,MATCH('BMP P Tracking Table'!$AZ149,'Performance Curves'!$E$1:$L$1,1)+2,FALSE)-VLOOKUP(CONCATENATE('BMP P Tracking Table'!$AV149," ",'BMP P Tracking Table'!$AX149),'Performance Curves'!$C$1:$L$45,MATCH('BMP P Tracking Table'!$AZ149,'Performance Curves'!$E$1:$L$1,1)+1,FALSE)),"")</f>
        <v/>
      </c>
      <c r="BB149" s="101" t="str">
        <f>IFERROR(('BMP P Tracking Table'!$AZ149-INDEX('Performance Curves'!$E$1:$L$1,1,MATCH('BMP P Tracking Table'!$AZ149,'Performance Curves'!$E$1:$L$1,1)))/(INDEX('Performance Curves'!$E$1:$L$1,1,MATCH('BMP P Tracking Table'!$AZ149,'Performance Curves'!$E$1:$L$1,1)+1)-INDEX('Performance Curves'!$E$1:$L$1,1,MATCH('BMP P Tracking Table'!$AZ149,'Performance Curves'!$E$1:$L$1,1))),"")</f>
        <v/>
      </c>
      <c r="BC149" s="102" t="str">
        <f>IFERROR(IF('BMP P Tracking Table'!$AZ149=2,VLOOKUP(CONCATENATE('BMP P Tracking Table'!$AV149," ",'BMP P Tracking Table'!$AX149),'Performance Curves'!$C$1:$L$44,MATCH('BMP P Tracking Table'!$AZ149,'Performance Curves'!$E$1:$L$1,1)+1,FALSE),'BMP P Tracking Table'!$BA149*'BMP P Tracking Table'!$BB149+VLOOKUP(CONCATENATE('BMP P Tracking Table'!$AV149," ",'BMP P Tracking Table'!$AX149),'Performance Curves'!$C$1:$L$44,MATCH('BMP P Tracking Table'!$AZ149,'Performance Curves'!$E$1:$L$1,1)+1,FALSE)),"")</f>
        <v/>
      </c>
      <c r="BD149" s="101" t="str">
        <f>IFERROR('BMP P Tracking Table'!$BC149*'BMP P Tracking Table'!$AY149,"")</f>
        <v/>
      </c>
      <c r="BE149" s="96"/>
      <c r="BF149" s="37">
        <f t="shared" si="15"/>
        <v>0</v>
      </c>
    </row>
    <row r="150" spans="1:58" x14ac:dyDescent="0.3">
      <c r="A150" s="64"/>
      <c r="B150" s="64"/>
      <c r="C150" s="64"/>
      <c r="D150" s="64"/>
      <c r="E150" s="93"/>
      <c r="F150" s="93"/>
      <c r="G150" s="64"/>
      <c r="H150" s="64"/>
      <c r="I150" s="64"/>
      <c r="J150" s="94"/>
      <c r="K150" s="64"/>
      <c r="L150" s="64"/>
      <c r="M150" s="64"/>
      <c r="N150" s="64"/>
      <c r="O150" s="64"/>
      <c r="P150" s="64"/>
      <c r="Q150" s="64" t="str">
        <f>IFERROR(VLOOKUP('BMP P Tracking Table'!$P150,Dropdowns!$C$2:$E$15,3,FALSE),"")</f>
        <v/>
      </c>
      <c r="R150" s="64" t="str">
        <f>IFERROR(VLOOKUP('BMP P Tracking Table'!$Q150,Dropdowns!$P$3:$Q$23,2,FALSE),"")</f>
        <v/>
      </c>
      <c r="S150" s="64"/>
      <c r="T150" s="64"/>
      <c r="U150" s="64"/>
      <c r="V150" s="64"/>
      <c r="W150" s="64"/>
      <c r="X150" s="64"/>
      <c r="Y150" s="64"/>
      <c r="Z150" s="64"/>
      <c r="AA150" s="64"/>
      <c r="AB150" s="95"/>
      <c r="AC150" s="64"/>
      <c r="AD150" s="101" t="str">
        <f>IFERROR('BMP P Tracking Table'!$U150*VLOOKUP('BMP P Tracking Table'!$Q150,'Loading Rates'!$B$1:$L$24,4,FALSE)+IF('BMP P Tracking Table'!$V150="By HSG",'BMP P Tracking Table'!$W150*VLOOKUP('BMP P Tracking Table'!$Q150,'Loading Rates'!$B$1:$L$24,6,FALSE)+'BMP P Tracking Table'!$X150*VLOOKUP('BMP P Tracking Table'!$Q150,'Loading Rates'!$B$1:$L$24,7,FALSE)+'BMP P Tracking Table'!$Y150*VLOOKUP('BMP P Tracking Table'!$Q150,'Loading Rates'!$B$1:$L$24,8,FALSE)+'BMP P Tracking Table'!$Z150*VLOOKUP('BMP P Tracking Table'!$Q150,'Loading Rates'!$B$1:$L$24,9,FALSE),'BMP P Tracking Table'!$AA150*VLOOKUP('BMP P Tracking Table'!$Q150,'Loading Rates'!$B$1:$L$24,10,FALSE)),"")</f>
        <v/>
      </c>
      <c r="AE150" s="101" t="str">
        <f>IFERROR(MIN(2,IF('BMP P Tracking Table'!$V150="Total Pervious",(-(3630*'BMP P Tracking Table'!$U150+20.691*'BMP P Tracking Table'!$AA150)+SQRT((3630*'BMP P Tracking Table'!$U150+20.691*'BMP P Tracking Table'!$AA150)^2-(4*(996.798*'BMP P Tracking Table'!$AA150)*-'BMP P Tracking Table'!$AB150)))/(2*(996.798*'BMP P Tracking Table'!$AA150)),IF(SUM('BMP P Tracking Table'!$W150:$Z150)=0,'BMP P Tracking Table'!$AB150/(-3630*'BMP P Tracking Table'!$U150),(-(3630*'BMP P Tracking Table'!$U150+20.691*'BMP P Tracking Table'!$Z150-216.711*'BMP P Tracking Table'!$Y150-83.853*'BMP P Tracking Table'!$X150-42.834*'BMP P Tracking Table'!$W150)+SQRT((3630*'BMP P Tracking Table'!$U150+20.691*'BMP P Tracking Table'!$Z150-216.711*'BMP P Tracking Table'!$Y150-83.853*'BMP P Tracking Table'!$X150-42.834*'BMP P Tracking Table'!$W150)^2-(4*(149.919*'BMP P Tracking Table'!$W150+236.676*'BMP P Tracking Table'!$X150+726*'BMP P Tracking Table'!$Y150+996.798*'BMP P Tracking Table'!$Z150)*-'BMP P Tracking Table'!$AB150)))/(2*(149.919*'BMP P Tracking Table'!$W150+236.676*'BMP P Tracking Table'!$X150+726*'BMP P Tracking Table'!$Y150+996.798*'BMP P Tracking Table'!$Z150))))),"")</f>
        <v/>
      </c>
      <c r="AF150" s="101" t="str">
        <f>IFERROR((VLOOKUP(CONCATENATE('BMP P Tracking Table'!$T150," ",'BMP P Tracking Table'!$AC150),'Performance Curves'!$C$1:$L$45,MATCH('BMP P Tracking Table'!$AE150,'Performance Curves'!$E$1:$L$1,1)+2,FALSE)-VLOOKUP(CONCATENATE('BMP P Tracking Table'!$T150," ",'BMP P Tracking Table'!$AC150),'Performance Curves'!$C$1:$L$45,MATCH('BMP P Tracking Table'!$AE150,'Performance Curves'!$E$1:$L$1,1)+1,FALSE)),"")</f>
        <v/>
      </c>
      <c r="AG150" s="101" t="str">
        <f>IFERROR(('BMP P Tracking Table'!$AE150-INDEX('Performance Curves'!$E$1:$L$1,1,MATCH('BMP P Tracking Table'!$AE150,'Performance Curves'!$E$1:$L$1,1)))/(INDEX('Performance Curves'!$E$1:$L$1,1,MATCH('BMP P Tracking Table'!$AE150,'Performance Curves'!$E$1:$L$1,1)+1)-INDEX('Performance Curves'!$E$1:$L$1,1,MATCH('BMP P Tracking Table'!$AE150,'Performance Curves'!$E$1:$L$1,1))),"")</f>
        <v/>
      </c>
      <c r="AH150" s="102" t="str">
        <f>IFERROR(IF('BMP P Tracking Table'!$AE150=2,VLOOKUP(CONCATENATE('BMP P Tracking Table'!$T150," ",'BMP P Tracking Table'!$AC150),'Performance Curves'!$C$1:$L$45,MATCH('BMP P Tracking Table'!$AE150,'Performance Curves'!$E$1:$L$1,1)+1,FALSE),'BMP P Tracking Table'!$AF150*'BMP P Tracking Table'!$AG150+VLOOKUP(CONCATENATE('BMP P Tracking Table'!$T150," ",'BMP P Tracking Table'!$AC150),'Performance Curves'!$C$1:$L$45,MATCH('BMP P Tracking Table'!$AE150,'Performance Curves'!$E$1:$L$1,1)+1,FALSE)),"")</f>
        <v/>
      </c>
      <c r="AI150" s="101" t="str">
        <f>IFERROR('BMP P Tracking Table'!$AH150*'BMP P Tracking Table'!$AD150,"")</f>
        <v/>
      </c>
      <c r="AJ150" s="64"/>
      <c r="AK150" s="96"/>
      <c r="AL150" s="96"/>
      <c r="AM150" s="63"/>
      <c r="AN150" s="99" t="str">
        <f t="shared" si="14"/>
        <v/>
      </c>
      <c r="AO150" s="96"/>
      <c r="AP150" s="96"/>
      <c r="AQ150" s="96"/>
      <c r="AR150" s="96"/>
      <c r="AS150" s="96"/>
      <c r="AT150" s="96"/>
      <c r="AU150" s="96"/>
      <c r="AV150" s="64"/>
      <c r="AW150" s="97"/>
      <c r="AX150" s="97"/>
      <c r="AY150" s="101" t="str">
        <f>IF('BMP P Tracking Table'!$AK150="Yes",IF('BMP P Tracking Table'!$AL150="No",'BMP P Tracking Table'!$U150*VLOOKUP('BMP P Tracking Table'!$Q150,'Loading Rates'!$B$1:$L$24,4,FALSE)+IF('BMP P Tracking Table'!$V150="By HSG",'BMP P Tracking Table'!$W150*VLOOKUP('BMP P Tracking Table'!$Q150,'Loading Rates'!$B$1:$L$24,6,FALSE)+'BMP P Tracking Table'!$X150*VLOOKUP('BMP P Tracking Table'!$Q150,'Loading Rates'!$B$1:$L$24,7,FALSE)+'BMP P Tracking Table'!$Y150*VLOOKUP('BMP P Tracking Table'!$Q150,'Loading Rates'!$B$1:$L$24,8,FALSE)+'BMP P Tracking Table'!$Z150*VLOOKUP('BMP P Tracking Table'!$Q150,'Loading Rates'!$B$1:$L$24,9,FALSE),'BMP P Tracking Table'!$AA150*VLOOKUP('BMP P Tracking Table'!$Q150,'Loading Rates'!$B$1:$L$24,10,FALSE)),'BMP P Tracking Table'!$AO150*VLOOKUP('BMP P Tracking Table'!$Q150,'Loading Rates'!$B$1:$L$24,4,FALSE)+IF('BMP P Tracking Table'!$AP150="By HSG",'BMP P Tracking Table'!$AQ150*VLOOKUP('BMP P Tracking Table'!$Q150,'Loading Rates'!$B$1:$L$24,6,FALSE)+'BMP P Tracking Table'!$AR150*VLOOKUP('BMP P Tracking Table'!$Q150,'Loading Rates'!$B$1:$L$24,7,FALSE)+'BMP P Tracking Table'!$AS150*VLOOKUP('BMP P Tracking Table'!$Q150,'Loading Rates'!$B$1:$L$24,8,FALSE)+'BMP P Tracking Table'!$AT150*VLOOKUP('BMP P Tracking Table'!$Q150,'Loading Rates'!$B$1:$L$24,9,FALSE),'BMP P Tracking Table'!$AU150*VLOOKUP('BMP P Tracking Table'!$Q150,'Loading Rates'!$B$1:$L$24,10,FALSE))),"")</f>
        <v/>
      </c>
      <c r="AZ150" s="101" t="str">
        <f>IFERROR(IF('BMP P Tracking Table'!$AL150="Yes",MIN(2,IF('BMP P Tracking Table'!$AP150="Total Pervious",(-(3630*'BMP P Tracking Table'!$AO150+20.691*'BMP P Tracking Table'!$AU150)+SQRT((3630*'BMP P Tracking Table'!$AO150+20.691*'BMP P Tracking Table'!$AU150)^2-(4*(996.798*'BMP P Tracking Table'!$AU150)*-'BMP P Tracking Table'!$AW150)))/(2*(996.798*'BMP P Tracking Table'!$AU150)),IF(SUM('BMP P Tracking Table'!$AQ150:$AT150)=0,'BMP P Tracking Table'!$AU150/(-3630*'BMP P Tracking Table'!$AO150),(-(3630*'BMP P Tracking Table'!$AO150+20.691*'BMP P Tracking Table'!$AT150-216.711*'BMP P Tracking Table'!$AS150-83.853*'BMP P Tracking Table'!$AR150-42.834*'BMP P Tracking Table'!$AQ150)+SQRT((3630*'BMP P Tracking Table'!$AO150+20.691*'BMP P Tracking Table'!$AT150-216.711*'BMP P Tracking Table'!$AS150-83.853*'BMP P Tracking Table'!$AR150-42.834*'BMP P Tracking Table'!$AQ150)^2-(4*(149.919*'BMP P Tracking Table'!$AQ150+236.676*'BMP P Tracking Table'!$AR150+726*'BMP P Tracking Table'!$AS150+996.798*'BMP P Tracking Table'!$AT150)*-'BMP P Tracking Table'!$AW150)))/(2*(149.919*'BMP P Tracking Table'!$AQ150+236.676*'BMP P Tracking Table'!$AR150+726*'BMP P Tracking Table'!$AS150+996.798*'BMP P Tracking Table'!$AT150))))),MIN(2,IF('BMP P Tracking Table'!$AP150="Total Pervious",(-(3630*'BMP P Tracking Table'!$U150+20.691*'BMP P Tracking Table'!$AA150)+SQRT((3630*'BMP P Tracking Table'!$U150+20.691*'BMP P Tracking Table'!$AA150)^2-(4*(996.798*'BMP P Tracking Table'!$AA150)*-'BMP P Tracking Table'!$AW150)))/(2*(996.798*'BMP P Tracking Table'!$AA150)),IF(SUM('BMP P Tracking Table'!$W150:$Z150)=0,'BMP P Tracking Table'!$AW150/(-3630*'BMP P Tracking Table'!$U150),(-(3630*'BMP P Tracking Table'!$U150+20.691*'BMP P Tracking Table'!$Z150-216.711*'BMP P Tracking Table'!$Y150-83.853*'BMP P Tracking Table'!$X150-42.834*'BMP P Tracking Table'!$W150)+SQRT((3630*'BMP P Tracking Table'!$U150+20.691*'BMP P Tracking Table'!$Z150-216.711*'BMP P Tracking Table'!$Y150-83.853*'BMP P Tracking Table'!$X150-42.834*'BMP P Tracking Table'!$W150)^2-(4*(149.919*'BMP P Tracking Table'!$W150+236.676*'BMP P Tracking Table'!$X150+726*'BMP P Tracking Table'!$Y150+996.798*'BMP P Tracking Table'!$Z150)*-'BMP P Tracking Table'!$AW150)))/(2*(149.919*'BMP P Tracking Table'!$W150+236.676*'BMP P Tracking Table'!$X150+726*'BMP P Tracking Table'!$Y150+996.798*'BMP P Tracking Table'!$Z150)))))),"")</f>
        <v/>
      </c>
      <c r="BA150" s="101" t="str">
        <f>IFERROR((VLOOKUP(CONCATENATE('BMP P Tracking Table'!$AV150," ",'BMP P Tracking Table'!$AX150),'Performance Curves'!$C$1:$L$45,MATCH('BMP P Tracking Table'!$AZ150,'Performance Curves'!$E$1:$L$1,1)+2,FALSE)-VLOOKUP(CONCATENATE('BMP P Tracking Table'!$AV150," ",'BMP P Tracking Table'!$AX150),'Performance Curves'!$C$1:$L$45,MATCH('BMP P Tracking Table'!$AZ150,'Performance Curves'!$E$1:$L$1,1)+1,FALSE)),"")</f>
        <v/>
      </c>
      <c r="BB150" s="101" t="str">
        <f>IFERROR(('BMP P Tracking Table'!$AZ150-INDEX('Performance Curves'!$E$1:$L$1,1,MATCH('BMP P Tracking Table'!$AZ150,'Performance Curves'!$E$1:$L$1,1)))/(INDEX('Performance Curves'!$E$1:$L$1,1,MATCH('BMP P Tracking Table'!$AZ150,'Performance Curves'!$E$1:$L$1,1)+1)-INDEX('Performance Curves'!$E$1:$L$1,1,MATCH('BMP P Tracking Table'!$AZ150,'Performance Curves'!$E$1:$L$1,1))),"")</f>
        <v/>
      </c>
      <c r="BC150" s="102" t="str">
        <f>IFERROR(IF('BMP P Tracking Table'!$AZ150=2,VLOOKUP(CONCATENATE('BMP P Tracking Table'!$AV150," ",'BMP P Tracking Table'!$AX150),'Performance Curves'!$C$1:$L$44,MATCH('BMP P Tracking Table'!$AZ150,'Performance Curves'!$E$1:$L$1,1)+1,FALSE),'BMP P Tracking Table'!$BA150*'BMP P Tracking Table'!$BB150+VLOOKUP(CONCATENATE('BMP P Tracking Table'!$AV150," ",'BMP P Tracking Table'!$AX150),'Performance Curves'!$C$1:$L$44,MATCH('BMP P Tracking Table'!$AZ150,'Performance Curves'!$E$1:$L$1,1)+1,FALSE)),"")</f>
        <v/>
      </c>
      <c r="BD150" s="101" t="str">
        <f>IFERROR('BMP P Tracking Table'!$BC150*'BMP P Tracking Table'!$AY150,"")</f>
        <v/>
      </c>
      <c r="BE150" s="96"/>
      <c r="BF150" s="37">
        <f t="shared" si="15"/>
        <v>0</v>
      </c>
    </row>
    <row r="151" spans="1:58" x14ac:dyDescent="0.3">
      <c r="A151" s="64"/>
      <c r="B151" s="64"/>
      <c r="C151" s="64"/>
      <c r="D151" s="64"/>
      <c r="E151" s="93"/>
      <c r="F151" s="93"/>
      <c r="G151" s="64"/>
      <c r="H151" s="64"/>
      <c r="I151" s="64"/>
      <c r="J151" s="94"/>
      <c r="K151" s="64"/>
      <c r="L151" s="64"/>
      <c r="M151" s="64"/>
      <c r="N151" s="64"/>
      <c r="O151" s="64"/>
      <c r="P151" s="64"/>
      <c r="Q151" s="64" t="str">
        <f>IFERROR(VLOOKUP('BMP P Tracking Table'!$P151,Dropdowns!$C$2:$E$15,3,FALSE),"")</f>
        <v/>
      </c>
      <c r="R151" s="64" t="str">
        <f>IFERROR(VLOOKUP('BMP P Tracking Table'!$Q151,Dropdowns!$P$3:$Q$23,2,FALSE),"")</f>
        <v/>
      </c>
      <c r="S151" s="64"/>
      <c r="T151" s="64"/>
      <c r="U151" s="64"/>
      <c r="V151" s="64"/>
      <c r="W151" s="64"/>
      <c r="X151" s="64"/>
      <c r="Y151" s="64"/>
      <c r="Z151" s="64"/>
      <c r="AA151" s="64"/>
      <c r="AB151" s="95"/>
      <c r="AC151" s="64"/>
      <c r="AD151" s="101" t="str">
        <f>IFERROR('BMP P Tracking Table'!$U151*VLOOKUP('BMP P Tracking Table'!$Q151,'Loading Rates'!$B$1:$L$24,4,FALSE)+IF('BMP P Tracking Table'!$V151="By HSG",'BMP P Tracking Table'!$W151*VLOOKUP('BMP P Tracking Table'!$Q151,'Loading Rates'!$B$1:$L$24,6,FALSE)+'BMP P Tracking Table'!$X151*VLOOKUP('BMP P Tracking Table'!$Q151,'Loading Rates'!$B$1:$L$24,7,FALSE)+'BMP P Tracking Table'!$Y151*VLOOKUP('BMP P Tracking Table'!$Q151,'Loading Rates'!$B$1:$L$24,8,FALSE)+'BMP P Tracking Table'!$Z151*VLOOKUP('BMP P Tracking Table'!$Q151,'Loading Rates'!$B$1:$L$24,9,FALSE),'BMP P Tracking Table'!$AA151*VLOOKUP('BMP P Tracking Table'!$Q151,'Loading Rates'!$B$1:$L$24,10,FALSE)),"")</f>
        <v/>
      </c>
      <c r="AE151" s="101" t="str">
        <f>IFERROR(MIN(2,IF('BMP P Tracking Table'!$V151="Total Pervious",(-(3630*'BMP P Tracking Table'!$U151+20.691*'BMP P Tracking Table'!$AA151)+SQRT((3630*'BMP P Tracking Table'!$U151+20.691*'BMP P Tracking Table'!$AA151)^2-(4*(996.798*'BMP P Tracking Table'!$AA151)*-'BMP P Tracking Table'!$AB151)))/(2*(996.798*'BMP P Tracking Table'!$AA151)),IF(SUM('BMP P Tracking Table'!$W151:$Z151)=0,'BMP P Tracking Table'!$AB151/(-3630*'BMP P Tracking Table'!$U151),(-(3630*'BMP P Tracking Table'!$U151+20.691*'BMP P Tracking Table'!$Z151-216.711*'BMP P Tracking Table'!$Y151-83.853*'BMP P Tracking Table'!$X151-42.834*'BMP P Tracking Table'!$W151)+SQRT((3630*'BMP P Tracking Table'!$U151+20.691*'BMP P Tracking Table'!$Z151-216.711*'BMP P Tracking Table'!$Y151-83.853*'BMP P Tracking Table'!$X151-42.834*'BMP P Tracking Table'!$W151)^2-(4*(149.919*'BMP P Tracking Table'!$W151+236.676*'BMP P Tracking Table'!$X151+726*'BMP P Tracking Table'!$Y151+996.798*'BMP P Tracking Table'!$Z151)*-'BMP P Tracking Table'!$AB151)))/(2*(149.919*'BMP P Tracking Table'!$W151+236.676*'BMP P Tracking Table'!$X151+726*'BMP P Tracking Table'!$Y151+996.798*'BMP P Tracking Table'!$Z151))))),"")</f>
        <v/>
      </c>
      <c r="AF151" s="101" t="str">
        <f>IFERROR((VLOOKUP(CONCATENATE('BMP P Tracking Table'!$T151," ",'BMP P Tracking Table'!$AC151),'Performance Curves'!$C$1:$L$45,MATCH('BMP P Tracking Table'!$AE151,'Performance Curves'!$E$1:$L$1,1)+2,FALSE)-VLOOKUP(CONCATENATE('BMP P Tracking Table'!$T151," ",'BMP P Tracking Table'!$AC151),'Performance Curves'!$C$1:$L$45,MATCH('BMP P Tracking Table'!$AE151,'Performance Curves'!$E$1:$L$1,1)+1,FALSE)),"")</f>
        <v/>
      </c>
      <c r="AG151" s="101" t="str">
        <f>IFERROR(('BMP P Tracking Table'!$AE151-INDEX('Performance Curves'!$E$1:$L$1,1,MATCH('BMP P Tracking Table'!$AE151,'Performance Curves'!$E$1:$L$1,1)))/(INDEX('Performance Curves'!$E$1:$L$1,1,MATCH('BMP P Tracking Table'!$AE151,'Performance Curves'!$E$1:$L$1,1)+1)-INDEX('Performance Curves'!$E$1:$L$1,1,MATCH('BMP P Tracking Table'!$AE151,'Performance Curves'!$E$1:$L$1,1))),"")</f>
        <v/>
      </c>
      <c r="AH151" s="102" t="str">
        <f>IFERROR(IF('BMP P Tracking Table'!$AE151=2,VLOOKUP(CONCATENATE('BMP P Tracking Table'!$T151," ",'BMP P Tracking Table'!$AC151),'Performance Curves'!$C$1:$L$45,MATCH('BMP P Tracking Table'!$AE151,'Performance Curves'!$E$1:$L$1,1)+1,FALSE),'BMP P Tracking Table'!$AF151*'BMP P Tracking Table'!$AG151+VLOOKUP(CONCATENATE('BMP P Tracking Table'!$T151," ",'BMP P Tracking Table'!$AC151),'Performance Curves'!$C$1:$L$45,MATCH('BMP P Tracking Table'!$AE151,'Performance Curves'!$E$1:$L$1,1)+1,FALSE)),"")</f>
        <v/>
      </c>
      <c r="AI151" s="101" t="str">
        <f>IFERROR('BMP P Tracking Table'!$AH151*'BMP P Tracking Table'!$AD151,"")</f>
        <v/>
      </c>
      <c r="AJ151" s="64"/>
      <c r="AK151" s="96"/>
      <c r="AL151" s="96"/>
      <c r="AM151" s="63"/>
      <c r="AN151" s="99" t="str">
        <f t="shared" si="14"/>
        <v/>
      </c>
      <c r="AO151" s="96"/>
      <c r="AP151" s="96"/>
      <c r="AQ151" s="96"/>
      <c r="AR151" s="96"/>
      <c r="AS151" s="96"/>
      <c r="AT151" s="96"/>
      <c r="AU151" s="96"/>
      <c r="AV151" s="64"/>
      <c r="AW151" s="97"/>
      <c r="AX151" s="97"/>
      <c r="AY151" s="101" t="str">
        <f>IF('BMP P Tracking Table'!$AK151="Yes",IF('BMP P Tracking Table'!$AL151="No",'BMP P Tracking Table'!$U151*VLOOKUP('BMP P Tracking Table'!$Q151,'Loading Rates'!$B$1:$L$24,4,FALSE)+IF('BMP P Tracking Table'!$V151="By HSG",'BMP P Tracking Table'!$W151*VLOOKUP('BMP P Tracking Table'!$Q151,'Loading Rates'!$B$1:$L$24,6,FALSE)+'BMP P Tracking Table'!$X151*VLOOKUP('BMP P Tracking Table'!$Q151,'Loading Rates'!$B$1:$L$24,7,FALSE)+'BMP P Tracking Table'!$Y151*VLOOKUP('BMP P Tracking Table'!$Q151,'Loading Rates'!$B$1:$L$24,8,FALSE)+'BMP P Tracking Table'!$Z151*VLOOKUP('BMP P Tracking Table'!$Q151,'Loading Rates'!$B$1:$L$24,9,FALSE),'BMP P Tracking Table'!$AA151*VLOOKUP('BMP P Tracking Table'!$Q151,'Loading Rates'!$B$1:$L$24,10,FALSE)),'BMP P Tracking Table'!$AO151*VLOOKUP('BMP P Tracking Table'!$Q151,'Loading Rates'!$B$1:$L$24,4,FALSE)+IF('BMP P Tracking Table'!$AP151="By HSG",'BMP P Tracking Table'!$AQ151*VLOOKUP('BMP P Tracking Table'!$Q151,'Loading Rates'!$B$1:$L$24,6,FALSE)+'BMP P Tracking Table'!$AR151*VLOOKUP('BMP P Tracking Table'!$Q151,'Loading Rates'!$B$1:$L$24,7,FALSE)+'BMP P Tracking Table'!$AS151*VLOOKUP('BMP P Tracking Table'!$Q151,'Loading Rates'!$B$1:$L$24,8,FALSE)+'BMP P Tracking Table'!$AT151*VLOOKUP('BMP P Tracking Table'!$Q151,'Loading Rates'!$B$1:$L$24,9,FALSE),'BMP P Tracking Table'!$AU151*VLOOKUP('BMP P Tracking Table'!$Q151,'Loading Rates'!$B$1:$L$24,10,FALSE))),"")</f>
        <v/>
      </c>
      <c r="AZ151" s="101" t="str">
        <f>IFERROR(IF('BMP P Tracking Table'!$AL151="Yes",MIN(2,IF('BMP P Tracking Table'!$AP151="Total Pervious",(-(3630*'BMP P Tracking Table'!$AO151+20.691*'BMP P Tracking Table'!$AU151)+SQRT((3630*'BMP P Tracking Table'!$AO151+20.691*'BMP P Tracking Table'!$AU151)^2-(4*(996.798*'BMP P Tracking Table'!$AU151)*-'BMP P Tracking Table'!$AW151)))/(2*(996.798*'BMP P Tracking Table'!$AU151)),IF(SUM('BMP P Tracking Table'!$AQ151:$AT151)=0,'BMP P Tracking Table'!$AU151/(-3630*'BMP P Tracking Table'!$AO151),(-(3630*'BMP P Tracking Table'!$AO151+20.691*'BMP P Tracking Table'!$AT151-216.711*'BMP P Tracking Table'!$AS151-83.853*'BMP P Tracking Table'!$AR151-42.834*'BMP P Tracking Table'!$AQ151)+SQRT((3630*'BMP P Tracking Table'!$AO151+20.691*'BMP P Tracking Table'!$AT151-216.711*'BMP P Tracking Table'!$AS151-83.853*'BMP P Tracking Table'!$AR151-42.834*'BMP P Tracking Table'!$AQ151)^2-(4*(149.919*'BMP P Tracking Table'!$AQ151+236.676*'BMP P Tracking Table'!$AR151+726*'BMP P Tracking Table'!$AS151+996.798*'BMP P Tracking Table'!$AT151)*-'BMP P Tracking Table'!$AW151)))/(2*(149.919*'BMP P Tracking Table'!$AQ151+236.676*'BMP P Tracking Table'!$AR151+726*'BMP P Tracking Table'!$AS151+996.798*'BMP P Tracking Table'!$AT151))))),MIN(2,IF('BMP P Tracking Table'!$AP151="Total Pervious",(-(3630*'BMP P Tracking Table'!$U151+20.691*'BMP P Tracking Table'!$AA151)+SQRT((3630*'BMP P Tracking Table'!$U151+20.691*'BMP P Tracking Table'!$AA151)^2-(4*(996.798*'BMP P Tracking Table'!$AA151)*-'BMP P Tracking Table'!$AW151)))/(2*(996.798*'BMP P Tracking Table'!$AA151)),IF(SUM('BMP P Tracking Table'!$W151:$Z151)=0,'BMP P Tracking Table'!$AW151/(-3630*'BMP P Tracking Table'!$U151),(-(3630*'BMP P Tracking Table'!$U151+20.691*'BMP P Tracking Table'!$Z151-216.711*'BMP P Tracking Table'!$Y151-83.853*'BMP P Tracking Table'!$X151-42.834*'BMP P Tracking Table'!$W151)+SQRT((3630*'BMP P Tracking Table'!$U151+20.691*'BMP P Tracking Table'!$Z151-216.711*'BMP P Tracking Table'!$Y151-83.853*'BMP P Tracking Table'!$X151-42.834*'BMP P Tracking Table'!$W151)^2-(4*(149.919*'BMP P Tracking Table'!$W151+236.676*'BMP P Tracking Table'!$X151+726*'BMP P Tracking Table'!$Y151+996.798*'BMP P Tracking Table'!$Z151)*-'BMP P Tracking Table'!$AW151)))/(2*(149.919*'BMP P Tracking Table'!$W151+236.676*'BMP P Tracking Table'!$X151+726*'BMP P Tracking Table'!$Y151+996.798*'BMP P Tracking Table'!$Z151)))))),"")</f>
        <v/>
      </c>
      <c r="BA151" s="101" t="str">
        <f>IFERROR((VLOOKUP(CONCATENATE('BMP P Tracking Table'!$AV151," ",'BMP P Tracking Table'!$AX151),'Performance Curves'!$C$1:$L$45,MATCH('BMP P Tracking Table'!$AZ151,'Performance Curves'!$E$1:$L$1,1)+2,FALSE)-VLOOKUP(CONCATENATE('BMP P Tracking Table'!$AV151," ",'BMP P Tracking Table'!$AX151),'Performance Curves'!$C$1:$L$45,MATCH('BMP P Tracking Table'!$AZ151,'Performance Curves'!$E$1:$L$1,1)+1,FALSE)),"")</f>
        <v/>
      </c>
      <c r="BB151" s="101" t="str">
        <f>IFERROR(('BMP P Tracking Table'!$AZ151-INDEX('Performance Curves'!$E$1:$L$1,1,MATCH('BMP P Tracking Table'!$AZ151,'Performance Curves'!$E$1:$L$1,1)))/(INDEX('Performance Curves'!$E$1:$L$1,1,MATCH('BMP P Tracking Table'!$AZ151,'Performance Curves'!$E$1:$L$1,1)+1)-INDEX('Performance Curves'!$E$1:$L$1,1,MATCH('BMP P Tracking Table'!$AZ151,'Performance Curves'!$E$1:$L$1,1))),"")</f>
        <v/>
      </c>
      <c r="BC151" s="102" t="str">
        <f>IFERROR(IF('BMP P Tracking Table'!$AZ151=2,VLOOKUP(CONCATENATE('BMP P Tracking Table'!$AV151," ",'BMP P Tracking Table'!$AX151),'Performance Curves'!$C$1:$L$44,MATCH('BMP P Tracking Table'!$AZ151,'Performance Curves'!$E$1:$L$1,1)+1,FALSE),'BMP P Tracking Table'!$BA151*'BMP P Tracking Table'!$BB151+VLOOKUP(CONCATENATE('BMP P Tracking Table'!$AV151," ",'BMP P Tracking Table'!$AX151),'Performance Curves'!$C$1:$L$44,MATCH('BMP P Tracking Table'!$AZ151,'Performance Curves'!$E$1:$L$1,1)+1,FALSE)),"")</f>
        <v/>
      </c>
      <c r="BD151" s="101" t="str">
        <f>IFERROR('BMP P Tracking Table'!$BC151*'BMP P Tracking Table'!$AY151,"")</f>
        <v/>
      </c>
      <c r="BE151" s="96"/>
      <c r="BF151" s="37">
        <f t="shared" si="15"/>
        <v>0</v>
      </c>
    </row>
    <row r="152" spans="1:58" x14ac:dyDescent="0.3">
      <c r="A152" s="64"/>
      <c r="B152" s="64"/>
      <c r="C152" s="64"/>
      <c r="D152" s="64"/>
      <c r="E152" s="93"/>
      <c r="F152" s="93"/>
      <c r="G152" s="64"/>
      <c r="H152" s="64"/>
      <c r="I152" s="64"/>
      <c r="J152" s="94"/>
      <c r="K152" s="64"/>
      <c r="L152" s="64"/>
      <c r="M152" s="64"/>
      <c r="N152" s="64"/>
      <c r="O152" s="64"/>
      <c r="P152" s="64"/>
      <c r="Q152" s="64" t="str">
        <f>IFERROR(VLOOKUP('BMP P Tracking Table'!$P152,Dropdowns!$C$2:$E$15,3,FALSE),"")</f>
        <v/>
      </c>
      <c r="R152" s="64" t="str">
        <f>IFERROR(VLOOKUP('BMP P Tracking Table'!$Q152,Dropdowns!$P$3:$Q$23,2,FALSE),"")</f>
        <v/>
      </c>
      <c r="S152" s="64"/>
      <c r="T152" s="64"/>
      <c r="U152" s="64"/>
      <c r="V152" s="64"/>
      <c r="W152" s="64"/>
      <c r="X152" s="64"/>
      <c r="Y152" s="64"/>
      <c r="Z152" s="64"/>
      <c r="AA152" s="64"/>
      <c r="AB152" s="95"/>
      <c r="AC152" s="64"/>
      <c r="AD152" s="101" t="str">
        <f>IFERROR('BMP P Tracking Table'!$U152*VLOOKUP('BMP P Tracking Table'!$Q152,'Loading Rates'!$B$1:$L$24,4,FALSE)+IF('BMP P Tracking Table'!$V152="By HSG",'BMP P Tracking Table'!$W152*VLOOKUP('BMP P Tracking Table'!$Q152,'Loading Rates'!$B$1:$L$24,6,FALSE)+'BMP P Tracking Table'!$X152*VLOOKUP('BMP P Tracking Table'!$Q152,'Loading Rates'!$B$1:$L$24,7,FALSE)+'BMP P Tracking Table'!$Y152*VLOOKUP('BMP P Tracking Table'!$Q152,'Loading Rates'!$B$1:$L$24,8,FALSE)+'BMP P Tracking Table'!$Z152*VLOOKUP('BMP P Tracking Table'!$Q152,'Loading Rates'!$B$1:$L$24,9,FALSE),'BMP P Tracking Table'!$AA152*VLOOKUP('BMP P Tracking Table'!$Q152,'Loading Rates'!$B$1:$L$24,10,FALSE)),"")</f>
        <v/>
      </c>
      <c r="AE152" s="101" t="str">
        <f>IFERROR(MIN(2,IF('BMP P Tracking Table'!$V152="Total Pervious",(-(3630*'BMP P Tracking Table'!$U152+20.691*'BMP P Tracking Table'!$AA152)+SQRT((3630*'BMP P Tracking Table'!$U152+20.691*'BMP P Tracking Table'!$AA152)^2-(4*(996.798*'BMP P Tracking Table'!$AA152)*-'BMP P Tracking Table'!$AB152)))/(2*(996.798*'BMP P Tracking Table'!$AA152)),IF(SUM('BMP P Tracking Table'!$W152:$Z152)=0,'BMP P Tracking Table'!$AB152/(-3630*'BMP P Tracking Table'!$U152),(-(3630*'BMP P Tracking Table'!$U152+20.691*'BMP P Tracking Table'!$Z152-216.711*'BMP P Tracking Table'!$Y152-83.853*'BMP P Tracking Table'!$X152-42.834*'BMP P Tracking Table'!$W152)+SQRT((3630*'BMP P Tracking Table'!$U152+20.691*'BMP P Tracking Table'!$Z152-216.711*'BMP P Tracking Table'!$Y152-83.853*'BMP P Tracking Table'!$X152-42.834*'BMP P Tracking Table'!$W152)^2-(4*(149.919*'BMP P Tracking Table'!$W152+236.676*'BMP P Tracking Table'!$X152+726*'BMP P Tracking Table'!$Y152+996.798*'BMP P Tracking Table'!$Z152)*-'BMP P Tracking Table'!$AB152)))/(2*(149.919*'BMP P Tracking Table'!$W152+236.676*'BMP P Tracking Table'!$X152+726*'BMP P Tracking Table'!$Y152+996.798*'BMP P Tracking Table'!$Z152))))),"")</f>
        <v/>
      </c>
      <c r="AF152" s="101" t="str">
        <f>IFERROR((VLOOKUP(CONCATENATE('BMP P Tracking Table'!$T152," ",'BMP P Tracking Table'!$AC152),'Performance Curves'!$C$1:$L$45,MATCH('BMP P Tracking Table'!$AE152,'Performance Curves'!$E$1:$L$1,1)+2,FALSE)-VLOOKUP(CONCATENATE('BMP P Tracking Table'!$T152," ",'BMP P Tracking Table'!$AC152),'Performance Curves'!$C$1:$L$45,MATCH('BMP P Tracking Table'!$AE152,'Performance Curves'!$E$1:$L$1,1)+1,FALSE)),"")</f>
        <v/>
      </c>
      <c r="AG152" s="101" t="str">
        <f>IFERROR(('BMP P Tracking Table'!$AE152-INDEX('Performance Curves'!$E$1:$L$1,1,MATCH('BMP P Tracking Table'!$AE152,'Performance Curves'!$E$1:$L$1,1)))/(INDEX('Performance Curves'!$E$1:$L$1,1,MATCH('BMP P Tracking Table'!$AE152,'Performance Curves'!$E$1:$L$1,1)+1)-INDEX('Performance Curves'!$E$1:$L$1,1,MATCH('BMP P Tracking Table'!$AE152,'Performance Curves'!$E$1:$L$1,1))),"")</f>
        <v/>
      </c>
      <c r="AH152" s="102" t="str">
        <f>IFERROR(IF('BMP P Tracking Table'!$AE152=2,VLOOKUP(CONCATENATE('BMP P Tracking Table'!$T152," ",'BMP P Tracking Table'!$AC152),'Performance Curves'!$C$1:$L$45,MATCH('BMP P Tracking Table'!$AE152,'Performance Curves'!$E$1:$L$1,1)+1,FALSE),'BMP P Tracking Table'!$AF152*'BMP P Tracking Table'!$AG152+VLOOKUP(CONCATENATE('BMP P Tracking Table'!$T152," ",'BMP P Tracking Table'!$AC152),'Performance Curves'!$C$1:$L$45,MATCH('BMP P Tracking Table'!$AE152,'Performance Curves'!$E$1:$L$1,1)+1,FALSE)),"")</f>
        <v/>
      </c>
      <c r="AI152" s="101" t="str">
        <f>IFERROR('BMP P Tracking Table'!$AH152*'BMP P Tracking Table'!$AD152,"")</f>
        <v/>
      </c>
      <c r="AJ152" s="64"/>
      <c r="AK152" s="96"/>
      <c r="AL152" s="96"/>
      <c r="AM152" s="63"/>
      <c r="AN152" s="99" t="str">
        <f t="shared" si="14"/>
        <v/>
      </c>
      <c r="AO152" s="96"/>
      <c r="AP152" s="96"/>
      <c r="AQ152" s="96"/>
      <c r="AR152" s="96"/>
      <c r="AS152" s="96"/>
      <c r="AT152" s="96"/>
      <c r="AU152" s="96"/>
      <c r="AV152" s="64"/>
      <c r="AW152" s="97"/>
      <c r="AX152" s="97"/>
      <c r="AY152" s="101" t="str">
        <f>IF('BMP P Tracking Table'!$AK152="Yes",IF('BMP P Tracking Table'!$AL152="No",'BMP P Tracking Table'!$U152*VLOOKUP('BMP P Tracking Table'!$Q152,'Loading Rates'!$B$1:$L$24,4,FALSE)+IF('BMP P Tracking Table'!$V152="By HSG",'BMP P Tracking Table'!$W152*VLOOKUP('BMP P Tracking Table'!$Q152,'Loading Rates'!$B$1:$L$24,6,FALSE)+'BMP P Tracking Table'!$X152*VLOOKUP('BMP P Tracking Table'!$Q152,'Loading Rates'!$B$1:$L$24,7,FALSE)+'BMP P Tracking Table'!$Y152*VLOOKUP('BMP P Tracking Table'!$Q152,'Loading Rates'!$B$1:$L$24,8,FALSE)+'BMP P Tracking Table'!$Z152*VLOOKUP('BMP P Tracking Table'!$Q152,'Loading Rates'!$B$1:$L$24,9,FALSE),'BMP P Tracking Table'!$AA152*VLOOKUP('BMP P Tracking Table'!$Q152,'Loading Rates'!$B$1:$L$24,10,FALSE)),'BMP P Tracking Table'!$AO152*VLOOKUP('BMP P Tracking Table'!$Q152,'Loading Rates'!$B$1:$L$24,4,FALSE)+IF('BMP P Tracking Table'!$AP152="By HSG",'BMP P Tracking Table'!$AQ152*VLOOKUP('BMP P Tracking Table'!$Q152,'Loading Rates'!$B$1:$L$24,6,FALSE)+'BMP P Tracking Table'!$AR152*VLOOKUP('BMP P Tracking Table'!$Q152,'Loading Rates'!$B$1:$L$24,7,FALSE)+'BMP P Tracking Table'!$AS152*VLOOKUP('BMP P Tracking Table'!$Q152,'Loading Rates'!$B$1:$L$24,8,FALSE)+'BMP P Tracking Table'!$AT152*VLOOKUP('BMP P Tracking Table'!$Q152,'Loading Rates'!$B$1:$L$24,9,FALSE),'BMP P Tracking Table'!$AU152*VLOOKUP('BMP P Tracking Table'!$Q152,'Loading Rates'!$B$1:$L$24,10,FALSE))),"")</f>
        <v/>
      </c>
      <c r="AZ152" s="101" t="str">
        <f>IFERROR(IF('BMP P Tracking Table'!$AL152="Yes",MIN(2,IF('BMP P Tracking Table'!$AP152="Total Pervious",(-(3630*'BMP P Tracking Table'!$AO152+20.691*'BMP P Tracking Table'!$AU152)+SQRT((3630*'BMP P Tracking Table'!$AO152+20.691*'BMP P Tracking Table'!$AU152)^2-(4*(996.798*'BMP P Tracking Table'!$AU152)*-'BMP P Tracking Table'!$AW152)))/(2*(996.798*'BMP P Tracking Table'!$AU152)),IF(SUM('BMP P Tracking Table'!$AQ152:$AT152)=0,'BMP P Tracking Table'!$AU152/(-3630*'BMP P Tracking Table'!$AO152),(-(3630*'BMP P Tracking Table'!$AO152+20.691*'BMP P Tracking Table'!$AT152-216.711*'BMP P Tracking Table'!$AS152-83.853*'BMP P Tracking Table'!$AR152-42.834*'BMP P Tracking Table'!$AQ152)+SQRT((3630*'BMP P Tracking Table'!$AO152+20.691*'BMP P Tracking Table'!$AT152-216.711*'BMP P Tracking Table'!$AS152-83.853*'BMP P Tracking Table'!$AR152-42.834*'BMP P Tracking Table'!$AQ152)^2-(4*(149.919*'BMP P Tracking Table'!$AQ152+236.676*'BMP P Tracking Table'!$AR152+726*'BMP P Tracking Table'!$AS152+996.798*'BMP P Tracking Table'!$AT152)*-'BMP P Tracking Table'!$AW152)))/(2*(149.919*'BMP P Tracking Table'!$AQ152+236.676*'BMP P Tracking Table'!$AR152+726*'BMP P Tracking Table'!$AS152+996.798*'BMP P Tracking Table'!$AT152))))),MIN(2,IF('BMP P Tracking Table'!$AP152="Total Pervious",(-(3630*'BMP P Tracking Table'!$U152+20.691*'BMP P Tracking Table'!$AA152)+SQRT((3630*'BMP P Tracking Table'!$U152+20.691*'BMP P Tracking Table'!$AA152)^2-(4*(996.798*'BMP P Tracking Table'!$AA152)*-'BMP P Tracking Table'!$AW152)))/(2*(996.798*'BMP P Tracking Table'!$AA152)),IF(SUM('BMP P Tracking Table'!$W152:$Z152)=0,'BMP P Tracking Table'!$AW152/(-3630*'BMP P Tracking Table'!$U152),(-(3630*'BMP P Tracking Table'!$U152+20.691*'BMP P Tracking Table'!$Z152-216.711*'BMP P Tracking Table'!$Y152-83.853*'BMP P Tracking Table'!$X152-42.834*'BMP P Tracking Table'!$W152)+SQRT((3630*'BMP P Tracking Table'!$U152+20.691*'BMP P Tracking Table'!$Z152-216.711*'BMP P Tracking Table'!$Y152-83.853*'BMP P Tracking Table'!$X152-42.834*'BMP P Tracking Table'!$W152)^2-(4*(149.919*'BMP P Tracking Table'!$W152+236.676*'BMP P Tracking Table'!$X152+726*'BMP P Tracking Table'!$Y152+996.798*'BMP P Tracking Table'!$Z152)*-'BMP P Tracking Table'!$AW152)))/(2*(149.919*'BMP P Tracking Table'!$W152+236.676*'BMP P Tracking Table'!$X152+726*'BMP P Tracking Table'!$Y152+996.798*'BMP P Tracking Table'!$Z152)))))),"")</f>
        <v/>
      </c>
      <c r="BA152" s="101" t="str">
        <f>IFERROR((VLOOKUP(CONCATENATE('BMP P Tracking Table'!$AV152," ",'BMP P Tracking Table'!$AX152),'Performance Curves'!$C$1:$L$45,MATCH('BMP P Tracking Table'!$AZ152,'Performance Curves'!$E$1:$L$1,1)+2,FALSE)-VLOOKUP(CONCATENATE('BMP P Tracking Table'!$AV152," ",'BMP P Tracking Table'!$AX152),'Performance Curves'!$C$1:$L$45,MATCH('BMP P Tracking Table'!$AZ152,'Performance Curves'!$E$1:$L$1,1)+1,FALSE)),"")</f>
        <v/>
      </c>
      <c r="BB152" s="101" t="str">
        <f>IFERROR(('BMP P Tracking Table'!$AZ152-INDEX('Performance Curves'!$E$1:$L$1,1,MATCH('BMP P Tracking Table'!$AZ152,'Performance Curves'!$E$1:$L$1,1)))/(INDEX('Performance Curves'!$E$1:$L$1,1,MATCH('BMP P Tracking Table'!$AZ152,'Performance Curves'!$E$1:$L$1,1)+1)-INDEX('Performance Curves'!$E$1:$L$1,1,MATCH('BMP P Tracking Table'!$AZ152,'Performance Curves'!$E$1:$L$1,1))),"")</f>
        <v/>
      </c>
      <c r="BC152" s="102" t="str">
        <f>IFERROR(IF('BMP P Tracking Table'!$AZ152=2,VLOOKUP(CONCATENATE('BMP P Tracking Table'!$AV152," ",'BMP P Tracking Table'!$AX152),'Performance Curves'!$C$1:$L$44,MATCH('BMP P Tracking Table'!$AZ152,'Performance Curves'!$E$1:$L$1,1)+1,FALSE),'BMP P Tracking Table'!$BA152*'BMP P Tracking Table'!$BB152+VLOOKUP(CONCATENATE('BMP P Tracking Table'!$AV152," ",'BMP P Tracking Table'!$AX152),'Performance Curves'!$C$1:$L$44,MATCH('BMP P Tracking Table'!$AZ152,'Performance Curves'!$E$1:$L$1,1)+1,FALSE)),"")</f>
        <v/>
      </c>
      <c r="BD152" s="101" t="str">
        <f>IFERROR('BMP P Tracking Table'!$BC152*'BMP P Tracking Table'!$AY152,"")</f>
        <v/>
      </c>
      <c r="BE152" s="96"/>
      <c r="BF152" s="37">
        <f t="shared" si="15"/>
        <v>0</v>
      </c>
    </row>
    <row r="153" spans="1:58" x14ac:dyDescent="0.3">
      <c r="A153" s="64"/>
      <c r="B153" s="64"/>
      <c r="C153" s="64"/>
      <c r="D153" s="64"/>
      <c r="E153" s="93"/>
      <c r="F153" s="93"/>
      <c r="G153" s="64"/>
      <c r="H153" s="64"/>
      <c r="I153" s="64"/>
      <c r="J153" s="94"/>
      <c r="K153" s="64"/>
      <c r="L153" s="64"/>
      <c r="M153" s="64"/>
      <c r="N153" s="64"/>
      <c r="O153" s="64"/>
      <c r="P153" s="64"/>
      <c r="Q153" s="64" t="str">
        <f>IFERROR(VLOOKUP('BMP P Tracking Table'!$P153,Dropdowns!$C$2:$E$15,3,FALSE),"")</f>
        <v/>
      </c>
      <c r="R153" s="64" t="str">
        <f>IFERROR(VLOOKUP('BMP P Tracking Table'!$Q153,Dropdowns!$P$3:$Q$23,2,FALSE),"")</f>
        <v/>
      </c>
      <c r="S153" s="64"/>
      <c r="T153" s="64"/>
      <c r="U153" s="64"/>
      <c r="V153" s="64"/>
      <c r="W153" s="64"/>
      <c r="X153" s="64"/>
      <c r="Y153" s="64"/>
      <c r="Z153" s="64"/>
      <c r="AA153" s="64"/>
      <c r="AB153" s="95"/>
      <c r="AC153" s="64"/>
      <c r="AD153" s="101" t="str">
        <f>IFERROR('BMP P Tracking Table'!$U153*VLOOKUP('BMP P Tracking Table'!$Q153,'Loading Rates'!$B$1:$L$24,4,FALSE)+IF('BMP P Tracking Table'!$V153="By HSG",'BMP P Tracking Table'!$W153*VLOOKUP('BMP P Tracking Table'!$Q153,'Loading Rates'!$B$1:$L$24,6,FALSE)+'BMP P Tracking Table'!$X153*VLOOKUP('BMP P Tracking Table'!$Q153,'Loading Rates'!$B$1:$L$24,7,FALSE)+'BMP P Tracking Table'!$Y153*VLOOKUP('BMP P Tracking Table'!$Q153,'Loading Rates'!$B$1:$L$24,8,FALSE)+'BMP P Tracking Table'!$Z153*VLOOKUP('BMP P Tracking Table'!$Q153,'Loading Rates'!$B$1:$L$24,9,FALSE),'BMP P Tracking Table'!$AA153*VLOOKUP('BMP P Tracking Table'!$Q153,'Loading Rates'!$B$1:$L$24,10,FALSE)),"")</f>
        <v/>
      </c>
      <c r="AE153" s="101" t="str">
        <f>IFERROR(MIN(2,IF('BMP P Tracking Table'!$V153="Total Pervious",(-(3630*'BMP P Tracking Table'!$U153+20.691*'BMP P Tracking Table'!$AA153)+SQRT((3630*'BMP P Tracking Table'!$U153+20.691*'BMP P Tracking Table'!$AA153)^2-(4*(996.798*'BMP P Tracking Table'!$AA153)*-'BMP P Tracking Table'!$AB153)))/(2*(996.798*'BMP P Tracking Table'!$AA153)),IF(SUM('BMP P Tracking Table'!$W153:$Z153)=0,'BMP P Tracking Table'!$AB153/(-3630*'BMP P Tracking Table'!$U153),(-(3630*'BMP P Tracking Table'!$U153+20.691*'BMP P Tracking Table'!$Z153-216.711*'BMP P Tracking Table'!$Y153-83.853*'BMP P Tracking Table'!$X153-42.834*'BMP P Tracking Table'!$W153)+SQRT((3630*'BMP P Tracking Table'!$U153+20.691*'BMP P Tracking Table'!$Z153-216.711*'BMP P Tracking Table'!$Y153-83.853*'BMP P Tracking Table'!$X153-42.834*'BMP P Tracking Table'!$W153)^2-(4*(149.919*'BMP P Tracking Table'!$W153+236.676*'BMP P Tracking Table'!$X153+726*'BMP P Tracking Table'!$Y153+996.798*'BMP P Tracking Table'!$Z153)*-'BMP P Tracking Table'!$AB153)))/(2*(149.919*'BMP P Tracking Table'!$W153+236.676*'BMP P Tracking Table'!$X153+726*'BMP P Tracking Table'!$Y153+996.798*'BMP P Tracking Table'!$Z153))))),"")</f>
        <v/>
      </c>
      <c r="AF153" s="101" t="str">
        <f>IFERROR((VLOOKUP(CONCATENATE('BMP P Tracking Table'!$T153," ",'BMP P Tracking Table'!$AC153),'Performance Curves'!$C$1:$L$45,MATCH('BMP P Tracking Table'!$AE153,'Performance Curves'!$E$1:$L$1,1)+2,FALSE)-VLOOKUP(CONCATENATE('BMP P Tracking Table'!$T153," ",'BMP P Tracking Table'!$AC153),'Performance Curves'!$C$1:$L$45,MATCH('BMP P Tracking Table'!$AE153,'Performance Curves'!$E$1:$L$1,1)+1,FALSE)),"")</f>
        <v/>
      </c>
      <c r="AG153" s="101" t="str">
        <f>IFERROR(('BMP P Tracking Table'!$AE153-INDEX('Performance Curves'!$E$1:$L$1,1,MATCH('BMP P Tracking Table'!$AE153,'Performance Curves'!$E$1:$L$1,1)))/(INDEX('Performance Curves'!$E$1:$L$1,1,MATCH('BMP P Tracking Table'!$AE153,'Performance Curves'!$E$1:$L$1,1)+1)-INDEX('Performance Curves'!$E$1:$L$1,1,MATCH('BMP P Tracking Table'!$AE153,'Performance Curves'!$E$1:$L$1,1))),"")</f>
        <v/>
      </c>
      <c r="AH153" s="102" t="str">
        <f>IFERROR(IF('BMP P Tracking Table'!$AE153=2,VLOOKUP(CONCATENATE('BMP P Tracking Table'!$T153," ",'BMP P Tracking Table'!$AC153),'Performance Curves'!$C$1:$L$45,MATCH('BMP P Tracking Table'!$AE153,'Performance Curves'!$E$1:$L$1,1)+1,FALSE),'BMP P Tracking Table'!$AF153*'BMP P Tracking Table'!$AG153+VLOOKUP(CONCATENATE('BMP P Tracking Table'!$T153," ",'BMP P Tracking Table'!$AC153),'Performance Curves'!$C$1:$L$45,MATCH('BMP P Tracking Table'!$AE153,'Performance Curves'!$E$1:$L$1,1)+1,FALSE)),"")</f>
        <v/>
      </c>
      <c r="AI153" s="101" t="str">
        <f>IFERROR('BMP P Tracking Table'!$AH153*'BMP P Tracking Table'!$AD153,"")</f>
        <v/>
      </c>
      <c r="AJ153" s="64"/>
      <c r="AK153" s="96"/>
      <c r="AL153" s="96"/>
      <c r="AM153" s="63"/>
      <c r="AN153" s="99" t="str">
        <f t="shared" si="14"/>
        <v/>
      </c>
      <c r="AO153" s="96"/>
      <c r="AP153" s="96"/>
      <c r="AQ153" s="96"/>
      <c r="AR153" s="96"/>
      <c r="AS153" s="96"/>
      <c r="AT153" s="96"/>
      <c r="AU153" s="96"/>
      <c r="AV153" s="64"/>
      <c r="AW153" s="97"/>
      <c r="AX153" s="97"/>
      <c r="AY153" s="101" t="str">
        <f>IF('BMP P Tracking Table'!$AK153="Yes",IF('BMP P Tracking Table'!$AL153="No",'BMP P Tracking Table'!$U153*VLOOKUP('BMP P Tracking Table'!$Q153,'Loading Rates'!$B$1:$L$24,4,FALSE)+IF('BMP P Tracking Table'!$V153="By HSG",'BMP P Tracking Table'!$W153*VLOOKUP('BMP P Tracking Table'!$Q153,'Loading Rates'!$B$1:$L$24,6,FALSE)+'BMP P Tracking Table'!$X153*VLOOKUP('BMP P Tracking Table'!$Q153,'Loading Rates'!$B$1:$L$24,7,FALSE)+'BMP P Tracking Table'!$Y153*VLOOKUP('BMP P Tracking Table'!$Q153,'Loading Rates'!$B$1:$L$24,8,FALSE)+'BMP P Tracking Table'!$Z153*VLOOKUP('BMP P Tracking Table'!$Q153,'Loading Rates'!$B$1:$L$24,9,FALSE),'BMP P Tracking Table'!$AA153*VLOOKUP('BMP P Tracking Table'!$Q153,'Loading Rates'!$B$1:$L$24,10,FALSE)),'BMP P Tracking Table'!$AO153*VLOOKUP('BMP P Tracking Table'!$Q153,'Loading Rates'!$B$1:$L$24,4,FALSE)+IF('BMP P Tracking Table'!$AP153="By HSG",'BMP P Tracking Table'!$AQ153*VLOOKUP('BMP P Tracking Table'!$Q153,'Loading Rates'!$B$1:$L$24,6,FALSE)+'BMP P Tracking Table'!$AR153*VLOOKUP('BMP P Tracking Table'!$Q153,'Loading Rates'!$B$1:$L$24,7,FALSE)+'BMP P Tracking Table'!$AS153*VLOOKUP('BMP P Tracking Table'!$Q153,'Loading Rates'!$B$1:$L$24,8,FALSE)+'BMP P Tracking Table'!$AT153*VLOOKUP('BMP P Tracking Table'!$Q153,'Loading Rates'!$B$1:$L$24,9,FALSE),'BMP P Tracking Table'!$AU153*VLOOKUP('BMP P Tracking Table'!$Q153,'Loading Rates'!$B$1:$L$24,10,FALSE))),"")</f>
        <v/>
      </c>
      <c r="AZ153" s="101" t="str">
        <f>IFERROR(IF('BMP P Tracking Table'!$AL153="Yes",MIN(2,IF('BMP P Tracking Table'!$AP153="Total Pervious",(-(3630*'BMP P Tracking Table'!$AO153+20.691*'BMP P Tracking Table'!$AU153)+SQRT((3630*'BMP P Tracking Table'!$AO153+20.691*'BMP P Tracking Table'!$AU153)^2-(4*(996.798*'BMP P Tracking Table'!$AU153)*-'BMP P Tracking Table'!$AW153)))/(2*(996.798*'BMP P Tracking Table'!$AU153)),IF(SUM('BMP P Tracking Table'!$AQ153:$AT153)=0,'BMP P Tracking Table'!$AU153/(-3630*'BMP P Tracking Table'!$AO153),(-(3630*'BMP P Tracking Table'!$AO153+20.691*'BMP P Tracking Table'!$AT153-216.711*'BMP P Tracking Table'!$AS153-83.853*'BMP P Tracking Table'!$AR153-42.834*'BMP P Tracking Table'!$AQ153)+SQRT((3630*'BMP P Tracking Table'!$AO153+20.691*'BMP P Tracking Table'!$AT153-216.711*'BMP P Tracking Table'!$AS153-83.853*'BMP P Tracking Table'!$AR153-42.834*'BMP P Tracking Table'!$AQ153)^2-(4*(149.919*'BMP P Tracking Table'!$AQ153+236.676*'BMP P Tracking Table'!$AR153+726*'BMP P Tracking Table'!$AS153+996.798*'BMP P Tracking Table'!$AT153)*-'BMP P Tracking Table'!$AW153)))/(2*(149.919*'BMP P Tracking Table'!$AQ153+236.676*'BMP P Tracking Table'!$AR153+726*'BMP P Tracking Table'!$AS153+996.798*'BMP P Tracking Table'!$AT153))))),MIN(2,IF('BMP P Tracking Table'!$AP153="Total Pervious",(-(3630*'BMP P Tracking Table'!$U153+20.691*'BMP P Tracking Table'!$AA153)+SQRT((3630*'BMP P Tracking Table'!$U153+20.691*'BMP P Tracking Table'!$AA153)^2-(4*(996.798*'BMP P Tracking Table'!$AA153)*-'BMP P Tracking Table'!$AW153)))/(2*(996.798*'BMP P Tracking Table'!$AA153)),IF(SUM('BMP P Tracking Table'!$W153:$Z153)=0,'BMP P Tracking Table'!$AW153/(-3630*'BMP P Tracking Table'!$U153),(-(3630*'BMP P Tracking Table'!$U153+20.691*'BMP P Tracking Table'!$Z153-216.711*'BMP P Tracking Table'!$Y153-83.853*'BMP P Tracking Table'!$X153-42.834*'BMP P Tracking Table'!$W153)+SQRT((3630*'BMP P Tracking Table'!$U153+20.691*'BMP P Tracking Table'!$Z153-216.711*'BMP P Tracking Table'!$Y153-83.853*'BMP P Tracking Table'!$X153-42.834*'BMP P Tracking Table'!$W153)^2-(4*(149.919*'BMP P Tracking Table'!$W153+236.676*'BMP P Tracking Table'!$X153+726*'BMP P Tracking Table'!$Y153+996.798*'BMP P Tracking Table'!$Z153)*-'BMP P Tracking Table'!$AW153)))/(2*(149.919*'BMP P Tracking Table'!$W153+236.676*'BMP P Tracking Table'!$X153+726*'BMP P Tracking Table'!$Y153+996.798*'BMP P Tracking Table'!$Z153)))))),"")</f>
        <v/>
      </c>
      <c r="BA153" s="101" t="str">
        <f>IFERROR((VLOOKUP(CONCATENATE('BMP P Tracking Table'!$AV153," ",'BMP P Tracking Table'!$AX153),'Performance Curves'!$C$1:$L$45,MATCH('BMP P Tracking Table'!$AZ153,'Performance Curves'!$E$1:$L$1,1)+2,FALSE)-VLOOKUP(CONCATENATE('BMP P Tracking Table'!$AV153," ",'BMP P Tracking Table'!$AX153),'Performance Curves'!$C$1:$L$45,MATCH('BMP P Tracking Table'!$AZ153,'Performance Curves'!$E$1:$L$1,1)+1,FALSE)),"")</f>
        <v/>
      </c>
      <c r="BB153" s="101" t="str">
        <f>IFERROR(('BMP P Tracking Table'!$AZ153-INDEX('Performance Curves'!$E$1:$L$1,1,MATCH('BMP P Tracking Table'!$AZ153,'Performance Curves'!$E$1:$L$1,1)))/(INDEX('Performance Curves'!$E$1:$L$1,1,MATCH('BMP P Tracking Table'!$AZ153,'Performance Curves'!$E$1:$L$1,1)+1)-INDEX('Performance Curves'!$E$1:$L$1,1,MATCH('BMP P Tracking Table'!$AZ153,'Performance Curves'!$E$1:$L$1,1))),"")</f>
        <v/>
      </c>
      <c r="BC153" s="102" t="str">
        <f>IFERROR(IF('BMP P Tracking Table'!$AZ153=2,VLOOKUP(CONCATENATE('BMP P Tracking Table'!$AV153," ",'BMP P Tracking Table'!$AX153),'Performance Curves'!$C$1:$L$44,MATCH('BMP P Tracking Table'!$AZ153,'Performance Curves'!$E$1:$L$1,1)+1,FALSE),'BMP P Tracking Table'!$BA153*'BMP P Tracking Table'!$BB153+VLOOKUP(CONCATENATE('BMP P Tracking Table'!$AV153," ",'BMP P Tracking Table'!$AX153),'Performance Curves'!$C$1:$L$44,MATCH('BMP P Tracking Table'!$AZ153,'Performance Curves'!$E$1:$L$1,1)+1,FALSE)),"")</f>
        <v/>
      </c>
      <c r="BD153" s="101" t="str">
        <f>IFERROR('BMP P Tracking Table'!$BC153*'BMP P Tracking Table'!$AY153,"")</f>
        <v/>
      </c>
      <c r="BE153" s="96"/>
      <c r="BF153" s="37">
        <f t="shared" si="15"/>
        <v>0</v>
      </c>
    </row>
    <row r="154" spans="1:58" x14ac:dyDescent="0.3">
      <c r="A154" s="64"/>
      <c r="B154" s="64"/>
      <c r="C154" s="64"/>
      <c r="D154" s="64"/>
      <c r="E154" s="93"/>
      <c r="F154" s="93"/>
      <c r="G154" s="64"/>
      <c r="H154" s="64"/>
      <c r="I154" s="64"/>
      <c r="J154" s="94"/>
      <c r="K154" s="64"/>
      <c r="L154" s="64"/>
      <c r="M154" s="64"/>
      <c r="N154" s="64"/>
      <c r="O154" s="64"/>
      <c r="P154" s="64"/>
      <c r="Q154" s="64" t="str">
        <f>IFERROR(VLOOKUP('BMP P Tracking Table'!$P154,Dropdowns!$C$2:$E$15,3,FALSE),"")</f>
        <v/>
      </c>
      <c r="R154" s="64" t="str">
        <f>IFERROR(VLOOKUP('BMP P Tracking Table'!$Q154,Dropdowns!$P$3:$Q$23,2,FALSE),"")</f>
        <v/>
      </c>
      <c r="S154" s="64"/>
      <c r="T154" s="64"/>
      <c r="U154" s="64"/>
      <c r="V154" s="64"/>
      <c r="W154" s="64"/>
      <c r="X154" s="64"/>
      <c r="Y154" s="64"/>
      <c r="Z154" s="64"/>
      <c r="AA154" s="64"/>
      <c r="AB154" s="95"/>
      <c r="AC154" s="64"/>
      <c r="AD154" s="101" t="str">
        <f>IFERROR('BMP P Tracking Table'!$U154*VLOOKUP('BMP P Tracking Table'!$Q154,'Loading Rates'!$B$1:$L$24,4,FALSE)+IF('BMP P Tracking Table'!$V154="By HSG",'BMP P Tracking Table'!$W154*VLOOKUP('BMP P Tracking Table'!$Q154,'Loading Rates'!$B$1:$L$24,6,FALSE)+'BMP P Tracking Table'!$X154*VLOOKUP('BMP P Tracking Table'!$Q154,'Loading Rates'!$B$1:$L$24,7,FALSE)+'BMP P Tracking Table'!$Y154*VLOOKUP('BMP P Tracking Table'!$Q154,'Loading Rates'!$B$1:$L$24,8,FALSE)+'BMP P Tracking Table'!$Z154*VLOOKUP('BMP P Tracking Table'!$Q154,'Loading Rates'!$B$1:$L$24,9,FALSE),'BMP P Tracking Table'!$AA154*VLOOKUP('BMP P Tracking Table'!$Q154,'Loading Rates'!$B$1:$L$24,10,FALSE)),"")</f>
        <v/>
      </c>
      <c r="AE154" s="101" t="str">
        <f>IFERROR(MIN(2,IF('BMP P Tracking Table'!$V154="Total Pervious",(-(3630*'BMP P Tracking Table'!$U154+20.691*'BMP P Tracking Table'!$AA154)+SQRT((3630*'BMP P Tracking Table'!$U154+20.691*'BMP P Tracking Table'!$AA154)^2-(4*(996.798*'BMP P Tracking Table'!$AA154)*-'BMP P Tracking Table'!$AB154)))/(2*(996.798*'BMP P Tracking Table'!$AA154)),IF(SUM('BMP P Tracking Table'!$W154:$Z154)=0,'BMP P Tracking Table'!$AB154/(-3630*'BMP P Tracking Table'!$U154),(-(3630*'BMP P Tracking Table'!$U154+20.691*'BMP P Tracking Table'!$Z154-216.711*'BMP P Tracking Table'!$Y154-83.853*'BMP P Tracking Table'!$X154-42.834*'BMP P Tracking Table'!$W154)+SQRT((3630*'BMP P Tracking Table'!$U154+20.691*'BMP P Tracking Table'!$Z154-216.711*'BMP P Tracking Table'!$Y154-83.853*'BMP P Tracking Table'!$X154-42.834*'BMP P Tracking Table'!$W154)^2-(4*(149.919*'BMP P Tracking Table'!$W154+236.676*'BMP P Tracking Table'!$X154+726*'BMP P Tracking Table'!$Y154+996.798*'BMP P Tracking Table'!$Z154)*-'BMP P Tracking Table'!$AB154)))/(2*(149.919*'BMP P Tracking Table'!$W154+236.676*'BMP P Tracking Table'!$X154+726*'BMP P Tracking Table'!$Y154+996.798*'BMP P Tracking Table'!$Z154))))),"")</f>
        <v/>
      </c>
      <c r="AF154" s="101" t="str">
        <f>IFERROR((VLOOKUP(CONCATENATE('BMP P Tracking Table'!$T154," ",'BMP P Tracking Table'!$AC154),'Performance Curves'!$C$1:$L$45,MATCH('BMP P Tracking Table'!$AE154,'Performance Curves'!$E$1:$L$1,1)+2,FALSE)-VLOOKUP(CONCATENATE('BMP P Tracking Table'!$T154," ",'BMP P Tracking Table'!$AC154),'Performance Curves'!$C$1:$L$45,MATCH('BMP P Tracking Table'!$AE154,'Performance Curves'!$E$1:$L$1,1)+1,FALSE)),"")</f>
        <v/>
      </c>
      <c r="AG154" s="101" t="str">
        <f>IFERROR(('BMP P Tracking Table'!$AE154-INDEX('Performance Curves'!$E$1:$L$1,1,MATCH('BMP P Tracking Table'!$AE154,'Performance Curves'!$E$1:$L$1,1)))/(INDEX('Performance Curves'!$E$1:$L$1,1,MATCH('BMP P Tracking Table'!$AE154,'Performance Curves'!$E$1:$L$1,1)+1)-INDEX('Performance Curves'!$E$1:$L$1,1,MATCH('BMP P Tracking Table'!$AE154,'Performance Curves'!$E$1:$L$1,1))),"")</f>
        <v/>
      </c>
      <c r="AH154" s="102" t="str">
        <f>IFERROR(IF('BMP P Tracking Table'!$AE154=2,VLOOKUP(CONCATENATE('BMP P Tracking Table'!$T154," ",'BMP P Tracking Table'!$AC154),'Performance Curves'!$C$1:$L$45,MATCH('BMP P Tracking Table'!$AE154,'Performance Curves'!$E$1:$L$1,1)+1,FALSE),'BMP P Tracking Table'!$AF154*'BMP P Tracking Table'!$AG154+VLOOKUP(CONCATENATE('BMP P Tracking Table'!$T154," ",'BMP P Tracking Table'!$AC154),'Performance Curves'!$C$1:$L$45,MATCH('BMP P Tracking Table'!$AE154,'Performance Curves'!$E$1:$L$1,1)+1,FALSE)),"")</f>
        <v/>
      </c>
      <c r="AI154" s="101" t="str">
        <f>IFERROR('BMP P Tracking Table'!$AH154*'BMP P Tracking Table'!$AD154,"")</f>
        <v/>
      </c>
      <c r="AJ154" s="64"/>
      <c r="AK154" s="96"/>
      <c r="AL154" s="96"/>
      <c r="AM154" s="63"/>
      <c r="AN154" s="99" t="str">
        <f t="shared" ref="AN154:AN217" si="16">IF(AK154="Yes",IF(BF154&gt;0,IF(ISBLANK(AJ154),AI154,AJ154)-IF(ISBLANK(BE154),BD154,BE154),"Enter Info --&gt;"),IF(ISBLANK(AJ154),AI154,AJ154))</f>
        <v/>
      </c>
      <c r="AO154" s="96"/>
      <c r="AP154" s="96"/>
      <c r="AQ154" s="96"/>
      <c r="AR154" s="96"/>
      <c r="AS154" s="96"/>
      <c r="AT154" s="96"/>
      <c r="AU154" s="96"/>
      <c r="AV154" s="64"/>
      <c r="AW154" s="97"/>
      <c r="AX154" s="97"/>
      <c r="AY154" s="101" t="str">
        <f>IF('BMP P Tracking Table'!$AK154="Yes",IF('BMP P Tracking Table'!$AL154="No",'BMP P Tracking Table'!$U154*VLOOKUP('BMP P Tracking Table'!$Q154,'Loading Rates'!$B$1:$L$24,4,FALSE)+IF('BMP P Tracking Table'!$V154="By HSG",'BMP P Tracking Table'!$W154*VLOOKUP('BMP P Tracking Table'!$Q154,'Loading Rates'!$B$1:$L$24,6,FALSE)+'BMP P Tracking Table'!$X154*VLOOKUP('BMP P Tracking Table'!$Q154,'Loading Rates'!$B$1:$L$24,7,FALSE)+'BMP P Tracking Table'!$Y154*VLOOKUP('BMP P Tracking Table'!$Q154,'Loading Rates'!$B$1:$L$24,8,FALSE)+'BMP P Tracking Table'!$Z154*VLOOKUP('BMP P Tracking Table'!$Q154,'Loading Rates'!$B$1:$L$24,9,FALSE),'BMP P Tracking Table'!$AA154*VLOOKUP('BMP P Tracking Table'!$Q154,'Loading Rates'!$B$1:$L$24,10,FALSE)),'BMP P Tracking Table'!$AO154*VLOOKUP('BMP P Tracking Table'!$Q154,'Loading Rates'!$B$1:$L$24,4,FALSE)+IF('BMP P Tracking Table'!$AP154="By HSG",'BMP P Tracking Table'!$AQ154*VLOOKUP('BMP P Tracking Table'!$Q154,'Loading Rates'!$B$1:$L$24,6,FALSE)+'BMP P Tracking Table'!$AR154*VLOOKUP('BMP P Tracking Table'!$Q154,'Loading Rates'!$B$1:$L$24,7,FALSE)+'BMP P Tracking Table'!$AS154*VLOOKUP('BMP P Tracking Table'!$Q154,'Loading Rates'!$B$1:$L$24,8,FALSE)+'BMP P Tracking Table'!$AT154*VLOOKUP('BMP P Tracking Table'!$Q154,'Loading Rates'!$B$1:$L$24,9,FALSE),'BMP P Tracking Table'!$AU154*VLOOKUP('BMP P Tracking Table'!$Q154,'Loading Rates'!$B$1:$L$24,10,FALSE))),"")</f>
        <v/>
      </c>
      <c r="AZ154" s="101" t="str">
        <f>IFERROR(IF('BMP P Tracking Table'!$AL154="Yes",MIN(2,IF('BMP P Tracking Table'!$AP154="Total Pervious",(-(3630*'BMP P Tracking Table'!$AO154+20.691*'BMP P Tracking Table'!$AU154)+SQRT((3630*'BMP P Tracking Table'!$AO154+20.691*'BMP P Tracking Table'!$AU154)^2-(4*(996.798*'BMP P Tracking Table'!$AU154)*-'BMP P Tracking Table'!$AW154)))/(2*(996.798*'BMP P Tracking Table'!$AU154)),IF(SUM('BMP P Tracking Table'!$AQ154:$AT154)=0,'BMP P Tracking Table'!$AU154/(-3630*'BMP P Tracking Table'!$AO154),(-(3630*'BMP P Tracking Table'!$AO154+20.691*'BMP P Tracking Table'!$AT154-216.711*'BMP P Tracking Table'!$AS154-83.853*'BMP P Tracking Table'!$AR154-42.834*'BMP P Tracking Table'!$AQ154)+SQRT((3630*'BMP P Tracking Table'!$AO154+20.691*'BMP P Tracking Table'!$AT154-216.711*'BMP P Tracking Table'!$AS154-83.853*'BMP P Tracking Table'!$AR154-42.834*'BMP P Tracking Table'!$AQ154)^2-(4*(149.919*'BMP P Tracking Table'!$AQ154+236.676*'BMP P Tracking Table'!$AR154+726*'BMP P Tracking Table'!$AS154+996.798*'BMP P Tracking Table'!$AT154)*-'BMP P Tracking Table'!$AW154)))/(2*(149.919*'BMP P Tracking Table'!$AQ154+236.676*'BMP P Tracking Table'!$AR154+726*'BMP P Tracking Table'!$AS154+996.798*'BMP P Tracking Table'!$AT154))))),MIN(2,IF('BMP P Tracking Table'!$AP154="Total Pervious",(-(3630*'BMP P Tracking Table'!$U154+20.691*'BMP P Tracking Table'!$AA154)+SQRT((3630*'BMP P Tracking Table'!$U154+20.691*'BMP P Tracking Table'!$AA154)^2-(4*(996.798*'BMP P Tracking Table'!$AA154)*-'BMP P Tracking Table'!$AW154)))/(2*(996.798*'BMP P Tracking Table'!$AA154)),IF(SUM('BMP P Tracking Table'!$W154:$Z154)=0,'BMP P Tracking Table'!$AW154/(-3630*'BMP P Tracking Table'!$U154),(-(3630*'BMP P Tracking Table'!$U154+20.691*'BMP P Tracking Table'!$Z154-216.711*'BMP P Tracking Table'!$Y154-83.853*'BMP P Tracking Table'!$X154-42.834*'BMP P Tracking Table'!$W154)+SQRT((3630*'BMP P Tracking Table'!$U154+20.691*'BMP P Tracking Table'!$Z154-216.711*'BMP P Tracking Table'!$Y154-83.853*'BMP P Tracking Table'!$X154-42.834*'BMP P Tracking Table'!$W154)^2-(4*(149.919*'BMP P Tracking Table'!$W154+236.676*'BMP P Tracking Table'!$X154+726*'BMP P Tracking Table'!$Y154+996.798*'BMP P Tracking Table'!$Z154)*-'BMP P Tracking Table'!$AW154)))/(2*(149.919*'BMP P Tracking Table'!$W154+236.676*'BMP P Tracking Table'!$X154+726*'BMP P Tracking Table'!$Y154+996.798*'BMP P Tracking Table'!$Z154)))))),"")</f>
        <v/>
      </c>
      <c r="BA154" s="101" t="str">
        <f>IFERROR((VLOOKUP(CONCATENATE('BMP P Tracking Table'!$AV154," ",'BMP P Tracking Table'!$AX154),'Performance Curves'!$C$1:$L$45,MATCH('BMP P Tracking Table'!$AZ154,'Performance Curves'!$E$1:$L$1,1)+2,FALSE)-VLOOKUP(CONCATENATE('BMP P Tracking Table'!$AV154," ",'BMP P Tracking Table'!$AX154),'Performance Curves'!$C$1:$L$45,MATCH('BMP P Tracking Table'!$AZ154,'Performance Curves'!$E$1:$L$1,1)+1,FALSE)),"")</f>
        <v/>
      </c>
      <c r="BB154" s="101" t="str">
        <f>IFERROR(('BMP P Tracking Table'!$AZ154-INDEX('Performance Curves'!$E$1:$L$1,1,MATCH('BMP P Tracking Table'!$AZ154,'Performance Curves'!$E$1:$L$1,1)))/(INDEX('Performance Curves'!$E$1:$L$1,1,MATCH('BMP P Tracking Table'!$AZ154,'Performance Curves'!$E$1:$L$1,1)+1)-INDEX('Performance Curves'!$E$1:$L$1,1,MATCH('BMP P Tracking Table'!$AZ154,'Performance Curves'!$E$1:$L$1,1))),"")</f>
        <v/>
      </c>
      <c r="BC154" s="102" t="str">
        <f>IFERROR(IF('BMP P Tracking Table'!$AZ154=2,VLOOKUP(CONCATENATE('BMP P Tracking Table'!$AV154," ",'BMP P Tracking Table'!$AX154),'Performance Curves'!$C$1:$L$44,MATCH('BMP P Tracking Table'!$AZ154,'Performance Curves'!$E$1:$L$1,1)+1,FALSE),'BMP P Tracking Table'!$BA154*'BMP P Tracking Table'!$BB154+VLOOKUP(CONCATENATE('BMP P Tracking Table'!$AV154," ",'BMP P Tracking Table'!$AX154),'Performance Curves'!$C$1:$L$44,MATCH('BMP P Tracking Table'!$AZ154,'Performance Curves'!$E$1:$L$1,1)+1,FALSE)),"")</f>
        <v/>
      </c>
      <c r="BD154" s="101" t="str">
        <f>IFERROR('BMP P Tracking Table'!$BC154*'BMP P Tracking Table'!$AY154,"")</f>
        <v/>
      </c>
      <c r="BE154" s="96"/>
      <c r="BF154" s="37">
        <f t="shared" si="15"/>
        <v>0</v>
      </c>
    </row>
    <row r="155" spans="1:58" x14ac:dyDescent="0.3">
      <c r="A155" s="64"/>
      <c r="B155" s="64"/>
      <c r="C155" s="64"/>
      <c r="D155" s="64"/>
      <c r="E155" s="93"/>
      <c r="F155" s="93"/>
      <c r="G155" s="64"/>
      <c r="H155" s="64"/>
      <c r="I155" s="64"/>
      <c r="J155" s="94"/>
      <c r="K155" s="64"/>
      <c r="L155" s="64"/>
      <c r="M155" s="64"/>
      <c r="N155" s="64"/>
      <c r="O155" s="64"/>
      <c r="P155" s="64"/>
      <c r="Q155" s="64" t="str">
        <f>IFERROR(VLOOKUP('BMP P Tracking Table'!$P155,Dropdowns!$C$2:$E$15,3,FALSE),"")</f>
        <v/>
      </c>
      <c r="R155" s="64" t="str">
        <f>IFERROR(VLOOKUP('BMP P Tracking Table'!$Q155,Dropdowns!$P$3:$Q$23,2,FALSE),"")</f>
        <v/>
      </c>
      <c r="S155" s="64"/>
      <c r="T155" s="64"/>
      <c r="U155" s="64"/>
      <c r="V155" s="64"/>
      <c r="W155" s="64"/>
      <c r="X155" s="64"/>
      <c r="Y155" s="64"/>
      <c r="Z155" s="64"/>
      <c r="AA155" s="64"/>
      <c r="AB155" s="95"/>
      <c r="AC155" s="64"/>
      <c r="AD155" s="101" t="str">
        <f>IFERROR('BMP P Tracking Table'!$U155*VLOOKUP('BMP P Tracking Table'!$Q155,'Loading Rates'!$B$1:$L$24,4,FALSE)+IF('BMP P Tracking Table'!$V155="By HSG",'BMP P Tracking Table'!$W155*VLOOKUP('BMP P Tracking Table'!$Q155,'Loading Rates'!$B$1:$L$24,6,FALSE)+'BMP P Tracking Table'!$X155*VLOOKUP('BMP P Tracking Table'!$Q155,'Loading Rates'!$B$1:$L$24,7,FALSE)+'BMP P Tracking Table'!$Y155*VLOOKUP('BMP P Tracking Table'!$Q155,'Loading Rates'!$B$1:$L$24,8,FALSE)+'BMP P Tracking Table'!$Z155*VLOOKUP('BMP P Tracking Table'!$Q155,'Loading Rates'!$B$1:$L$24,9,FALSE),'BMP P Tracking Table'!$AA155*VLOOKUP('BMP P Tracking Table'!$Q155,'Loading Rates'!$B$1:$L$24,10,FALSE)),"")</f>
        <v/>
      </c>
      <c r="AE155" s="101" t="str">
        <f>IFERROR(MIN(2,IF('BMP P Tracking Table'!$V155="Total Pervious",(-(3630*'BMP P Tracking Table'!$U155+20.691*'BMP P Tracking Table'!$AA155)+SQRT((3630*'BMP P Tracking Table'!$U155+20.691*'BMP P Tracking Table'!$AA155)^2-(4*(996.798*'BMP P Tracking Table'!$AA155)*-'BMP P Tracking Table'!$AB155)))/(2*(996.798*'BMP P Tracking Table'!$AA155)),IF(SUM('BMP P Tracking Table'!$W155:$Z155)=0,'BMP P Tracking Table'!$AB155/(-3630*'BMP P Tracking Table'!$U155),(-(3630*'BMP P Tracking Table'!$U155+20.691*'BMP P Tracking Table'!$Z155-216.711*'BMP P Tracking Table'!$Y155-83.853*'BMP P Tracking Table'!$X155-42.834*'BMP P Tracking Table'!$W155)+SQRT((3630*'BMP P Tracking Table'!$U155+20.691*'BMP P Tracking Table'!$Z155-216.711*'BMP P Tracking Table'!$Y155-83.853*'BMP P Tracking Table'!$X155-42.834*'BMP P Tracking Table'!$W155)^2-(4*(149.919*'BMP P Tracking Table'!$W155+236.676*'BMP P Tracking Table'!$X155+726*'BMP P Tracking Table'!$Y155+996.798*'BMP P Tracking Table'!$Z155)*-'BMP P Tracking Table'!$AB155)))/(2*(149.919*'BMP P Tracking Table'!$W155+236.676*'BMP P Tracking Table'!$X155+726*'BMP P Tracking Table'!$Y155+996.798*'BMP P Tracking Table'!$Z155))))),"")</f>
        <v/>
      </c>
      <c r="AF155" s="101" t="str">
        <f>IFERROR((VLOOKUP(CONCATENATE('BMP P Tracking Table'!$T155," ",'BMP P Tracking Table'!$AC155),'Performance Curves'!$C$1:$L$45,MATCH('BMP P Tracking Table'!$AE155,'Performance Curves'!$E$1:$L$1,1)+2,FALSE)-VLOOKUP(CONCATENATE('BMP P Tracking Table'!$T155," ",'BMP P Tracking Table'!$AC155),'Performance Curves'!$C$1:$L$45,MATCH('BMP P Tracking Table'!$AE155,'Performance Curves'!$E$1:$L$1,1)+1,FALSE)),"")</f>
        <v/>
      </c>
      <c r="AG155" s="101" t="str">
        <f>IFERROR(('BMP P Tracking Table'!$AE155-INDEX('Performance Curves'!$E$1:$L$1,1,MATCH('BMP P Tracking Table'!$AE155,'Performance Curves'!$E$1:$L$1,1)))/(INDEX('Performance Curves'!$E$1:$L$1,1,MATCH('BMP P Tracking Table'!$AE155,'Performance Curves'!$E$1:$L$1,1)+1)-INDEX('Performance Curves'!$E$1:$L$1,1,MATCH('BMP P Tracking Table'!$AE155,'Performance Curves'!$E$1:$L$1,1))),"")</f>
        <v/>
      </c>
      <c r="AH155" s="102" t="str">
        <f>IFERROR(IF('BMP P Tracking Table'!$AE155=2,VLOOKUP(CONCATENATE('BMP P Tracking Table'!$T155," ",'BMP P Tracking Table'!$AC155),'Performance Curves'!$C$1:$L$45,MATCH('BMP P Tracking Table'!$AE155,'Performance Curves'!$E$1:$L$1,1)+1,FALSE),'BMP P Tracking Table'!$AF155*'BMP P Tracking Table'!$AG155+VLOOKUP(CONCATENATE('BMP P Tracking Table'!$T155," ",'BMP P Tracking Table'!$AC155),'Performance Curves'!$C$1:$L$45,MATCH('BMP P Tracking Table'!$AE155,'Performance Curves'!$E$1:$L$1,1)+1,FALSE)),"")</f>
        <v/>
      </c>
      <c r="AI155" s="101" t="str">
        <f>IFERROR('BMP P Tracking Table'!$AH155*'BMP P Tracking Table'!$AD155,"")</f>
        <v/>
      </c>
      <c r="AJ155" s="64"/>
      <c r="AK155" s="96"/>
      <c r="AL155" s="96"/>
      <c r="AM155" s="63"/>
      <c r="AN155" s="99" t="str">
        <f t="shared" si="16"/>
        <v/>
      </c>
      <c r="AO155" s="96"/>
      <c r="AP155" s="96"/>
      <c r="AQ155" s="96"/>
      <c r="AR155" s="96"/>
      <c r="AS155" s="96"/>
      <c r="AT155" s="96"/>
      <c r="AU155" s="96"/>
      <c r="AV155" s="64"/>
      <c r="AW155" s="97"/>
      <c r="AX155" s="97"/>
      <c r="AY155" s="101" t="str">
        <f>IF('BMP P Tracking Table'!$AK155="Yes",IF('BMP P Tracking Table'!$AL155="No",'BMP P Tracking Table'!$U155*VLOOKUP('BMP P Tracking Table'!$Q155,'Loading Rates'!$B$1:$L$24,4,FALSE)+IF('BMP P Tracking Table'!$V155="By HSG",'BMP P Tracking Table'!$W155*VLOOKUP('BMP P Tracking Table'!$Q155,'Loading Rates'!$B$1:$L$24,6,FALSE)+'BMP P Tracking Table'!$X155*VLOOKUP('BMP P Tracking Table'!$Q155,'Loading Rates'!$B$1:$L$24,7,FALSE)+'BMP P Tracking Table'!$Y155*VLOOKUP('BMP P Tracking Table'!$Q155,'Loading Rates'!$B$1:$L$24,8,FALSE)+'BMP P Tracking Table'!$Z155*VLOOKUP('BMP P Tracking Table'!$Q155,'Loading Rates'!$B$1:$L$24,9,FALSE),'BMP P Tracking Table'!$AA155*VLOOKUP('BMP P Tracking Table'!$Q155,'Loading Rates'!$B$1:$L$24,10,FALSE)),'BMP P Tracking Table'!$AO155*VLOOKUP('BMP P Tracking Table'!$Q155,'Loading Rates'!$B$1:$L$24,4,FALSE)+IF('BMP P Tracking Table'!$AP155="By HSG",'BMP P Tracking Table'!$AQ155*VLOOKUP('BMP P Tracking Table'!$Q155,'Loading Rates'!$B$1:$L$24,6,FALSE)+'BMP P Tracking Table'!$AR155*VLOOKUP('BMP P Tracking Table'!$Q155,'Loading Rates'!$B$1:$L$24,7,FALSE)+'BMP P Tracking Table'!$AS155*VLOOKUP('BMP P Tracking Table'!$Q155,'Loading Rates'!$B$1:$L$24,8,FALSE)+'BMP P Tracking Table'!$AT155*VLOOKUP('BMP P Tracking Table'!$Q155,'Loading Rates'!$B$1:$L$24,9,FALSE),'BMP P Tracking Table'!$AU155*VLOOKUP('BMP P Tracking Table'!$Q155,'Loading Rates'!$B$1:$L$24,10,FALSE))),"")</f>
        <v/>
      </c>
      <c r="AZ155" s="101" t="str">
        <f>IFERROR(IF('BMP P Tracking Table'!$AL155="Yes",MIN(2,IF('BMP P Tracking Table'!$AP155="Total Pervious",(-(3630*'BMP P Tracking Table'!$AO155+20.691*'BMP P Tracking Table'!$AU155)+SQRT((3630*'BMP P Tracking Table'!$AO155+20.691*'BMP P Tracking Table'!$AU155)^2-(4*(996.798*'BMP P Tracking Table'!$AU155)*-'BMP P Tracking Table'!$AW155)))/(2*(996.798*'BMP P Tracking Table'!$AU155)),IF(SUM('BMP P Tracking Table'!$AQ155:$AT155)=0,'BMP P Tracking Table'!$AU155/(-3630*'BMP P Tracking Table'!$AO155),(-(3630*'BMP P Tracking Table'!$AO155+20.691*'BMP P Tracking Table'!$AT155-216.711*'BMP P Tracking Table'!$AS155-83.853*'BMP P Tracking Table'!$AR155-42.834*'BMP P Tracking Table'!$AQ155)+SQRT((3630*'BMP P Tracking Table'!$AO155+20.691*'BMP P Tracking Table'!$AT155-216.711*'BMP P Tracking Table'!$AS155-83.853*'BMP P Tracking Table'!$AR155-42.834*'BMP P Tracking Table'!$AQ155)^2-(4*(149.919*'BMP P Tracking Table'!$AQ155+236.676*'BMP P Tracking Table'!$AR155+726*'BMP P Tracking Table'!$AS155+996.798*'BMP P Tracking Table'!$AT155)*-'BMP P Tracking Table'!$AW155)))/(2*(149.919*'BMP P Tracking Table'!$AQ155+236.676*'BMP P Tracking Table'!$AR155+726*'BMP P Tracking Table'!$AS155+996.798*'BMP P Tracking Table'!$AT155))))),MIN(2,IF('BMP P Tracking Table'!$AP155="Total Pervious",(-(3630*'BMP P Tracking Table'!$U155+20.691*'BMP P Tracking Table'!$AA155)+SQRT((3630*'BMP P Tracking Table'!$U155+20.691*'BMP P Tracking Table'!$AA155)^2-(4*(996.798*'BMP P Tracking Table'!$AA155)*-'BMP P Tracking Table'!$AW155)))/(2*(996.798*'BMP P Tracking Table'!$AA155)),IF(SUM('BMP P Tracking Table'!$W155:$Z155)=0,'BMP P Tracking Table'!$AW155/(-3630*'BMP P Tracking Table'!$U155),(-(3630*'BMP P Tracking Table'!$U155+20.691*'BMP P Tracking Table'!$Z155-216.711*'BMP P Tracking Table'!$Y155-83.853*'BMP P Tracking Table'!$X155-42.834*'BMP P Tracking Table'!$W155)+SQRT((3630*'BMP P Tracking Table'!$U155+20.691*'BMP P Tracking Table'!$Z155-216.711*'BMP P Tracking Table'!$Y155-83.853*'BMP P Tracking Table'!$X155-42.834*'BMP P Tracking Table'!$W155)^2-(4*(149.919*'BMP P Tracking Table'!$W155+236.676*'BMP P Tracking Table'!$X155+726*'BMP P Tracking Table'!$Y155+996.798*'BMP P Tracking Table'!$Z155)*-'BMP P Tracking Table'!$AW155)))/(2*(149.919*'BMP P Tracking Table'!$W155+236.676*'BMP P Tracking Table'!$X155+726*'BMP P Tracking Table'!$Y155+996.798*'BMP P Tracking Table'!$Z155)))))),"")</f>
        <v/>
      </c>
      <c r="BA155" s="101" t="str">
        <f>IFERROR((VLOOKUP(CONCATENATE('BMP P Tracking Table'!$AV155," ",'BMP P Tracking Table'!$AX155),'Performance Curves'!$C$1:$L$45,MATCH('BMP P Tracking Table'!$AZ155,'Performance Curves'!$E$1:$L$1,1)+2,FALSE)-VLOOKUP(CONCATENATE('BMP P Tracking Table'!$AV155," ",'BMP P Tracking Table'!$AX155),'Performance Curves'!$C$1:$L$45,MATCH('BMP P Tracking Table'!$AZ155,'Performance Curves'!$E$1:$L$1,1)+1,FALSE)),"")</f>
        <v/>
      </c>
      <c r="BB155" s="101" t="str">
        <f>IFERROR(('BMP P Tracking Table'!$AZ155-INDEX('Performance Curves'!$E$1:$L$1,1,MATCH('BMP P Tracking Table'!$AZ155,'Performance Curves'!$E$1:$L$1,1)))/(INDEX('Performance Curves'!$E$1:$L$1,1,MATCH('BMP P Tracking Table'!$AZ155,'Performance Curves'!$E$1:$L$1,1)+1)-INDEX('Performance Curves'!$E$1:$L$1,1,MATCH('BMP P Tracking Table'!$AZ155,'Performance Curves'!$E$1:$L$1,1))),"")</f>
        <v/>
      </c>
      <c r="BC155" s="102" t="str">
        <f>IFERROR(IF('BMP P Tracking Table'!$AZ155=2,VLOOKUP(CONCATENATE('BMP P Tracking Table'!$AV155," ",'BMP P Tracking Table'!$AX155),'Performance Curves'!$C$1:$L$44,MATCH('BMP P Tracking Table'!$AZ155,'Performance Curves'!$E$1:$L$1,1)+1,FALSE),'BMP P Tracking Table'!$BA155*'BMP P Tracking Table'!$BB155+VLOOKUP(CONCATENATE('BMP P Tracking Table'!$AV155," ",'BMP P Tracking Table'!$AX155),'Performance Curves'!$C$1:$L$44,MATCH('BMP P Tracking Table'!$AZ155,'Performance Curves'!$E$1:$L$1,1)+1,FALSE)),"")</f>
        <v/>
      </c>
      <c r="BD155" s="101" t="str">
        <f>IFERROR('BMP P Tracking Table'!$BC155*'BMP P Tracking Table'!$AY155,"")</f>
        <v/>
      </c>
      <c r="BE155" s="96"/>
      <c r="BF155" s="37">
        <f t="shared" si="15"/>
        <v>0</v>
      </c>
    </row>
    <row r="156" spans="1:58" x14ac:dyDescent="0.3">
      <c r="A156" s="64"/>
      <c r="B156" s="64"/>
      <c r="C156" s="64"/>
      <c r="D156" s="64"/>
      <c r="E156" s="93"/>
      <c r="F156" s="93"/>
      <c r="G156" s="64"/>
      <c r="H156" s="64"/>
      <c r="I156" s="64"/>
      <c r="J156" s="94"/>
      <c r="K156" s="64"/>
      <c r="L156" s="64"/>
      <c r="M156" s="64"/>
      <c r="N156" s="64"/>
      <c r="O156" s="64"/>
      <c r="P156" s="64"/>
      <c r="Q156" s="64" t="str">
        <f>IFERROR(VLOOKUP('BMP P Tracking Table'!$P156,Dropdowns!$C$2:$E$15,3,FALSE),"")</f>
        <v/>
      </c>
      <c r="R156" s="64" t="str">
        <f>IFERROR(VLOOKUP('BMP P Tracking Table'!$Q156,Dropdowns!$P$3:$Q$23,2,FALSE),"")</f>
        <v/>
      </c>
      <c r="S156" s="64"/>
      <c r="T156" s="64"/>
      <c r="U156" s="64"/>
      <c r="V156" s="64"/>
      <c r="W156" s="64"/>
      <c r="X156" s="64"/>
      <c r="Y156" s="64"/>
      <c r="Z156" s="64"/>
      <c r="AA156" s="64"/>
      <c r="AB156" s="95"/>
      <c r="AC156" s="64"/>
      <c r="AD156" s="101" t="str">
        <f>IFERROR('BMP P Tracking Table'!$U156*VLOOKUP('BMP P Tracking Table'!$Q156,'Loading Rates'!$B$1:$L$24,4,FALSE)+IF('BMP P Tracking Table'!$V156="By HSG",'BMP P Tracking Table'!$W156*VLOOKUP('BMP P Tracking Table'!$Q156,'Loading Rates'!$B$1:$L$24,6,FALSE)+'BMP P Tracking Table'!$X156*VLOOKUP('BMP P Tracking Table'!$Q156,'Loading Rates'!$B$1:$L$24,7,FALSE)+'BMP P Tracking Table'!$Y156*VLOOKUP('BMP P Tracking Table'!$Q156,'Loading Rates'!$B$1:$L$24,8,FALSE)+'BMP P Tracking Table'!$Z156*VLOOKUP('BMP P Tracking Table'!$Q156,'Loading Rates'!$B$1:$L$24,9,FALSE),'BMP P Tracking Table'!$AA156*VLOOKUP('BMP P Tracking Table'!$Q156,'Loading Rates'!$B$1:$L$24,10,FALSE)),"")</f>
        <v/>
      </c>
      <c r="AE156" s="101" t="str">
        <f>IFERROR(MIN(2,IF('BMP P Tracking Table'!$V156="Total Pervious",(-(3630*'BMP P Tracking Table'!$U156+20.691*'BMP P Tracking Table'!$AA156)+SQRT((3630*'BMP P Tracking Table'!$U156+20.691*'BMP P Tracking Table'!$AA156)^2-(4*(996.798*'BMP P Tracking Table'!$AA156)*-'BMP P Tracking Table'!$AB156)))/(2*(996.798*'BMP P Tracking Table'!$AA156)),IF(SUM('BMP P Tracking Table'!$W156:$Z156)=0,'BMP P Tracking Table'!$AB156/(-3630*'BMP P Tracking Table'!$U156),(-(3630*'BMP P Tracking Table'!$U156+20.691*'BMP P Tracking Table'!$Z156-216.711*'BMP P Tracking Table'!$Y156-83.853*'BMP P Tracking Table'!$X156-42.834*'BMP P Tracking Table'!$W156)+SQRT((3630*'BMP P Tracking Table'!$U156+20.691*'BMP P Tracking Table'!$Z156-216.711*'BMP P Tracking Table'!$Y156-83.853*'BMP P Tracking Table'!$X156-42.834*'BMP P Tracking Table'!$W156)^2-(4*(149.919*'BMP P Tracking Table'!$W156+236.676*'BMP P Tracking Table'!$X156+726*'BMP P Tracking Table'!$Y156+996.798*'BMP P Tracking Table'!$Z156)*-'BMP P Tracking Table'!$AB156)))/(2*(149.919*'BMP P Tracking Table'!$W156+236.676*'BMP P Tracking Table'!$X156+726*'BMP P Tracking Table'!$Y156+996.798*'BMP P Tracking Table'!$Z156))))),"")</f>
        <v/>
      </c>
      <c r="AF156" s="101" t="str">
        <f>IFERROR((VLOOKUP(CONCATENATE('BMP P Tracking Table'!$T156," ",'BMP P Tracking Table'!$AC156),'Performance Curves'!$C$1:$L$45,MATCH('BMP P Tracking Table'!$AE156,'Performance Curves'!$E$1:$L$1,1)+2,FALSE)-VLOOKUP(CONCATENATE('BMP P Tracking Table'!$T156," ",'BMP P Tracking Table'!$AC156),'Performance Curves'!$C$1:$L$45,MATCH('BMP P Tracking Table'!$AE156,'Performance Curves'!$E$1:$L$1,1)+1,FALSE)),"")</f>
        <v/>
      </c>
      <c r="AG156" s="101" t="str">
        <f>IFERROR(('BMP P Tracking Table'!$AE156-INDEX('Performance Curves'!$E$1:$L$1,1,MATCH('BMP P Tracking Table'!$AE156,'Performance Curves'!$E$1:$L$1,1)))/(INDEX('Performance Curves'!$E$1:$L$1,1,MATCH('BMP P Tracking Table'!$AE156,'Performance Curves'!$E$1:$L$1,1)+1)-INDEX('Performance Curves'!$E$1:$L$1,1,MATCH('BMP P Tracking Table'!$AE156,'Performance Curves'!$E$1:$L$1,1))),"")</f>
        <v/>
      </c>
      <c r="AH156" s="102" t="str">
        <f>IFERROR(IF('BMP P Tracking Table'!$AE156=2,VLOOKUP(CONCATENATE('BMP P Tracking Table'!$T156," ",'BMP P Tracking Table'!$AC156),'Performance Curves'!$C$1:$L$45,MATCH('BMP P Tracking Table'!$AE156,'Performance Curves'!$E$1:$L$1,1)+1,FALSE),'BMP P Tracking Table'!$AF156*'BMP P Tracking Table'!$AG156+VLOOKUP(CONCATENATE('BMP P Tracking Table'!$T156," ",'BMP P Tracking Table'!$AC156),'Performance Curves'!$C$1:$L$45,MATCH('BMP P Tracking Table'!$AE156,'Performance Curves'!$E$1:$L$1,1)+1,FALSE)),"")</f>
        <v/>
      </c>
      <c r="AI156" s="101" t="str">
        <f>IFERROR('BMP P Tracking Table'!$AH156*'BMP P Tracking Table'!$AD156,"")</f>
        <v/>
      </c>
      <c r="AJ156" s="64"/>
      <c r="AK156" s="96"/>
      <c r="AL156" s="96"/>
      <c r="AM156" s="63"/>
      <c r="AN156" s="99" t="str">
        <f t="shared" si="16"/>
        <v/>
      </c>
      <c r="AO156" s="96"/>
      <c r="AP156" s="96"/>
      <c r="AQ156" s="96"/>
      <c r="AR156" s="96"/>
      <c r="AS156" s="96"/>
      <c r="AT156" s="96"/>
      <c r="AU156" s="96"/>
      <c r="AV156" s="64"/>
      <c r="AW156" s="97"/>
      <c r="AX156" s="97"/>
      <c r="AY156" s="101" t="str">
        <f>IF('BMP P Tracking Table'!$AK156="Yes",IF('BMP P Tracking Table'!$AL156="No",'BMP P Tracking Table'!$U156*VLOOKUP('BMP P Tracking Table'!$Q156,'Loading Rates'!$B$1:$L$24,4,FALSE)+IF('BMP P Tracking Table'!$V156="By HSG",'BMP P Tracking Table'!$W156*VLOOKUP('BMP P Tracking Table'!$Q156,'Loading Rates'!$B$1:$L$24,6,FALSE)+'BMP P Tracking Table'!$X156*VLOOKUP('BMP P Tracking Table'!$Q156,'Loading Rates'!$B$1:$L$24,7,FALSE)+'BMP P Tracking Table'!$Y156*VLOOKUP('BMP P Tracking Table'!$Q156,'Loading Rates'!$B$1:$L$24,8,FALSE)+'BMP P Tracking Table'!$Z156*VLOOKUP('BMP P Tracking Table'!$Q156,'Loading Rates'!$B$1:$L$24,9,FALSE),'BMP P Tracking Table'!$AA156*VLOOKUP('BMP P Tracking Table'!$Q156,'Loading Rates'!$B$1:$L$24,10,FALSE)),'BMP P Tracking Table'!$AO156*VLOOKUP('BMP P Tracking Table'!$Q156,'Loading Rates'!$B$1:$L$24,4,FALSE)+IF('BMP P Tracking Table'!$AP156="By HSG",'BMP P Tracking Table'!$AQ156*VLOOKUP('BMP P Tracking Table'!$Q156,'Loading Rates'!$B$1:$L$24,6,FALSE)+'BMP P Tracking Table'!$AR156*VLOOKUP('BMP P Tracking Table'!$Q156,'Loading Rates'!$B$1:$L$24,7,FALSE)+'BMP P Tracking Table'!$AS156*VLOOKUP('BMP P Tracking Table'!$Q156,'Loading Rates'!$B$1:$L$24,8,FALSE)+'BMP P Tracking Table'!$AT156*VLOOKUP('BMP P Tracking Table'!$Q156,'Loading Rates'!$B$1:$L$24,9,FALSE),'BMP P Tracking Table'!$AU156*VLOOKUP('BMP P Tracking Table'!$Q156,'Loading Rates'!$B$1:$L$24,10,FALSE))),"")</f>
        <v/>
      </c>
      <c r="AZ156" s="101" t="str">
        <f>IFERROR(IF('BMP P Tracking Table'!$AL156="Yes",MIN(2,IF('BMP P Tracking Table'!$AP156="Total Pervious",(-(3630*'BMP P Tracking Table'!$AO156+20.691*'BMP P Tracking Table'!$AU156)+SQRT((3630*'BMP P Tracking Table'!$AO156+20.691*'BMP P Tracking Table'!$AU156)^2-(4*(996.798*'BMP P Tracking Table'!$AU156)*-'BMP P Tracking Table'!$AW156)))/(2*(996.798*'BMP P Tracking Table'!$AU156)),IF(SUM('BMP P Tracking Table'!$AQ156:$AT156)=0,'BMP P Tracking Table'!$AU156/(-3630*'BMP P Tracking Table'!$AO156),(-(3630*'BMP P Tracking Table'!$AO156+20.691*'BMP P Tracking Table'!$AT156-216.711*'BMP P Tracking Table'!$AS156-83.853*'BMP P Tracking Table'!$AR156-42.834*'BMP P Tracking Table'!$AQ156)+SQRT((3630*'BMP P Tracking Table'!$AO156+20.691*'BMP P Tracking Table'!$AT156-216.711*'BMP P Tracking Table'!$AS156-83.853*'BMP P Tracking Table'!$AR156-42.834*'BMP P Tracking Table'!$AQ156)^2-(4*(149.919*'BMP P Tracking Table'!$AQ156+236.676*'BMP P Tracking Table'!$AR156+726*'BMP P Tracking Table'!$AS156+996.798*'BMP P Tracking Table'!$AT156)*-'BMP P Tracking Table'!$AW156)))/(2*(149.919*'BMP P Tracking Table'!$AQ156+236.676*'BMP P Tracking Table'!$AR156+726*'BMP P Tracking Table'!$AS156+996.798*'BMP P Tracking Table'!$AT156))))),MIN(2,IF('BMP P Tracking Table'!$AP156="Total Pervious",(-(3630*'BMP P Tracking Table'!$U156+20.691*'BMP P Tracking Table'!$AA156)+SQRT((3630*'BMP P Tracking Table'!$U156+20.691*'BMP P Tracking Table'!$AA156)^2-(4*(996.798*'BMP P Tracking Table'!$AA156)*-'BMP P Tracking Table'!$AW156)))/(2*(996.798*'BMP P Tracking Table'!$AA156)),IF(SUM('BMP P Tracking Table'!$W156:$Z156)=0,'BMP P Tracking Table'!$AW156/(-3630*'BMP P Tracking Table'!$U156),(-(3630*'BMP P Tracking Table'!$U156+20.691*'BMP P Tracking Table'!$Z156-216.711*'BMP P Tracking Table'!$Y156-83.853*'BMP P Tracking Table'!$X156-42.834*'BMP P Tracking Table'!$W156)+SQRT((3630*'BMP P Tracking Table'!$U156+20.691*'BMP P Tracking Table'!$Z156-216.711*'BMP P Tracking Table'!$Y156-83.853*'BMP P Tracking Table'!$X156-42.834*'BMP P Tracking Table'!$W156)^2-(4*(149.919*'BMP P Tracking Table'!$W156+236.676*'BMP P Tracking Table'!$X156+726*'BMP P Tracking Table'!$Y156+996.798*'BMP P Tracking Table'!$Z156)*-'BMP P Tracking Table'!$AW156)))/(2*(149.919*'BMP P Tracking Table'!$W156+236.676*'BMP P Tracking Table'!$X156+726*'BMP P Tracking Table'!$Y156+996.798*'BMP P Tracking Table'!$Z156)))))),"")</f>
        <v/>
      </c>
      <c r="BA156" s="101" t="str">
        <f>IFERROR((VLOOKUP(CONCATENATE('BMP P Tracking Table'!$AV156," ",'BMP P Tracking Table'!$AX156),'Performance Curves'!$C$1:$L$45,MATCH('BMP P Tracking Table'!$AZ156,'Performance Curves'!$E$1:$L$1,1)+2,FALSE)-VLOOKUP(CONCATENATE('BMP P Tracking Table'!$AV156," ",'BMP P Tracking Table'!$AX156),'Performance Curves'!$C$1:$L$45,MATCH('BMP P Tracking Table'!$AZ156,'Performance Curves'!$E$1:$L$1,1)+1,FALSE)),"")</f>
        <v/>
      </c>
      <c r="BB156" s="101" t="str">
        <f>IFERROR(('BMP P Tracking Table'!$AZ156-INDEX('Performance Curves'!$E$1:$L$1,1,MATCH('BMP P Tracking Table'!$AZ156,'Performance Curves'!$E$1:$L$1,1)))/(INDEX('Performance Curves'!$E$1:$L$1,1,MATCH('BMP P Tracking Table'!$AZ156,'Performance Curves'!$E$1:$L$1,1)+1)-INDEX('Performance Curves'!$E$1:$L$1,1,MATCH('BMP P Tracking Table'!$AZ156,'Performance Curves'!$E$1:$L$1,1))),"")</f>
        <v/>
      </c>
      <c r="BC156" s="102" t="str">
        <f>IFERROR(IF('BMP P Tracking Table'!$AZ156=2,VLOOKUP(CONCATENATE('BMP P Tracking Table'!$AV156," ",'BMP P Tracking Table'!$AX156),'Performance Curves'!$C$1:$L$44,MATCH('BMP P Tracking Table'!$AZ156,'Performance Curves'!$E$1:$L$1,1)+1,FALSE),'BMP P Tracking Table'!$BA156*'BMP P Tracking Table'!$BB156+VLOOKUP(CONCATENATE('BMP P Tracking Table'!$AV156," ",'BMP P Tracking Table'!$AX156),'Performance Curves'!$C$1:$L$44,MATCH('BMP P Tracking Table'!$AZ156,'Performance Curves'!$E$1:$L$1,1)+1,FALSE)),"")</f>
        <v/>
      </c>
      <c r="BD156" s="101" t="str">
        <f>IFERROR('BMP P Tracking Table'!$BC156*'BMP P Tracking Table'!$AY156,"")</f>
        <v/>
      </c>
      <c r="BE156" s="96"/>
      <c r="BF156" s="37">
        <f t="shared" ref="BF156:BF219" si="17">IFERROR(BD156+BE156,0)</f>
        <v>0</v>
      </c>
    </row>
    <row r="157" spans="1:58" x14ac:dyDescent="0.3">
      <c r="A157" s="64"/>
      <c r="B157" s="64"/>
      <c r="C157" s="64"/>
      <c r="D157" s="64"/>
      <c r="E157" s="93"/>
      <c r="F157" s="93"/>
      <c r="G157" s="64"/>
      <c r="H157" s="64"/>
      <c r="I157" s="64"/>
      <c r="J157" s="94"/>
      <c r="K157" s="64"/>
      <c r="L157" s="64"/>
      <c r="M157" s="64"/>
      <c r="N157" s="64"/>
      <c r="O157" s="64"/>
      <c r="P157" s="64"/>
      <c r="Q157" s="64" t="str">
        <f>IFERROR(VLOOKUP('BMP P Tracking Table'!$P157,Dropdowns!$C$2:$E$15,3,FALSE),"")</f>
        <v/>
      </c>
      <c r="R157" s="64" t="str">
        <f>IFERROR(VLOOKUP('BMP P Tracking Table'!$Q157,Dropdowns!$P$3:$Q$23,2,FALSE),"")</f>
        <v/>
      </c>
      <c r="S157" s="64"/>
      <c r="T157" s="64"/>
      <c r="U157" s="64"/>
      <c r="V157" s="64"/>
      <c r="W157" s="64"/>
      <c r="X157" s="64"/>
      <c r="Y157" s="64"/>
      <c r="Z157" s="64"/>
      <c r="AA157" s="64"/>
      <c r="AB157" s="95"/>
      <c r="AC157" s="64"/>
      <c r="AD157" s="101" t="str">
        <f>IFERROR('BMP P Tracking Table'!$U157*VLOOKUP('BMP P Tracking Table'!$Q157,'Loading Rates'!$B$1:$L$24,4,FALSE)+IF('BMP P Tracking Table'!$V157="By HSG",'BMP P Tracking Table'!$W157*VLOOKUP('BMP P Tracking Table'!$Q157,'Loading Rates'!$B$1:$L$24,6,FALSE)+'BMP P Tracking Table'!$X157*VLOOKUP('BMP P Tracking Table'!$Q157,'Loading Rates'!$B$1:$L$24,7,FALSE)+'BMP P Tracking Table'!$Y157*VLOOKUP('BMP P Tracking Table'!$Q157,'Loading Rates'!$B$1:$L$24,8,FALSE)+'BMP P Tracking Table'!$Z157*VLOOKUP('BMP P Tracking Table'!$Q157,'Loading Rates'!$B$1:$L$24,9,FALSE),'BMP P Tracking Table'!$AA157*VLOOKUP('BMP P Tracking Table'!$Q157,'Loading Rates'!$B$1:$L$24,10,FALSE)),"")</f>
        <v/>
      </c>
      <c r="AE157" s="101" t="str">
        <f>IFERROR(MIN(2,IF('BMP P Tracking Table'!$V157="Total Pervious",(-(3630*'BMP P Tracking Table'!$U157+20.691*'BMP P Tracking Table'!$AA157)+SQRT((3630*'BMP P Tracking Table'!$U157+20.691*'BMP P Tracking Table'!$AA157)^2-(4*(996.798*'BMP P Tracking Table'!$AA157)*-'BMP P Tracking Table'!$AB157)))/(2*(996.798*'BMP P Tracking Table'!$AA157)),IF(SUM('BMP P Tracking Table'!$W157:$Z157)=0,'BMP P Tracking Table'!$AB157/(-3630*'BMP P Tracking Table'!$U157),(-(3630*'BMP P Tracking Table'!$U157+20.691*'BMP P Tracking Table'!$Z157-216.711*'BMP P Tracking Table'!$Y157-83.853*'BMP P Tracking Table'!$X157-42.834*'BMP P Tracking Table'!$W157)+SQRT((3630*'BMP P Tracking Table'!$U157+20.691*'BMP P Tracking Table'!$Z157-216.711*'BMP P Tracking Table'!$Y157-83.853*'BMP P Tracking Table'!$X157-42.834*'BMP P Tracking Table'!$W157)^2-(4*(149.919*'BMP P Tracking Table'!$W157+236.676*'BMP P Tracking Table'!$X157+726*'BMP P Tracking Table'!$Y157+996.798*'BMP P Tracking Table'!$Z157)*-'BMP P Tracking Table'!$AB157)))/(2*(149.919*'BMP P Tracking Table'!$W157+236.676*'BMP P Tracking Table'!$X157+726*'BMP P Tracking Table'!$Y157+996.798*'BMP P Tracking Table'!$Z157))))),"")</f>
        <v/>
      </c>
      <c r="AF157" s="101" t="str">
        <f>IFERROR((VLOOKUP(CONCATENATE('BMP P Tracking Table'!$T157," ",'BMP P Tracking Table'!$AC157),'Performance Curves'!$C$1:$L$45,MATCH('BMP P Tracking Table'!$AE157,'Performance Curves'!$E$1:$L$1,1)+2,FALSE)-VLOOKUP(CONCATENATE('BMP P Tracking Table'!$T157," ",'BMP P Tracking Table'!$AC157),'Performance Curves'!$C$1:$L$45,MATCH('BMP P Tracking Table'!$AE157,'Performance Curves'!$E$1:$L$1,1)+1,FALSE)),"")</f>
        <v/>
      </c>
      <c r="AG157" s="101" t="str">
        <f>IFERROR(('BMP P Tracking Table'!$AE157-INDEX('Performance Curves'!$E$1:$L$1,1,MATCH('BMP P Tracking Table'!$AE157,'Performance Curves'!$E$1:$L$1,1)))/(INDEX('Performance Curves'!$E$1:$L$1,1,MATCH('BMP P Tracking Table'!$AE157,'Performance Curves'!$E$1:$L$1,1)+1)-INDEX('Performance Curves'!$E$1:$L$1,1,MATCH('BMP P Tracking Table'!$AE157,'Performance Curves'!$E$1:$L$1,1))),"")</f>
        <v/>
      </c>
      <c r="AH157" s="102" t="str">
        <f>IFERROR(IF('BMP P Tracking Table'!$AE157=2,VLOOKUP(CONCATENATE('BMP P Tracking Table'!$T157," ",'BMP P Tracking Table'!$AC157),'Performance Curves'!$C$1:$L$45,MATCH('BMP P Tracking Table'!$AE157,'Performance Curves'!$E$1:$L$1,1)+1,FALSE),'BMP P Tracking Table'!$AF157*'BMP P Tracking Table'!$AG157+VLOOKUP(CONCATENATE('BMP P Tracking Table'!$T157," ",'BMP P Tracking Table'!$AC157),'Performance Curves'!$C$1:$L$45,MATCH('BMP P Tracking Table'!$AE157,'Performance Curves'!$E$1:$L$1,1)+1,FALSE)),"")</f>
        <v/>
      </c>
      <c r="AI157" s="101" t="str">
        <f>IFERROR('BMP P Tracking Table'!$AH157*'BMP P Tracking Table'!$AD157,"")</f>
        <v/>
      </c>
      <c r="AJ157" s="64"/>
      <c r="AK157" s="96"/>
      <c r="AL157" s="96"/>
      <c r="AM157" s="63"/>
      <c r="AN157" s="99" t="str">
        <f t="shared" si="16"/>
        <v/>
      </c>
      <c r="AO157" s="96"/>
      <c r="AP157" s="96"/>
      <c r="AQ157" s="96"/>
      <c r="AR157" s="96"/>
      <c r="AS157" s="96"/>
      <c r="AT157" s="96"/>
      <c r="AU157" s="96"/>
      <c r="AV157" s="64"/>
      <c r="AW157" s="97"/>
      <c r="AX157" s="97"/>
      <c r="AY157" s="101" t="str">
        <f>IF('BMP P Tracking Table'!$AK157="Yes",IF('BMP P Tracking Table'!$AL157="No",'BMP P Tracking Table'!$U157*VLOOKUP('BMP P Tracking Table'!$Q157,'Loading Rates'!$B$1:$L$24,4,FALSE)+IF('BMP P Tracking Table'!$V157="By HSG",'BMP P Tracking Table'!$W157*VLOOKUP('BMP P Tracking Table'!$Q157,'Loading Rates'!$B$1:$L$24,6,FALSE)+'BMP P Tracking Table'!$X157*VLOOKUP('BMP P Tracking Table'!$Q157,'Loading Rates'!$B$1:$L$24,7,FALSE)+'BMP P Tracking Table'!$Y157*VLOOKUP('BMP P Tracking Table'!$Q157,'Loading Rates'!$B$1:$L$24,8,FALSE)+'BMP P Tracking Table'!$Z157*VLOOKUP('BMP P Tracking Table'!$Q157,'Loading Rates'!$B$1:$L$24,9,FALSE),'BMP P Tracking Table'!$AA157*VLOOKUP('BMP P Tracking Table'!$Q157,'Loading Rates'!$B$1:$L$24,10,FALSE)),'BMP P Tracking Table'!$AO157*VLOOKUP('BMP P Tracking Table'!$Q157,'Loading Rates'!$B$1:$L$24,4,FALSE)+IF('BMP P Tracking Table'!$AP157="By HSG",'BMP P Tracking Table'!$AQ157*VLOOKUP('BMP P Tracking Table'!$Q157,'Loading Rates'!$B$1:$L$24,6,FALSE)+'BMP P Tracking Table'!$AR157*VLOOKUP('BMP P Tracking Table'!$Q157,'Loading Rates'!$B$1:$L$24,7,FALSE)+'BMP P Tracking Table'!$AS157*VLOOKUP('BMP P Tracking Table'!$Q157,'Loading Rates'!$B$1:$L$24,8,FALSE)+'BMP P Tracking Table'!$AT157*VLOOKUP('BMP P Tracking Table'!$Q157,'Loading Rates'!$B$1:$L$24,9,FALSE),'BMP P Tracking Table'!$AU157*VLOOKUP('BMP P Tracking Table'!$Q157,'Loading Rates'!$B$1:$L$24,10,FALSE))),"")</f>
        <v/>
      </c>
      <c r="AZ157" s="101" t="str">
        <f>IFERROR(IF('BMP P Tracking Table'!$AL157="Yes",MIN(2,IF('BMP P Tracking Table'!$AP157="Total Pervious",(-(3630*'BMP P Tracking Table'!$AO157+20.691*'BMP P Tracking Table'!$AU157)+SQRT((3630*'BMP P Tracking Table'!$AO157+20.691*'BMP P Tracking Table'!$AU157)^2-(4*(996.798*'BMP P Tracking Table'!$AU157)*-'BMP P Tracking Table'!$AW157)))/(2*(996.798*'BMP P Tracking Table'!$AU157)),IF(SUM('BMP P Tracking Table'!$AQ157:$AT157)=0,'BMP P Tracking Table'!$AU157/(-3630*'BMP P Tracking Table'!$AO157),(-(3630*'BMP P Tracking Table'!$AO157+20.691*'BMP P Tracking Table'!$AT157-216.711*'BMP P Tracking Table'!$AS157-83.853*'BMP P Tracking Table'!$AR157-42.834*'BMP P Tracking Table'!$AQ157)+SQRT((3630*'BMP P Tracking Table'!$AO157+20.691*'BMP P Tracking Table'!$AT157-216.711*'BMP P Tracking Table'!$AS157-83.853*'BMP P Tracking Table'!$AR157-42.834*'BMP P Tracking Table'!$AQ157)^2-(4*(149.919*'BMP P Tracking Table'!$AQ157+236.676*'BMP P Tracking Table'!$AR157+726*'BMP P Tracking Table'!$AS157+996.798*'BMP P Tracking Table'!$AT157)*-'BMP P Tracking Table'!$AW157)))/(2*(149.919*'BMP P Tracking Table'!$AQ157+236.676*'BMP P Tracking Table'!$AR157+726*'BMP P Tracking Table'!$AS157+996.798*'BMP P Tracking Table'!$AT157))))),MIN(2,IF('BMP P Tracking Table'!$AP157="Total Pervious",(-(3630*'BMP P Tracking Table'!$U157+20.691*'BMP P Tracking Table'!$AA157)+SQRT((3630*'BMP P Tracking Table'!$U157+20.691*'BMP P Tracking Table'!$AA157)^2-(4*(996.798*'BMP P Tracking Table'!$AA157)*-'BMP P Tracking Table'!$AW157)))/(2*(996.798*'BMP P Tracking Table'!$AA157)),IF(SUM('BMP P Tracking Table'!$W157:$Z157)=0,'BMP P Tracking Table'!$AW157/(-3630*'BMP P Tracking Table'!$U157),(-(3630*'BMP P Tracking Table'!$U157+20.691*'BMP P Tracking Table'!$Z157-216.711*'BMP P Tracking Table'!$Y157-83.853*'BMP P Tracking Table'!$X157-42.834*'BMP P Tracking Table'!$W157)+SQRT((3630*'BMP P Tracking Table'!$U157+20.691*'BMP P Tracking Table'!$Z157-216.711*'BMP P Tracking Table'!$Y157-83.853*'BMP P Tracking Table'!$X157-42.834*'BMP P Tracking Table'!$W157)^2-(4*(149.919*'BMP P Tracking Table'!$W157+236.676*'BMP P Tracking Table'!$X157+726*'BMP P Tracking Table'!$Y157+996.798*'BMP P Tracking Table'!$Z157)*-'BMP P Tracking Table'!$AW157)))/(2*(149.919*'BMP P Tracking Table'!$W157+236.676*'BMP P Tracking Table'!$X157+726*'BMP P Tracking Table'!$Y157+996.798*'BMP P Tracking Table'!$Z157)))))),"")</f>
        <v/>
      </c>
      <c r="BA157" s="101" t="str">
        <f>IFERROR((VLOOKUP(CONCATENATE('BMP P Tracking Table'!$AV157," ",'BMP P Tracking Table'!$AX157),'Performance Curves'!$C$1:$L$45,MATCH('BMP P Tracking Table'!$AZ157,'Performance Curves'!$E$1:$L$1,1)+2,FALSE)-VLOOKUP(CONCATENATE('BMP P Tracking Table'!$AV157," ",'BMP P Tracking Table'!$AX157),'Performance Curves'!$C$1:$L$45,MATCH('BMP P Tracking Table'!$AZ157,'Performance Curves'!$E$1:$L$1,1)+1,FALSE)),"")</f>
        <v/>
      </c>
      <c r="BB157" s="101" t="str">
        <f>IFERROR(('BMP P Tracking Table'!$AZ157-INDEX('Performance Curves'!$E$1:$L$1,1,MATCH('BMP P Tracking Table'!$AZ157,'Performance Curves'!$E$1:$L$1,1)))/(INDEX('Performance Curves'!$E$1:$L$1,1,MATCH('BMP P Tracking Table'!$AZ157,'Performance Curves'!$E$1:$L$1,1)+1)-INDEX('Performance Curves'!$E$1:$L$1,1,MATCH('BMP P Tracking Table'!$AZ157,'Performance Curves'!$E$1:$L$1,1))),"")</f>
        <v/>
      </c>
      <c r="BC157" s="102" t="str">
        <f>IFERROR(IF('BMP P Tracking Table'!$AZ157=2,VLOOKUP(CONCATENATE('BMP P Tracking Table'!$AV157," ",'BMP P Tracking Table'!$AX157),'Performance Curves'!$C$1:$L$44,MATCH('BMP P Tracking Table'!$AZ157,'Performance Curves'!$E$1:$L$1,1)+1,FALSE),'BMP P Tracking Table'!$BA157*'BMP P Tracking Table'!$BB157+VLOOKUP(CONCATENATE('BMP P Tracking Table'!$AV157," ",'BMP P Tracking Table'!$AX157),'Performance Curves'!$C$1:$L$44,MATCH('BMP P Tracking Table'!$AZ157,'Performance Curves'!$E$1:$L$1,1)+1,FALSE)),"")</f>
        <v/>
      </c>
      <c r="BD157" s="101" t="str">
        <f>IFERROR('BMP P Tracking Table'!$BC157*'BMP P Tracking Table'!$AY157,"")</f>
        <v/>
      </c>
      <c r="BE157" s="96"/>
      <c r="BF157" s="37">
        <f t="shared" si="17"/>
        <v>0</v>
      </c>
    </row>
    <row r="158" spans="1:58" x14ac:dyDescent="0.3">
      <c r="A158" s="64"/>
      <c r="B158" s="64"/>
      <c r="C158" s="64"/>
      <c r="D158" s="64"/>
      <c r="E158" s="93"/>
      <c r="F158" s="93"/>
      <c r="G158" s="64"/>
      <c r="H158" s="64"/>
      <c r="I158" s="64"/>
      <c r="J158" s="94"/>
      <c r="K158" s="64"/>
      <c r="L158" s="64"/>
      <c r="M158" s="64"/>
      <c r="N158" s="64"/>
      <c r="O158" s="64"/>
      <c r="P158" s="64"/>
      <c r="Q158" s="64" t="str">
        <f>IFERROR(VLOOKUP('BMP P Tracking Table'!$P158,Dropdowns!$C$2:$E$15,3,FALSE),"")</f>
        <v/>
      </c>
      <c r="R158" s="64" t="str">
        <f>IFERROR(VLOOKUP('BMP P Tracking Table'!$Q158,Dropdowns!$P$3:$Q$23,2,FALSE),"")</f>
        <v/>
      </c>
      <c r="S158" s="64"/>
      <c r="T158" s="64"/>
      <c r="U158" s="64"/>
      <c r="V158" s="64"/>
      <c r="W158" s="64"/>
      <c r="X158" s="64"/>
      <c r="Y158" s="64"/>
      <c r="Z158" s="64"/>
      <c r="AA158" s="64"/>
      <c r="AB158" s="95"/>
      <c r="AC158" s="64"/>
      <c r="AD158" s="101" t="str">
        <f>IFERROR('BMP P Tracking Table'!$U158*VLOOKUP('BMP P Tracking Table'!$Q158,'Loading Rates'!$B$1:$L$24,4,FALSE)+IF('BMP P Tracking Table'!$V158="By HSG",'BMP P Tracking Table'!$W158*VLOOKUP('BMP P Tracking Table'!$Q158,'Loading Rates'!$B$1:$L$24,6,FALSE)+'BMP P Tracking Table'!$X158*VLOOKUP('BMP P Tracking Table'!$Q158,'Loading Rates'!$B$1:$L$24,7,FALSE)+'BMP P Tracking Table'!$Y158*VLOOKUP('BMP P Tracking Table'!$Q158,'Loading Rates'!$B$1:$L$24,8,FALSE)+'BMP P Tracking Table'!$Z158*VLOOKUP('BMP P Tracking Table'!$Q158,'Loading Rates'!$B$1:$L$24,9,FALSE),'BMP P Tracking Table'!$AA158*VLOOKUP('BMP P Tracking Table'!$Q158,'Loading Rates'!$B$1:$L$24,10,FALSE)),"")</f>
        <v/>
      </c>
      <c r="AE158" s="101" t="str">
        <f>IFERROR(MIN(2,IF('BMP P Tracking Table'!$V158="Total Pervious",(-(3630*'BMP P Tracking Table'!$U158+20.691*'BMP P Tracking Table'!$AA158)+SQRT((3630*'BMP P Tracking Table'!$U158+20.691*'BMP P Tracking Table'!$AA158)^2-(4*(996.798*'BMP P Tracking Table'!$AA158)*-'BMP P Tracking Table'!$AB158)))/(2*(996.798*'BMP P Tracking Table'!$AA158)),IF(SUM('BMP P Tracking Table'!$W158:$Z158)=0,'BMP P Tracking Table'!$AB158/(-3630*'BMP P Tracking Table'!$U158),(-(3630*'BMP P Tracking Table'!$U158+20.691*'BMP P Tracking Table'!$Z158-216.711*'BMP P Tracking Table'!$Y158-83.853*'BMP P Tracking Table'!$X158-42.834*'BMP P Tracking Table'!$W158)+SQRT((3630*'BMP P Tracking Table'!$U158+20.691*'BMP P Tracking Table'!$Z158-216.711*'BMP P Tracking Table'!$Y158-83.853*'BMP P Tracking Table'!$X158-42.834*'BMP P Tracking Table'!$W158)^2-(4*(149.919*'BMP P Tracking Table'!$W158+236.676*'BMP P Tracking Table'!$X158+726*'BMP P Tracking Table'!$Y158+996.798*'BMP P Tracking Table'!$Z158)*-'BMP P Tracking Table'!$AB158)))/(2*(149.919*'BMP P Tracking Table'!$W158+236.676*'BMP P Tracking Table'!$X158+726*'BMP P Tracking Table'!$Y158+996.798*'BMP P Tracking Table'!$Z158))))),"")</f>
        <v/>
      </c>
      <c r="AF158" s="101" t="str">
        <f>IFERROR((VLOOKUP(CONCATENATE('BMP P Tracking Table'!$T158," ",'BMP P Tracking Table'!$AC158),'Performance Curves'!$C$1:$L$45,MATCH('BMP P Tracking Table'!$AE158,'Performance Curves'!$E$1:$L$1,1)+2,FALSE)-VLOOKUP(CONCATENATE('BMP P Tracking Table'!$T158," ",'BMP P Tracking Table'!$AC158),'Performance Curves'!$C$1:$L$45,MATCH('BMP P Tracking Table'!$AE158,'Performance Curves'!$E$1:$L$1,1)+1,FALSE)),"")</f>
        <v/>
      </c>
      <c r="AG158" s="101" t="str">
        <f>IFERROR(('BMP P Tracking Table'!$AE158-INDEX('Performance Curves'!$E$1:$L$1,1,MATCH('BMP P Tracking Table'!$AE158,'Performance Curves'!$E$1:$L$1,1)))/(INDEX('Performance Curves'!$E$1:$L$1,1,MATCH('BMP P Tracking Table'!$AE158,'Performance Curves'!$E$1:$L$1,1)+1)-INDEX('Performance Curves'!$E$1:$L$1,1,MATCH('BMP P Tracking Table'!$AE158,'Performance Curves'!$E$1:$L$1,1))),"")</f>
        <v/>
      </c>
      <c r="AH158" s="102" t="str">
        <f>IFERROR(IF('BMP P Tracking Table'!$AE158=2,VLOOKUP(CONCATENATE('BMP P Tracking Table'!$T158," ",'BMP P Tracking Table'!$AC158),'Performance Curves'!$C$1:$L$45,MATCH('BMP P Tracking Table'!$AE158,'Performance Curves'!$E$1:$L$1,1)+1,FALSE),'BMP P Tracking Table'!$AF158*'BMP P Tracking Table'!$AG158+VLOOKUP(CONCATENATE('BMP P Tracking Table'!$T158," ",'BMP P Tracking Table'!$AC158),'Performance Curves'!$C$1:$L$45,MATCH('BMP P Tracking Table'!$AE158,'Performance Curves'!$E$1:$L$1,1)+1,FALSE)),"")</f>
        <v/>
      </c>
      <c r="AI158" s="101" t="str">
        <f>IFERROR('BMP P Tracking Table'!$AH158*'BMP P Tracking Table'!$AD158,"")</f>
        <v/>
      </c>
      <c r="AJ158" s="64"/>
      <c r="AK158" s="96"/>
      <c r="AL158" s="96"/>
      <c r="AM158" s="63"/>
      <c r="AN158" s="99" t="str">
        <f t="shared" si="16"/>
        <v/>
      </c>
      <c r="AO158" s="96"/>
      <c r="AP158" s="96"/>
      <c r="AQ158" s="96"/>
      <c r="AR158" s="96"/>
      <c r="AS158" s="96"/>
      <c r="AT158" s="96"/>
      <c r="AU158" s="96"/>
      <c r="AV158" s="64"/>
      <c r="AW158" s="97"/>
      <c r="AX158" s="97"/>
      <c r="AY158" s="101" t="str">
        <f>IF('BMP P Tracking Table'!$AK158="Yes",IF('BMP P Tracking Table'!$AL158="No",'BMP P Tracking Table'!$U158*VLOOKUP('BMP P Tracking Table'!$Q158,'Loading Rates'!$B$1:$L$24,4,FALSE)+IF('BMP P Tracking Table'!$V158="By HSG",'BMP P Tracking Table'!$W158*VLOOKUP('BMP P Tracking Table'!$Q158,'Loading Rates'!$B$1:$L$24,6,FALSE)+'BMP P Tracking Table'!$X158*VLOOKUP('BMP P Tracking Table'!$Q158,'Loading Rates'!$B$1:$L$24,7,FALSE)+'BMP P Tracking Table'!$Y158*VLOOKUP('BMP P Tracking Table'!$Q158,'Loading Rates'!$B$1:$L$24,8,FALSE)+'BMP P Tracking Table'!$Z158*VLOOKUP('BMP P Tracking Table'!$Q158,'Loading Rates'!$B$1:$L$24,9,FALSE),'BMP P Tracking Table'!$AA158*VLOOKUP('BMP P Tracking Table'!$Q158,'Loading Rates'!$B$1:$L$24,10,FALSE)),'BMP P Tracking Table'!$AO158*VLOOKUP('BMP P Tracking Table'!$Q158,'Loading Rates'!$B$1:$L$24,4,FALSE)+IF('BMP P Tracking Table'!$AP158="By HSG",'BMP P Tracking Table'!$AQ158*VLOOKUP('BMP P Tracking Table'!$Q158,'Loading Rates'!$B$1:$L$24,6,FALSE)+'BMP P Tracking Table'!$AR158*VLOOKUP('BMP P Tracking Table'!$Q158,'Loading Rates'!$B$1:$L$24,7,FALSE)+'BMP P Tracking Table'!$AS158*VLOOKUP('BMP P Tracking Table'!$Q158,'Loading Rates'!$B$1:$L$24,8,FALSE)+'BMP P Tracking Table'!$AT158*VLOOKUP('BMP P Tracking Table'!$Q158,'Loading Rates'!$B$1:$L$24,9,FALSE),'BMP P Tracking Table'!$AU158*VLOOKUP('BMP P Tracking Table'!$Q158,'Loading Rates'!$B$1:$L$24,10,FALSE))),"")</f>
        <v/>
      </c>
      <c r="AZ158" s="101" t="str">
        <f>IFERROR(IF('BMP P Tracking Table'!$AL158="Yes",MIN(2,IF('BMP P Tracking Table'!$AP158="Total Pervious",(-(3630*'BMP P Tracking Table'!$AO158+20.691*'BMP P Tracking Table'!$AU158)+SQRT((3630*'BMP P Tracking Table'!$AO158+20.691*'BMP P Tracking Table'!$AU158)^2-(4*(996.798*'BMP P Tracking Table'!$AU158)*-'BMP P Tracking Table'!$AW158)))/(2*(996.798*'BMP P Tracking Table'!$AU158)),IF(SUM('BMP P Tracking Table'!$AQ158:$AT158)=0,'BMP P Tracking Table'!$AU158/(-3630*'BMP P Tracking Table'!$AO158),(-(3630*'BMP P Tracking Table'!$AO158+20.691*'BMP P Tracking Table'!$AT158-216.711*'BMP P Tracking Table'!$AS158-83.853*'BMP P Tracking Table'!$AR158-42.834*'BMP P Tracking Table'!$AQ158)+SQRT((3630*'BMP P Tracking Table'!$AO158+20.691*'BMP P Tracking Table'!$AT158-216.711*'BMP P Tracking Table'!$AS158-83.853*'BMP P Tracking Table'!$AR158-42.834*'BMP P Tracking Table'!$AQ158)^2-(4*(149.919*'BMP P Tracking Table'!$AQ158+236.676*'BMP P Tracking Table'!$AR158+726*'BMP P Tracking Table'!$AS158+996.798*'BMP P Tracking Table'!$AT158)*-'BMP P Tracking Table'!$AW158)))/(2*(149.919*'BMP P Tracking Table'!$AQ158+236.676*'BMP P Tracking Table'!$AR158+726*'BMP P Tracking Table'!$AS158+996.798*'BMP P Tracking Table'!$AT158))))),MIN(2,IF('BMP P Tracking Table'!$AP158="Total Pervious",(-(3630*'BMP P Tracking Table'!$U158+20.691*'BMP P Tracking Table'!$AA158)+SQRT((3630*'BMP P Tracking Table'!$U158+20.691*'BMP P Tracking Table'!$AA158)^2-(4*(996.798*'BMP P Tracking Table'!$AA158)*-'BMP P Tracking Table'!$AW158)))/(2*(996.798*'BMP P Tracking Table'!$AA158)),IF(SUM('BMP P Tracking Table'!$W158:$Z158)=0,'BMP P Tracking Table'!$AW158/(-3630*'BMP P Tracking Table'!$U158),(-(3630*'BMP P Tracking Table'!$U158+20.691*'BMP P Tracking Table'!$Z158-216.711*'BMP P Tracking Table'!$Y158-83.853*'BMP P Tracking Table'!$X158-42.834*'BMP P Tracking Table'!$W158)+SQRT((3630*'BMP P Tracking Table'!$U158+20.691*'BMP P Tracking Table'!$Z158-216.711*'BMP P Tracking Table'!$Y158-83.853*'BMP P Tracking Table'!$X158-42.834*'BMP P Tracking Table'!$W158)^2-(4*(149.919*'BMP P Tracking Table'!$W158+236.676*'BMP P Tracking Table'!$X158+726*'BMP P Tracking Table'!$Y158+996.798*'BMP P Tracking Table'!$Z158)*-'BMP P Tracking Table'!$AW158)))/(2*(149.919*'BMP P Tracking Table'!$W158+236.676*'BMP P Tracking Table'!$X158+726*'BMP P Tracking Table'!$Y158+996.798*'BMP P Tracking Table'!$Z158)))))),"")</f>
        <v/>
      </c>
      <c r="BA158" s="101" t="str">
        <f>IFERROR((VLOOKUP(CONCATENATE('BMP P Tracking Table'!$AV158," ",'BMP P Tracking Table'!$AX158),'Performance Curves'!$C$1:$L$45,MATCH('BMP P Tracking Table'!$AZ158,'Performance Curves'!$E$1:$L$1,1)+2,FALSE)-VLOOKUP(CONCATENATE('BMP P Tracking Table'!$AV158," ",'BMP P Tracking Table'!$AX158),'Performance Curves'!$C$1:$L$45,MATCH('BMP P Tracking Table'!$AZ158,'Performance Curves'!$E$1:$L$1,1)+1,FALSE)),"")</f>
        <v/>
      </c>
      <c r="BB158" s="101" t="str">
        <f>IFERROR(('BMP P Tracking Table'!$AZ158-INDEX('Performance Curves'!$E$1:$L$1,1,MATCH('BMP P Tracking Table'!$AZ158,'Performance Curves'!$E$1:$L$1,1)))/(INDEX('Performance Curves'!$E$1:$L$1,1,MATCH('BMP P Tracking Table'!$AZ158,'Performance Curves'!$E$1:$L$1,1)+1)-INDEX('Performance Curves'!$E$1:$L$1,1,MATCH('BMP P Tracking Table'!$AZ158,'Performance Curves'!$E$1:$L$1,1))),"")</f>
        <v/>
      </c>
      <c r="BC158" s="102" t="str">
        <f>IFERROR(IF('BMP P Tracking Table'!$AZ158=2,VLOOKUP(CONCATENATE('BMP P Tracking Table'!$AV158," ",'BMP P Tracking Table'!$AX158),'Performance Curves'!$C$1:$L$44,MATCH('BMP P Tracking Table'!$AZ158,'Performance Curves'!$E$1:$L$1,1)+1,FALSE),'BMP P Tracking Table'!$BA158*'BMP P Tracking Table'!$BB158+VLOOKUP(CONCATENATE('BMP P Tracking Table'!$AV158," ",'BMP P Tracking Table'!$AX158),'Performance Curves'!$C$1:$L$44,MATCH('BMP P Tracking Table'!$AZ158,'Performance Curves'!$E$1:$L$1,1)+1,FALSE)),"")</f>
        <v/>
      </c>
      <c r="BD158" s="101" t="str">
        <f>IFERROR('BMP P Tracking Table'!$BC158*'BMP P Tracking Table'!$AY158,"")</f>
        <v/>
      </c>
      <c r="BE158" s="96"/>
      <c r="BF158" s="37">
        <f t="shared" si="17"/>
        <v>0</v>
      </c>
    </row>
    <row r="159" spans="1:58" x14ac:dyDescent="0.3">
      <c r="A159" s="64"/>
      <c r="B159" s="64"/>
      <c r="C159" s="64"/>
      <c r="D159" s="64"/>
      <c r="E159" s="93"/>
      <c r="F159" s="93"/>
      <c r="G159" s="64"/>
      <c r="H159" s="64"/>
      <c r="I159" s="64"/>
      <c r="J159" s="94"/>
      <c r="K159" s="64"/>
      <c r="L159" s="64"/>
      <c r="M159" s="64"/>
      <c r="N159" s="64"/>
      <c r="O159" s="64"/>
      <c r="P159" s="64"/>
      <c r="Q159" s="64" t="str">
        <f>IFERROR(VLOOKUP('BMP P Tracking Table'!$P159,Dropdowns!$C$2:$E$15,3,FALSE),"")</f>
        <v/>
      </c>
      <c r="R159" s="64" t="str">
        <f>IFERROR(VLOOKUP('BMP P Tracking Table'!$Q159,Dropdowns!$P$3:$Q$23,2,FALSE),"")</f>
        <v/>
      </c>
      <c r="S159" s="64"/>
      <c r="T159" s="64"/>
      <c r="U159" s="64"/>
      <c r="V159" s="64"/>
      <c r="W159" s="64"/>
      <c r="X159" s="64"/>
      <c r="Y159" s="64"/>
      <c r="Z159" s="64"/>
      <c r="AA159" s="64"/>
      <c r="AB159" s="95"/>
      <c r="AC159" s="64"/>
      <c r="AD159" s="101" t="str">
        <f>IFERROR('BMP P Tracking Table'!$U159*VLOOKUP('BMP P Tracking Table'!$Q159,'Loading Rates'!$B$1:$L$24,4,FALSE)+IF('BMP P Tracking Table'!$V159="By HSG",'BMP P Tracking Table'!$W159*VLOOKUP('BMP P Tracking Table'!$Q159,'Loading Rates'!$B$1:$L$24,6,FALSE)+'BMP P Tracking Table'!$X159*VLOOKUP('BMP P Tracking Table'!$Q159,'Loading Rates'!$B$1:$L$24,7,FALSE)+'BMP P Tracking Table'!$Y159*VLOOKUP('BMP P Tracking Table'!$Q159,'Loading Rates'!$B$1:$L$24,8,FALSE)+'BMP P Tracking Table'!$Z159*VLOOKUP('BMP P Tracking Table'!$Q159,'Loading Rates'!$B$1:$L$24,9,FALSE),'BMP P Tracking Table'!$AA159*VLOOKUP('BMP P Tracking Table'!$Q159,'Loading Rates'!$B$1:$L$24,10,FALSE)),"")</f>
        <v/>
      </c>
      <c r="AE159" s="101" t="str">
        <f>IFERROR(MIN(2,IF('BMP P Tracking Table'!$V159="Total Pervious",(-(3630*'BMP P Tracking Table'!$U159+20.691*'BMP P Tracking Table'!$AA159)+SQRT((3630*'BMP P Tracking Table'!$U159+20.691*'BMP P Tracking Table'!$AA159)^2-(4*(996.798*'BMP P Tracking Table'!$AA159)*-'BMP P Tracking Table'!$AB159)))/(2*(996.798*'BMP P Tracking Table'!$AA159)),IF(SUM('BMP P Tracking Table'!$W159:$Z159)=0,'BMP P Tracking Table'!$AB159/(-3630*'BMP P Tracking Table'!$U159),(-(3630*'BMP P Tracking Table'!$U159+20.691*'BMP P Tracking Table'!$Z159-216.711*'BMP P Tracking Table'!$Y159-83.853*'BMP P Tracking Table'!$X159-42.834*'BMP P Tracking Table'!$W159)+SQRT((3630*'BMP P Tracking Table'!$U159+20.691*'BMP P Tracking Table'!$Z159-216.711*'BMP P Tracking Table'!$Y159-83.853*'BMP P Tracking Table'!$X159-42.834*'BMP P Tracking Table'!$W159)^2-(4*(149.919*'BMP P Tracking Table'!$W159+236.676*'BMP P Tracking Table'!$X159+726*'BMP P Tracking Table'!$Y159+996.798*'BMP P Tracking Table'!$Z159)*-'BMP P Tracking Table'!$AB159)))/(2*(149.919*'BMP P Tracking Table'!$W159+236.676*'BMP P Tracking Table'!$X159+726*'BMP P Tracking Table'!$Y159+996.798*'BMP P Tracking Table'!$Z159))))),"")</f>
        <v/>
      </c>
      <c r="AF159" s="101" t="str">
        <f>IFERROR((VLOOKUP(CONCATENATE('BMP P Tracking Table'!$T159," ",'BMP P Tracking Table'!$AC159),'Performance Curves'!$C$1:$L$45,MATCH('BMP P Tracking Table'!$AE159,'Performance Curves'!$E$1:$L$1,1)+2,FALSE)-VLOOKUP(CONCATENATE('BMP P Tracking Table'!$T159," ",'BMP P Tracking Table'!$AC159),'Performance Curves'!$C$1:$L$45,MATCH('BMP P Tracking Table'!$AE159,'Performance Curves'!$E$1:$L$1,1)+1,FALSE)),"")</f>
        <v/>
      </c>
      <c r="AG159" s="101" t="str">
        <f>IFERROR(('BMP P Tracking Table'!$AE159-INDEX('Performance Curves'!$E$1:$L$1,1,MATCH('BMP P Tracking Table'!$AE159,'Performance Curves'!$E$1:$L$1,1)))/(INDEX('Performance Curves'!$E$1:$L$1,1,MATCH('BMP P Tracking Table'!$AE159,'Performance Curves'!$E$1:$L$1,1)+1)-INDEX('Performance Curves'!$E$1:$L$1,1,MATCH('BMP P Tracking Table'!$AE159,'Performance Curves'!$E$1:$L$1,1))),"")</f>
        <v/>
      </c>
      <c r="AH159" s="102" t="str">
        <f>IFERROR(IF('BMP P Tracking Table'!$AE159=2,VLOOKUP(CONCATENATE('BMP P Tracking Table'!$T159," ",'BMP P Tracking Table'!$AC159),'Performance Curves'!$C$1:$L$45,MATCH('BMP P Tracking Table'!$AE159,'Performance Curves'!$E$1:$L$1,1)+1,FALSE),'BMP P Tracking Table'!$AF159*'BMP P Tracking Table'!$AG159+VLOOKUP(CONCATENATE('BMP P Tracking Table'!$T159," ",'BMP P Tracking Table'!$AC159),'Performance Curves'!$C$1:$L$45,MATCH('BMP P Tracking Table'!$AE159,'Performance Curves'!$E$1:$L$1,1)+1,FALSE)),"")</f>
        <v/>
      </c>
      <c r="AI159" s="101" t="str">
        <f>IFERROR('BMP P Tracking Table'!$AH159*'BMP P Tracking Table'!$AD159,"")</f>
        <v/>
      </c>
      <c r="AJ159" s="64"/>
      <c r="AK159" s="96"/>
      <c r="AL159" s="96"/>
      <c r="AM159" s="63"/>
      <c r="AN159" s="99" t="str">
        <f t="shared" si="16"/>
        <v/>
      </c>
      <c r="AO159" s="96"/>
      <c r="AP159" s="96"/>
      <c r="AQ159" s="96"/>
      <c r="AR159" s="96"/>
      <c r="AS159" s="96"/>
      <c r="AT159" s="96"/>
      <c r="AU159" s="96"/>
      <c r="AV159" s="64"/>
      <c r="AW159" s="97"/>
      <c r="AX159" s="97"/>
      <c r="AY159" s="101" t="str">
        <f>IF('BMP P Tracking Table'!$AK159="Yes",IF('BMP P Tracking Table'!$AL159="No",'BMP P Tracking Table'!$U159*VLOOKUP('BMP P Tracking Table'!$Q159,'Loading Rates'!$B$1:$L$24,4,FALSE)+IF('BMP P Tracking Table'!$V159="By HSG",'BMP P Tracking Table'!$W159*VLOOKUP('BMP P Tracking Table'!$Q159,'Loading Rates'!$B$1:$L$24,6,FALSE)+'BMP P Tracking Table'!$X159*VLOOKUP('BMP P Tracking Table'!$Q159,'Loading Rates'!$B$1:$L$24,7,FALSE)+'BMP P Tracking Table'!$Y159*VLOOKUP('BMP P Tracking Table'!$Q159,'Loading Rates'!$B$1:$L$24,8,FALSE)+'BMP P Tracking Table'!$Z159*VLOOKUP('BMP P Tracking Table'!$Q159,'Loading Rates'!$B$1:$L$24,9,FALSE),'BMP P Tracking Table'!$AA159*VLOOKUP('BMP P Tracking Table'!$Q159,'Loading Rates'!$B$1:$L$24,10,FALSE)),'BMP P Tracking Table'!$AO159*VLOOKUP('BMP P Tracking Table'!$Q159,'Loading Rates'!$B$1:$L$24,4,FALSE)+IF('BMP P Tracking Table'!$AP159="By HSG",'BMP P Tracking Table'!$AQ159*VLOOKUP('BMP P Tracking Table'!$Q159,'Loading Rates'!$B$1:$L$24,6,FALSE)+'BMP P Tracking Table'!$AR159*VLOOKUP('BMP P Tracking Table'!$Q159,'Loading Rates'!$B$1:$L$24,7,FALSE)+'BMP P Tracking Table'!$AS159*VLOOKUP('BMP P Tracking Table'!$Q159,'Loading Rates'!$B$1:$L$24,8,FALSE)+'BMP P Tracking Table'!$AT159*VLOOKUP('BMP P Tracking Table'!$Q159,'Loading Rates'!$B$1:$L$24,9,FALSE),'BMP P Tracking Table'!$AU159*VLOOKUP('BMP P Tracking Table'!$Q159,'Loading Rates'!$B$1:$L$24,10,FALSE))),"")</f>
        <v/>
      </c>
      <c r="AZ159" s="101" t="str">
        <f>IFERROR(IF('BMP P Tracking Table'!$AL159="Yes",MIN(2,IF('BMP P Tracking Table'!$AP159="Total Pervious",(-(3630*'BMP P Tracking Table'!$AO159+20.691*'BMP P Tracking Table'!$AU159)+SQRT((3630*'BMP P Tracking Table'!$AO159+20.691*'BMP P Tracking Table'!$AU159)^2-(4*(996.798*'BMP P Tracking Table'!$AU159)*-'BMP P Tracking Table'!$AW159)))/(2*(996.798*'BMP P Tracking Table'!$AU159)),IF(SUM('BMP P Tracking Table'!$AQ159:$AT159)=0,'BMP P Tracking Table'!$AU159/(-3630*'BMP P Tracking Table'!$AO159),(-(3630*'BMP P Tracking Table'!$AO159+20.691*'BMP P Tracking Table'!$AT159-216.711*'BMP P Tracking Table'!$AS159-83.853*'BMP P Tracking Table'!$AR159-42.834*'BMP P Tracking Table'!$AQ159)+SQRT((3630*'BMP P Tracking Table'!$AO159+20.691*'BMP P Tracking Table'!$AT159-216.711*'BMP P Tracking Table'!$AS159-83.853*'BMP P Tracking Table'!$AR159-42.834*'BMP P Tracking Table'!$AQ159)^2-(4*(149.919*'BMP P Tracking Table'!$AQ159+236.676*'BMP P Tracking Table'!$AR159+726*'BMP P Tracking Table'!$AS159+996.798*'BMP P Tracking Table'!$AT159)*-'BMP P Tracking Table'!$AW159)))/(2*(149.919*'BMP P Tracking Table'!$AQ159+236.676*'BMP P Tracking Table'!$AR159+726*'BMP P Tracking Table'!$AS159+996.798*'BMP P Tracking Table'!$AT159))))),MIN(2,IF('BMP P Tracking Table'!$AP159="Total Pervious",(-(3630*'BMP P Tracking Table'!$U159+20.691*'BMP P Tracking Table'!$AA159)+SQRT((3630*'BMP P Tracking Table'!$U159+20.691*'BMP P Tracking Table'!$AA159)^2-(4*(996.798*'BMP P Tracking Table'!$AA159)*-'BMP P Tracking Table'!$AW159)))/(2*(996.798*'BMP P Tracking Table'!$AA159)),IF(SUM('BMP P Tracking Table'!$W159:$Z159)=0,'BMP P Tracking Table'!$AW159/(-3630*'BMP P Tracking Table'!$U159),(-(3630*'BMP P Tracking Table'!$U159+20.691*'BMP P Tracking Table'!$Z159-216.711*'BMP P Tracking Table'!$Y159-83.853*'BMP P Tracking Table'!$X159-42.834*'BMP P Tracking Table'!$W159)+SQRT((3630*'BMP P Tracking Table'!$U159+20.691*'BMP P Tracking Table'!$Z159-216.711*'BMP P Tracking Table'!$Y159-83.853*'BMP P Tracking Table'!$X159-42.834*'BMP P Tracking Table'!$W159)^2-(4*(149.919*'BMP P Tracking Table'!$W159+236.676*'BMP P Tracking Table'!$X159+726*'BMP P Tracking Table'!$Y159+996.798*'BMP P Tracking Table'!$Z159)*-'BMP P Tracking Table'!$AW159)))/(2*(149.919*'BMP P Tracking Table'!$W159+236.676*'BMP P Tracking Table'!$X159+726*'BMP P Tracking Table'!$Y159+996.798*'BMP P Tracking Table'!$Z159)))))),"")</f>
        <v/>
      </c>
      <c r="BA159" s="101" t="str">
        <f>IFERROR((VLOOKUP(CONCATENATE('BMP P Tracking Table'!$AV159," ",'BMP P Tracking Table'!$AX159),'Performance Curves'!$C$1:$L$45,MATCH('BMP P Tracking Table'!$AZ159,'Performance Curves'!$E$1:$L$1,1)+2,FALSE)-VLOOKUP(CONCATENATE('BMP P Tracking Table'!$AV159," ",'BMP P Tracking Table'!$AX159),'Performance Curves'!$C$1:$L$45,MATCH('BMP P Tracking Table'!$AZ159,'Performance Curves'!$E$1:$L$1,1)+1,FALSE)),"")</f>
        <v/>
      </c>
      <c r="BB159" s="101" t="str">
        <f>IFERROR(('BMP P Tracking Table'!$AZ159-INDEX('Performance Curves'!$E$1:$L$1,1,MATCH('BMP P Tracking Table'!$AZ159,'Performance Curves'!$E$1:$L$1,1)))/(INDEX('Performance Curves'!$E$1:$L$1,1,MATCH('BMP P Tracking Table'!$AZ159,'Performance Curves'!$E$1:$L$1,1)+1)-INDEX('Performance Curves'!$E$1:$L$1,1,MATCH('BMP P Tracking Table'!$AZ159,'Performance Curves'!$E$1:$L$1,1))),"")</f>
        <v/>
      </c>
      <c r="BC159" s="102" t="str">
        <f>IFERROR(IF('BMP P Tracking Table'!$AZ159=2,VLOOKUP(CONCATENATE('BMP P Tracking Table'!$AV159," ",'BMP P Tracking Table'!$AX159),'Performance Curves'!$C$1:$L$44,MATCH('BMP P Tracking Table'!$AZ159,'Performance Curves'!$E$1:$L$1,1)+1,FALSE),'BMP P Tracking Table'!$BA159*'BMP P Tracking Table'!$BB159+VLOOKUP(CONCATENATE('BMP P Tracking Table'!$AV159," ",'BMP P Tracking Table'!$AX159),'Performance Curves'!$C$1:$L$44,MATCH('BMP P Tracking Table'!$AZ159,'Performance Curves'!$E$1:$L$1,1)+1,FALSE)),"")</f>
        <v/>
      </c>
      <c r="BD159" s="101" t="str">
        <f>IFERROR('BMP P Tracking Table'!$BC159*'BMP P Tracking Table'!$AY159,"")</f>
        <v/>
      </c>
      <c r="BE159" s="96"/>
      <c r="BF159" s="37">
        <f t="shared" si="17"/>
        <v>0</v>
      </c>
    </row>
    <row r="160" spans="1:58" x14ac:dyDescent="0.3">
      <c r="A160" s="64"/>
      <c r="B160" s="64"/>
      <c r="C160" s="64"/>
      <c r="D160" s="64"/>
      <c r="E160" s="93"/>
      <c r="F160" s="93"/>
      <c r="G160" s="64"/>
      <c r="H160" s="64"/>
      <c r="I160" s="64"/>
      <c r="J160" s="94"/>
      <c r="K160" s="64"/>
      <c r="L160" s="64"/>
      <c r="M160" s="64"/>
      <c r="N160" s="64"/>
      <c r="O160" s="64"/>
      <c r="P160" s="64"/>
      <c r="Q160" s="64" t="str">
        <f>IFERROR(VLOOKUP('BMP P Tracking Table'!$P160,Dropdowns!$C$2:$E$15,3,FALSE),"")</f>
        <v/>
      </c>
      <c r="R160" s="64" t="str">
        <f>IFERROR(VLOOKUP('BMP P Tracking Table'!$Q160,Dropdowns!$P$3:$Q$23,2,FALSE),"")</f>
        <v/>
      </c>
      <c r="S160" s="64"/>
      <c r="T160" s="64"/>
      <c r="U160" s="64"/>
      <c r="V160" s="64"/>
      <c r="W160" s="64"/>
      <c r="X160" s="64"/>
      <c r="Y160" s="64"/>
      <c r="Z160" s="64"/>
      <c r="AA160" s="64"/>
      <c r="AB160" s="95"/>
      <c r="AC160" s="64"/>
      <c r="AD160" s="101" t="str">
        <f>IFERROR('BMP P Tracking Table'!$U160*VLOOKUP('BMP P Tracking Table'!$Q160,'Loading Rates'!$B$1:$L$24,4,FALSE)+IF('BMP P Tracking Table'!$V160="By HSG",'BMP P Tracking Table'!$W160*VLOOKUP('BMP P Tracking Table'!$Q160,'Loading Rates'!$B$1:$L$24,6,FALSE)+'BMP P Tracking Table'!$X160*VLOOKUP('BMP P Tracking Table'!$Q160,'Loading Rates'!$B$1:$L$24,7,FALSE)+'BMP P Tracking Table'!$Y160*VLOOKUP('BMP P Tracking Table'!$Q160,'Loading Rates'!$B$1:$L$24,8,FALSE)+'BMP P Tracking Table'!$Z160*VLOOKUP('BMP P Tracking Table'!$Q160,'Loading Rates'!$B$1:$L$24,9,FALSE),'BMP P Tracking Table'!$AA160*VLOOKUP('BMP P Tracking Table'!$Q160,'Loading Rates'!$B$1:$L$24,10,FALSE)),"")</f>
        <v/>
      </c>
      <c r="AE160" s="101" t="str">
        <f>IFERROR(MIN(2,IF('BMP P Tracking Table'!$V160="Total Pervious",(-(3630*'BMP P Tracking Table'!$U160+20.691*'BMP P Tracking Table'!$AA160)+SQRT((3630*'BMP P Tracking Table'!$U160+20.691*'BMP P Tracking Table'!$AA160)^2-(4*(996.798*'BMP P Tracking Table'!$AA160)*-'BMP P Tracking Table'!$AB160)))/(2*(996.798*'BMP P Tracking Table'!$AA160)),IF(SUM('BMP P Tracking Table'!$W160:$Z160)=0,'BMP P Tracking Table'!$AB160/(-3630*'BMP P Tracking Table'!$U160),(-(3630*'BMP P Tracking Table'!$U160+20.691*'BMP P Tracking Table'!$Z160-216.711*'BMP P Tracking Table'!$Y160-83.853*'BMP P Tracking Table'!$X160-42.834*'BMP P Tracking Table'!$W160)+SQRT((3630*'BMP P Tracking Table'!$U160+20.691*'BMP P Tracking Table'!$Z160-216.711*'BMP P Tracking Table'!$Y160-83.853*'BMP P Tracking Table'!$X160-42.834*'BMP P Tracking Table'!$W160)^2-(4*(149.919*'BMP P Tracking Table'!$W160+236.676*'BMP P Tracking Table'!$X160+726*'BMP P Tracking Table'!$Y160+996.798*'BMP P Tracking Table'!$Z160)*-'BMP P Tracking Table'!$AB160)))/(2*(149.919*'BMP P Tracking Table'!$W160+236.676*'BMP P Tracking Table'!$X160+726*'BMP P Tracking Table'!$Y160+996.798*'BMP P Tracking Table'!$Z160))))),"")</f>
        <v/>
      </c>
      <c r="AF160" s="101" t="str">
        <f>IFERROR((VLOOKUP(CONCATENATE('BMP P Tracking Table'!$T160," ",'BMP P Tracking Table'!$AC160),'Performance Curves'!$C$1:$L$45,MATCH('BMP P Tracking Table'!$AE160,'Performance Curves'!$E$1:$L$1,1)+2,FALSE)-VLOOKUP(CONCATENATE('BMP P Tracking Table'!$T160," ",'BMP P Tracking Table'!$AC160),'Performance Curves'!$C$1:$L$45,MATCH('BMP P Tracking Table'!$AE160,'Performance Curves'!$E$1:$L$1,1)+1,FALSE)),"")</f>
        <v/>
      </c>
      <c r="AG160" s="101" t="str">
        <f>IFERROR(('BMP P Tracking Table'!$AE160-INDEX('Performance Curves'!$E$1:$L$1,1,MATCH('BMP P Tracking Table'!$AE160,'Performance Curves'!$E$1:$L$1,1)))/(INDEX('Performance Curves'!$E$1:$L$1,1,MATCH('BMP P Tracking Table'!$AE160,'Performance Curves'!$E$1:$L$1,1)+1)-INDEX('Performance Curves'!$E$1:$L$1,1,MATCH('BMP P Tracking Table'!$AE160,'Performance Curves'!$E$1:$L$1,1))),"")</f>
        <v/>
      </c>
      <c r="AH160" s="102" t="str">
        <f>IFERROR(IF('BMP P Tracking Table'!$AE160=2,VLOOKUP(CONCATENATE('BMP P Tracking Table'!$T160," ",'BMP P Tracking Table'!$AC160),'Performance Curves'!$C$1:$L$45,MATCH('BMP P Tracking Table'!$AE160,'Performance Curves'!$E$1:$L$1,1)+1,FALSE),'BMP P Tracking Table'!$AF160*'BMP P Tracking Table'!$AG160+VLOOKUP(CONCATENATE('BMP P Tracking Table'!$T160," ",'BMP P Tracking Table'!$AC160),'Performance Curves'!$C$1:$L$45,MATCH('BMP P Tracking Table'!$AE160,'Performance Curves'!$E$1:$L$1,1)+1,FALSE)),"")</f>
        <v/>
      </c>
      <c r="AI160" s="101" t="str">
        <f>IFERROR('BMP P Tracking Table'!$AH160*'BMP P Tracking Table'!$AD160,"")</f>
        <v/>
      </c>
      <c r="AJ160" s="64"/>
      <c r="AK160" s="96"/>
      <c r="AL160" s="96"/>
      <c r="AM160" s="63"/>
      <c r="AN160" s="99" t="str">
        <f t="shared" si="16"/>
        <v/>
      </c>
      <c r="AO160" s="96"/>
      <c r="AP160" s="96"/>
      <c r="AQ160" s="96"/>
      <c r="AR160" s="96"/>
      <c r="AS160" s="96"/>
      <c r="AT160" s="96"/>
      <c r="AU160" s="96"/>
      <c r="AV160" s="64"/>
      <c r="AW160" s="97"/>
      <c r="AX160" s="97"/>
      <c r="AY160" s="101" t="str">
        <f>IF('BMP P Tracking Table'!$AK160="Yes",IF('BMP P Tracking Table'!$AL160="No",'BMP P Tracking Table'!$U160*VLOOKUP('BMP P Tracking Table'!$Q160,'Loading Rates'!$B$1:$L$24,4,FALSE)+IF('BMP P Tracking Table'!$V160="By HSG",'BMP P Tracking Table'!$W160*VLOOKUP('BMP P Tracking Table'!$Q160,'Loading Rates'!$B$1:$L$24,6,FALSE)+'BMP P Tracking Table'!$X160*VLOOKUP('BMP P Tracking Table'!$Q160,'Loading Rates'!$B$1:$L$24,7,FALSE)+'BMP P Tracking Table'!$Y160*VLOOKUP('BMP P Tracking Table'!$Q160,'Loading Rates'!$B$1:$L$24,8,FALSE)+'BMP P Tracking Table'!$Z160*VLOOKUP('BMP P Tracking Table'!$Q160,'Loading Rates'!$B$1:$L$24,9,FALSE),'BMP P Tracking Table'!$AA160*VLOOKUP('BMP P Tracking Table'!$Q160,'Loading Rates'!$B$1:$L$24,10,FALSE)),'BMP P Tracking Table'!$AO160*VLOOKUP('BMP P Tracking Table'!$Q160,'Loading Rates'!$B$1:$L$24,4,FALSE)+IF('BMP P Tracking Table'!$AP160="By HSG",'BMP P Tracking Table'!$AQ160*VLOOKUP('BMP P Tracking Table'!$Q160,'Loading Rates'!$B$1:$L$24,6,FALSE)+'BMP P Tracking Table'!$AR160*VLOOKUP('BMP P Tracking Table'!$Q160,'Loading Rates'!$B$1:$L$24,7,FALSE)+'BMP P Tracking Table'!$AS160*VLOOKUP('BMP P Tracking Table'!$Q160,'Loading Rates'!$B$1:$L$24,8,FALSE)+'BMP P Tracking Table'!$AT160*VLOOKUP('BMP P Tracking Table'!$Q160,'Loading Rates'!$B$1:$L$24,9,FALSE),'BMP P Tracking Table'!$AU160*VLOOKUP('BMP P Tracking Table'!$Q160,'Loading Rates'!$B$1:$L$24,10,FALSE))),"")</f>
        <v/>
      </c>
      <c r="AZ160" s="101" t="str">
        <f>IFERROR(IF('BMP P Tracking Table'!$AL160="Yes",MIN(2,IF('BMP P Tracking Table'!$AP160="Total Pervious",(-(3630*'BMP P Tracking Table'!$AO160+20.691*'BMP P Tracking Table'!$AU160)+SQRT((3630*'BMP P Tracking Table'!$AO160+20.691*'BMP P Tracking Table'!$AU160)^2-(4*(996.798*'BMP P Tracking Table'!$AU160)*-'BMP P Tracking Table'!$AW160)))/(2*(996.798*'BMP P Tracking Table'!$AU160)),IF(SUM('BMP P Tracking Table'!$AQ160:$AT160)=0,'BMP P Tracking Table'!$AU160/(-3630*'BMP P Tracking Table'!$AO160),(-(3630*'BMP P Tracking Table'!$AO160+20.691*'BMP P Tracking Table'!$AT160-216.711*'BMP P Tracking Table'!$AS160-83.853*'BMP P Tracking Table'!$AR160-42.834*'BMP P Tracking Table'!$AQ160)+SQRT((3630*'BMP P Tracking Table'!$AO160+20.691*'BMP P Tracking Table'!$AT160-216.711*'BMP P Tracking Table'!$AS160-83.853*'BMP P Tracking Table'!$AR160-42.834*'BMP P Tracking Table'!$AQ160)^2-(4*(149.919*'BMP P Tracking Table'!$AQ160+236.676*'BMP P Tracking Table'!$AR160+726*'BMP P Tracking Table'!$AS160+996.798*'BMP P Tracking Table'!$AT160)*-'BMP P Tracking Table'!$AW160)))/(2*(149.919*'BMP P Tracking Table'!$AQ160+236.676*'BMP P Tracking Table'!$AR160+726*'BMP P Tracking Table'!$AS160+996.798*'BMP P Tracking Table'!$AT160))))),MIN(2,IF('BMP P Tracking Table'!$AP160="Total Pervious",(-(3630*'BMP P Tracking Table'!$U160+20.691*'BMP P Tracking Table'!$AA160)+SQRT((3630*'BMP P Tracking Table'!$U160+20.691*'BMP P Tracking Table'!$AA160)^2-(4*(996.798*'BMP P Tracking Table'!$AA160)*-'BMP P Tracking Table'!$AW160)))/(2*(996.798*'BMP P Tracking Table'!$AA160)),IF(SUM('BMP P Tracking Table'!$W160:$Z160)=0,'BMP P Tracking Table'!$AW160/(-3630*'BMP P Tracking Table'!$U160),(-(3630*'BMP P Tracking Table'!$U160+20.691*'BMP P Tracking Table'!$Z160-216.711*'BMP P Tracking Table'!$Y160-83.853*'BMP P Tracking Table'!$X160-42.834*'BMP P Tracking Table'!$W160)+SQRT((3630*'BMP P Tracking Table'!$U160+20.691*'BMP P Tracking Table'!$Z160-216.711*'BMP P Tracking Table'!$Y160-83.853*'BMP P Tracking Table'!$X160-42.834*'BMP P Tracking Table'!$W160)^2-(4*(149.919*'BMP P Tracking Table'!$W160+236.676*'BMP P Tracking Table'!$X160+726*'BMP P Tracking Table'!$Y160+996.798*'BMP P Tracking Table'!$Z160)*-'BMP P Tracking Table'!$AW160)))/(2*(149.919*'BMP P Tracking Table'!$W160+236.676*'BMP P Tracking Table'!$X160+726*'BMP P Tracking Table'!$Y160+996.798*'BMP P Tracking Table'!$Z160)))))),"")</f>
        <v/>
      </c>
      <c r="BA160" s="101" t="str">
        <f>IFERROR((VLOOKUP(CONCATENATE('BMP P Tracking Table'!$AV160," ",'BMP P Tracking Table'!$AX160),'Performance Curves'!$C$1:$L$45,MATCH('BMP P Tracking Table'!$AZ160,'Performance Curves'!$E$1:$L$1,1)+2,FALSE)-VLOOKUP(CONCATENATE('BMP P Tracking Table'!$AV160," ",'BMP P Tracking Table'!$AX160),'Performance Curves'!$C$1:$L$45,MATCH('BMP P Tracking Table'!$AZ160,'Performance Curves'!$E$1:$L$1,1)+1,FALSE)),"")</f>
        <v/>
      </c>
      <c r="BB160" s="101" t="str">
        <f>IFERROR(('BMP P Tracking Table'!$AZ160-INDEX('Performance Curves'!$E$1:$L$1,1,MATCH('BMP P Tracking Table'!$AZ160,'Performance Curves'!$E$1:$L$1,1)))/(INDEX('Performance Curves'!$E$1:$L$1,1,MATCH('BMP P Tracking Table'!$AZ160,'Performance Curves'!$E$1:$L$1,1)+1)-INDEX('Performance Curves'!$E$1:$L$1,1,MATCH('BMP P Tracking Table'!$AZ160,'Performance Curves'!$E$1:$L$1,1))),"")</f>
        <v/>
      </c>
      <c r="BC160" s="102" t="str">
        <f>IFERROR(IF('BMP P Tracking Table'!$AZ160=2,VLOOKUP(CONCATENATE('BMP P Tracking Table'!$AV160," ",'BMP P Tracking Table'!$AX160),'Performance Curves'!$C$1:$L$44,MATCH('BMP P Tracking Table'!$AZ160,'Performance Curves'!$E$1:$L$1,1)+1,FALSE),'BMP P Tracking Table'!$BA160*'BMP P Tracking Table'!$BB160+VLOOKUP(CONCATENATE('BMP P Tracking Table'!$AV160," ",'BMP P Tracking Table'!$AX160),'Performance Curves'!$C$1:$L$44,MATCH('BMP P Tracking Table'!$AZ160,'Performance Curves'!$E$1:$L$1,1)+1,FALSE)),"")</f>
        <v/>
      </c>
      <c r="BD160" s="101" t="str">
        <f>IFERROR('BMP P Tracking Table'!$BC160*'BMP P Tracking Table'!$AY160,"")</f>
        <v/>
      </c>
      <c r="BE160" s="96"/>
      <c r="BF160" s="37">
        <f t="shared" si="17"/>
        <v>0</v>
      </c>
    </row>
    <row r="161" spans="1:58" x14ac:dyDescent="0.3">
      <c r="A161" s="64"/>
      <c r="B161" s="64"/>
      <c r="C161" s="64"/>
      <c r="D161" s="64"/>
      <c r="E161" s="93"/>
      <c r="F161" s="93"/>
      <c r="G161" s="64"/>
      <c r="H161" s="64"/>
      <c r="I161" s="64"/>
      <c r="J161" s="94"/>
      <c r="K161" s="64"/>
      <c r="L161" s="64"/>
      <c r="M161" s="64"/>
      <c r="N161" s="64"/>
      <c r="O161" s="64"/>
      <c r="P161" s="64"/>
      <c r="Q161" s="64" t="str">
        <f>IFERROR(VLOOKUP('BMP P Tracking Table'!$P161,Dropdowns!$C$2:$E$15,3,FALSE),"")</f>
        <v/>
      </c>
      <c r="R161" s="64" t="str">
        <f>IFERROR(VLOOKUP('BMP P Tracking Table'!$Q161,Dropdowns!$P$3:$Q$23,2,FALSE),"")</f>
        <v/>
      </c>
      <c r="S161" s="64"/>
      <c r="T161" s="64"/>
      <c r="U161" s="64"/>
      <c r="V161" s="64"/>
      <c r="W161" s="64"/>
      <c r="X161" s="64"/>
      <c r="Y161" s="64"/>
      <c r="Z161" s="64"/>
      <c r="AA161" s="64"/>
      <c r="AB161" s="95"/>
      <c r="AC161" s="64"/>
      <c r="AD161" s="101" t="str">
        <f>IFERROR('BMP P Tracking Table'!$U161*VLOOKUP('BMP P Tracking Table'!$Q161,'Loading Rates'!$B$1:$L$24,4,FALSE)+IF('BMP P Tracking Table'!$V161="By HSG",'BMP P Tracking Table'!$W161*VLOOKUP('BMP P Tracking Table'!$Q161,'Loading Rates'!$B$1:$L$24,6,FALSE)+'BMP P Tracking Table'!$X161*VLOOKUP('BMP P Tracking Table'!$Q161,'Loading Rates'!$B$1:$L$24,7,FALSE)+'BMP P Tracking Table'!$Y161*VLOOKUP('BMP P Tracking Table'!$Q161,'Loading Rates'!$B$1:$L$24,8,FALSE)+'BMP P Tracking Table'!$Z161*VLOOKUP('BMP P Tracking Table'!$Q161,'Loading Rates'!$B$1:$L$24,9,FALSE),'BMP P Tracking Table'!$AA161*VLOOKUP('BMP P Tracking Table'!$Q161,'Loading Rates'!$B$1:$L$24,10,FALSE)),"")</f>
        <v/>
      </c>
      <c r="AE161" s="101" t="str">
        <f>IFERROR(MIN(2,IF('BMP P Tracking Table'!$V161="Total Pervious",(-(3630*'BMP P Tracking Table'!$U161+20.691*'BMP P Tracking Table'!$AA161)+SQRT((3630*'BMP P Tracking Table'!$U161+20.691*'BMP P Tracking Table'!$AA161)^2-(4*(996.798*'BMP P Tracking Table'!$AA161)*-'BMP P Tracking Table'!$AB161)))/(2*(996.798*'BMP P Tracking Table'!$AA161)),IF(SUM('BMP P Tracking Table'!$W161:$Z161)=0,'BMP P Tracking Table'!$AB161/(-3630*'BMP P Tracking Table'!$U161),(-(3630*'BMP P Tracking Table'!$U161+20.691*'BMP P Tracking Table'!$Z161-216.711*'BMP P Tracking Table'!$Y161-83.853*'BMP P Tracking Table'!$X161-42.834*'BMP P Tracking Table'!$W161)+SQRT((3630*'BMP P Tracking Table'!$U161+20.691*'BMP P Tracking Table'!$Z161-216.711*'BMP P Tracking Table'!$Y161-83.853*'BMP P Tracking Table'!$X161-42.834*'BMP P Tracking Table'!$W161)^2-(4*(149.919*'BMP P Tracking Table'!$W161+236.676*'BMP P Tracking Table'!$X161+726*'BMP P Tracking Table'!$Y161+996.798*'BMP P Tracking Table'!$Z161)*-'BMP P Tracking Table'!$AB161)))/(2*(149.919*'BMP P Tracking Table'!$W161+236.676*'BMP P Tracking Table'!$X161+726*'BMP P Tracking Table'!$Y161+996.798*'BMP P Tracking Table'!$Z161))))),"")</f>
        <v/>
      </c>
      <c r="AF161" s="101" t="str">
        <f>IFERROR((VLOOKUP(CONCATENATE('BMP P Tracking Table'!$T161," ",'BMP P Tracking Table'!$AC161),'Performance Curves'!$C$1:$L$45,MATCH('BMP P Tracking Table'!$AE161,'Performance Curves'!$E$1:$L$1,1)+2,FALSE)-VLOOKUP(CONCATENATE('BMP P Tracking Table'!$T161," ",'BMP P Tracking Table'!$AC161),'Performance Curves'!$C$1:$L$45,MATCH('BMP P Tracking Table'!$AE161,'Performance Curves'!$E$1:$L$1,1)+1,FALSE)),"")</f>
        <v/>
      </c>
      <c r="AG161" s="101" t="str">
        <f>IFERROR(('BMP P Tracking Table'!$AE161-INDEX('Performance Curves'!$E$1:$L$1,1,MATCH('BMP P Tracking Table'!$AE161,'Performance Curves'!$E$1:$L$1,1)))/(INDEX('Performance Curves'!$E$1:$L$1,1,MATCH('BMP P Tracking Table'!$AE161,'Performance Curves'!$E$1:$L$1,1)+1)-INDEX('Performance Curves'!$E$1:$L$1,1,MATCH('BMP P Tracking Table'!$AE161,'Performance Curves'!$E$1:$L$1,1))),"")</f>
        <v/>
      </c>
      <c r="AH161" s="102" t="str">
        <f>IFERROR(IF('BMP P Tracking Table'!$AE161=2,VLOOKUP(CONCATENATE('BMP P Tracking Table'!$T161," ",'BMP P Tracking Table'!$AC161),'Performance Curves'!$C$1:$L$45,MATCH('BMP P Tracking Table'!$AE161,'Performance Curves'!$E$1:$L$1,1)+1,FALSE),'BMP P Tracking Table'!$AF161*'BMP P Tracking Table'!$AG161+VLOOKUP(CONCATENATE('BMP P Tracking Table'!$T161," ",'BMP P Tracking Table'!$AC161),'Performance Curves'!$C$1:$L$45,MATCH('BMP P Tracking Table'!$AE161,'Performance Curves'!$E$1:$L$1,1)+1,FALSE)),"")</f>
        <v/>
      </c>
      <c r="AI161" s="101" t="str">
        <f>IFERROR('BMP P Tracking Table'!$AH161*'BMP P Tracking Table'!$AD161,"")</f>
        <v/>
      </c>
      <c r="AJ161" s="64"/>
      <c r="AK161" s="96"/>
      <c r="AL161" s="96"/>
      <c r="AM161" s="63"/>
      <c r="AN161" s="99" t="str">
        <f t="shared" si="16"/>
        <v/>
      </c>
      <c r="AO161" s="96"/>
      <c r="AP161" s="96"/>
      <c r="AQ161" s="96"/>
      <c r="AR161" s="96"/>
      <c r="AS161" s="96"/>
      <c r="AT161" s="96"/>
      <c r="AU161" s="96"/>
      <c r="AV161" s="64"/>
      <c r="AW161" s="97"/>
      <c r="AX161" s="97"/>
      <c r="AY161" s="101" t="str">
        <f>IF('BMP P Tracking Table'!$AK161="Yes",IF('BMP P Tracking Table'!$AL161="No",'BMP P Tracking Table'!$U161*VLOOKUP('BMP P Tracking Table'!$Q161,'Loading Rates'!$B$1:$L$24,4,FALSE)+IF('BMP P Tracking Table'!$V161="By HSG",'BMP P Tracking Table'!$W161*VLOOKUP('BMP P Tracking Table'!$Q161,'Loading Rates'!$B$1:$L$24,6,FALSE)+'BMP P Tracking Table'!$X161*VLOOKUP('BMP P Tracking Table'!$Q161,'Loading Rates'!$B$1:$L$24,7,FALSE)+'BMP P Tracking Table'!$Y161*VLOOKUP('BMP P Tracking Table'!$Q161,'Loading Rates'!$B$1:$L$24,8,FALSE)+'BMP P Tracking Table'!$Z161*VLOOKUP('BMP P Tracking Table'!$Q161,'Loading Rates'!$B$1:$L$24,9,FALSE),'BMP P Tracking Table'!$AA161*VLOOKUP('BMP P Tracking Table'!$Q161,'Loading Rates'!$B$1:$L$24,10,FALSE)),'BMP P Tracking Table'!$AO161*VLOOKUP('BMP P Tracking Table'!$Q161,'Loading Rates'!$B$1:$L$24,4,FALSE)+IF('BMP P Tracking Table'!$AP161="By HSG",'BMP P Tracking Table'!$AQ161*VLOOKUP('BMP P Tracking Table'!$Q161,'Loading Rates'!$B$1:$L$24,6,FALSE)+'BMP P Tracking Table'!$AR161*VLOOKUP('BMP P Tracking Table'!$Q161,'Loading Rates'!$B$1:$L$24,7,FALSE)+'BMP P Tracking Table'!$AS161*VLOOKUP('BMP P Tracking Table'!$Q161,'Loading Rates'!$B$1:$L$24,8,FALSE)+'BMP P Tracking Table'!$AT161*VLOOKUP('BMP P Tracking Table'!$Q161,'Loading Rates'!$B$1:$L$24,9,FALSE),'BMP P Tracking Table'!$AU161*VLOOKUP('BMP P Tracking Table'!$Q161,'Loading Rates'!$B$1:$L$24,10,FALSE))),"")</f>
        <v/>
      </c>
      <c r="AZ161" s="101" t="str">
        <f>IFERROR(IF('BMP P Tracking Table'!$AL161="Yes",MIN(2,IF('BMP P Tracking Table'!$AP161="Total Pervious",(-(3630*'BMP P Tracking Table'!$AO161+20.691*'BMP P Tracking Table'!$AU161)+SQRT((3630*'BMP P Tracking Table'!$AO161+20.691*'BMP P Tracking Table'!$AU161)^2-(4*(996.798*'BMP P Tracking Table'!$AU161)*-'BMP P Tracking Table'!$AW161)))/(2*(996.798*'BMP P Tracking Table'!$AU161)),IF(SUM('BMP P Tracking Table'!$AQ161:$AT161)=0,'BMP P Tracking Table'!$AU161/(-3630*'BMP P Tracking Table'!$AO161),(-(3630*'BMP P Tracking Table'!$AO161+20.691*'BMP P Tracking Table'!$AT161-216.711*'BMP P Tracking Table'!$AS161-83.853*'BMP P Tracking Table'!$AR161-42.834*'BMP P Tracking Table'!$AQ161)+SQRT((3630*'BMP P Tracking Table'!$AO161+20.691*'BMP P Tracking Table'!$AT161-216.711*'BMP P Tracking Table'!$AS161-83.853*'BMP P Tracking Table'!$AR161-42.834*'BMP P Tracking Table'!$AQ161)^2-(4*(149.919*'BMP P Tracking Table'!$AQ161+236.676*'BMP P Tracking Table'!$AR161+726*'BMP P Tracking Table'!$AS161+996.798*'BMP P Tracking Table'!$AT161)*-'BMP P Tracking Table'!$AW161)))/(2*(149.919*'BMP P Tracking Table'!$AQ161+236.676*'BMP P Tracking Table'!$AR161+726*'BMP P Tracking Table'!$AS161+996.798*'BMP P Tracking Table'!$AT161))))),MIN(2,IF('BMP P Tracking Table'!$AP161="Total Pervious",(-(3630*'BMP P Tracking Table'!$U161+20.691*'BMP P Tracking Table'!$AA161)+SQRT((3630*'BMP P Tracking Table'!$U161+20.691*'BMP P Tracking Table'!$AA161)^2-(4*(996.798*'BMP P Tracking Table'!$AA161)*-'BMP P Tracking Table'!$AW161)))/(2*(996.798*'BMP P Tracking Table'!$AA161)),IF(SUM('BMP P Tracking Table'!$W161:$Z161)=0,'BMP P Tracking Table'!$AW161/(-3630*'BMP P Tracking Table'!$U161),(-(3630*'BMP P Tracking Table'!$U161+20.691*'BMP P Tracking Table'!$Z161-216.711*'BMP P Tracking Table'!$Y161-83.853*'BMP P Tracking Table'!$X161-42.834*'BMP P Tracking Table'!$W161)+SQRT((3630*'BMP P Tracking Table'!$U161+20.691*'BMP P Tracking Table'!$Z161-216.711*'BMP P Tracking Table'!$Y161-83.853*'BMP P Tracking Table'!$X161-42.834*'BMP P Tracking Table'!$W161)^2-(4*(149.919*'BMP P Tracking Table'!$W161+236.676*'BMP P Tracking Table'!$X161+726*'BMP P Tracking Table'!$Y161+996.798*'BMP P Tracking Table'!$Z161)*-'BMP P Tracking Table'!$AW161)))/(2*(149.919*'BMP P Tracking Table'!$W161+236.676*'BMP P Tracking Table'!$X161+726*'BMP P Tracking Table'!$Y161+996.798*'BMP P Tracking Table'!$Z161)))))),"")</f>
        <v/>
      </c>
      <c r="BA161" s="101" t="str">
        <f>IFERROR((VLOOKUP(CONCATENATE('BMP P Tracking Table'!$AV161," ",'BMP P Tracking Table'!$AX161),'Performance Curves'!$C$1:$L$45,MATCH('BMP P Tracking Table'!$AZ161,'Performance Curves'!$E$1:$L$1,1)+2,FALSE)-VLOOKUP(CONCATENATE('BMP P Tracking Table'!$AV161," ",'BMP P Tracking Table'!$AX161),'Performance Curves'!$C$1:$L$45,MATCH('BMP P Tracking Table'!$AZ161,'Performance Curves'!$E$1:$L$1,1)+1,FALSE)),"")</f>
        <v/>
      </c>
      <c r="BB161" s="101" t="str">
        <f>IFERROR(('BMP P Tracking Table'!$AZ161-INDEX('Performance Curves'!$E$1:$L$1,1,MATCH('BMP P Tracking Table'!$AZ161,'Performance Curves'!$E$1:$L$1,1)))/(INDEX('Performance Curves'!$E$1:$L$1,1,MATCH('BMP P Tracking Table'!$AZ161,'Performance Curves'!$E$1:$L$1,1)+1)-INDEX('Performance Curves'!$E$1:$L$1,1,MATCH('BMP P Tracking Table'!$AZ161,'Performance Curves'!$E$1:$L$1,1))),"")</f>
        <v/>
      </c>
      <c r="BC161" s="102" t="str">
        <f>IFERROR(IF('BMP P Tracking Table'!$AZ161=2,VLOOKUP(CONCATENATE('BMP P Tracking Table'!$AV161," ",'BMP P Tracking Table'!$AX161),'Performance Curves'!$C$1:$L$44,MATCH('BMP P Tracking Table'!$AZ161,'Performance Curves'!$E$1:$L$1,1)+1,FALSE),'BMP P Tracking Table'!$BA161*'BMP P Tracking Table'!$BB161+VLOOKUP(CONCATENATE('BMP P Tracking Table'!$AV161," ",'BMP P Tracking Table'!$AX161),'Performance Curves'!$C$1:$L$44,MATCH('BMP P Tracking Table'!$AZ161,'Performance Curves'!$E$1:$L$1,1)+1,FALSE)),"")</f>
        <v/>
      </c>
      <c r="BD161" s="101" t="str">
        <f>IFERROR('BMP P Tracking Table'!$BC161*'BMP P Tracking Table'!$AY161,"")</f>
        <v/>
      </c>
      <c r="BE161" s="91"/>
      <c r="BF161" s="37">
        <f t="shared" si="17"/>
        <v>0</v>
      </c>
    </row>
    <row r="162" spans="1:58" x14ac:dyDescent="0.3">
      <c r="A162" s="64"/>
      <c r="B162" s="64"/>
      <c r="C162" s="64"/>
      <c r="D162" s="64"/>
      <c r="E162" s="93"/>
      <c r="F162" s="93"/>
      <c r="G162" s="64"/>
      <c r="H162" s="64"/>
      <c r="I162" s="64"/>
      <c r="J162" s="94"/>
      <c r="K162" s="64"/>
      <c r="L162" s="64"/>
      <c r="M162" s="64"/>
      <c r="N162" s="64"/>
      <c r="O162" s="64"/>
      <c r="P162" s="64"/>
      <c r="Q162" s="64" t="str">
        <f>IFERROR(VLOOKUP('BMP P Tracking Table'!$P162,Dropdowns!$C$2:$E$15,3,FALSE),"")</f>
        <v/>
      </c>
      <c r="R162" s="64" t="str">
        <f>IFERROR(VLOOKUP('BMP P Tracking Table'!$Q162,Dropdowns!$P$3:$Q$23,2,FALSE),"")</f>
        <v/>
      </c>
      <c r="S162" s="64"/>
      <c r="T162" s="64"/>
      <c r="U162" s="64"/>
      <c r="V162" s="64"/>
      <c r="W162" s="64"/>
      <c r="X162" s="64"/>
      <c r="Y162" s="64"/>
      <c r="Z162" s="64"/>
      <c r="AA162" s="64"/>
      <c r="AB162" s="95"/>
      <c r="AC162" s="64"/>
      <c r="AD162" s="101" t="str">
        <f>IFERROR('BMP P Tracking Table'!$U162*VLOOKUP('BMP P Tracking Table'!$Q162,'Loading Rates'!$B$1:$L$24,4,FALSE)+IF('BMP P Tracking Table'!$V162="By HSG",'BMP P Tracking Table'!$W162*VLOOKUP('BMP P Tracking Table'!$Q162,'Loading Rates'!$B$1:$L$24,6,FALSE)+'BMP P Tracking Table'!$X162*VLOOKUP('BMP P Tracking Table'!$Q162,'Loading Rates'!$B$1:$L$24,7,FALSE)+'BMP P Tracking Table'!$Y162*VLOOKUP('BMP P Tracking Table'!$Q162,'Loading Rates'!$B$1:$L$24,8,FALSE)+'BMP P Tracking Table'!$Z162*VLOOKUP('BMP P Tracking Table'!$Q162,'Loading Rates'!$B$1:$L$24,9,FALSE),'BMP P Tracking Table'!$AA162*VLOOKUP('BMP P Tracking Table'!$Q162,'Loading Rates'!$B$1:$L$24,10,FALSE)),"")</f>
        <v/>
      </c>
      <c r="AE162" s="101" t="str">
        <f>IFERROR(MIN(2,IF('BMP P Tracking Table'!$V162="Total Pervious",(-(3630*'BMP P Tracking Table'!$U162+20.691*'BMP P Tracking Table'!$AA162)+SQRT((3630*'BMP P Tracking Table'!$U162+20.691*'BMP P Tracking Table'!$AA162)^2-(4*(996.798*'BMP P Tracking Table'!$AA162)*-'BMP P Tracking Table'!$AB162)))/(2*(996.798*'BMP P Tracking Table'!$AA162)),IF(SUM('BMP P Tracking Table'!$W162:$Z162)=0,'BMP P Tracking Table'!$AB162/(-3630*'BMP P Tracking Table'!$U162),(-(3630*'BMP P Tracking Table'!$U162+20.691*'BMP P Tracking Table'!$Z162-216.711*'BMP P Tracking Table'!$Y162-83.853*'BMP P Tracking Table'!$X162-42.834*'BMP P Tracking Table'!$W162)+SQRT((3630*'BMP P Tracking Table'!$U162+20.691*'BMP P Tracking Table'!$Z162-216.711*'BMP P Tracking Table'!$Y162-83.853*'BMP P Tracking Table'!$X162-42.834*'BMP P Tracking Table'!$W162)^2-(4*(149.919*'BMP P Tracking Table'!$W162+236.676*'BMP P Tracking Table'!$X162+726*'BMP P Tracking Table'!$Y162+996.798*'BMP P Tracking Table'!$Z162)*-'BMP P Tracking Table'!$AB162)))/(2*(149.919*'BMP P Tracking Table'!$W162+236.676*'BMP P Tracking Table'!$X162+726*'BMP P Tracking Table'!$Y162+996.798*'BMP P Tracking Table'!$Z162))))),"")</f>
        <v/>
      </c>
      <c r="AF162" s="101" t="str">
        <f>IFERROR((VLOOKUP(CONCATENATE('BMP P Tracking Table'!$T162," ",'BMP P Tracking Table'!$AC162),'Performance Curves'!$C$1:$L$45,MATCH('BMP P Tracking Table'!$AE162,'Performance Curves'!$E$1:$L$1,1)+2,FALSE)-VLOOKUP(CONCATENATE('BMP P Tracking Table'!$T162," ",'BMP P Tracking Table'!$AC162),'Performance Curves'!$C$1:$L$45,MATCH('BMP P Tracking Table'!$AE162,'Performance Curves'!$E$1:$L$1,1)+1,FALSE)),"")</f>
        <v/>
      </c>
      <c r="AG162" s="101" t="str">
        <f>IFERROR(('BMP P Tracking Table'!$AE162-INDEX('Performance Curves'!$E$1:$L$1,1,MATCH('BMP P Tracking Table'!$AE162,'Performance Curves'!$E$1:$L$1,1)))/(INDEX('Performance Curves'!$E$1:$L$1,1,MATCH('BMP P Tracking Table'!$AE162,'Performance Curves'!$E$1:$L$1,1)+1)-INDEX('Performance Curves'!$E$1:$L$1,1,MATCH('BMP P Tracking Table'!$AE162,'Performance Curves'!$E$1:$L$1,1))),"")</f>
        <v/>
      </c>
      <c r="AH162" s="102" t="str">
        <f>IFERROR(IF('BMP P Tracking Table'!$AE162=2,VLOOKUP(CONCATENATE('BMP P Tracking Table'!$T162," ",'BMP P Tracking Table'!$AC162),'Performance Curves'!$C$1:$L$45,MATCH('BMP P Tracking Table'!$AE162,'Performance Curves'!$E$1:$L$1,1)+1,FALSE),'BMP P Tracking Table'!$AF162*'BMP P Tracking Table'!$AG162+VLOOKUP(CONCATENATE('BMP P Tracking Table'!$T162," ",'BMP P Tracking Table'!$AC162),'Performance Curves'!$C$1:$L$45,MATCH('BMP P Tracking Table'!$AE162,'Performance Curves'!$E$1:$L$1,1)+1,FALSE)),"")</f>
        <v/>
      </c>
      <c r="AI162" s="101" t="str">
        <f>IFERROR('BMP P Tracking Table'!$AH162*'BMP P Tracking Table'!$AD162,"")</f>
        <v/>
      </c>
      <c r="AJ162" s="64"/>
      <c r="AK162" s="96"/>
      <c r="AL162" s="96"/>
      <c r="AM162" s="63"/>
      <c r="AN162" s="99" t="str">
        <f t="shared" si="16"/>
        <v/>
      </c>
      <c r="AO162" s="96"/>
      <c r="AP162" s="96"/>
      <c r="AQ162" s="96"/>
      <c r="AR162" s="96"/>
      <c r="AS162" s="96"/>
      <c r="AT162" s="96"/>
      <c r="AU162" s="96"/>
      <c r="AV162" s="64"/>
      <c r="AW162" s="97"/>
      <c r="AX162" s="97"/>
      <c r="AY162" s="101" t="str">
        <f>IF('BMP P Tracking Table'!$AK162="Yes",IF('BMP P Tracking Table'!$AL162="No",'BMP P Tracking Table'!$U162*VLOOKUP('BMP P Tracking Table'!$Q162,'Loading Rates'!$B$1:$L$24,4,FALSE)+IF('BMP P Tracking Table'!$V162="By HSG",'BMP P Tracking Table'!$W162*VLOOKUP('BMP P Tracking Table'!$Q162,'Loading Rates'!$B$1:$L$24,6,FALSE)+'BMP P Tracking Table'!$X162*VLOOKUP('BMP P Tracking Table'!$Q162,'Loading Rates'!$B$1:$L$24,7,FALSE)+'BMP P Tracking Table'!$Y162*VLOOKUP('BMP P Tracking Table'!$Q162,'Loading Rates'!$B$1:$L$24,8,FALSE)+'BMP P Tracking Table'!$Z162*VLOOKUP('BMP P Tracking Table'!$Q162,'Loading Rates'!$B$1:$L$24,9,FALSE),'BMP P Tracking Table'!$AA162*VLOOKUP('BMP P Tracking Table'!$Q162,'Loading Rates'!$B$1:$L$24,10,FALSE)),'BMP P Tracking Table'!$AO162*VLOOKUP('BMP P Tracking Table'!$Q162,'Loading Rates'!$B$1:$L$24,4,FALSE)+IF('BMP P Tracking Table'!$AP162="By HSG",'BMP P Tracking Table'!$AQ162*VLOOKUP('BMP P Tracking Table'!$Q162,'Loading Rates'!$B$1:$L$24,6,FALSE)+'BMP P Tracking Table'!$AR162*VLOOKUP('BMP P Tracking Table'!$Q162,'Loading Rates'!$B$1:$L$24,7,FALSE)+'BMP P Tracking Table'!$AS162*VLOOKUP('BMP P Tracking Table'!$Q162,'Loading Rates'!$B$1:$L$24,8,FALSE)+'BMP P Tracking Table'!$AT162*VLOOKUP('BMP P Tracking Table'!$Q162,'Loading Rates'!$B$1:$L$24,9,FALSE),'BMP P Tracking Table'!$AU162*VLOOKUP('BMP P Tracking Table'!$Q162,'Loading Rates'!$B$1:$L$24,10,FALSE))),"")</f>
        <v/>
      </c>
      <c r="AZ162" s="101" t="str">
        <f>IFERROR(IF('BMP P Tracking Table'!$AL162="Yes",MIN(2,IF('BMP P Tracking Table'!$AP162="Total Pervious",(-(3630*'BMP P Tracking Table'!$AO162+20.691*'BMP P Tracking Table'!$AU162)+SQRT((3630*'BMP P Tracking Table'!$AO162+20.691*'BMP P Tracking Table'!$AU162)^2-(4*(996.798*'BMP P Tracking Table'!$AU162)*-'BMP P Tracking Table'!$AW162)))/(2*(996.798*'BMP P Tracking Table'!$AU162)),IF(SUM('BMP P Tracking Table'!$AQ162:$AT162)=0,'BMP P Tracking Table'!$AU162/(-3630*'BMP P Tracking Table'!$AO162),(-(3630*'BMP P Tracking Table'!$AO162+20.691*'BMP P Tracking Table'!$AT162-216.711*'BMP P Tracking Table'!$AS162-83.853*'BMP P Tracking Table'!$AR162-42.834*'BMP P Tracking Table'!$AQ162)+SQRT((3630*'BMP P Tracking Table'!$AO162+20.691*'BMP P Tracking Table'!$AT162-216.711*'BMP P Tracking Table'!$AS162-83.853*'BMP P Tracking Table'!$AR162-42.834*'BMP P Tracking Table'!$AQ162)^2-(4*(149.919*'BMP P Tracking Table'!$AQ162+236.676*'BMP P Tracking Table'!$AR162+726*'BMP P Tracking Table'!$AS162+996.798*'BMP P Tracking Table'!$AT162)*-'BMP P Tracking Table'!$AW162)))/(2*(149.919*'BMP P Tracking Table'!$AQ162+236.676*'BMP P Tracking Table'!$AR162+726*'BMP P Tracking Table'!$AS162+996.798*'BMP P Tracking Table'!$AT162))))),MIN(2,IF('BMP P Tracking Table'!$AP162="Total Pervious",(-(3630*'BMP P Tracking Table'!$U162+20.691*'BMP P Tracking Table'!$AA162)+SQRT((3630*'BMP P Tracking Table'!$U162+20.691*'BMP P Tracking Table'!$AA162)^2-(4*(996.798*'BMP P Tracking Table'!$AA162)*-'BMP P Tracking Table'!$AW162)))/(2*(996.798*'BMP P Tracking Table'!$AA162)),IF(SUM('BMP P Tracking Table'!$W162:$Z162)=0,'BMP P Tracking Table'!$AW162/(-3630*'BMP P Tracking Table'!$U162),(-(3630*'BMP P Tracking Table'!$U162+20.691*'BMP P Tracking Table'!$Z162-216.711*'BMP P Tracking Table'!$Y162-83.853*'BMP P Tracking Table'!$X162-42.834*'BMP P Tracking Table'!$W162)+SQRT((3630*'BMP P Tracking Table'!$U162+20.691*'BMP P Tracking Table'!$Z162-216.711*'BMP P Tracking Table'!$Y162-83.853*'BMP P Tracking Table'!$X162-42.834*'BMP P Tracking Table'!$W162)^2-(4*(149.919*'BMP P Tracking Table'!$W162+236.676*'BMP P Tracking Table'!$X162+726*'BMP P Tracking Table'!$Y162+996.798*'BMP P Tracking Table'!$Z162)*-'BMP P Tracking Table'!$AW162)))/(2*(149.919*'BMP P Tracking Table'!$W162+236.676*'BMP P Tracking Table'!$X162+726*'BMP P Tracking Table'!$Y162+996.798*'BMP P Tracking Table'!$Z162)))))),"")</f>
        <v/>
      </c>
      <c r="BA162" s="101" t="str">
        <f>IFERROR((VLOOKUP(CONCATENATE('BMP P Tracking Table'!$AV162," ",'BMP P Tracking Table'!$AX162),'Performance Curves'!$C$1:$L$45,MATCH('BMP P Tracking Table'!$AZ162,'Performance Curves'!$E$1:$L$1,1)+2,FALSE)-VLOOKUP(CONCATENATE('BMP P Tracking Table'!$AV162," ",'BMP P Tracking Table'!$AX162),'Performance Curves'!$C$1:$L$45,MATCH('BMP P Tracking Table'!$AZ162,'Performance Curves'!$E$1:$L$1,1)+1,FALSE)),"")</f>
        <v/>
      </c>
      <c r="BB162" s="101" t="str">
        <f>IFERROR(('BMP P Tracking Table'!$AZ162-INDEX('Performance Curves'!$E$1:$L$1,1,MATCH('BMP P Tracking Table'!$AZ162,'Performance Curves'!$E$1:$L$1,1)))/(INDEX('Performance Curves'!$E$1:$L$1,1,MATCH('BMP P Tracking Table'!$AZ162,'Performance Curves'!$E$1:$L$1,1)+1)-INDEX('Performance Curves'!$E$1:$L$1,1,MATCH('BMP P Tracking Table'!$AZ162,'Performance Curves'!$E$1:$L$1,1))),"")</f>
        <v/>
      </c>
      <c r="BC162" s="102" t="str">
        <f>IFERROR(IF('BMP P Tracking Table'!$AZ162=2,VLOOKUP(CONCATENATE('BMP P Tracking Table'!$AV162," ",'BMP P Tracking Table'!$AX162),'Performance Curves'!$C$1:$L$44,MATCH('BMP P Tracking Table'!$AZ162,'Performance Curves'!$E$1:$L$1,1)+1,FALSE),'BMP P Tracking Table'!$BA162*'BMP P Tracking Table'!$BB162+VLOOKUP(CONCATENATE('BMP P Tracking Table'!$AV162," ",'BMP P Tracking Table'!$AX162),'Performance Curves'!$C$1:$L$44,MATCH('BMP P Tracking Table'!$AZ162,'Performance Curves'!$E$1:$L$1,1)+1,FALSE)),"")</f>
        <v/>
      </c>
      <c r="BD162" s="101" t="str">
        <f>IFERROR('BMP P Tracking Table'!$BC162*'BMP P Tracking Table'!$AY162,"")</f>
        <v/>
      </c>
      <c r="BE162" s="96"/>
      <c r="BF162" s="37">
        <f t="shared" si="17"/>
        <v>0</v>
      </c>
    </row>
    <row r="163" spans="1:58" x14ac:dyDescent="0.3">
      <c r="A163" s="64"/>
      <c r="B163" s="64"/>
      <c r="C163" s="64"/>
      <c r="D163" s="64"/>
      <c r="E163" s="93"/>
      <c r="F163" s="93"/>
      <c r="G163" s="64"/>
      <c r="H163" s="64"/>
      <c r="I163" s="64"/>
      <c r="J163" s="94"/>
      <c r="K163" s="64"/>
      <c r="L163" s="64"/>
      <c r="M163" s="64"/>
      <c r="N163" s="64"/>
      <c r="O163" s="64"/>
      <c r="P163" s="64"/>
      <c r="Q163" s="64" t="str">
        <f>IFERROR(VLOOKUP('BMP P Tracking Table'!$P163,Dropdowns!$C$2:$E$15,3,FALSE),"")</f>
        <v/>
      </c>
      <c r="R163" s="64" t="str">
        <f>IFERROR(VLOOKUP('BMP P Tracking Table'!$Q163,Dropdowns!$P$3:$Q$23,2,FALSE),"")</f>
        <v/>
      </c>
      <c r="S163" s="64"/>
      <c r="T163" s="64"/>
      <c r="U163" s="64"/>
      <c r="V163" s="64"/>
      <c r="W163" s="64"/>
      <c r="X163" s="64"/>
      <c r="Y163" s="64"/>
      <c r="Z163" s="64"/>
      <c r="AA163" s="64"/>
      <c r="AB163" s="95"/>
      <c r="AC163" s="64"/>
      <c r="AD163" s="101" t="str">
        <f>IFERROR('BMP P Tracking Table'!$U163*VLOOKUP('BMP P Tracking Table'!$Q163,'Loading Rates'!$B$1:$L$24,4,FALSE)+IF('BMP P Tracking Table'!$V163="By HSG",'BMP P Tracking Table'!$W163*VLOOKUP('BMP P Tracking Table'!$Q163,'Loading Rates'!$B$1:$L$24,6,FALSE)+'BMP P Tracking Table'!$X163*VLOOKUP('BMP P Tracking Table'!$Q163,'Loading Rates'!$B$1:$L$24,7,FALSE)+'BMP P Tracking Table'!$Y163*VLOOKUP('BMP P Tracking Table'!$Q163,'Loading Rates'!$B$1:$L$24,8,FALSE)+'BMP P Tracking Table'!$Z163*VLOOKUP('BMP P Tracking Table'!$Q163,'Loading Rates'!$B$1:$L$24,9,FALSE),'BMP P Tracking Table'!$AA163*VLOOKUP('BMP P Tracking Table'!$Q163,'Loading Rates'!$B$1:$L$24,10,FALSE)),"")</f>
        <v/>
      </c>
      <c r="AE163" s="101" t="str">
        <f>IFERROR(MIN(2,IF('BMP P Tracking Table'!$V163="Total Pervious",(-(3630*'BMP P Tracking Table'!$U163+20.691*'BMP P Tracking Table'!$AA163)+SQRT((3630*'BMP P Tracking Table'!$U163+20.691*'BMP P Tracking Table'!$AA163)^2-(4*(996.798*'BMP P Tracking Table'!$AA163)*-'BMP P Tracking Table'!$AB163)))/(2*(996.798*'BMP P Tracking Table'!$AA163)),IF(SUM('BMP P Tracking Table'!$W163:$Z163)=0,'BMP P Tracking Table'!$AB163/(-3630*'BMP P Tracking Table'!$U163),(-(3630*'BMP P Tracking Table'!$U163+20.691*'BMP P Tracking Table'!$Z163-216.711*'BMP P Tracking Table'!$Y163-83.853*'BMP P Tracking Table'!$X163-42.834*'BMP P Tracking Table'!$W163)+SQRT((3630*'BMP P Tracking Table'!$U163+20.691*'BMP P Tracking Table'!$Z163-216.711*'BMP P Tracking Table'!$Y163-83.853*'BMP P Tracking Table'!$X163-42.834*'BMP P Tracking Table'!$W163)^2-(4*(149.919*'BMP P Tracking Table'!$W163+236.676*'BMP P Tracking Table'!$X163+726*'BMP P Tracking Table'!$Y163+996.798*'BMP P Tracking Table'!$Z163)*-'BMP P Tracking Table'!$AB163)))/(2*(149.919*'BMP P Tracking Table'!$W163+236.676*'BMP P Tracking Table'!$X163+726*'BMP P Tracking Table'!$Y163+996.798*'BMP P Tracking Table'!$Z163))))),"")</f>
        <v/>
      </c>
      <c r="AF163" s="101" t="str">
        <f>IFERROR((VLOOKUP(CONCATENATE('BMP P Tracking Table'!$T163," ",'BMP P Tracking Table'!$AC163),'Performance Curves'!$C$1:$L$45,MATCH('BMP P Tracking Table'!$AE163,'Performance Curves'!$E$1:$L$1,1)+2,FALSE)-VLOOKUP(CONCATENATE('BMP P Tracking Table'!$T163," ",'BMP P Tracking Table'!$AC163),'Performance Curves'!$C$1:$L$45,MATCH('BMP P Tracking Table'!$AE163,'Performance Curves'!$E$1:$L$1,1)+1,FALSE)),"")</f>
        <v/>
      </c>
      <c r="AG163" s="101" t="str">
        <f>IFERROR(('BMP P Tracking Table'!$AE163-INDEX('Performance Curves'!$E$1:$L$1,1,MATCH('BMP P Tracking Table'!$AE163,'Performance Curves'!$E$1:$L$1,1)))/(INDEX('Performance Curves'!$E$1:$L$1,1,MATCH('BMP P Tracking Table'!$AE163,'Performance Curves'!$E$1:$L$1,1)+1)-INDEX('Performance Curves'!$E$1:$L$1,1,MATCH('BMP P Tracking Table'!$AE163,'Performance Curves'!$E$1:$L$1,1))),"")</f>
        <v/>
      </c>
      <c r="AH163" s="102" t="str">
        <f>IFERROR(IF('BMP P Tracking Table'!$AE163=2,VLOOKUP(CONCATENATE('BMP P Tracking Table'!$T163," ",'BMP P Tracking Table'!$AC163),'Performance Curves'!$C$1:$L$45,MATCH('BMP P Tracking Table'!$AE163,'Performance Curves'!$E$1:$L$1,1)+1,FALSE),'BMP P Tracking Table'!$AF163*'BMP P Tracking Table'!$AG163+VLOOKUP(CONCATENATE('BMP P Tracking Table'!$T163," ",'BMP P Tracking Table'!$AC163),'Performance Curves'!$C$1:$L$45,MATCH('BMP P Tracking Table'!$AE163,'Performance Curves'!$E$1:$L$1,1)+1,FALSE)),"")</f>
        <v/>
      </c>
      <c r="AI163" s="101" t="str">
        <f>IFERROR('BMP P Tracking Table'!$AH163*'BMP P Tracking Table'!$AD163,"")</f>
        <v/>
      </c>
      <c r="AJ163" s="64"/>
      <c r="AK163" s="96"/>
      <c r="AL163" s="96"/>
      <c r="AM163" s="63"/>
      <c r="AN163" s="99" t="str">
        <f t="shared" si="16"/>
        <v/>
      </c>
      <c r="AO163" s="96"/>
      <c r="AP163" s="96"/>
      <c r="AQ163" s="96"/>
      <c r="AR163" s="96"/>
      <c r="AS163" s="96"/>
      <c r="AT163" s="96"/>
      <c r="AU163" s="96"/>
      <c r="AV163" s="64"/>
      <c r="AW163" s="97"/>
      <c r="AX163" s="97"/>
      <c r="AY163" s="101" t="str">
        <f>IF('BMP P Tracking Table'!$AK163="Yes",IF('BMP P Tracking Table'!$AL163="No",'BMP P Tracking Table'!$U163*VLOOKUP('BMP P Tracking Table'!$Q163,'Loading Rates'!$B$1:$L$24,4,FALSE)+IF('BMP P Tracking Table'!$V163="By HSG",'BMP P Tracking Table'!$W163*VLOOKUP('BMP P Tracking Table'!$Q163,'Loading Rates'!$B$1:$L$24,6,FALSE)+'BMP P Tracking Table'!$X163*VLOOKUP('BMP P Tracking Table'!$Q163,'Loading Rates'!$B$1:$L$24,7,FALSE)+'BMP P Tracking Table'!$Y163*VLOOKUP('BMP P Tracking Table'!$Q163,'Loading Rates'!$B$1:$L$24,8,FALSE)+'BMP P Tracking Table'!$Z163*VLOOKUP('BMP P Tracking Table'!$Q163,'Loading Rates'!$B$1:$L$24,9,FALSE),'BMP P Tracking Table'!$AA163*VLOOKUP('BMP P Tracking Table'!$Q163,'Loading Rates'!$B$1:$L$24,10,FALSE)),'BMP P Tracking Table'!$AO163*VLOOKUP('BMP P Tracking Table'!$Q163,'Loading Rates'!$B$1:$L$24,4,FALSE)+IF('BMP P Tracking Table'!$AP163="By HSG",'BMP P Tracking Table'!$AQ163*VLOOKUP('BMP P Tracking Table'!$Q163,'Loading Rates'!$B$1:$L$24,6,FALSE)+'BMP P Tracking Table'!$AR163*VLOOKUP('BMP P Tracking Table'!$Q163,'Loading Rates'!$B$1:$L$24,7,FALSE)+'BMP P Tracking Table'!$AS163*VLOOKUP('BMP P Tracking Table'!$Q163,'Loading Rates'!$B$1:$L$24,8,FALSE)+'BMP P Tracking Table'!$AT163*VLOOKUP('BMP P Tracking Table'!$Q163,'Loading Rates'!$B$1:$L$24,9,FALSE),'BMP P Tracking Table'!$AU163*VLOOKUP('BMP P Tracking Table'!$Q163,'Loading Rates'!$B$1:$L$24,10,FALSE))),"")</f>
        <v/>
      </c>
      <c r="AZ163" s="101" t="str">
        <f>IFERROR(IF('BMP P Tracking Table'!$AL163="Yes",MIN(2,IF('BMP P Tracking Table'!$AP163="Total Pervious",(-(3630*'BMP P Tracking Table'!$AO163+20.691*'BMP P Tracking Table'!$AU163)+SQRT((3630*'BMP P Tracking Table'!$AO163+20.691*'BMP P Tracking Table'!$AU163)^2-(4*(996.798*'BMP P Tracking Table'!$AU163)*-'BMP P Tracking Table'!$AW163)))/(2*(996.798*'BMP P Tracking Table'!$AU163)),IF(SUM('BMP P Tracking Table'!$AQ163:$AT163)=0,'BMP P Tracking Table'!$AU163/(-3630*'BMP P Tracking Table'!$AO163),(-(3630*'BMP P Tracking Table'!$AO163+20.691*'BMP P Tracking Table'!$AT163-216.711*'BMP P Tracking Table'!$AS163-83.853*'BMP P Tracking Table'!$AR163-42.834*'BMP P Tracking Table'!$AQ163)+SQRT((3630*'BMP P Tracking Table'!$AO163+20.691*'BMP P Tracking Table'!$AT163-216.711*'BMP P Tracking Table'!$AS163-83.853*'BMP P Tracking Table'!$AR163-42.834*'BMP P Tracking Table'!$AQ163)^2-(4*(149.919*'BMP P Tracking Table'!$AQ163+236.676*'BMP P Tracking Table'!$AR163+726*'BMP P Tracking Table'!$AS163+996.798*'BMP P Tracking Table'!$AT163)*-'BMP P Tracking Table'!$AW163)))/(2*(149.919*'BMP P Tracking Table'!$AQ163+236.676*'BMP P Tracking Table'!$AR163+726*'BMP P Tracking Table'!$AS163+996.798*'BMP P Tracking Table'!$AT163))))),MIN(2,IF('BMP P Tracking Table'!$AP163="Total Pervious",(-(3630*'BMP P Tracking Table'!$U163+20.691*'BMP P Tracking Table'!$AA163)+SQRT((3630*'BMP P Tracking Table'!$U163+20.691*'BMP P Tracking Table'!$AA163)^2-(4*(996.798*'BMP P Tracking Table'!$AA163)*-'BMP P Tracking Table'!$AW163)))/(2*(996.798*'BMP P Tracking Table'!$AA163)),IF(SUM('BMP P Tracking Table'!$W163:$Z163)=0,'BMP P Tracking Table'!$AW163/(-3630*'BMP P Tracking Table'!$U163),(-(3630*'BMP P Tracking Table'!$U163+20.691*'BMP P Tracking Table'!$Z163-216.711*'BMP P Tracking Table'!$Y163-83.853*'BMP P Tracking Table'!$X163-42.834*'BMP P Tracking Table'!$W163)+SQRT((3630*'BMP P Tracking Table'!$U163+20.691*'BMP P Tracking Table'!$Z163-216.711*'BMP P Tracking Table'!$Y163-83.853*'BMP P Tracking Table'!$X163-42.834*'BMP P Tracking Table'!$W163)^2-(4*(149.919*'BMP P Tracking Table'!$W163+236.676*'BMP P Tracking Table'!$X163+726*'BMP P Tracking Table'!$Y163+996.798*'BMP P Tracking Table'!$Z163)*-'BMP P Tracking Table'!$AW163)))/(2*(149.919*'BMP P Tracking Table'!$W163+236.676*'BMP P Tracking Table'!$X163+726*'BMP P Tracking Table'!$Y163+996.798*'BMP P Tracking Table'!$Z163)))))),"")</f>
        <v/>
      </c>
      <c r="BA163" s="101" t="str">
        <f>IFERROR((VLOOKUP(CONCATENATE('BMP P Tracking Table'!$AV163," ",'BMP P Tracking Table'!$AX163),'Performance Curves'!$C$1:$L$45,MATCH('BMP P Tracking Table'!$AZ163,'Performance Curves'!$E$1:$L$1,1)+2,FALSE)-VLOOKUP(CONCATENATE('BMP P Tracking Table'!$AV163," ",'BMP P Tracking Table'!$AX163),'Performance Curves'!$C$1:$L$45,MATCH('BMP P Tracking Table'!$AZ163,'Performance Curves'!$E$1:$L$1,1)+1,FALSE)),"")</f>
        <v/>
      </c>
      <c r="BB163" s="101" t="str">
        <f>IFERROR(('BMP P Tracking Table'!$AZ163-INDEX('Performance Curves'!$E$1:$L$1,1,MATCH('BMP P Tracking Table'!$AZ163,'Performance Curves'!$E$1:$L$1,1)))/(INDEX('Performance Curves'!$E$1:$L$1,1,MATCH('BMP P Tracking Table'!$AZ163,'Performance Curves'!$E$1:$L$1,1)+1)-INDEX('Performance Curves'!$E$1:$L$1,1,MATCH('BMP P Tracking Table'!$AZ163,'Performance Curves'!$E$1:$L$1,1))),"")</f>
        <v/>
      </c>
      <c r="BC163" s="102" t="str">
        <f>IFERROR(IF('BMP P Tracking Table'!$AZ163=2,VLOOKUP(CONCATENATE('BMP P Tracking Table'!$AV163," ",'BMP P Tracking Table'!$AX163),'Performance Curves'!$C$1:$L$44,MATCH('BMP P Tracking Table'!$AZ163,'Performance Curves'!$E$1:$L$1,1)+1,FALSE),'BMP P Tracking Table'!$BA163*'BMP P Tracking Table'!$BB163+VLOOKUP(CONCATENATE('BMP P Tracking Table'!$AV163," ",'BMP P Tracking Table'!$AX163),'Performance Curves'!$C$1:$L$44,MATCH('BMP P Tracking Table'!$AZ163,'Performance Curves'!$E$1:$L$1,1)+1,FALSE)),"")</f>
        <v/>
      </c>
      <c r="BD163" s="101" t="str">
        <f>IFERROR('BMP P Tracking Table'!$BC163*'BMP P Tracking Table'!$AY163,"")</f>
        <v/>
      </c>
      <c r="BE163" s="96"/>
      <c r="BF163" s="37">
        <f t="shared" si="17"/>
        <v>0</v>
      </c>
    </row>
    <row r="164" spans="1:58" x14ac:dyDescent="0.3">
      <c r="A164" s="64"/>
      <c r="B164" s="64"/>
      <c r="C164" s="64"/>
      <c r="D164" s="64"/>
      <c r="E164" s="93"/>
      <c r="F164" s="93"/>
      <c r="G164" s="64"/>
      <c r="H164" s="64"/>
      <c r="I164" s="64"/>
      <c r="J164" s="94"/>
      <c r="K164" s="64"/>
      <c r="L164" s="64"/>
      <c r="M164" s="64"/>
      <c r="N164" s="64"/>
      <c r="O164" s="64"/>
      <c r="P164" s="64"/>
      <c r="Q164" s="64" t="str">
        <f>IFERROR(VLOOKUP('BMP P Tracking Table'!$P164,Dropdowns!$C$2:$E$15,3,FALSE),"")</f>
        <v/>
      </c>
      <c r="R164" s="64" t="str">
        <f>IFERROR(VLOOKUP('BMP P Tracking Table'!$Q164,Dropdowns!$P$3:$Q$23,2,FALSE),"")</f>
        <v/>
      </c>
      <c r="S164" s="64"/>
      <c r="T164" s="64"/>
      <c r="U164" s="64"/>
      <c r="V164" s="64"/>
      <c r="W164" s="64"/>
      <c r="X164" s="64"/>
      <c r="Y164" s="64"/>
      <c r="Z164" s="64"/>
      <c r="AA164" s="64"/>
      <c r="AB164" s="95"/>
      <c r="AC164" s="64"/>
      <c r="AD164" s="101" t="str">
        <f>IFERROR('BMP P Tracking Table'!$U164*VLOOKUP('BMP P Tracking Table'!$Q164,'Loading Rates'!$B$1:$L$24,4,FALSE)+IF('BMP P Tracking Table'!$V164="By HSG",'BMP P Tracking Table'!$W164*VLOOKUP('BMP P Tracking Table'!$Q164,'Loading Rates'!$B$1:$L$24,6,FALSE)+'BMP P Tracking Table'!$X164*VLOOKUP('BMP P Tracking Table'!$Q164,'Loading Rates'!$B$1:$L$24,7,FALSE)+'BMP P Tracking Table'!$Y164*VLOOKUP('BMP P Tracking Table'!$Q164,'Loading Rates'!$B$1:$L$24,8,FALSE)+'BMP P Tracking Table'!$Z164*VLOOKUP('BMP P Tracking Table'!$Q164,'Loading Rates'!$B$1:$L$24,9,FALSE),'BMP P Tracking Table'!$AA164*VLOOKUP('BMP P Tracking Table'!$Q164,'Loading Rates'!$B$1:$L$24,10,FALSE)),"")</f>
        <v/>
      </c>
      <c r="AE164" s="101" t="str">
        <f>IFERROR(MIN(2,IF('BMP P Tracking Table'!$V164="Total Pervious",(-(3630*'BMP P Tracking Table'!$U164+20.691*'BMP P Tracking Table'!$AA164)+SQRT((3630*'BMP P Tracking Table'!$U164+20.691*'BMP P Tracking Table'!$AA164)^2-(4*(996.798*'BMP P Tracking Table'!$AA164)*-'BMP P Tracking Table'!$AB164)))/(2*(996.798*'BMP P Tracking Table'!$AA164)),IF(SUM('BMP P Tracking Table'!$W164:$Z164)=0,'BMP P Tracking Table'!$AB164/(-3630*'BMP P Tracking Table'!$U164),(-(3630*'BMP P Tracking Table'!$U164+20.691*'BMP P Tracking Table'!$Z164-216.711*'BMP P Tracking Table'!$Y164-83.853*'BMP P Tracking Table'!$X164-42.834*'BMP P Tracking Table'!$W164)+SQRT((3630*'BMP P Tracking Table'!$U164+20.691*'BMP P Tracking Table'!$Z164-216.711*'BMP P Tracking Table'!$Y164-83.853*'BMP P Tracking Table'!$X164-42.834*'BMP P Tracking Table'!$W164)^2-(4*(149.919*'BMP P Tracking Table'!$W164+236.676*'BMP P Tracking Table'!$X164+726*'BMP P Tracking Table'!$Y164+996.798*'BMP P Tracking Table'!$Z164)*-'BMP P Tracking Table'!$AB164)))/(2*(149.919*'BMP P Tracking Table'!$W164+236.676*'BMP P Tracking Table'!$X164+726*'BMP P Tracking Table'!$Y164+996.798*'BMP P Tracking Table'!$Z164))))),"")</f>
        <v/>
      </c>
      <c r="AF164" s="101" t="str">
        <f>IFERROR((VLOOKUP(CONCATENATE('BMP P Tracking Table'!$T164," ",'BMP P Tracking Table'!$AC164),'Performance Curves'!$C$1:$L$45,MATCH('BMP P Tracking Table'!$AE164,'Performance Curves'!$E$1:$L$1,1)+2,FALSE)-VLOOKUP(CONCATENATE('BMP P Tracking Table'!$T164," ",'BMP P Tracking Table'!$AC164),'Performance Curves'!$C$1:$L$45,MATCH('BMP P Tracking Table'!$AE164,'Performance Curves'!$E$1:$L$1,1)+1,FALSE)),"")</f>
        <v/>
      </c>
      <c r="AG164" s="101" t="str">
        <f>IFERROR(('BMP P Tracking Table'!$AE164-INDEX('Performance Curves'!$E$1:$L$1,1,MATCH('BMP P Tracking Table'!$AE164,'Performance Curves'!$E$1:$L$1,1)))/(INDEX('Performance Curves'!$E$1:$L$1,1,MATCH('BMP P Tracking Table'!$AE164,'Performance Curves'!$E$1:$L$1,1)+1)-INDEX('Performance Curves'!$E$1:$L$1,1,MATCH('BMP P Tracking Table'!$AE164,'Performance Curves'!$E$1:$L$1,1))),"")</f>
        <v/>
      </c>
      <c r="AH164" s="102" t="str">
        <f>IFERROR(IF('BMP P Tracking Table'!$AE164=2,VLOOKUP(CONCATENATE('BMP P Tracking Table'!$T164," ",'BMP P Tracking Table'!$AC164),'Performance Curves'!$C$1:$L$45,MATCH('BMP P Tracking Table'!$AE164,'Performance Curves'!$E$1:$L$1,1)+1,FALSE),'BMP P Tracking Table'!$AF164*'BMP P Tracking Table'!$AG164+VLOOKUP(CONCATENATE('BMP P Tracking Table'!$T164," ",'BMP P Tracking Table'!$AC164),'Performance Curves'!$C$1:$L$45,MATCH('BMP P Tracking Table'!$AE164,'Performance Curves'!$E$1:$L$1,1)+1,FALSE)),"")</f>
        <v/>
      </c>
      <c r="AI164" s="101" t="str">
        <f>IFERROR('BMP P Tracking Table'!$AH164*'BMP P Tracking Table'!$AD164,"")</f>
        <v/>
      </c>
      <c r="AJ164" s="64"/>
      <c r="AK164" s="96"/>
      <c r="AL164" s="96"/>
      <c r="AM164" s="63"/>
      <c r="AN164" s="99" t="str">
        <f t="shared" si="16"/>
        <v/>
      </c>
      <c r="AO164" s="96"/>
      <c r="AP164" s="96"/>
      <c r="AQ164" s="96"/>
      <c r="AR164" s="96"/>
      <c r="AS164" s="96"/>
      <c r="AT164" s="96"/>
      <c r="AU164" s="96"/>
      <c r="AV164" s="64"/>
      <c r="AW164" s="97"/>
      <c r="AX164" s="97"/>
      <c r="AY164" s="101" t="str">
        <f>IF('BMP P Tracking Table'!$AK164="Yes",IF('BMP P Tracking Table'!$AL164="No",'BMP P Tracking Table'!$U164*VLOOKUP('BMP P Tracking Table'!$Q164,'Loading Rates'!$B$1:$L$24,4,FALSE)+IF('BMP P Tracking Table'!$V164="By HSG",'BMP P Tracking Table'!$W164*VLOOKUP('BMP P Tracking Table'!$Q164,'Loading Rates'!$B$1:$L$24,6,FALSE)+'BMP P Tracking Table'!$X164*VLOOKUP('BMP P Tracking Table'!$Q164,'Loading Rates'!$B$1:$L$24,7,FALSE)+'BMP P Tracking Table'!$Y164*VLOOKUP('BMP P Tracking Table'!$Q164,'Loading Rates'!$B$1:$L$24,8,FALSE)+'BMP P Tracking Table'!$Z164*VLOOKUP('BMP P Tracking Table'!$Q164,'Loading Rates'!$B$1:$L$24,9,FALSE),'BMP P Tracking Table'!$AA164*VLOOKUP('BMP P Tracking Table'!$Q164,'Loading Rates'!$B$1:$L$24,10,FALSE)),'BMP P Tracking Table'!$AO164*VLOOKUP('BMP P Tracking Table'!$Q164,'Loading Rates'!$B$1:$L$24,4,FALSE)+IF('BMP P Tracking Table'!$AP164="By HSG",'BMP P Tracking Table'!$AQ164*VLOOKUP('BMP P Tracking Table'!$Q164,'Loading Rates'!$B$1:$L$24,6,FALSE)+'BMP P Tracking Table'!$AR164*VLOOKUP('BMP P Tracking Table'!$Q164,'Loading Rates'!$B$1:$L$24,7,FALSE)+'BMP P Tracking Table'!$AS164*VLOOKUP('BMP P Tracking Table'!$Q164,'Loading Rates'!$B$1:$L$24,8,FALSE)+'BMP P Tracking Table'!$AT164*VLOOKUP('BMP P Tracking Table'!$Q164,'Loading Rates'!$B$1:$L$24,9,FALSE),'BMP P Tracking Table'!$AU164*VLOOKUP('BMP P Tracking Table'!$Q164,'Loading Rates'!$B$1:$L$24,10,FALSE))),"")</f>
        <v/>
      </c>
      <c r="AZ164" s="101" t="str">
        <f>IFERROR(IF('BMP P Tracking Table'!$AL164="Yes",MIN(2,IF('BMP P Tracking Table'!$AP164="Total Pervious",(-(3630*'BMP P Tracking Table'!$AO164+20.691*'BMP P Tracking Table'!$AU164)+SQRT((3630*'BMP P Tracking Table'!$AO164+20.691*'BMP P Tracking Table'!$AU164)^2-(4*(996.798*'BMP P Tracking Table'!$AU164)*-'BMP P Tracking Table'!$AW164)))/(2*(996.798*'BMP P Tracking Table'!$AU164)),IF(SUM('BMP P Tracking Table'!$AQ164:$AT164)=0,'BMP P Tracking Table'!$AU164/(-3630*'BMP P Tracking Table'!$AO164),(-(3630*'BMP P Tracking Table'!$AO164+20.691*'BMP P Tracking Table'!$AT164-216.711*'BMP P Tracking Table'!$AS164-83.853*'BMP P Tracking Table'!$AR164-42.834*'BMP P Tracking Table'!$AQ164)+SQRT((3630*'BMP P Tracking Table'!$AO164+20.691*'BMP P Tracking Table'!$AT164-216.711*'BMP P Tracking Table'!$AS164-83.853*'BMP P Tracking Table'!$AR164-42.834*'BMP P Tracking Table'!$AQ164)^2-(4*(149.919*'BMP P Tracking Table'!$AQ164+236.676*'BMP P Tracking Table'!$AR164+726*'BMP P Tracking Table'!$AS164+996.798*'BMP P Tracking Table'!$AT164)*-'BMP P Tracking Table'!$AW164)))/(2*(149.919*'BMP P Tracking Table'!$AQ164+236.676*'BMP P Tracking Table'!$AR164+726*'BMP P Tracking Table'!$AS164+996.798*'BMP P Tracking Table'!$AT164))))),MIN(2,IF('BMP P Tracking Table'!$AP164="Total Pervious",(-(3630*'BMP P Tracking Table'!$U164+20.691*'BMP P Tracking Table'!$AA164)+SQRT((3630*'BMP P Tracking Table'!$U164+20.691*'BMP P Tracking Table'!$AA164)^2-(4*(996.798*'BMP P Tracking Table'!$AA164)*-'BMP P Tracking Table'!$AW164)))/(2*(996.798*'BMP P Tracking Table'!$AA164)),IF(SUM('BMP P Tracking Table'!$W164:$Z164)=0,'BMP P Tracking Table'!$AW164/(-3630*'BMP P Tracking Table'!$U164),(-(3630*'BMP P Tracking Table'!$U164+20.691*'BMP P Tracking Table'!$Z164-216.711*'BMP P Tracking Table'!$Y164-83.853*'BMP P Tracking Table'!$X164-42.834*'BMP P Tracking Table'!$W164)+SQRT((3630*'BMP P Tracking Table'!$U164+20.691*'BMP P Tracking Table'!$Z164-216.711*'BMP P Tracking Table'!$Y164-83.853*'BMP P Tracking Table'!$X164-42.834*'BMP P Tracking Table'!$W164)^2-(4*(149.919*'BMP P Tracking Table'!$W164+236.676*'BMP P Tracking Table'!$X164+726*'BMP P Tracking Table'!$Y164+996.798*'BMP P Tracking Table'!$Z164)*-'BMP P Tracking Table'!$AW164)))/(2*(149.919*'BMP P Tracking Table'!$W164+236.676*'BMP P Tracking Table'!$X164+726*'BMP P Tracking Table'!$Y164+996.798*'BMP P Tracking Table'!$Z164)))))),"")</f>
        <v/>
      </c>
      <c r="BA164" s="101" t="str">
        <f>IFERROR((VLOOKUP(CONCATENATE('BMP P Tracking Table'!$AV164," ",'BMP P Tracking Table'!$AX164),'Performance Curves'!$C$1:$L$45,MATCH('BMP P Tracking Table'!$AZ164,'Performance Curves'!$E$1:$L$1,1)+2,FALSE)-VLOOKUP(CONCATENATE('BMP P Tracking Table'!$AV164," ",'BMP P Tracking Table'!$AX164),'Performance Curves'!$C$1:$L$45,MATCH('BMP P Tracking Table'!$AZ164,'Performance Curves'!$E$1:$L$1,1)+1,FALSE)),"")</f>
        <v/>
      </c>
      <c r="BB164" s="101" t="str">
        <f>IFERROR(('BMP P Tracking Table'!$AZ164-INDEX('Performance Curves'!$E$1:$L$1,1,MATCH('BMP P Tracking Table'!$AZ164,'Performance Curves'!$E$1:$L$1,1)))/(INDEX('Performance Curves'!$E$1:$L$1,1,MATCH('BMP P Tracking Table'!$AZ164,'Performance Curves'!$E$1:$L$1,1)+1)-INDEX('Performance Curves'!$E$1:$L$1,1,MATCH('BMP P Tracking Table'!$AZ164,'Performance Curves'!$E$1:$L$1,1))),"")</f>
        <v/>
      </c>
      <c r="BC164" s="102" t="str">
        <f>IFERROR(IF('BMP P Tracking Table'!$AZ164=2,VLOOKUP(CONCATENATE('BMP P Tracking Table'!$AV164," ",'BMP P Tracking Table'!$AX164),'Performance Curves'!$C$1:$L$44,MATCH('BMP P Tracking Table'!$AZ164,'Performance Curves'!$E$1:$L$1,1)+1,FALSE),'BMP P Tracking Table'!$BA164*'BMP P Tracking Table'!$BB164+VLOOKUP(CONCATENATE('BMP P Tracking Table'!$AV164," ",'BMP P Tracking Table'!$AX164),'Performance Curves'!$C$1:$L$44,MATCH('BMP P Tracking Table'!$AZ164,'Performance Curves'!$E$1:$L$1,1)+1,FALSE)),"")</f>
        <v/>
      </c>
      <c r="BD164" s="101" t="str">
        <f>IFERROR('BMP P Tracking Table'!$BC164*'BMP P Tracking Table'!$AY164,"")</f>
        <v/>
      </c>
      <c r="BE164" s="96"/>
      <c r="BF164" s="37">
        <f t="shared" si="17"/>
        <v>0</v>
      </c>
    </row>
    <row r="165" spans="1:58" x14ac:dyDescent="0.3">
      <c r="A165" s="64"/>
      <c r="B165" s="64"/>
      <c r="C165" s="64"/>
      <c r="D165" s="64"/>
      <c r="E165" s="93"/>
      <c r="F165" s="93"/>
      <c r="G165" s="64"/>
      <c r="H165" s="64"/>
      <c r="I165" s="64"/>
      <c r="J165" s="94"/>
      <c r="K165" s="64"/>
      <c r="L165" s="64"/>
      <c r="M165" s="64"/>
      <c r="N165" s="64"/>
      <c r="O165" s="64"/>
      <c r="P165" s="64"/>
      <c r="Q165" s="64" t="str">
        <f>IFERROR(VLOOKUP('BMP P Tracking Table'!$P165,Dropdowns!$C$2:$E$15,3,FALSE),"")</f>
        <v/>
      </c>
      <c r="R165" s="64" t="str">
        <f>IFERROR(VLOOKUP('BMP P Tracking Table'!$Q165,Dropdowns!$P$3:$Q$23,2,FALSE),"")</f>
        <v/>
      </c>
      <c r="S165" s="64"/>
      <c r="T165" s="64"/>
      <c r="U165" s="64"/>
      <c r="V165" s="64"/>
      <c r="W165" s="64"/>
      <c r="X165" s="64"/>
      <c r="Y165" s="64"/>
      <c r="Z165" s="64"/>
      <c r="AA165" s="64"/>
      <c r="AB165" s="95"/>
      <c r="AC165" s="64"/>
      <c r="AD165" s="101" t="str">
        <f>IFERROR('BMP P Tracking Table'!$U165*VLOOKUP('BMP P Tracking Table'!$Q165,'Loading Rates'!$B$1:$L$24,4,FALSE)+IF('BMP P Tracking Table'!$V165="By HSG",'BMP P Tracking Table'!$W165*VLOOKUP('BMP P Tracking Table'!$Q165,'Loading Rates'!$B$1:$L$24,6,FALSE)+'BMP P Tracking Table'!$X165*VLOOKUP('BMP P Tracking Table'!$Q165,'Loading Rates'!$B$1:$L$24,7,FALSE)+'BMP P Tracking Table'!$Y165*VLOOKUP('BMP P Tracking Table'!$Q165,'Loading Rates'!$B$1:$L$24,8,FALSE)+'BMP P Tracking Table'!$Z165*VLOOKUP('BMP P Tracking Table'!$Q165,'Loading Rates'!$B$1:$L$24,9,FALSE),'BMP P Tracking Table'!$AA165*VLOOKUP('BMP P Tracking Table'!$Q165,'Loading Rates'!$B$1:$L$24,10,FALSE)),"")</f>
        <v/>
      </c>
      <c r="AE165" s="101" t="str">
        <f>IFERROR(MIN(2,IF('BMP P Tracking Table'!$V165="Total Pervious",(-(3630*'BMP P Tracking Table'!$U165+20.691*'BMP P Tracking Table'!$AA165)+SQRT((3630*'BMP P Tracking Table'!$U165+20.691*'BMP P Tracking Table'!$AA165)^2-(4*(996.798*'BMP P Tracking Table'!$AA165)*-'BMP P Tracking Table'!$AB165)))/(2*(996.798*'BMP P Tracking Table'!$AA165)),IF(SUM('BMP P Tracking Table'!$W165:$Z165)=0,'BMP P Tracking Table'!$AB165/(-3630*'BMP P Tracking Table'!$U165),(-(3630*'BMP P Tracking Table'!$U165+20.691*'BMP P Tracking Table'!$Z165-216.711*'BMP P Tracking Table'!$Y165-83.853*'BMP P Tracking Table'!$X165-42.834*'BMP P Tracking Table'!$W165)+SQRT((3630*'BMP P Tracking Table'!$U165+20.691*'BMP P Tracking Table'!$Z165-216.711*'BMP P Tracking Table'!$Y165-83.853*'BMP P Tracking Table'!$X165-42.834*'BMP P Tracking Table'!$W165)^2-(4*(149.919*'BMP P Tracking Table'!$W165+236.676*'BMP P Tracking Table'!$X165+726*'BMP P Tracking Table'!$Y165+996.798*'BMP P Tracking Table'!$Z165)*-'BMP P Tracking Table'!$AB165)))/(2*(149.919*'BMP P Tracking Table'!$W165+236.676*'BMP P Tracking Table'!$X165+726*'BMP P Tracking Table'!$Y165+996.798*'BMP P Tracking Table'!$Z165))))),"")</f>
        <v/>
      </c>
      <c r="AF165" s="101" t="str">
        <f>IFERROR((VLOOKUP(CONCATENATE('BMP P Tracking Table'!$T165," ",'BMP P Tracking Table'!$AC165),'Performance Curves'!$C$1:$L$45,MATCH('BMP P Tracking Table'!$AE165,'Performance Curves'!$E$1:$L$1,1)+2,FALSE)-VLOOKUP(CONCATENATE('BMP P Tracking Table'!$T165," ",'BMP P Tracking Table'!$AC165),'Performance Curves'!$C$1:$L$45,MATCH('BMP P Tracking Table'!$AE165,'Performance Curves'!$E$1:$L$1,1)+1,FALSE)),"")</f>
        <v/>
      </c>
      <c r="AG165" s="101" t="str">
        <f>IFERROR(('BMP P Tracking Table'!$AE165-INDEX('Performance Curves'!$E$1:$L$1,1,MATCH('BMP P Tracking Table'!$AE165,'Performance Curves'!$E$1:$L$1,1)))/(INDEX('Performance Curves'!$E$1:$L$1,1,MATCH('BMP P Tracking Table'!$AE165,'Performance Curves'!$E$1:$L$1,1)+1)-INDEX('Performance Curves'!$E$1:$L$1,1,MATCH('BMP P Tracking Table'!$AE165,'Performance Curves'!$E$1:$L$1,1))),"")</f>
        <v/>
      </c>
      <c r="AH165" s="102" t="str">
        <f>IFERROR(IF('BMP P Tracking Table'!$AE165=2,VLOOKUP(CONCATENATE('BMP P Tracking Table'!$T165," ",'BMP P Tracking Table'!$AC165),'Performance Curves'!$C$1:$L$45,MATCH('BMP P Tracking Table'!$AE165,'Performance Curves'!$E$1:$L$1,1)+1,FALSE),'BMP P Tracking Table'!$AF165*'BMP P Tracking Table'!$AG165+VLOOKUP(CONCATENATE('BMP P Tracking Table'!$T165," ",'BMP P Tracking Table'!$AC165),'Performance Curves'!$C$1:$L$45,MATCH('BMP P Tracking Table'!$AE165,'Performance Curves'!$E$1:$L$1,1)+1,FALSE)),"")</f>
        <v/>
      </c>
      <c r="AI165" s="101" t="str">
        <f>IFERROR('BMP P Tracking Table'!$AH165*'BMP P Tracking Table'!$AD165,"")</f>
        <v/>
      </c>
      <c r="AJ165" s="64"/>
      <c r="AK165" s="96"/>
      <c r="AL165" s="96"/>
      <c r="AM165" s="63"/>
      <c r="AN165" s="99" t="str">
        <f t="shared" si="16"/>
        <v/>
      </c>
      <c r="AO165" s="96"/>
      <c r="AP165" s="96"/>
      <c r="AQ165" s="96"/>
      <c r="AR165" s="96"/>
      <c r="AS165" s="96"/>
      <c r="AT165" s="96"/>
      <c r="AU165" s="96"/>
      <c r="AV165" s="64"/>
      <c r="AW165" s="97"/>
      <c r="AX165" s="97"/>
      <c r="AY165" s="101" t="str">
        <f>IF('BMP P Tracking Table'!$AK165="Yes",IF('BMP P Tracking Table'!$AL165="No",'BMP P Tracking Table'!$U165*VLOOKUP('BMP P Tracking Table'!$Q165,'Loading Rates'!$B$1:$L$24,4,FALSE)+IF('BMP P Tracking Table'!$V165="By HSG",'BMP P Tracking Table'!$W165*VLOOKUP('BMP P Tracking Table'!$Q165,'Loading Rates'!$B$1:$L$24,6,FALSE)+'BMP P Tracking Table'!$X165*VLOOKUP('BMP P Tracking Table'!$Q165,'Loading Rates'!$B$1:$L$24,7,FALSE)+'BMP P Tracking Table'!$Y165*VLOOKUP('BMP P Tracking Table'!$Q165,'Loading Rates'!$B$1:$L$24,8,FALSE)+'BMP P Tracking Table'!$Z165*VLOOKUP('BMP P Tracking Table'!$Q165,'Loading Rates'!$B$1:$L$24,9,FALSE),'BMP P Tracking Table'!$AA165*VLOOKUP('BMP P Tracking Table'!$Q165,'Loading Rates'!$B$1:$L$24,10,FALSE)),'BMP P Tracking Table'!$AO165*VLOOKUP('BMP P Tracking Table'!$Q165,'Loading Rates'!$B$1:$L$24,4,FALSE)+IF('BMP P Tracking Table'!$AP165="By HSG",'BMP P Tracking Table'!$AQ165*VLOOKUP('BMP P Tracking Table'!$Q165,'Loading Rates'!$B$1:$L$24,6,FALSE)+'BMP P Tracking Table'!$AR165*VLOOKUP('BMP P Tracking Table'!$Q165,'Loading Rates'!$B$1:$L$24,7,FALSE)+'BMP P Tracking Table'!$AS165*VLOOKUP('BMP P Tracking Table'!$Q165,'Loading Rates'!$B$1:$L$24,8,FALSE)+'BMP P Tracking Table'!$AT165*VLOOKUP('BMP P Tracking Table'!$Q165,'Loading Rates'!$B$1:$L$24,9,FALSE),'BMP P Tracking Table'!$AU165*VLOOKUP('BMP P Tracking Table'!$Q165,'Loading Rates'!$B$1:$L$24,10,FALSE))),"")</f>
        <v/>
      </c>
      <c r="AZ165" s="101" t="str">
        <f>IFERROR(IF('BMP P Tracking Table'!$AL165="Yes",MIN(2,IF('BMP P Tracking Table'!$AP165="Total Pervious",(-(3630*'BMP P Tracking Table'!$AO165+20.691*'BMP P Tracking Table'!$AU165)+SQRT((3630*'BMP P Tracking Table'!$AO165+20.691*'BMP P Tracking Table'!$AU165)^2-(4*(996.798*'BMP P Tracking Table'!$AU165)*-'BMP P Tracking Table'!$AW165)))/(2*(996.798*'BMP P Tracking Table'!$AU165)),IF(SUM('BMP P Tracking Table'!$AQ165:$AT165)=0,'BMP P Tracking Table'!$AU165/(-3630*'BMP P Tracking Table'!$AO165),(-(3630*'BMP P Tracking Table'!$AO165+20.691*'BMP P Tracking Table'!$AT165-216.711*'BMP P Tracking Table'!$AS165-83.853*'BMP P Tracking Table'!$AR165-42.834*'BMP P Tracking Table'!$AQ165)+SQRT((3630*'BMP P Tracking Table'!$AO165+20.691*'BMP P Tracking Table'!$AT165-216.711*'BMP P Tracking Table'!$AS165-83.853*'BMP P Tracking Table'!$AR165-42.834*'BMP P Tracking Table'!$AQ165)^2-(4*(149.919*'BMP P Tracking Table'!$AQ165+236.676*'BMP P Tracking Table'!$AR165+726*'BMP P Tracking Table'!$AS165+996.798*'BMP P Tracking Table'!$AT165)*-'BMP P Tracking Table'!$AW165)))/(2*(149.919*'BMP P Tracking Table'!$AQ165+236.676*'BMP P Tracking Table'!$AR165+726*'BMP P Tracking Table'!$AS165+996.798*'BMP P Tracking Table'!$AT165))))),MIN(2,IF('BMP P Tracking Table'!$AP165="Total Pervious",(-(3630*'BMP P Tracking Table'!$U165+20.691*'BMP P Tracking Table'!$AA165)+SQRT((3630*'BMP P Tracking Table'!$U165+20.691*'BMP P Tracking Table'!$AA165)^2-(4*(996.798*'BMP P Tracking Table'!$AA165)*-'BMP P Tracking Table'!$AW165)))/(2*(996.798*'BMP P Tracking Table'!$AA165)),IF(SUM('BMP P Tracking Table'!$W165:$Z165)=0,'BMP P Tracking Table'!$AW165/(-3630*'BMP P Tracking Table'!$U165),(-(3630*'BMP P Tracking Table'!$U165+20.691*'BMP P Tracking Table'!$Z165-216.711*'BMP P Tracking Table'!$Y165-83.853*'BMP P Tracking Table'!$X165-42.834*'BMP P Tracking Table'!$W165)+SQRT((3630*'BMP P Tracking Table'!$U165+20.691*'BMP P Tracking Table'!$Z165-216.711*'BMP P Tracking Table'!$Y165-83.853*'BMP P Tracking Table'!$X165-42.834*'BMP P Tracking Table'!$W165)^2-(4*(149.919*'BMP P Tracking Table'!$W165+236.676*'BMP P Tracking Table'!$X165+726*'BMP P Tracking Table'!$Y165+996.798*'BMP P Tracking Table'!$Z165)*-'BMP P Tracking Table'!$AW165)))/(2*(149.919*'BMP P Tracking Table'!$W165+236.676*'BMP P Tracking Table'!$X165+726*'BMP P Tracking Table'!$Y165+996.798*'BMP P Tracking Table'!$Z165)))))),"")</f>
        <v/>
      </c>
      <c r="BA165" s="101" t="str">
        <f>IFERROR((VLOOKUP(CONCATENATE('BMP P Tracking Table'!$AV165," ",'BMP P Tracking Table'!$AX165),'Performance Curves'!$C$1:$L$45,MATCH('BMP P Tracking Table'!$AZ165,'Performance Curves'!$E$1:$L$1,1)+2,FALSE)-VLOOKUP(CONCATENATE('BMP P Tracking Table'!$AV165," ",'BMP P Tracking Table'!$AX165),'Performance Curves'!$C$1:$L$45,MATCH('BMP P Tracking Table'!$AZ165,'Performance Curves'!$E$1:$L$1,1)+1,FALSE)),"")</f>
        <v/>
      </c>
      <c r="BB165" s="101" t="str">
        <f>IFERROR(('BMP P Tracking Table'!$AZ165-INDEX('Performance Curves'!$E$1:$L$1,1,MATCH('BMP P Tracking Table'!$AZ165,'Performance Curves'!$E$1:$L$1,1)))/(INDEX('Performance Curves'!$E$1:$L$1,1,MATCH('BMP P Tracking Table'!$AZ165,'Performance Curves'!$E$1:$L$1,1)+1)-INDEX('Performance Curves'!$E$1:$L$1,1,MATCH('BMP P Tracking Table'!$AZ165,'Performance Curves'!$E$1:$L$1,1))),"")</f>
        <v/>
      </c>
      <c r="BC165" s="102" t="str">
        <f>IFERROR(IF('BMP P Tracking Table'!$AZ165=2,VLOOKUP(CONCATENATE('BMP P Tracking Table'!$AV165," ",'BMP P Tracking Table'!$AX165),'Performance Curves'!$C$1:$L$44,MATCH('BMP P Tracking Table'!$AZ165,'Performance Curves'!$E$1:$L$1,1)+1,FALSE),'BMP P Tracking Table'!$BA165*'BMP P Tracking Table'!$BB165+VLOOKUP(CONCATENATE('BMP P Tracking Table'!$AV165," ",'BMP P Tracking Table'!$AX165),'Performance Curves'!$C$1:$L$44,MATCH('BMP P Tracking Table'!$AZ165,'Performance Curves'!$E$1:$L$1,1)+1,FALSE)),"")</f>
        <v/>
      </c>
      <c r="BD165" s="101" t="str">
        <f>IFERROR('BMP P Tracking Table'!$BC165*'BMP P Tracking Table'!$AY165,"")</f>
        <v/>
      </c>
      <c r="BE165" s="96"/>
      <c r="BF165" s="37">
        <f t="shared" si="17"/>
        <v>0</v>
      </c>
    </row>
    <row r="166" spans="1:58" x14ac:dyDescent="0.3">
      <c r="A166" s="64"/>
      <c r="B166" s="64"/>
      <c r="C166" s="64"/>
      <c r="D166" s="64"/>
      <c r="E166" s="93"/>
      <c r="F166" s="93"/>
      <c r="G166" s="64"/>
      <c r="H166" s="64"/>
      <c r="I166" s="64"/>
      <c r="J166" s="94"/>
      <c r="K166" s="64"/>
      <c r="L166" s="64"/>
      <c r="M166" s="64"/>
      <c r="N166" s="64"/>
      <c r="O166" s="64"/>
      <c r="P166" s="64"/>
      <c r="Q166" s="64" t="str">
        <f>IFERROR(VLOOKUP('BMP P Tracking Table'!$P166,Dropdowns!$C$2:$E$15,3,FALSE),"")</f>
        <v/>
      </c>
      <c r="R166" s="64" t="str">
        <f>IFERROR(VLOOKUP('BMP P Tracking Table'!$Q166,Dropdowns!$P$3:$Q$23,2,FALSE),"")</f>
        <v/>
      </c>
      <c r="S166" s="64"/>
      <c r="T166" s="64"/>
      <c r="U166" s="64"/>
      <c r="V166" s="64"/>
      <c r="W166" s="64"/>
      <c r="X166" s="64"/>
      <c r="Y166" s="64"/>
      <c r="Z166" s="64"/>
      <c r="AA166" s="64"/>
      <c r="AB166" s="95"/>
      <c r="AC166" s="64"/>
      <c r="AD166" s="101" t="str">
        <f>IFERROR('BMP P Tracking Table'!$U166*VLOOKUP('BMP P Tracking Table'!$Q166,'Loading Rates'!$B$1:$L$24,4,FALSE)+IF('BMP P Tracking Table'!$V166="By HSG",'BMP P Tracking Table'!$W166*VLOOKUP('BMP P Tracking Table'!$Q166,'Loading Rates'!$B$1:$L$24,6,FALSE)+'BMP P Tracking Table'!$X166*VLOOKUP('BMP P Tracking Table'!$Q166,'Loading Rates'!$B$1:$L$24,7,FALSE)+'BMP P Tracking Table'!$Y166*VLOOKUP('BMP P Tracking Table'!$Q166,'Loading Rates'!$B$1:$L$24,8,FALSE)+'BMP P Tracking Table'!$Z166*VLOOKUP('BMP P Tracking Table'!$Q166,'Loading Rates'!$B$1:$L$24,9,FALSE),'BMP P Tracking Table'!$AA166*VLOOKUP('BMP P Tracking Table'!$Q166,'Loading Rates'!$B$1:$L$24,10,FALSE)),"")</f>
        <v/>
      </c>
      <c r="AE166" s="101" t="str">
        <f>IFERROR(MIN(2,IF('BMP P Tracking Table'!$V166="Total Pervious",(-(3630*'BMP P Tracking Table'!$U166+20.691*'BMP P Tracking Table'!$AA166)+SQRT((3630*'BMP P Tracking Table'!$U166+20.691*'BMP P Tracking Table'!$AA166)^2-(4*(996.798*'BMP P Tracking Table'!$AA166)*-'BMP P Tracking Table'!$AB166)))/(2*(996.798*'BMP P Tracking Table'!$AA166)),IF(SUM('BMP P Tracking Table'!$W166:$Z166)=0,'BMP P Tracking Table'!$AB166/(-3630*'BMP P Tracking Table'!$U166),(-(3630*'BMP P Tracking Table'!$U166+20.691*'BMP P Tracking Table'!$Z166-216.711*'BMP P Tracking Table'!$Y166-83.853*'BMP P Tracking Table'!$X166-42.834*'BMP P Tracking Table'!$W166)+SQRT((3630*'BMP P Tracking Table'!$U166+20.691*'BMP P Tracking Table'!$Z166-216.711*'BMP P Tracking Table'!$Y166-83.853*'BMP P Tracking Table'!$X166-42.834*'BMP P Tracking Table'!$W166)^2-(4*(149.919*'BMP P Tracking Table'!$W166+236.676*'BMP P Tracking Table'!$X166+726*'BMP P Tracking Table'!$Y166+996.798*'BMP P Tracking Table'!$Z166)*-'BMP P Tracking Table'!$AB166)))/(2*(149.919*'BMP P Tracking Table'!$W166+236.676*'BMP P Tracking Table'!$X166+726*'BMP P Tracking Table'!$Y166+996.798*'BMP P Tracking Table'!$Z166))))),"")</f>
        <v/>
      </c>
      <c r="AF166" s="101" t="str">
        <f>IFERROR((VLOOKUP(CONCATENATE('BMP P Tracking Table'!$T166," ",'BMP P Tracking Table'!$AC166),'Performance Curves'!$C$1:$L$45,MATCH('BMP P Tracking Table'!$AE166,'Performance Curves'!$E$1:$L$1,1)+2,FALSE)-VLOOKUP(CONCATENATE('BMP P Tracking Table'!$T166," ",'BMP P Tracking Table'!$AC166),'Performance Curves'!$C$1:$L$45,MATCH('BMP P Tracking Table'!$AE166,'Performance Curves'!$E$1:$L$1,1)+1,FALSE)),"")</f>
        <v/>
      </c>
      <c r="AG166" s="101" t="str">
        <f>IFERROR(('BMP P Tracking Table'!$AE166-INDEX('Performance Curves'!$E$1:$L$1,1,MATCH('BMP P Tracking Table'!$AE166,'Performance Curves'!$E$1:$L$1,1)))/(INDEX('Performance Curves'!$E$1:$L$1,1,MATCH('BMP P Tracking Table'!$AE166,'Performance Curves'!$E$1:$L$1,1)+1)-INDEX('Performance Curves'!$E$1:$L$1,1,MATCH('BMP P Tracking Table'!$AE166,'Performance Curves'!$E$1:$L$1,1))),"")</f>
        <v/>
      </c>
      <c r="AH166" s="102" t="str">
        <f>IFERROR(IF('BMP P Tracking Table'!$AE166=2,VLOOKUP(CONCATENATE('BMP P Tracking Table'!$T166," ",'BMP P Tracking Table'!$AC166),'Performance Curves'!$C$1:$L$45,MATCH('BMP P Tracking Table'!$AE166,'Performance Curves'!$E$1:$L$1,1)+1,FALSE),'BMP P Tracking Table'!$AF166*'BMP P Tracking Table'!$AG166+VLOOKUP(CONCATENATE('BMP P Tracking Table'!$T166," ",'BMP P Tracking Table'!$AC166),'Performance Curves'!$C$1:$L$45,MATCH('BMP P Tracking Table'!$AE166,'Performance Curves'!$E$1:$L$1,1)+1,FALSE)),"")</f>
        <v/>
      </c>
      <c r="AI166" s="101" t="str">
        <f>IFERROR('BMP P Tracking Table'!$AH166*'BMP P Tracking Table'!$AD166,"")</f>
        <v/>
      </c>
      <c r="AJ166" s="64"/>
      <c r="AK166" s="96"/>
      <c r="AL166" s="96"/>
      <c r="AM166" s="63"/>
      <c r="AN166" s="99" t="str">
        <f t="shared" si="16"/>
        <v/>
      </c>
      <c r="AO166" s="96"/>
      <c r="AP166" s="96"/>
      <c r="AQ166" s="96"/>
      <c r="AR166" s="96"/>
      <c r="AS166" s="96"/>
      <c r="AT166" s="96"/>
      <c r="AU166" s="96"/>
      <c r="AV166" s="64"/>
      <c r="AW166" s="97"/>
      <c r="AX166" s="97"/>
      <c r="AY166" s="101" t="str">
        <f>IF('BMP P Tracking Table'!$AK166="Yes",IF('BMP P Tracking Table'!$AL166="No",'BMP P Tracking Table'!$U166*VLOOKUP('BMP P Tracking Table'!$Q166,'Loading Rates'!$B$1:$L$24,4,FALSE)+IF('BMP P Tracking Table'!$V166="By HSG",'BMP P Tracking Table'!$W166*VLOOKUP('BMP P Tracking Table'!$Q166,'Loading Rates'!$B$1:$L$24,6,FALSE)+'BMP P Tracking Table'!$X166*VLOOKUP('BMP P Tracking Table'!$Q166,'Loading Rates'!$B$1:$L$24,7,FALSE)+'BMP P Tracking Table'!$Y166*VLOOKUP('BMP P Tracking Table'!$Q166,'Loading Rates'!$B$1:$L$24,8,FALSE)+'BMP P Tracking Table'!$Z166*VLOOKUP('BMP P Tracking Table'!$Q166,'Loading Rates'!$B$1:$L$24,9,FALSE),'BMP P Tracking Table'!$AA166*VLOOKUP('BMP P Tracking Table'!$Q166,'Loading Rates'!$B$1:$L$24,10,FALSE)),'BMP P Tracking Table'!$AO166*VLOOKUP('BMP P Tracking Table'!$Q166,'Loading Rates'!$B$1:$L$24,4,FALSE)+IF('BMP P Tracking Table'!$AP166="By HSG",'BMP P Tracking Table'!$AQ166*VLOOKUP('BMP P Tracking Table'!$Q166,'Loading Rates'!$B$1:$L$24,6,FALSE)+'BMP P Tracking Table'!$AR166*VLOOKUP('BMP P Tracking Table'!$Q166,'Loading Rates'!$B$1:$L$24,7,FALSE)+'BMP P Tracking Table'!$AS166*VLOOKUP('BMP P Tracking Table'!$Q166,'Loading Rates'!$B$1:$L$24,8,FALSE)+'BMP P Tracking Table'!$AT166*VLOOKUP('BMP P Tracking Table'!$Q166,'Loading Rates'!$B$1:$L$24,9,FALSE),'BMP P Tracking Table'!$AU166*VLOOKUP('BMP P Tracking Table'!$Q166,'Loading Rates'!$B$1:$L$24,10,FALSE))),"")</f>
        <v/>
      </c>
      <c r="AZ166" s="101" t="str">
        <f>IFERROR(IF('BMP P Tracking Table'!$AL166="Yes",MIN(2,IF('BMP P Tracking Table'!$AP166="Total Pervious",(-(3630*'BMP P Tracking Table'!$AO166+20.691*'BMP P Tracking Table'!$AU166)+SQRT((3630*'BMP P Tracking Table'!$AO166+20.691*'BMP P Tracking Table'!$AU166)^2-(4*(996.798*'BMP P Tracking Table'!$AU166)*-'BMP P Tracking Table'!$AW166)))/(2*(996.798*'BMP P Tracking Table'!$AU166)),IF(SUM('BMP P Tracking Table'!$AQ166:$AT166)=0,'BMP P Tracking Table'!$AU166/(-3630*'BMP P Tracking Table'!$AO166),(-(3630*'BMP P Tracking Table'!$AO166+20.691*'BMP P Tracking Table'!$AT166-216.711*'BMP P Tracking Table'!$AS166-83.853*'BMP P Tracking Table'!$AR166-42.834*'BMP P Tracking Table'!$AQ166)+SQRT((3630*'BMP P Tracking Table'!$AO166+20.691*'BMP P Tracking Table'!$AT166-216.711*'BMP P Tracking Table'!$AS166-83.853*'BMP P Tracking Table'!$AR166-42.834*'BMP P Tracking Table'!$AQ166)^2-(4*(149.919*'BMP P Tracking Table'!$AQ166+236.676*'BMP P Tracking Table'!$AR166+726*'BMP P Tracking Table'!$AS166+996.798*'BMP P Tracking Table'!$AT166)*-'BMP P Tracking Table'!$AW166)))/(2*(149.919*'BMP P Tracking Table'!$AQ166+236.676*'BMP P Tracking Table'!$AR166+726*'BMP P Tracking Table'!$AS166+996.798*'BMP P Tracking Table'!$AT166))))),MIN(2,IF('BMP P Tracking Table'!$AP166="Total Pervious",(-(3630*'BMP P Tracking Table'!$U166+20.691*'BMP P Tracking Table'!$AA166)+SQRT((3630*'BMP P Tracking Table'!$U166+20.691*'BMP P Tracking Table'!$AA166)^2-(4*(996.798*'BMP P Tracking Table'!$AA166)*-'BMP P Tracking Table'!$AW166)))/(2*(996.798*'BMP P Tracking Table'!$AA166)),IF(SUM('BMP P Tracking Table'!$W166:$Z166)=0,'BMP P Tracking Table'!$AW166/(-3630*'BMP P Tracking Table'!$U166),(-(3630*'BMP P Tracking Table'!$U166+20.691*'BMP P Tracking Table'!$Z166-216.711*'BMP P Tracking Table'!$Y166-83.853*'BMP P Tracking Table'!$X166-42.834*'BMP P Tracking Table'!$W166)+SQRT((3630*'BMP P Tracking Table'!$U166+20.691*'BMP P Tracking Table'!$Z166-216.711*'BMP P Tracking Table'!$Y166-83.853*'BMP P Tracking Table'!$X166-42.834*'BMP P Tracking Table'!$W166)^2-(4*(149.919*'BMP P Tracking Table'!$W166+236.676*'BMP P Tracking Table'!$X166+726*'BMP P Tracking Table'!$Y166+996.798*'BMP P Tracking Table'!$Z166)*-'BMP P Tracking Table'!$AW166)))/(2*(149.919*'BMP P Tracking Table'!$W166+236.676*'BMP P Tracking Table'!$X166+726*'BMP P Tracking Table'!$Y166+996.798*'BMP P Tracking Table'!$Z166)))))),"")</f>
        <v/>
      </c>
      <c r="BA166" s="101" t="str">
        <f>IFERROR((VLOOKUP(CONCATENATE('BMP P Tracking Table'!$AV166," ",'BMP P Tracking Table'!$AX166),'Performance Curves'!$C$1:$L$45,MATCH('BMP P Tracking Table'!$AZ166,'Performance Curves'!$E$1:$L$1,1)+2,FALSE)-VLOOKUP(CONCATENATE('BMP P Tracking Table'!$AV166," ",'BMP P Tracking Table'!$AX166),'Performance Curves'!$C$1:$L$45,MATCH('BMP P Tracking Table'!$AZ166,'Performance Curves'!$E$1:$L$1,1)+1,FALSE)),"")</f>
        <v/>
      </c>
      <c r="BB166" s="101" t="str">
        <f>IFERROR(('BMP P Tracking Table'!$AZ166-INDEX('Performance Curves'!$E$1:$L$1,1,MATCH('BMP P Tracking Table'!$AZ166,'Performance Curves'!$E$1:$L$1,1)))/(INDEX('Performance Curves'!$E$1:$L$1,1,MATCH('BMP P Tracking Table'!$AZ166,'Performance Curves'!$E$1:$L$1,1)+1)-INDEX('Performance Curves'!$E$1:$L$1,1,MATCH('BMP P Tracking Table'!$AZ166,'Performance Curves'!$E$1:$L$1,1))),"")</f>
        <v/>
      </c>
      <c r="BC166" s="102" t="str">
        <f>IFERROR(IF('BMP P Tracking Table'!$AZ166=2,VLOOKUP(CONCATENATE('BMP P Tracking Table'!$AV166," ",'BMP P Tracking Table'!$AX166),'Performance Curves'!$C$1:$L$44,MATCH('BMP P Tracking Table'!$AZ166,'Performance Curves'!$E$1:$L$1,1)+1,FALSE),'BMP P Tracking Table'!$BA166*'BMP P Tracking Table'!$BB166+VLOOKUP(CONCATENATE('BMP P Tracking Table'!$AV166," ",'BMP P Tracking Table'!$AX166),'Performance Curves'!$C$1:$L$44,MATCH('BMP P Tracking Table'!$AZ166,'Performance Curves'!$E$1:$L$1,1)+1,FALSE)),"")</f>
        <v/>
      </c>
      <c r="BD166" s="101" t="str">
        <f>IFERROR('BMP P Tracking Table'!$BC166*'BMP P Tracking Table'!$AY166,"")</f>
        <v/>
      </c>
      <c r="BE166" s="96"/>
      <c r="BF166" s="37">
        <f t="shared" si="17"/>
        <v>0</v>
      </c>
    </row>
    <row r="167" spans="1:58" x14ac:dyDescent="0.3">
      <c r="A167" s="64"/>
      <c r="B167" s="64"/>
      <c r="C167" s="64"/>
      <c r="D167" s="64"/>
      <c r="E167" s="93"/>
      <c r="F167" s="93"/>
      <c r="G167" s="64"/>
      <c r="H167" s="64"/>
      <c r="I167" s="64"/>
      <c r="J167" s="94"/>
      <c r="K167" s="64"/>
      <c r="L167" s="64"/>
      <c r="M167" s="64"/>
      <c r="N167" s="64"/>
      <c r="O167" s="64"/>
      <c r="P167" s="64"/>
      <c r="Q167" s="64" t="str">
        <f>IFERROR(VLOOKUP('BMP P Tracking Table'!$P167,Dropdowns!$C$2:$E$15,3,FALSE),"")</f>
        <v/>
      </c>
      <c r="R167" s="64" t="str">
        <f>IFERROR(VLOOKUP('BMP P Tracking Table'!$Q167,Dropdowns!$P$3:$Q$23,2,FALSE),"")</f>
        <v/>
      </c>
      <c r="S167" s="64"/>
      <c r="T167" s="64"/>
      <c r="U167" s="64"/>
      <c r="V167" s="64"/>
      <c r="W167" s="64"/>
      <c r="X167" s="64"/>
      <c r="Y167" s="64"/>
      <c r="Z167" s="64"/>
      <c r="AA167" s="64"/>
      <c r="AB167" s="95"/>
      <c r="AC167" s="64"/>
      <c r="AD167" s="101" t="str">
        <f>IFERROR('BMP P Tracking Table'!$U167*VLOOKUP('BMP P Tracking Table'!$Q167,'Loading Rates'!$B$1:$L$24,4,FALSE)+IF('BMP P Tracking Table'!$V167="By HSG",'BMP P Tracking Table'!$W167*VLOOKUP('BMP P Tracking Table'!$Q167,'Loading Rates'!$B$1:$L$24,6,FALSE)+'BMP P Tracking Table'!$X167*VLOOKUP('BMP P Tracking Table'!$Q167,'Loading Rates'!$B$1:$L$24,7,FALSE)+'BMP P Tracking Table'!$Y167*VLOOKUP('BMP P Tracking Table'!$Q167,'Loading Rates'!$B$1:$L$24,8,FALSE)+'BMP P Tracking Table'!$Z167*VLOOKUP('BMP P Tracking Table'!$Q167,'Loading Rates'!$B$1:$L$24,9,FALSE),'BMP P Tracking Table'!$AA167*VLOOKUP('BMP P Tracking Table'!$Q167,'Loading Rates'!$B$1:$L$24,10,FALSE)),"")</f>
        <v/>
      </c>
      <c r="AE167" s="101" t="str">
        <f>IFERROR(MIN(2,IF('BMP P Tracking Table'!$V167="Total Pervious",(-(3630*'BMP P Tracking Table'!$U167+20.691*'BMP P Tracking Table'!$AA167)+SQRT((3630*'BMP P Tracking Table'!$U167+20.691*'BMP P Tracking Table'!$AA167)^2-(4*(996.798*'BMP P Tracking Table'!$AA167)*-'BMP P Tracking Table'!$AB167)))/(2*(996.798*'BMP P Tracking Table'!$AA167)),IF(SUM('BMP P Tracking Table'!$W167:$Z167)=0,'BMP P Tracking Table'!$AB167/(-3630*'BMP P Tracking Table'!$U167),(-(3630*'BMP P Tracking Table'!$U167+20.691*'BMP P Tracking Table'!$Z167-216.711*'BMP P Tracking Table'!$Y167-83.853*'BMP P Tracking Table'!$X167-42.834*'BMP P Tracking Table'!$W167)+SQRT((3630*'BMP P Tracking Table'!$U167+20.691*'BMP P Tracking Table'!$Z167-216.711*'BMP P Tracking Table'!$Y167-83.853*'BMP P Tracking Table'!$X167-42.834*'BMP P Tracking Table'!$W167)^2-(4*(149.919*'BMP P Tracking Table'!$W167+236.676*'BMP P Tracking Table'!$X167+726*'BMP P Tracking Table'!$Y167+996.798*'BMP P Tracking Table'!$Z167)*-'BMP P Tracking Table'!$AB167)))/(2*(149.919*'BMP P Tracking Table'!$W167+236.676*'BMP P Tracking Table'!$X167+726*'BMP P Tracking Table'!$Y167+996.798*'BMP P Tracking Table'!$Z167))))),"")</f>
        <v/>
      </c>
      <c r="AF167" s="101" t="str">
        <f>IFERROR((VLOOKUP(CONCATENATE('BMP P Tracking Table'!$T167," ",'BMP P Tracking Table'!$AC167),'Performance Curves'!$C$1:$L$45,MATCH('BMP P Tracking Table'!$AE167,'Performance Curves'!$E$1:$L$1,1)+2,FALSE)-VLOOKUP(CONCATENATE('BMP P Tracking Table'!$T167," ",'BMP P Tracking Table'!$AC167),'Performance Curves'!$C$1:$L$45,MATCH('BMP P Tracking Table'!$AE167,'Performance Curves'!$E$1:$L$1,1)+1,FALSE)),"")</f>
        <v/>
      </c>
      <c r="AG167" s="101" t="str">
        <f>IFERROR(('BMP P Tracking Table'!$AE167-INDEX('Performance Curves'!$E$1:$L$1,1,MATCH('BMP P Tracking Table'!$AE167,'Performance Curves'!$E$1:$L$1,1)))/(INDEX('Performance Curves'!$E$1:$L$1,1,MATCH('BMP P Tracking Table'!$AE167,'Performance Curves'!$E$1:$L$1,1)+1)-INDEX('Performance Curves'!$E$1:$L$1,1,MATCH('BMP P Tracking Table'!$AE167,'Performance Curves'!$E$1:$L$1,1))),"")</f>
        <v/>
      </c>
      <c r="AH167" s="102" t="str">
        <f>IFERROR(IF('BMP P Tracking Table'!$AE167=2,VLOOKUP(CONCATENATE('BMP P Tracking Table'!$T167," ",'BMP P Tracking Table'!$AC167),'Performance Curves'!$C$1:$L$45,MATCH('BMP P Tracking Table'!$AE167,'Performance Curves'!$E$1:$L$1,1)+1,FALSE),'BMP P Tracking Table'!$AF167*'BMP P Tracking Table'!$AG167+VLOOKUP(CONCATENATE('BMP P Tracking Table'!$T167," ",'BMP P Tracking Table'!$AC167),'Performance Curves'!$C$1:$L$45,MATCH('BMP P Tracking Table'!$AE167,'Performance Curves'!$E$1:$L$1,1)+1,FALSE)),"")</f>
        <v/>
      </c>
      <c r="AI167" s="101" t="str">
        <f>IFERROR('BMP P Tracking Table'!$AH167*'BMP P Tracking Table'!$AD167,"")</f>
        <v/>
      </c>
      <c r="AJ167" s="64"/>
      <c r="AK167" s="96"/>
      <c r="AL167" s="96"/>
      <c r="AM167" s="63"/>
      <c r="AN167" s="99" t="str">
        <f t="shared" si="16"/>
        <v/>
      </c>
      <c r="AO167" s="96"/>
      <c r="AP167" s="96"/>
      <c r="AQ167" s="96"/>
      <c r="AR167" s="96"/>
      <c r="AS167" s="96"/>
      <c r="AT167" s="96"/>
      <c r="AU167" s="96"/>
      <c r="AV167" s="64"/>
      <c r="AW167" s="97"/>
      <c r="AX167" s="97"/>
      <c r="AY167" s="101" t="str">
        <f>IF('BMP P Tracking Table'!$AK167="Yes",IF('BMP P Tracking Table'!$AL167="No",'BMP P Tracking Table'!$U167*VLOOKUP('BMP P Tracking Table'!$Q167,'Loading Rates'!$B$1:$L$24,4,FALSE)+IF('BMP P Tracking Table'!$V167="By HSG",'BMP P Tracking Table'!$W167*VLOOKUP('BMP P Tracking Table'!$Q167,'Loading Rates'!$B$1:$L$24,6,FALSE)+'BMP P Tracking Table'!$X167*VLOOKUP('BMP P Tracking Table'!$Q167,'Loading Rates'!$B$1:$L$24,7,FALSE)+'BMP P Tracking Table'!$Y167*VLOOKUP('BMP P Tracking Table'!$Q167,'Loading Rates'!$B$1:$L$24,8,FALSE)+'BMP P Tracking Table'!$Z167*VLOOKUP('BMP P Tracking Table'!$Q167,'Loading Rates'!$B$1:$L$24,9,FALSE),'BMP P Tracking Table'!$AA167*VLOOKUP('BMP P Tracking Table'!$Q167,'Loading Rates'!$B$1:$L$24,10,FALSE)),'BMP P Tracking Table'!$AO167*VLOOKUP('BMP P Tracking Table'!$Q167,'Loading Rates'!$B$1:$L$24,4,FALSE)+IF('BMP P Tracking Table'!$AP167="By HSG",'BMP P Tracking Table'!$AQ167*VLOOKUP('BMP P Tracking Table'!$Q167,'Loading Rates'!$B$1:$L$24,6,FALSE)+'BMP P Tracking Table'!$AR167*VLOOKUP('BMP P Tracking Table'!$Q167,'Loading Rates'!$B$1:$L$24,7,FALSE)+'BMP P Tracking Table'!$AS167*VLOOKUP('BMP P Tracking Table'!$Q167,'Loading Rates'!$B$1:$L$24,8,FALSE)+'BMP P Tracking Table'!$AT167*VLOOKUP('BMP P Tracking Table'!$Q167,'Loading Rates'!$B$1:$L$24,9,FALSE),'BMP P Tracking Table'!$AU167*VLOOKUP('BMP P Tracking Table'!$Q167,'Loading Rates'!$B$1:$L$24,10,FALSE))),"")</f>
        <v/>
      </c>
      <c r="AZ167" s="101" t="str">
        <f>IFERROR(IF('BMP P Tracking Table'!$AL167="Yes",MIN(2,IF('BMP P Tracking Table'!$AP167="Total Pervious",(-(3630*'BMP P Tracking Table'!$AO167+20.691*'BMP P Tracking Table'!$AU167)+SQRT((3630*'BMP P Tracking Table'!$AO167+20.691*'BMP P Tracking Table'!$AU167)^2-(4*(996.798*'BMP P Tracking Table'!$AU167)*-'BMP P Tracking Table'!$AW167)))/(2*(996.798*'BMP P Tracking Table'!$AU167)),IF(SUM('BMP P Tracking Table'!$AQ167:$AT167)=0,'BMP P Tracking Table'!$AU167/(-3630*'BMP P Tracking Table'!$AO167),(-(3630*'BMP P Tracking Table'!$AO167+20.691*'BMP P Tracking Table'!$AT167-216.711*'BMP P Tracking Table'!$AS167-83.853*'BMP P Tracking Table'!$AR167-42.834*'BMP P Tracking Table'!$AQ167)+SQRT((3630*'BMP P Tracking Table'!$AO167+20.691*'BMP P Tracking Table'!$AT167-216.711*'BMP P Tracking Table'!$AS167-83.853*'BMP P Tracking Table'!$AR167-42.834*'BMP P Tracking Table'!$AQ167)^2-(4*(149.919*'BMP P Tracking Table'!$AQ167+236.676*'BMP P Tracking Table'!$AR167+726*'BMP P Tracking Table'!$AS167+996.798*'BMP P Tracking Table'!$AT167)*-'BMP P Tracking Table'!$AW167)))/(2*(149.919*'BMP P Tracking Table'!$AQ167+236.676*'BMP P Tracking Table'!$AR167+726*'BMP P Tracking Table'!$AS167+996.798*'BMP P Tracking Table'!$AT167))))),MIN(2,IF('BMP P Tracking Table'!$AP167="Total Pervious",(-(3630*'BMP P Tracking Table'!$U167+20.691*'BMP P Tracking Table'!$AA167)+SQRT((3630*'BMP P Tracking Table'!$U167+20.691*'BMP P Tracking Table'!$AA167)^2-(4*(996.798*'BMP P Tracking Table'!$AA167)*-'BMP P Tracking Table'!$AW167)))/(2*(996.798*'BMP P Tracking Table'!$AA167)),IF(SUM('BMP P Tracking Table'!$W167:$Z167)=0,'BMP P Tracking Table'!$AW167/(-3630*'BMP P Tracking Table'!$U167),(-(3630*'BMP P Tracking Table'!$U167+20.691*'BMP P Tracking Table'!$Z167-216.711*'BMP P Tracking Table'!$Y167-83.853*'BMP P Tracking Table'!$X167-42.834*'BMP P Tracking Table'!$W167)+SQRT((3630*'BMP P Tracking Table'!$U167+20.691*'BMP P Tracking Table'!$Z167-216.711*'BMP P Tracking Table'!$Y167-83.853*'BMP P Tracking Table'!$X167-42.834*'BMP P Tracking Table'!$W167)^2-(4*(149.919*'BMP P Tracking Table'!$W167+236.676*'BMP P Tracking Table'!$X167+726*'BMP P Tracking Table'!$Y167+996.798*'BMP P Tracking Table'!$Z167)*-'BMP P Tracking Table'!$AW167)))/(2*(149.919*'BMP P Tracking Table'!$W167+236.676*'BMP P Tracking Table'!$X167+726*'BMP P Tracking Table'!$Y167+996.798*'BMP P Tracking Table'!$Z167)))))),"")</f>
        <v/>
      </c>
      <c r="BA167" s="101" t="str">
        <f>IFERROR((VLOOKUP(CONCATENATE('BMP P Tracking Table'!$AV167," ",'BMP P Tracking Table'!$AX167),'Performance Curves'!$C$1:$L$45,MATCH('BMP P Tracking Table'!$AZ167,'Performance Curves'!$E$1:$L$1,1)+2,FALSE)-VLOOKUP(CONCATENATE('BMP P Tracking Table'!$AV167," ",'BMP P Tracking Table'!$AX167),'Performance Curves'!$C$1:$L$45,MATCH('BMP P Tracking Table'!$AZ167,'Performance Curves'!$E$1:$L$1,1)+1,FALSE)),"")</f>
        <v/>
      </c>
      <c r="BB167" s="101" t="str">
        <f>IFERROR(('BMP P Tracking Table'!$AZ167-INDEX('Performance Curves'!$E$1:$L$1,1,MATCH('BMP P Tracking Table'!$AZ167,'Performance Curves'!$E$1:$L$1,1)))/(INDEX('Performance Curves'!$E$1:$L$1,1,MATCH('BMP P Tracking Table'!$AZ167,'Performance Curves'!$E$1:$L$1,1)+1)-INDEX('Performance Curves'!$E$1:$L$1,1,MATCH('BMP P Tracking Table'!$AZ167,'Performance Curves'!$E$1:$L$1,1))),"")</f>
        <v/>
      </c>
      <c r="BC167" s="102" t="str">
        <f>IFERROR(IF('BMP P Tracking Table'!$AZ167=2,VLOOKUP(CONCATENATE('BMP P Tracking Table'!$AV167," ",'BMP P Tracking Table'!$AX167),'Performance Curves'!$C$1:$L$44,MATCH('BMP P Tracking Table'!$AZ167,'Performance Curves'!$E$1:$L$1,1)+1,FALSE),'BMP P Tracking Table'!$BA167*'BMP P Tracking Table'!$BB167+VLOOKUP(CONCATENATE('BMP P Tracking Table'!$AV167," ",'BMP P Tracking Table'!$AX167),'Performance Curves'!$C$1:$L$44,MATCH('BMP P Tracking Table'!$AZ167,'Performance Curves'!$E$1:$L$1,1)+1,FALSE)),"")</f>
        <v/>
      </c>
      <c r="BD167" s="101" t="str">
        <f>IFERROR('BMP P Tracking Table'!$BC167*'BMP P Tracking Table'!$AY167,"")</f>
        <v/>
      </c>
      <c r="BE167" s="96"/>
      <c r="BF167" s="37">
        <f t="shared" si="17"/>
        <v>0</v>
      </c>
    </row>
    <row r="168" spans="1:58" x14ac:dyDescent="0.3">
      <c r="A168" s="64"/>
      <c r="B168" s="64"/>
      <c r="C168" s="64"/>
      <c r="D168" s="64"/>
      <c r="E168" s="93"/>
      <c r="F168" s="93"/>
      <c r="G168" s="64"/>
      <c r="H168" s="64"/>
      <c r="I168" s="64"/>
      <c r="J168" s="94"/>
      <c r="K168" s="64"/>
      <c r="L168" s="64"/>
      <c r="M168" s="64"/>
      <c r="N168" s="64"/>
      <c r="O168" s="64"/>
      <c r="P168" s="64"/>
      <c r="Q168" s="64" t="str">
        <f>IFERROR(VLOOKUP('BMP P Tracking Table'!$P168,Dropdowns!$C$2:$E$15,3,FALSE),"")</f>
        <v/>
      </c>
      <c r="R168" s="64" t="str">
        <f>IFERROR(VLOOKUP('BMP P Tracking Table'!$Q168,Dropdowns!$P$3:$Q$23,2,FALSE),"")</f>
        <v/>
      </c>
      <c r="S168" s="64"/>
      <c r="T168" s="64"/>
      <c r="U168" s="64"/>
      <c r="V168" s="64"/>
      <c r="W168" s="64"/>
      <c r="X168" s="64"/>
      <c r="Y168" s="64"/>
      <c r="Z168" s="64"/>
      <c r="AA168" s="64"/>
      <c r="AB168" s="95"/>
      <c r="AC168" s="64"/>
      <c r="AD168" s="101" t="str">
        <f>IFERROR('BMP P Tracking Table'!$U168*VLOOKUP('BMP P Tracking Table'!$Q168,'Loading Rates'!$B$1:$L$24,4,FALSE)+IF('BMP P Tracking Table'!$V168="By HSG",'BMP P Tracking Table'!$W168*VLOOKUP('BMP P Tracking Table'!$Q168,'Loading Rates'!$B$1:$L$24,6,FALSE)+'BMP P Tracking Table'!$X168*VLOOKUP('BMP P Tracking Table'!$Q168,'Loading Rates'!$B$1:$L$24,7,FALSE)+'BMP P Tracking Table'!$Y168*VLOOKUP('BMP P Tracking Table'!$Q168,'Loading Rates'!$B$1:$L$24,8,FALSE)+'BMP P Tracking Table'!$Z168*VLOOKUP('BMP P Tracking Table'!$Q168,'Loading Rates'!$B$1:$L$24,9,FALSE),'BMP P Tracking Table'!$AA168*VLOOKUP('BMP P Tracking Table'!$Q168,'Loading Rates'!$B$1:$L$24,10,FALSE)),"")</f>
        <v/>
      </c>
      <c r="AE168" s="101" t="str">
        <f>IFERROR(MIN(2,IF('BMP P Tracking Table'!$V168="Total Pervious",(-(3630*'BMP P Tracking Table'!$U168+20.691*'BMP P Tracking Table'!$AA168)+SQRT((3630*'BMP P Tracking Table'!$U168+20.691*'BMP P Tracking Table'!$AA168)^2-(4*(996.798*'BMP P Tracking Table'!$AA168)*-'BMP P Tracking Table'!$AB168)))/(2*(996.798*'BMP P Tracking Table'!$AA168)),IF(SUM('BMP P Tracking Table'!$W168:$Z168)=0,'BMP P Tracking Table'!$AB168/(-3630*'BMP P Tracking Table'!$U168),(-(3630*'BMP P Tracking Table'!$U168+20.691*'BMP P Tracking Table'!$Z168-216.711*'BMP P Tracking Table'!$Y168-83.853*'BMP P Tracking Table'!$X168-42.834*'BMP P Tracking Table'!$W168)+SQRT((3630*'BMP P Tracking Table'!$U168+20.691*'BMP P Tracking Table'!$Z168-216.711*'BMP P Tracking Table'!$Y168-83.853*'BMP P Tracking Table'!$X168-42.834*'BMP P Tracking Table'!$W168)^2-(4*(149.919*'BMP P Tracking Table'!$W168+236.676*'BMP P Tracking Table'!$X168+726*'BMP P Tracking Table'!$Y168+996.798*'BMP P Tracking Table'!$Z168)*-'BMP P Tracking Table'!$AB168)))/(2*(149.919*'BMP P Tracking Table'!$W168+236.676*'BMP P Tracking Table'!$X168+726*'BMP P Tracking Table'!$Y168+996.798*'BMP P Tracking Table'!$Z168))))),"")</f>
        <v/>
      </c>
      <c r="AF168" s="101" t="str">
        <f>IFERROR((VLOOKUP(CONCATENATE('BMP P Tracking Table'!$T168," ",'BMP P Tracking Table'!$AC168),'Performance Curves'!$C$1:$L$45,MATCH('BMP P Tracking Table'!$AE168,'Performance Curves'!$E$1:$L$1,1)+2,FALSE)-VLOOKUP(CONCATENATE('BMP P Tracking Table'!$T168," ",'BMP P Tracking Table'!$AC168),'Performance Curves'!$C$1:$L$45,MATCH('BMP P Tracking Table'!$AE168,'Performance Curves'!$E$1:$L$1,1)+1,FALSE)),"")</f>
        <v/>
      </c>
      <c r="AG168" s="101" t="str">
        <f>IFERROR(('BMP P Tracking Table'!$AE168-INDEX('Performance Curves'!$E$1:$L$1,1,MATCH('BMP P Tracking Table'!$AE168,'Performance Curves'!$E$1:$L$1,1)))/(INDEX('Performance Curves'!$E$1:$L$1,1,MATCH('BMP P Tracking Table'!$AE168,'Performance Curves'!$E$1:$L$1,1)+1)-INDEX('Performance Curves'!$E$1:$L$1,1,MATCH('BMP P Tracking Table'!$AE168,'Performance Curves'!$E$1:$L$1,1))),"")</f>
        <v/>
      </c>
      <c r="AH168" s="102" t="str">
        <f>IFERROR(IF('BMP P Tracking Table'!$AE168=2,VLOOKUP(CONCATENATE('BMP P Tracking Table'!$T168," ",'BMP P Tracking Table'!$AC168),'Performance Curves'!$C$1:$L$45,MATCH('BMP P Tracking Table'!$AE168,'Performance Curves'!$E$1:$L$1,1)+1,FALSE),'BMP P Tracking Table'!$AF168*'BMP P Tracking Table'!$AG168+VLOOKUP(CONCATENATE('BMP P Tracking Table'!$T168," ",'BMP P Tracking Table'!$AC168),'Performance Curves'!$C$1:$L$45,MATCH('BMP P Tracking Table'!$AE168,'Performance Curves'!$E$1:$L$1,1)+1,FALSE)),"")</f>
        <v/>
      </c>
      <c r="AI168" s="101" t="str">
        <f>IFERROR('BMP P Tracking Table'!$AH168*'BMP P Tracking Table'!$AD168,"")</f>
        <v/>
      </c>
      <c r="AJ168" s="64"/>
      <c r="AK168" s="96"/>
      <c r="AL168" s="96"/>
      <c r="AM168" s="63"/>
      <c r="AN168" s="99" t="str">
        <f t="shared" si="16"/>
        <v/>
      </c>
      <c r="AO168" s="96"/>
      <c r="AP168" s="96"/>
      <c r="AQ168" s="96"/>
      <c r="AR168" s="96"/>
      <c r="AS168" s="96"/>
      <c r="AT168" s="96"/>
      <c r="AU168" s="96"/>
      <c r="AV168" s="64"/>
      <c r="AW168" s="97"/>
      <c r="AX168" s="97"/>
      <c r="AY168" s="101" t="str">
        <f>IF('BMP P Tracking Table'!$AK168="Yes",IF('BMP P Tracking Table'!$AL168="No",'BMP P Tracking Table'!$U168*VLOOKUP('BMP P Tracking Table'!$Q168,'Loading Rates'!$B$1:$L$24,4,FALSE)+IF('BMP P Tracking Table'!$V168="By HSG",'BMP P Tracking Table'!$W168*VLOOKUP('BMP P Tracking Table'!$Q168,'Loading Rates'!$B$1:$L$24,6,FALSE)+'BMP P Tracking Table'!$X168*VLOOKUP('BMP P Tracking Table'!$Q168,'Loading Rates'!$B$1:$L$24,7,FALSE)+'BMP P Tracking Table'!$Y168*VLOOKUP('BMP P Tracking Table'!$Q168,'Loading Rates'!$B$1:$L$24,8,FALSE)+'BMP P Tracking Table'!$Z168*VLOOKUP('BMP P Tracking Table'!$Q168,'Loading Rates'!$B$1:$L$24,9,FALSE),'BMP P Tracking Table'!$AA168*VLOOKUP('BMP P Tracking Table'!$Q168,'Loading Rates'!$B$1:$L$24,10,FALSE)),'BMP P Tracking Table'!$AO168*VLOOKUP('BMP P Tracking Table'!$Q168,'Loading Rates'!$B$1:$L$24,4,FALSE)+IF('BMP P Tracking Table'!$AP168="By HSG",'BMP P Tracking Table'!$AQ168*VLOOKUP('BMP P Tracking Table'!$Q168,'Loading Rates'!$B$1:$L$24,6,FALSE)+'BMP P Tracking Table'!$AR168*VLOOKUP('BMP P Tracking Table'!$Q168,'Loading Rates'!$B$1:$L$24,7,FALSE)+'BMP P Tracking Table'!$AS168*VLOOKUP('BMP P Tracking Table'!$Q168,'Loading Rates'!$B$1:$L$24,8,FALSE)+'BMP P Tracking Table'!$AT168*VLOOKUP('BMP P Tracking Table'!$Q168,'Loading Rates'!$B$1:$L$24,9,FALSE),'BMP P Tracking Table'!$AU168*VLOOKUP('BMP P Tracking Table'!$Q168,'Loading Rates'!$B$1:$L$24,10,FALSE))),"")</f>
        <v/>
      </c>
      <c r="AZ168" s="101" t="str">
        <f>IFERROR(IF('BMP P Tracking Table'!$AL168="Yes",MIN(2,IF('BMP P Tracking Table'!$AP168="Total Pervious",(-(3630*'BMP P Tracking Table'!$AO168+20.691*'BMP P Tracking Table'!$AU168)+SQRT((3630*'BMP P Tracking Table'!$AO168+20.691*'BMP P Tracking Table'!$AU168)^2-(4*(996.798*'BMP P Tracking Table'!$AU168)*-'BMP P Tracking Table'!$AW168)))/(2*(996.798*'BMP P Tracking Table'!$AU168)),IF(SUM('BMP P Tracking Table'!$AQ168:$AT168)=0,'BMP P Tracking Table'!$AU168/(-3630*'BMP P Tracking Table'!$AO168),(-(3630*'BMP P Tracking Table'!$AO168+20.691*'BMP P Tracking Table'!$AT168-216.711*'BMP P Tracking Table'!$AS168-83.853*'BMP P Tracking Table'!$AR168-42.834*'BMP P Tracking Table'!$AQ168)+SQRT((3630*'BMP P Tracking Table'!$AO168+20.691*'BMP P Tracking Table'!$AT168-216.711*'BMP P Tracking Table'!$AS168-83.853*'BMP P Tracking Table'!$AR168-42.834*'BMP P Tracking Table'!$AQ168)^2-(4*(149.919*'BMP P Tracking Table'!$AQ168+236.676*'BMP P Tracking Table'!$AR168+726*'BMP P Tracking Table'!$AS168+996.798*'BMP P Tracking Table'!$AT168)*-'BMP P Tracking Table'!$AW168)))/(2*(149.919*'BMP P Tracking Table'!$AQ168+236.676*'BMP P Tracking Table'!$AR168+726*'BMP P Tracking Table'!$AS168+996.798*'BMP P Tracking Table'!$AT168))))),MIN(2,IF('BMP P Tracking Table'!$AP168="Total Pervious",(-(3630*'BMP P Tracking Table'!$U168+20.691*'BMP P Tracking Table'!$AA168)+SQRT((3630*'BMP P Tracking Table'!$U168+20.691*'BMP P Tracking Table'!$AA168)^2-(4*(996.798*'BMP P Tracking Table'!$AA168)*-'BMP P Tracking Table'!$AW168)))/(2*(996.798*'BMP P Tracking Table'!$AA168)),IF(SUM('BMP P Tracking Table'!$W168:$Z168)=0,'BMP P Tracking Table'!$AW168/(-3630*'BMP P Tracking Table'!$U168),(-(3630*'BMP P Tracking Table'!$U168+20.691*'BMP P Tracking Table'!$Z168-216.711*'BMP P Tracking Table'!$Y168-83.853*'BMP P Tracking Table'!$X168-42.834*'BMP P Tracking Table'!$W168)+SQRT((3630*'BMP P Tracking Table'!$U168+20.691*'BMP P Tracking Table'!$Z168-216.711*'BMP P Tracking Table'!$Y168-83.853*'BMP P Tracking Table'!$X168-42.834*'BMP P Tracking Table'!$W168)^2-(4*(149.919*'BMP P Tracking Table'!$W168+236.676*'BMP P Tracking Table'!$X168+726*'BMP P Tracking Table'!$Y168+996.798*'BMP P Tracking Table'!$Z168)*-'BMP P Tracking Table'!$AW168)))/(2*(149.919*'BMP P Tracking Table'!$W168+236.676*'BMP P Tracking Table'!$X168+726*'BMP P Tracking Table'!$Y168+996.798*'BMP P Tracking Table'!$Z168)))))),"")</f>
        <v/>
      </c>
      <c r="BA168" s="101" t="str">
        <f>IFERROR((VLOOKUP(CONCATENATE('BMP P Tracking Table'!$AV168," ",'BMP P Tracking Table'!$AX168),'Performance Curves'!$C$1:$L$45,MATCH('BMP P Tracking Table'!$AZ168,'Performance Curves'!$E$1:$L$1,1)+2,FALSE)-VLOOKUP(CONCATENATE('BMP P Tracking Table'!$AV168," ",'BMP P Tracking Table'!$AX168),'Performance Curves'!$C$1:$L$45,MATCH('BMP P Tracking Table'!$AZ168,'Performance Curves'!$E$1:$L$1,1)+1,FALSE)),"")</f>
        <v/>
      </c>
      <c r="BB168" s="101" t="str">
        <f>IFERROR(('BMP P Tracking Table'!$AZ168-INDEX('Performance Curves'!$E$1:$L$1,1,MATCH('BMP P Tracking Table'!$AZ168,'Performance Curves'!$E$1:$L$1,1)))/(INDEX('Performance Curves'!$E$1:$L$1,1,MATCH('BMP P Tracking Table'!$AZ168,'Performance Curves'!$E$1:$L$1,1)+1)-INDEX('Performance Curves'!$E$1:$L$1,1,MATCH('BMP P Tracking Table'!$AZ168,'Performance Curves'!$E$1:$L$1,1))),"")</f>
        <v/>
      </c>
      <c r="BC168" s="102" t="str">
        <f>IFERROR(IF('BMP P Tracking Table'!$AZ168=2,VLOOKUP(CONCATENATE('BMP P Tracking Table'!$AV168," ",'BMP P Tracking Table'!$AX168),'Performance Curves'!$C$1:$L$44,MATCH('BMP P Tracking Table'!$AZ168,'Performance Curves'!$E$1:$L$1,1)+1,FALSE),'BMP P Tracking Table'!$BA168*'BMP P Tracking Table'!$BB168+VLOOKUP(CONCATENATE('BMP P Tracking Table'!$AV168," ",'BMP P Tracking Table'!$AX168),'Performance Curves'!$C$1:$L$44,MATCH('BMP P Tracking Table'!$AZ168,'Performance Curves'!$E$1:$L$1,1)+1,FALSE)),"")</f>
        <v/>
      </c>
      <c r="BD168" s="101" t="str">
        <f>IFERROR('BMP P Tracking Table'!$BC168*'BMP P Tracking Table'!$AY168,"")</f>
        <v/>
      </c>
      <c r="BE168" s="96"/>
      <c r="BF168" s="37">
        <f t="shared" si="17"/>
        <v>0</v>
      </c>
    </row>
    <row r="169" spans="1:58" x14ac:dyDescent="0.3">
      <c r="A169" s="64"/>
      <c r="B169" s="64"/>
      <c r="C169" s="64"/>
      <c r="D169" s="64"/>
      <c r="E169" s="93"/>
      <c r="F169" s="93"/>
      <c r="G169" s="64"/>
      <c r="H169" s="64"/>
      <c r="I169" s="64"/>
      <c r="J169" s="94"/>
      <c r="K169" s="64"/>
      <c r="L169" s="64"/>
      <c r="M169" s="64"/>
      <c r="N169" s="64"/>
      <c r="O169" s="64"/>
      <c r="P169" s="64"/>
      <c r="Q169" s="64" t="str">
        <f>IFERROR(VLOOKUP('BMP P Tracking Table'!$P169,Dropdowns!$C$2:$E$15,3,FALSE),"")</f>
        <v/>
      </c>
      <c r="R169" s="64" t="str">
        <f>IFERROR(VLOOKUP('BMP P Tracking Table'!$Q169,Dropdowns!$P$3:$Q$23,2,FALSE),"")</f>
        <v/>
      </c>
      <c r="S169" s="64"/>
      <c r="T169" s="64"/>
      <c r="U169" s="64"/>
      <c r="V169" s="64"/>
      <c r="W169" s="64"/>
      <c r="X169" s="64"/>
      <c r="Y169" s="64"/>
      <c r="Z169" s="64"/>
      <c r="AA169" s="64"/>
      <c r="AB169" s="95"/>
      <c r="AC169" s="64"/>
      <c r="AD169" s="101" t="str">
        <f>IFERROR('BMP P Tracking Table'!$U169*VLOOKUP('BMP P Tracking Table'!$Q169,'Loading Rates'!$B$1:$L$24,4,FALSE)+IF('BMP P Tracking Table'!$V169="By HSG",'BMP P Tracking Table'!$W169*VLOOKUP('BMP P Tracking Table'!$Q169,'Loading Rates'!$B$1:$L$24,6,FALSE)+'BMP P Tracking Table'!$X169*VLOOKUP('BMP P Tracking Table'!$Q169,'Loading Rates'!$B$1:$L$24,7,FALSE)+'BMP P Tracking Table'!$Y169*VLOOKUP('BMP P Tracking Table'!$Q169,'Loading Rates'!$B$1:$L$24,8,FALSE)+'BMP P Tracking Table'!$Z169*VLOOKUP('BMP P Tracking Table'!$Q169,'Loading Rates'!$B$1:$L$24,9,FALSE),'BMP P Tracking Table'!$AA169*VLOOKUP('BMP P Tracking Table'!$Q169,'Loading Rates'!$B$1:$L$24,10,FALSE)),"")</f>
        <v/>
      </c>
      <c r="AE169" s="101" t="str">
        <f>IFERROR(MIN(2,IF('BMP P Tracking Table'!$V169="Total Pervious",(-(3630*'BMP P Tracking Table'!$U169+20.691*'BMP P Tracking Table'!$AA169)+SQRT((3630*'BMP P Tracking Table'!$U169+20.691*'BMP P Tracking Table'!$AA169)^2-(4*(996.798*'BMP P Tracking Table'!$AA169)*-'BMP P Tracking Table'!$AB169)))/(2*(996.798*'BMP P Tracking Table'!$AA169)),IF(SUM('BMP P Tracking Table'!$W169:$Z169)=0,'BMP P Tracking Table'!$AB169/(-3630*'BMP P Tracking Table'!$U169),(-(3630*'BMP P Tracking Table'!$U169+20.691*'BMP P Tracking Table'!$Z169-216.711*'BMP P Tracking Table'!$Y169-83.853*'BMP P Tracking Table'!$X169-42.834*'BMP P Tracking Table'!$W169)+SQRT((3630*'BMP P Tracking Table'!$U169+20.691*'BMP P Tracking Table'!$Z169-216.711*'BMP P Tracking Table'!$Y169-83.853*'BMP P Tracking Table'!$X169-42.834*'BMP P Tracking Table'!$W169)^2-(4*(149.919*'BMP P Tracking Table'!$W169+236.676*'BMP P Tracking Table'!$X169+726*'BMP P Tracking Table'!$Y169+996.798*'BMP P Tracking Table'!$Z169)*-'BMP P Tracking Table'!$AB169)))/(2*(149.919*'BMP P Tracking Table'!$W169+236.676*'BMP P Tracking Table'!$X169+726*'BMP P Tracking Table'!$Y169+996.798*'BMP P Tracking Table'!$Z169))))),"")</f>
        <v/>
      </c>
      <c r="AF169" s="101" t="str">
        <f>IFERROR((VLOOKUP(CONCATENATE('BMP P Tracking Table'!$T169," ",'BMP P Tracking Table'!$AC169),'Performance Curves'!$C$1:$L$45,MATCH('BMP P Tracking Table'!$AE169,'Performance Curves'!$E$1:$L$1,1)+2,FALSE)-VLOOKUP(CONCATENATE('BMP P Tracking Table'!$T169," ",'BMP P Tracking Table'!$AC169),'Performance Curves'!$C$1:$L$45,MATCH('BMP P Tracking Table'!$AE169,'Performance Curves'!$E$1:$L$1,1)+1,FALSE)),"")</f>
        <v/>
      </c>
      <c r="AG169" s="101" t="str">
        <f>IFERROR(('BMP P Tracking Table'!$AE169-INDEX('Performance Curves'!$E$1:$L$1,1,MATCH('BMP P Tracking Table'!$AE169,'Performance Curves'!$E$1:$L$1,1)))/(INDEX('Performance Curves'!$E$1:$L$1,1,MATCH('BMP P Tracking Table'!$AE169,'Performance Curves'!$E$1:$L$1,1)+1)-INDEX('Performance Curves'!$E$1:$L$1,1,MATCH('BMP P Tracking Table'!$AE169,'Performance Curves'!$E$1:$L$1,1))),"")</f>
        <v/>
      </c>
      <c r="AH169" s="102" t="str">
        <f>IFERROR(IF('BMP P Tracking Table'!$AE169=2,VLOOKUP(CONCATENATE('BMP P Tracking Table'!$T169," ",'BMP P Tracking Table'!$AC169),'Performance Curves'!$C$1:$L$45,MATCH('BMP P Tracking Table'!$AE169,'Performance Curves'!$E$1:$L$1,1)+1,FALSE),'BMP P Tracking Table'!$AF169*'BMP P Tracking Table'!$AG169+VLOOKUP(CONCATENATE('BMP P Tracking Table'!$T169," ",'BMP P Tracking Table'!$AC169),'Performance Curves'!$C$1:$L$45,MATCH('BMP P Tracking Table'!$AE169,'Performance Curves'!$E$1:$L$1,1)+1,FALSE)),"")</f>
        <v/>
      </c>
      <c r="AI169" s="101" t="str">
        <f>IFERROR('BMP P Tracking Table'!$AH169*'BMP P Tracking Table'!$AD169,"")</f>
        <v/>
      </c>
      <c r="AJ169" s="64"/>
      <c r="AK169" s="96"/>
      <c r="AL169" s="96"/>
      <c r="AM169" s="63"/>
      <c r="AN169" s="99" t="str">
        <f t="shared" si="16"/>
        <v/>
      </c>
      <c r="AO169" s="96"/>
      <c r="AP169" s="96"/>
      <c r="AQ169" s="96"/>
      <c r="AR169" s="96"/>
      <c r="AS169" s="96"/>
      <c r="AT169" s="96"/>
      <c r="AU169" s="96"/>
      <c r="AV169" s="64"/>
      <c r="AW169" s="97"/>
      <c r="AX169" s="97"/>
      <c r="AY169" s="101" t="str">
        <f>IF('BMP P Tracking Table'!$AK169="Yes",IF('BMP P Tracking Table'!$AL169="No",'BMP P Tracking Table'!$U169*VLOOKUP('BMP P Tracking Table'!$Q169,'Loading Rates'!$B$1:$L$24,4,FALSE)+IF('BMP P Tracking Table'!$V169="By HSG",'BMP P Tracking Table'!$W169*VLOOKUP('BMP P Tracking Table'!$Q169,'Loading Rates'!$B$1:$L$24,6,FALSE)+'BMP P Tracking Table'!$X169*VLOOKUP('BMP P Tracking Table'!$Q169,'Loading Rates'!$B$1:$L$24,7,FALSE)+'BMP P Tracking Table'!$Y169*VLOOKUP('BMP P Tracking Table'!$Q169,'Loading Rates'!$B$1:$L$24,8,FALSE)+'BMP P Tracking Table'!$Z169*VLOOKUP('BMP P Tracking Table'!$Q169,'Loading Rates'!$B$1:$L$24,9,FALSE),'BMP P Tracking Table'!$AA169*VLOOKUP('BMP P Tracking Table'!$Q169,'Loading Rates'!$B$1:$L$24,10,FALSE)),'BMP P Tracking Table'!$AO169*VLOOKUP('BMP P Tracking Table'!$Q169,'Loading Rates'!$B$1:$L$24,4,FALSE)+IF('BMP P Tracking Table'!$AP169="By HSG",'BMP P Tracking Table'!$AQ169*VLOOKUP('BMP P Tracking Table'!$Q169,'Loading Rates'!$B$1:$L$24,6,FALSE)+'BMP P Tracking Table'!$AR169*VLOOKUP('BMP P Tracking Table'!$Q169,'Loading Rates'!$B$1:$L$24,7,FALSE)+'BMP P Tracking Table'!$AS169*VLOOKUP('BMP P Tracking Table'!$Q169,'Loading Rates'!$B$1:$L$24,8,FALSE)+'BMP P Tracking Table'!$AT169*VLOOKUP('BMP P Tracking Table'!$Q169,'Loading Rates'!$B$1:$L$24,9,FALSE),'BMP P Tracking Table'!$AU169*VLOOKUP('BMP P Tracking Table'!$Q169,'Loading Rates'!$B$1:$L$24,10,FALSE))),"")</f>
        <v/>
      </c>
      <c r="AZ169" s="101" t="str">
        <f>IFERROR(IF('BMP P Tracking Table'!$AL169="Yes",MIN(2,IF('BMP P Tracking Table'!$AP169="Total Pervious",(-(3630*'BMP P Tracking Table'!$AO169+20.691*'BMP P Tracking Table'!$AU169)+SQRT((3630*'BMP P Tracking Table'!$AO169+20.691*'BMP P Tracking Table'!$AU169)^2-(4*(996.798*'BMP P Tracking Table'!$AU169)*-'BMP P Tracking Table'!$AW169)))/(2*(996.798*'BMP P Tracking Table'!$AU169)),IF(SUM('BMP P Tracking Table'!$AQ169:$AT169)=0,'BMP P Tracking Table'!$AU169/(-3630*'BMP P Tracking Table'!$AO169),(-(3630*'BMP P Tracking Table'!$AO169+20.691*'BMP P Tracking Table'!$AT169-216.711*'BMP P Tracking Table'!$AS169-83.853*'BMP P Tracking Table'!$AR169-42.834*'BMP P Tracking Table'!$AQ169)+SQRT((3630*'BMP P Tracking Table'!$AO169+20.691*'BMP P Tracking Table'!$AT169-216.711*'BMP P Tracking Table'!$AS169-83.853*'BMP P Tracking Table'!$AR169-42.834*'BMP P Tracking Table'!$AQ169)^2-(4*(149.919*'BMP P Tracking Table'!$AQ169+236.676*'BMP P Tracking Table'!$AR169+726*'BMP P Tracking Table'!$AS169+996.798*'BMP P Tracking Table'!$AT169)*-'BMP P Tracking Table'!$AW169)))/(2*(149.919*'BMP P Tracking Table'!$AQ169+236.676*'BMP P Tracking Table'!$AR169+726*'BMP P Tracking Table'!$AS169+996.798*'BMP P Tracking Table'!$AT169))))),MIN(2,IF('BMP P Tracking Table'!$AP169="Total Pervious",(-(3630*'BMP P Tracking Table'!$U169+20.691*'BMP P Tracking Table'!$AA169)+SQRT((3630*'BMP P Tracking Table'!$U169+20.691*'BMP P Tracking Table'!$AA169)^2-(4*(996.798*'BMP P Tracking Table'!$AA169)*-'BMP P Tracking Table'!$AW169)))/(2*(996.798*'BMP P Tracking Table'!$AA169)),IF(SUM('BMP P Tracking Table'!$W169:$Z169)=0,'BMP P Tracking Table'!$AW169/(-3630*'BMP P Tracking Table'!$U169),(-(3630*'BMP P Tracking Table'!$U169+20.691*'BMP P Tracking Table'!$Z169-216.711*'BMP P Tracking Table'!$Y169-83.853*'BMP P Tracking Table'!$X169-42.834*'BMP P Tracking Table'!$W169)+SQRT((3630*'BMP P Tracking Table'!$U169+20.691*'BMP P Tracking Table'!$Z169-216.711*'BMP P Tracking Table'!$Y169-83.853*'BMP P Tracking Table'!$X169-42.834*'BMP P Tracking Table'!$W169)^2-(4*(149.919*'BMP P Tracking Table'!$W169+236.676*'BMP P Tracking Table'!$X169+726*'BMP P Tracking Table'!$Y169+996.798*'BMP P Tracking Table'!$Z169)*-'BMP P Tracking Table'!$AW169)))/(2*(149.919*'BMP P Tracking Table'!$W169+236.676*'BMP P Tracking Table'!$X169+726*'BMP P Tracking Table'!$Y169+996.798*'BMP P Tracking Table'!$Z169)))))),"")</f>
        <v/>
      </c>
      <c r="BA169" s="101" t="str">
        <f>IFERROR((VLOOKUP(CONCATENATE('BMP P Tracking Table'!$AV169," ",'BMP P Tracking Table'!$AX169),'Performance Curves'!$C$1:$L$45,MATCH('BMP P Tracking Table'!$AZ169,'Performance Curves'!$E$1:$L$1,1)+2,FALSE)-VLOOKUP(CONCATENATE('BMP P Tracking Table'!$AV169," ",'BMP P Tracking Table'!$AX169),'Performance Curves'!$C$1:$L$45,MATCH('BMP P Tracking Table'!$AZ169,'Performance Curves'!$E$1:$L$1,1)+1,FALSE)),"")</f>
        <v/>
      </c>
      <c r="BB169" s="101" t="str">
        <f>IFERROR(('BMP P Tracking Table'!$AZ169-INDEX('Performance Curves'!$E$1:$L$1,1,MATCH('BMP P Tracking Table'!$AZ169,'Performance Curves'!$E$1:$L$1,1)))/(INDEX('Performance Curves'!$E$1:$L$1,1,MATCH('BMP P Tracking Table'!$AZ169,'Performance Curves'!$E$1:$L$1,1)+1)-INDEX('Performance Curves'!$E$1:$L$1,1,MATCH('BMP P Tracking Table'!$AZ169,'Performance Curves'!$E$1:$L$1,1))),"")</f>
        <v/>
      </c>
      <c r="BC169" s="102" t="str">
        <f>IFERROR(IF('BMP P Tracking Table'!$AZ169=2,VLOOKUP(CONCATENATE('BMP P Tracking Table'!$AV169," ",'BMP P Tracking Table'!$AX169),'Performance Curves'!$C$1:$L$44,MATCH('BMP P Tracking Table'!$AZ169,'Performance Curves'!$E$1:$L$1,1)+1,FALSE),'BMP P Tracking Table'!$BA169*'BMP P Tracking Table'!$BB169+VLOOKUP(CONCATENATE('BMP P Tracking Table'!$AV169," ",'BMP P Tracking Table'!$AX169),'Performance Curves'!$C$1:$L$44,MATCH('BMP P Tracking Table'!$AZ169,'Performance Curves'!$E$1:$L$1,1)+1,FALSE)),"")</f>
        <v/>
      </c>
      <c r="BD169" s="101" t="str">
        <f>IFERROR('BMP P Tracking Table'!$BC169*'BMP P Tracking Table'!$AY169,"")</f>
        <v/>
      </c>
      <c r="BE169" s="96"/>
      <c r="BF169" s="37">
        <f t="shared" si="17"/>
        <v>0</v>
      </c>
    </row>
    <row r="170" spans="1:58" x14ac:dyDescent="0.3">
      <c r="A170" s="64"/>
      <c r="B170" s="64"/>
      <c r="C170" s="64"/>
      <c r="D170" s="64"/>
      <c r="E170" s="93"/>
      <c r="F170" s="93"/>
      <c r="G170" s="64"/>
      <c r="H170" s="64"/>
      <c r="I170" s="64"/>
      <c r="J170" s="94"/>
      <c r="K170" s="64"/>
      <c r="L170" s="64"/>
      <c r="M170" s="64"/>
      <c r="N170" s="64"/>
      <c r="O170" s="64"/>
      <c r="P170" s="64"/>
      <c r="Q170" s="64" t="str">
        <f>IFERROR(VLOOKUP('BMP P Tracking Table'!$P170,Dropdowns!$C$2:$E$15,3,FALSE),"")</f>
        <v/>
      </c>
      <c r="R170" s="64" t="str">
        <f>IFERROR(VLOOKUP('BMP P Tracking Table'!$Q170,Dropdowns!$P$3:$Q$23,2,FALSE),"")</f>
        <v/>
      </c>
      <c r="S170" s="64"/>
      <c r="T170" s="64"/>
      <c r="U170" s="64"/>
      <c r="V170" s="64"/>
      <c r="W170" s="64"/>
      <c r="X170" s="64"/>
      <c r="Y170" s="64"/>
      <c r="Z170" s="64"/>
      <c r="AA170" s="64"/>
      <c r="AB170" s="95"/>
      <c r="AC170" s="64"/>
      <c r="AD170" s="101" t="str">
        <f>IFERROR('BMP P Tracking Table'!$U170*VLOOKUP('BMP P Tracking Table'!$Q170,'Loading Rates'!$B$1:$L$24,4,FALSE)+IF('BMP P Tracking Table'!$V170="By HSG",'BMP P Tracking Table'!$W170*VLOOKUP('BMP P Tracking Table'!$Q170,'Loading Rates'!$B$1:$L$24,6,FALSE)+'BMP P Tracking Table'!$X170*VLOOKUP('BMP P Tracking Table'!$Q170,'Loading Rates'!$B$1:$L$24,7,FALSE)+'BMP P Tracking Table'!$Y170*VLOOKUP('BMP P Tracking Table'!$Q170,'Loading Rates'!$B$1:$L$24,8,FALSE)+'BMP P Tracking Table'!$Z170*VLOOKUP('BMP P Tracking Table'!$Q170,'Loading Rates'!$B$1:$L$24,9,FALSE),'BMP P Tracking Table'!$AA170*VLOOKUP('BMP P Tracking Table'!$Q170,'Loading Rates'!$B$1:$L$24,10,FALSE)),"")</f>
        <v/>
      </c>
      <c r="AE170" s="101" t="str">
        <f>IFERROR(MIN(2,IF('BMP P Tracking Table'!$V170="Total Pervious",(-(3630*'BMP P Tracking Table'!$U170+20.691*'BMP P Tracking Table'!$AA170)+SQRT((3630*'BMP P Tracking Table'!$U170+20.691*'BMP P Tracking Table'!$AA170)^2-(4*(996.798*'BMP P Tracking Table'!$AA170)*-'BMP P Tracking Table'!$AB170)))/(2*(996.798*'BMP P Tracking Table'!$AA170)),IF(SUM('BMP P Tracking Table'!$W170:$Z170)=0,'BMP P Tracking Table'!$AB170/(-3630*'BMP P Tracking Table'!$U170),(-(3630*'BMP P Tracking Table'!$U170+20.691*'BMP P Tracking Table'!$Z170-216.711*'BMP P Tracking Table'!$Y170-83.853*'BMP P Tracking Table'!$X170-42.834*'BMP P Tracking Table'!$W170)+SQRT((3630*'BMP P Tracking Table'!$U170+20.691*'BMP P Tracking Table'!$Z170-216.711*'BMP P Tracking Table'!$Y170-83.853*'BMP P Tracking Table'!$X170-42.834*'BMP P Tracking Table'!$W170)^2-(4*(149.919*'BMP P Tracking Table'!$W170+236.676*'BMP P Tracking Table'!$X170+726*'BMP P Tracking Table'!$Y170+996.798*'BMP P Tracking Table'!$Z170)*-'BMP P Tracking Table'!$AB170)))/(2*(149.919*'BMP P Tracking Table'!$W170+236.676*'BMP P Tracking Table'!$X170+726*'BMP P Tracking Table'!$Y170+996.798*'BMP P Tracking Table'!$Z170))))),"")</f>
        <v/>
      </c>
      <c r="AF170" s="101" t="str">
        <f>IFERROR((VLOOKUP(CONCATENATE('BMP P Tracking Table'!$T170," ",'BMP P Tracking Table'!$AC170),'Performance Curves'!$C$1:$L$45,MATCH('BMP P Tracking Table'!$AE170,'Performance Curves'!$E$1:$L$1,1)+2,FALSE)-VLOOKUP(CONCATENATE('BMP P Tracking Table'!$T170," ",'BMP P Tracking Table'!$AC170),'Performance Curves'!$C$1:$L$45,MATCH('BMP P Tracking Table'!$AE170,'Performance Curves'!$E$1:$L$1,1)+1,FALSE)),"")</f>
        <v/>
      </c>
      <c r="AG170" s="101" t="str">
        <f>IFERROR(('BMP P Tracking Table'!$AE170-INDEX('Performance Curves'!$E$1:$L$1,1,MATCH('BMP P Tracking Table'!$AE170,'Performance Curves'!$E$1:$L$1,1)))/(INDEX('Performance Curves'!$E$1:$L$1,1,MATCH('BMP P Tracking Table'!$AE170,'Performance Curves'!$E$1:$L$1,1)+1)-INDEX('Performance Curves'!$E$1:$L$1,1,MATCH('BMP P Tracking Table'!$AE170,'Performance Curves'!$E$1:$L$1,1))),"")</f>
        <v/>
      </c>
      <c r="AH170" s="102" t="str">
        <f>IFERROR(IF('BMP P Tracking Table'!$AE170=2,VLOOKUP(CONCATENATE('BMP P Tracking Table'!$T170," ",'BMP P Tracking Table'!$AC170),'Performance Curves'!$C$1:$L$45,MATCH('BMP P Tracking Table'!$AE170,'Performance Curves'!$E$1:$L$1,1)+1,FALSE),'BMP P Tracking Table'!$AF170*'BMP P Tracking Table'!$AG170+VLOOKUP(CONCATENATE('BMP P Tracking Table'!$T170," ",'BMP P Tracking Table'!$AC170),'Performance Curves'!$C$1:$L$45,MATCH('BMP P Tracking Table'!$AE170,'Performance Curves'!$E$1:$L$1,1)+1,FALSE)),"")</f>
        <v/>
      </c>
      <c r="AI170" s="101" t="str">
        <f>IFERROR('BMP P Tracking Table'!$AH170*'BMP P Tracking Table'!$AD170,"")</f>
        <v/>
      </c>
      <c r="AJ170" s="64"/>
      <c r="AK170" s="96"/>
      <c r="AL170" s="96"/>
      <c r="AM170" s="63"/>
      <c r="AN170" s="99" t="str">
        <f t="shared" si="16"/>
        <v/>
      </c>
      <c r="AO170" s="96"/>
      <c r="AP170" s="96"/>
      <c r="AQ170" s="96"/>
      <c r="AR170" s="96"/>
      <c r="AS170" s="96"/>
      <c r="AT170" s="96"/>
      <c r="AU170" s="96"/>
      <c r="AV170" s="64"/>
      <c r="AW170" s="97"/>
      <c r="AX170" s="97"/>
      <c r="AY170" s="101" t="str">
        <f>IF('BMP P Tracking Table'!$AK170="Yes",IF('BMP P Tracking Table'!$AL170="No",'BMP P Tracking Table'!$U170*VLOOKUP('BMP P Tracking Table'!$Q170,'Loading Rates'!$B$1:$L$24,4,FALSE)+IF('BMP P Tracking Table'!$V170="By HSG",'BMP P Tracking Table'!$W170*VLOOKUP('BMP P Tracking Table'!$Q170,'Loading Rates'!$B$1:$L$24,6,FALSE)+'BMP P Tracking Table'!$X170*VLOOKUP('BMP P Tracking Table'!$Q170,'Loading Rates'!$B$1:$L$24,7,FALSE)+'BMP P Tracking Table'!$Y170*VLOOKUP('BMP P Tracking Table'!$Q170,'Loading Rates'!$B$1:$L$24,8,FALSE)+'BMP P Tracking Table'!$Z170*VLOOKUP('BMP P Tracking Table'!$Q170,'Loading Rates'!$B$1:$L$24,9,FALSE),'BMP P Tracking Table'!$AA170*VLOOKUP('BMP P Tracking Table'!$Q170,'Loading Rates'!$B$1:$L$24,10,FALSE)),'BMP P Tracking Table'!$AO170*VLOOKUP('BMP P Tracking Table'!$Q170,'Loading Rates'!$B$1:$L$24,4,FALSE)+IF('BMP P Tracking Table'!$AP170="By HSG",'BMP P Tracking Table'!$AQ170*VLOOKUP('BMP P Tracking Table'!$Q170,'Loading Rates'!$B$1:$L$24,6,FALSE)+'BMP P Tracking Table'!$AR170*VLOOKUP('BMP P Tracking Table'!$Q170,'Loading Rates'!$B$1:$L$24,7,FALSE)+'BMP P Tracking Table'!$AS170*VLOOKUP('BMP P Tracking Table'!$Q170,'Loading Rates'!$B$1:$L$24,8,FALSE)+'BMP P Tracking Table'!$AT170*VLOOKUP('BMP P Tracking Table'!$Q170,'Loading Rates'!$B$1:$L$24,9,FALSE),'BMP P Tracking Table'!$AU170*VLOOKUP('BMP P Tracking Table'!$Q170,'Loading Rates'!$B$1:$L$24,10,FALSE))),"")</f>
        <v/>
      </c>
      <c r="AZ170" s="101" t="str">
        <f>IFERROR(IF('BMP P Tracking Table'!$AL170="Yes",MIN(2,IF('BMP P Tracking Table'!$AP170="Total Pervious",(-(3630*'BMP P Tracking Table'!$AO170+20.691*'BMP P Tracking Table'!$AU170)+SQRT((3630*'BMP P Tracking Table'!$AO170+20.691*'BMP P Tracking Table'!$AU170)^2-(4*(996.798*'BMP P Tracking Table'!$AU170)*-'BMP P Tracking Table'!$AW170)))/(2*(996.798*'BMP P Tracking Table'!$AU170)),IF(SUM('BMP P Tracking Table'!$AQ170:$AT170)=0,'BMP P Tracking Table'!$AU170/(-3630*'BMP P Tracking Table'!$AO170),(-(3630*'BMP P Tracking Table'!$AO170+20.691*'BMP P Tracking Table'!$AT170-216.711*'BMP P Tracking Table'!$AS170-83.853*'BMP P Tracking Table'!$AR170-42.834*'BMP P Tracking Table'!$AQ170)+SQRT((3630*'BMP P Tracking Table'!$AO170+20.691*'BMP P Tracking Table'!$AT170-216.711*'BMP P Tracking Table'!$AS170-83.853*'BMP P Tracking Table'!$AR170-42.834*'BMP P Tracking Table'!$AQ170)^2-(4*(149.919*'BMP P Tracking Table'!$AQ170+236.676*'BMP P Tracking Table'!$AR170+726*'BMP P Tracking Table'!$AS170+996.798*'BMP P Tracking Table'!$AT170)*-'BMP P Tracking Table'!$AW170)))/(2*(149.919*'BMP P Tracking Table'!$AQ170+236.676*'BMP P Tracking Table'!$AR170+726*'BMP P Tracking Table'!$AS170+996.798*'BMP P Tracking Table'!$AT170))))),MIN(2,IF('BMP P Tracking Table'!$AP170="Total Pervious",(-(3630*'BMP P Tracking Table'!$U170+20.691*'BMP P Tracking Table'!$AA170)+SQRT((3630*'BMP P Tracking Table'!$U170+20.691*'BMP P Tracking Table'!$AA170)^2-(4*(996.798*'BMP P Tracking Table'!$AA170)*-'BMP P Tracking Table'!$AW170)))/(2*(996.798*'BMP P Tracking Table'!$AA170)),IF(SUM('BMP P Tracking Table'!$W170:$Z170)=0,'BMP P Tracking Table'!$AW170/(-3630*'BMP P Tracking Table'!$U170),(-(3630*'BMP P Tracking Table'!$U170+20.691*'BMP P Tracking Table'!$Z170-216.711*'BMP P Tracking Table'!$Y170-83.853*'BMP P Tracking Table'!$X170-42.834*'BMP P Tracking Table'!$W170)+SQRT((3630*'BMP P Tracking Table'!$U170+20.691*'BMP P Tracking Table'!$Z170-216.711*'BMP P Tracking Table'!$Y170-83.853*'BMP P Tracking Table'!$X170-42.834*'BMP P Tracking Table'!$W170)^2-(4*(149.919*'BMP P Tracking Table'!$W170+236.676*'BMP P Tracking Table'!$X170+726*'BMP P Tracking Table'!$Y170+996.798*'BMP P Tracking Table'!$Z170)*-'BMP P Tracking Table'!$AW170)))/(2*(149.919*'BMP P Tracking Table'!$W170+236.676*'BMP P Tracking Table'!$X170+726*'BMP P Tracking Table'!$Y170+996.798*'BMP P Tracking Table'!$Z170)))))),"")</f>
        <v/>
      </c>
      <c r="BA170" s="101" t="str">
        <f>IFERROR((VLOOKUP(CONCATENATE('BMP P Tracking Table'!$AV170," ",'BMP P Tracking Table'!$AX170),'Performance Curves'!$C$1:$L$45,MATCH('BMP P Tracking Table'!$AZ170,'Performance Curves'!$E$1:$L$1,1)+2,FALSE)-VLOOKUP(CONCATENATE('BMP P Tracking Table'!$AV170," ",'BMP P Tracking Table'!$AX170),'Performance Curves'!$C$1:$L$45,MATCH('BMP P Tracking Table'!$AZ170,'Performance Curves'!$E$1:$L$1,1)+1,FALSE)),"")</f>
        <v/>
      </c>
      <c r="BB170" s="101" t="str">
        <f>IFERROR(('BMP P Tracking Table'!$AZ170-INDEX('Performance Curves'!$E$1:$L$1,1,MATCH('BMP P Tracking Table'!$AZ170,'Performance Curves'!$E$1:$L$1,1)))/(INDEX('Performance Curves'!$E$1:$L$1,1,MATCH('BMP P Tracking Table'!$AZ170,'Performance Curves'!$E$1:$L$1,1)+1)-INDEX('Performance Curves'!$E$1:$L$1,1,MATCH('BMP P Tracking Table'!$AZ170,'Performance Curves'!$E$1:$L$1,1))),"")</f>
        <v/>
      </c>
      <c r="BC170" s="102" t="str">
        <f>IFERROR(IF('BMP P Tracking Table'!$AZ170=2,VLOOKUP(CONCATENATE('BMP P Tracking Table'!$AV170," ",'BMP P Tracking Table'!$AX170),'Performance Curves'!$C$1:$L$44,MATCH('BMP P Tracking Table'!$AZ170,'Performance Curves'!$E$1:$L$1,1)+1,FALSE),'BMP P Tracking Table'!$BA170*'BMP P Tracking Table'!$BB170+VLOOKUP(CONCATENATE('BMP P Tracking Table'!$AV170," ",'BMP P Tracking Table'!$AX170),'Performance Curves'!$C$1:$L$44,MATCH('BMP P Tracking Table'!$AZ170,'Performance Curves'!$E$1:$L$1,1)+1,FALSE)),"")</f>
        <v/>
      </c>
      <c r="BD170" s="101" t="str">
        <f>IFERROR('BMP P Tracking Table'!$BC170*'BMP P Tracking Table'!$AY170,"")</f>
        <v/>
      </c>
      <c r="BE170" s="96"/>
      <c r="BF170" s="37">
        <f t="shared" si="17"/>
        <v>0</v>
      </c>
    </row>
    <row r="171" spans="1:58" x14ac:dyDescent="0.3">
      <c r="A171" s="64"/>
      <c r="B171" s="64"/>
      <c r="C171" s="64"/>
      <c r="D171" s="64"/>
      <c r="E171" s="93"/>
      <c r="F171" s="93"/>
      <c r="G171" s="64"/>
      <c r="H171" s="64"/>
      <c r="I171" s="64"/>
      <c r="J171" s="94"/>
      <c r="K171" s="64"/>
      <c r="L171" s="64"/>
      <c r="M171" s="64"/>
      <c r="N171" s="64"/>
      <c r="O171" s="64"/>
      <c r="P171" s="64"/>
      <c r="Q171" s="64" t="str">
        <f>IFERROR(VLOOKUP('BMP P Tracking Table'!$P171,Dropdowns!$C$2:$E$15,3,FALSE),"")</f>
        <v/>
      </c>
      <c r="R171" s="64" t="str">
        <f>IFERROR(VLOOKUP('BMP P Tracking Table'!$Q171,Dropdowns!$P$3:$Q$23,2,FALSE),"")</f>
        <v/>
      </c>
      <c r="S171" s="64"/>
      <c r="T171" s="64"/>
      <c r="U171" s="64"/>
      <c r="V171" s="64"/>
      <c r="W171" s="64"/>
      <c r="X171" s="64"/>
      <c r="Y171" s="64"/>
      <c r="Z171" s="64"/>
      <c r="AA171" s="64"/>
      <c r="AB171" s="95"/>
      <c r="AC171" s="64"/>
      <c r="AD171" s="101" t="str">
        <f>IFERROR('BMP P Tracking Table'!$U171*VLOOKUP('BMP P Tracking Table'!$Q171,'Loading Rates'!$B$1:$L$24,4,FALSE)+IF('BMP P Tracking Table'!$V171="By HSG",'BMP P Tracking Table'!$W171*VLOOKUP('BMP P Tracking Table'!$Q171,'Loading Rates'!$B$1:$L$24,6,FALSE)+'BMP P Tracking Table'!$X171*VLOOKUP('BMP P Tracking Table'!$Q171,'Loading Rates'!$B$1:$L$24,7,FALSE)+'BMP P Tracking Table'!$Y171*VLOOKUP('BMP P Tracking Table'!$Q171,'Loading Rates'!$B$1:$L$24,8,FALSE)+'BMP P Tracking Table'!$Z171*VLOOKUP('BMP P Tracking Table'!$Q171,'Loading Rates'!$B$1:$L$24,9,FALSE),'BMP P Tracking Table'!$AA171*VLOOKUP('BMP P Tracking Table'!$Q171,'Loading Rates'!$B$1:$L$24,10,FALSE)),"")</f>
        <v/>
      </c>
      <c r="AE171" s="101" t="str">
        <f>IFERROR(MIN(2,IF('BMP P Tracking Table'!$V171="Total Pervious",(-(3630*'BMP P Tracking Table'!$U171+20.691*'BMP P Tracking Table'!$AA171)+SQRT((3630*'BMP P Tracking Table'!$U171+20.691*'BMP P Tracking Table'!$AA171)^2-(4*(996.798*'BMP P Tracking Table'!$AA171)*-'BMP P Tracking Table'!$AB171)))/(2*(996.798*'BMP P Tracking Table'!$AA171)),IF(SUM('BMP P Tracking Table'!$W171:$Z171)=0,'BMP P Tracking Table'!$AB171/(-3630*'BMP P Tracking Table'!$U171),(-(3630*'BMP P Tracking Table'!$U171+20.691*'BMP P Tracking Table'!$Z171-216.711*'BMP P Tracking Table'!$Y171-83.853*'BMP P Tracking Table'!$X171-42.834*'BMP P Tracking Table'!$W171)+SQRT((3630*'BMP P Tracking Table'!$U171+20.691*'BMP P Tracking Table'!$Z171-216.711*'BMP P Tracking Table'!$Y171-83.853*'BMP P Tracking Table'!$X171-42.834*'BMP P Tracking Table'!$W171)^2-(4*(149.919*'BMP P Tracking Table'!$W171+236.676*'BMP P Tracking Table'!$X171+726*'BMP P Tracking Table'!$Y171+996.798*'BMP P Tracking Table'!$Z171)*-'BMP P Tracking Table'!$AB171)))/(2*(149.919*'BMP P Tracking Table'!$W171+236.676*'BMP P Tracking Table'!$X171+726*'BMP P Tracking Table'!$Y171+996.798*'BMP P Tracking Table'!$Z171))))),"")</f>
        <v/>
      </c>
      <c r="AF171" s="101" t="str">
        <f>IFERROR((VLOOKUP(CONCATENATE('BMP P Tracking Table'!$T171," ",'BMP P Tracking Table'!$AC171),'Performance Curves'!$C$1:$L$45,MATCH('BMP P Tracking Table'!$AE171,'Performance Curves'!$E$1:$L$1,1)+2,FALSE)-VLOOKUP(CONCATENATE('BMP P Tracking Table'!$T171," ",'BMP P Tracking Table'!$AC171),'Performance Curves'!$C$1:$L$45,MATCH('BMP P Tracking Table'!$AE171,'Performance Curves'!$E$1:$L$1,1)+1,FALSE)),"")</f>
        <v/>
      </c>
      <c r="AG171" s="101" t="str">
        <f>IFERROR(('BMP P Tracking Table'!$AE171-INDEX('Performance Curves'!$E$1:$L$1,1,MATCH('BMP P Tracking Table'!$AE171,'Performance Curves'!$E$1:$L$1,1)))/(INDEX('Performance Curves'!$E$1:$L$1,1,MATCH('BMP P Tracking Table'!$AE171,'Performance Curves'!$E$1:$L$1,1)+1)-INDEX('Performance Curves'!$E$1:$L$1,1,MATCH('BMP P Tracking Table'!$AE171,'Performance Curves'!$E$1:$L$1,1))),"")</f>
        <v/>
      </c>
      <c r="AH171" s="102" t="str">
        <f>IFERROR(IF('BMP P Tracking Table'!$AE171=2,VLOOKUP(CONCATENATE('BMP P Tracking Table'!$T171," ",'BMP P Tracking Table'!$AC171),'Performance Curves'!$C$1:$L$45,MATCH('BMP P Tracking Table'!$AE171,'Performance Curves'!$E$1:$L$1,1)+1,FALSE),'BMP P Tracking Table'!$AF171*'BMP P Tracking Table'!$AG171+VLOOKUP(CONCATENATE('BMP P Tracking Table'!$T171," ",'BMP P Tracking Table'!$AC171),'Performance Curves'!$C$1:$L$45,MATCH('BMP P Tracking Table'!$AE171,'Performance Curves'!$E$1:$L$1,1)+1,FALSE)),"")</f>
        <v/>
      </c>
      <c r="AI171" s="101" t="str">
        <f>IFERROR('BMP P Tracking Table'!$AH171*'BMP P Tracking Table'!$AD171,"")</f>
        <v/>
      </c>
      <c r="AJ171" s="64"/>
      <c r="AK171" s="96"/>
      <c r="AL171" s="96"/>
      <c r="AM171" s="63"/>
      <c r="AN171" s="99" t="str">
        <f t="shared" si="16"/>
        <v/>
      </c>
      <c r="AO171" s="96"/>
      <c r="AP171" s="96"/>
      <c r="AQ171" s="96"/>
      <c r="AR171" s="96"/>
      <c r="AS171" s="96"/>
      <c r="AT171" s="96"/>
      <c r="AU171" s="96"/>
      <c r="AV171" s="64"/>
      <c r="AW171" s="97"/>
      <c r="AX171" s="97"/>
      <c r="AY171" s="101" t="str">
        <f>IF('BMP P Tracking Table'!$AK171="Yes",IF('BMP P Tracking Table'!$AL171="No",'BMP P Tracking Table'!$U171*VLOOKUP('BMP P Tracking Table'!$Q171,'Loading Rates'!$B$1:$L$24,4,FALSE)+IF('BMP P Tracking Table'!$V171="By HSG",'BMP P Tracking Table'!$W171*VLOOKUP('BMP P Tracking Table'!$Q171,'Loading Rates'!$B$1:$L$24,6,FALSE)+'BMP P Tracking Table'!$X171*VLOOKUP('BMP P Tracking Table'!$Q171,'Loading Rates'!$B$1:$L$24,7,FALSE)+'BMP P Tracking Table'!$Y171*VLOOKUP('BMP P Tracking Table'!$Q171,'Loading Rates'!$B$1:$L$24,8,FALSE)+'BMP P Tracking Table'!$Z171*VLOOKUP('BMP P Tracking Table'!$Q171,'Loading Rates'!$B$1:$L$24,9,FALSE),'BMP P Tracking Table'!$AA171*VLOOKUP('BMP P Tracking Table'!$Q171,'Loading Rates'!$B$1:$L$24,10,FALSE)),'BMP P Tracking Table'!$AO171*VLOOKUP('BMP P Tracking Table'!$Q171,'Loading Rates'!$B$1:$L$24,4,FALSE)+IF('BMP P Tracking Table'!$AP171="By HSG",'BMP P Tracking Table'!$AQ171*VLOOKUP('BMP P Tracking Table'!$Q171,'Loading Rates'!$B$1:$L$24,6,FALSE)+'BMP P Tracking Table'!$AR171*VLOOKUP('BMP P Tracking Table'!$Q171,'Loading Rates'!$B$1:$L$24,7,FALSE)+'BMP P Tracking Table'!$AS171*VLOOKUP('BMP P Tracking Table'!$Q171,'Loading Rates'!$B$1:$L$24,8,FALSE)+'BMP P Tracking Table'!$AT171*VLOOKUP('BMP P Tracking Table'!$Q171,'Loading Rates'!$B$1:$L$24,9,FALSE),'BMP P Tracking Table'!$AU171*VLOOKUP('BMP P Tracking Table'!$Q171,'Loading Rates'!$B$1:$L$24,10,FALSE))),"")</f>
        <v/>
      </c>
      <c r="AZ171" s="101" t="str">
        <f>IFERROR(IF('BMP P Tracking Table'!$AL171="Yes",MIN(2,IF('BMP P Tracking Table'!$AP171="Total Pervious",(-(3630*'BMP P Tracking Table'!$AO171+20.691*'BMP P Tracking Table'!$AU171)+SQRT((3630*'BMP P Tracking Table'!$AO171+20.691*'BMP P Tracking Table'!$AU171)^2-(4*(996.798*'BMP P Tracking Table'!$AU171)*-'BMP P Tracking Table'!$AW171)))/(2*(996.798*'BMP P Tracking Table'!$AU171)),IF(SUM('BMP P Tracking Table'!$AQ171:$AT171)=0,'BMP P Tracking Table'!$AU171/(-3630*'BMP P Tracking Table'!$AO171),(-(3630*'BMP P Tracking Table'!$AO171+20.691*'BMP P Tracking Table'!$AT171-216.711*'BMP P Tracking Table'!$AS171-83.853*'BMP P Tracking Table'!$AR171-42.834*'BMP P Tracking Table'!$AQ171)+SQRT((3630*'BMP P Tracking Table'!$AO171+20.691*'BMP P Tracking Table'!$AT171-216.711*'BMP P Tracking Table'!$AS171-83.853*'BMP P Tracking Table'!$AR171-42.834*'BMP P Tracking Table'!$AQ171)^2-(4*(149.919*'BMP P Tracking Table'!$AQ171+236.676*'BMP P Tracking Table'!$AR171+726*'BMP P Tracking Table'!$AS171+996.798*'BMP P Tracking Table'!$AT171)*-'BMP P Tracking Table'!$AW171)))/(2*(149.919*'BMP P Tracking Table'!$AQ171+236.676*'BMP P Tracking Table'!$AR171+726*'BMP P Tracking Table'!$AS171+996.798*'BMP P Tracking Table'!$AT171))))),MIN(2,IF('BMP P Tracking Table'!$AP171="Total Pervious",(-(3630*'BMP P Tracking Table'!$U171+20.691*'BMP P Tracking Table'!$AA171)+SQRT((3630*'BMP P Tracking Table'!$U171+20.691*'BMP P Tracking Table'!$AA171)^2-(4*(996.798*'BMP P Tracking Table'!$AA171)*-'BMP P Tracking Table'!$AW171)))/(2*(996.798*'BMP P Tracking Table'!$AA171)),IF(SUM('BMP P Tracking Table'!$W171:$Z171)=0,'BMP P Tracking Table'!$AW171/(-3630*'BMP P Tracking Table'!$U171),(-(3630*'BMP P Tracking Table'!$U171+20.691*'BMP P Tracking Table'!$Z171-216.711*'BMP P Tracking Table'!$Y171-83.853*'BMP P Tracking Table'!$X171-42.834*'BMP P Tracking Table'!$W171)+SQRT((3630*'BMP P Tracking Table'!$U171+20.691*'BMP P Tracking Table'!$Z171-216.711*'BMP P Tracking Table'!$Y171-83.853*'BMP P Tracking Table'!$X171-42.834*'BMP P Tracking Table'!$W171)^2-(4*(149.919*'BMP P Tracking Table'!$W171+236.676*'BMP P Tracking Table'!$X171+726*'BMP P Tracking Table'!$Y171+996.798*'BMP P Tracking Table'!$Z171)*-'BMP P Tracking Table'!$AW171)))/(2*(149.919*'BMP P Tracking Table'!$W171+236.676*'BMP P Tracking Table'!$X171+726*'BMP P Tracking Table'!$Y171+996.798*'BMP P Tracking Table'!$Z171)))))),"")</f>
        <v/>
      </c>
      <c r="BA171" s="101" t="str">
        <f>IFERROR((VLOOKUP(CONCATENATE('BMP P Tracking Table'!$AV171," ",'BMP P Tracking Table'!$AX171),'Performance Curves'!$C$1:$L$45,MATCH('BMP P Tracking Table'!$AZ171,'Performance Curves'!$E$1:$L$1,1)+2,FALSE)-VLOOKUP(CONCATENATE('BMP P Tracking Table'!$AV171," ",'BMP P Tracking Table'!$AX171),'Performance Curves'!$C$1:$L$45,MATCH('BMP P Tracking Table'!$AZ171,'Performance Curves'!$E$1:$L$1,1)+1,FALSE)),"")</f>
        <v/>
      </c>
      <c r="BB171" s="101" t="str">
        <f>IFERROR(('BMP P Tracking Table'!$AZ171-INDEX('Performance Curves'!$E$1:$L$1,1,MATCH('BMP P Tracking Table'!$AZ171,'Performance Curves'!$E$1:$L$1,1)))/(INDEX('Performance Curves'!$E$1:$L$1,1,MATCH('BMP P Tracking Table'!$AZ171,'Performance Curves'!$E$1:$L$1,1)+1)-INDEX('Performance Curves'!$E$1:$L$1,1,MATCH('BMP P Tracking Table'!$AZ171,'Performance Curves'!$E$1:$L$1,1))),"")</f>
        <v/>
      </c>
      <c r="BC171" s="102" t="str">
        <f>IFERROR(IF('BMP P Tracking Table'!$AZ171=2,VLOOKUP(CONCATENATE('BMP P Tracking Table'!$AV171," ",'BMP P Tracking Table'!$AX171),'Performance Curves'!$C$1:$L$44,MATCH('BMP P Tracking Table'!$AZ171,'Performance Curves'!$E$1:$L$1,1)+1,FALSE),'BMP P Tracking Table'!$BA171*'BMP P Tracking Table'!$BB171+VLOOKUP(CONCATENATE('BMP P Tracking Table'!$AV171," ",'BMP P Tracking Table'!$AX171),'Performance Curves'!$C$1:$L$44,MATCH('BMP P Tracking Table'!$AZ171,'Performance Curves'!$E$1:$L$1,1)+1,FALSE)),"")</f>
        <v/>
      </c>
      <c r="BD171" s="101" t="str">
        <f>IFERROR('BMP P Tracking Table'!$BC171*'BMP P Tracking Table'!$AY171,"")</f>
        <v/>
      </c>
      <c r="BE171" s="96"/>
      <c r="BF171" s="37">
        <f t="shared" si="17"/>
        <v>0</v>
      </c>
    </row>
    <row r="172" spans="1:58" x14ac:dyDescent="0.3">
      <c r="A172" s="64"/>
      <c r="B172" s="64"/>
      <c r="C172" s="64"/>
      <c r="D172" s="64"/>
      <c r="E172" s="93"/>
      <c r="F172" s="93"/>
      <c r="G172" s="64"/>
      <c r="H172" s="64"/>
      <c r="I172" s="64"/>
      <c r="J172" s="94"/>
      <c r="K172" s="64"/>
      <c r="L172" s="64"/>
      <c r="M172" s="64"/>
      <c r="N172" s="64"/>
      <c r="O172" s="64"/>
      <c r="P172" s="64"/>
      <c r="Q172" s="64" t="str">
        <f>IFERROR(VLOOKUP('BMP P Tracking Table'!$P172,Dropdowns!$C$2:$E$15,3,FALSE),"")</f>
        <v/>
      </c>
      <c r="R172" s="64" t="str">
        <f>IFERROR(VLOOKUP('BMP P Tracking Table'!$Q172,Dropdowns!$P$3:$Q$23,2,FALSE),"")</f>
        <v/>
      </c>
      <c r="S172" s="64"/>
      <c r="T172" s="64"/>
      <c r="U172" s="64"/>
      <c r="V172" s="64"/>
      <c r="W172" s="64"/>
      <c r="X172" s="64"/>
      <c r="Y172" s="64"/>
      <c r="Z172" s="64"/>
      <c r="AA172" s="64"/>
      <c r="AB172" s="95"/>
      <c r="AC172" s="64"/>
      <c r="AD172" s="101" t="str">
        <f>IFERROR('BMP P Tracking Table'!$U172*VLOOKUP('BMP P Tracking Table'!$Q172,'Loading Rates'!$B$1:$L$24,4,FALSE)+IF('BMP P Tracking Table'!$V172="By HSG",'BMP P Tracking Table'!$W172*VLOOKUP('BMP P Tracking Table'!$Q172,'Loading Rates'!$B$1:$L$24,6,FALSE)+'BMP P Tracking Table'!$X172*VLOOKUP('BMP P Tracking Table'!$Q172,'Loading Rates'!$B$1:$L$24,7,FALSE)+'BMP P Tracking Table'!$Y172*VLOOKUP('BMP P Tracking Table'!$Q172,'Loading Rates'!$B$1:$L$24,8,FALSE)+'BMP P Tracking Table'!$Z172*VLOOKUP('BMP P Tracking Table'!$Q172,'Loading Rates'!$B$1:$L$24,9,FALSE),'BMP P Tracking Table'!$AA172*VLOOKUP('BMP P Tracking Table'!$Q172,'Loading Rates'!$B$1:$L$24,10,FALSE)),"")</f>
        <v/>
      </c>
      <c r="AE172" s="101" t="str">
        <f>IFERROR(MIN(2,IF('BMP P Tracking Table'!$V172="Total Pervious",(-(3630*'BMP P Tracking Table'!$U172+20.691*'BMP P Tracking Table'!$AA172)+SQRT((3630*'BMP P Tracking Table'!$U172+20.691*'BMP P Tracking Table'!$AA172)^2-(4*(996.798*'BMP P Tracking Table'!$AA172)*-'BMP P Tracking Table'!$AB172)))/(2*(996.798*'BMP P Tracking Table'!$AA172)),IF(SUM('BMP P Tracking Table'!$W172:$Z172)=0,'BMP P Tracking Table'!$AB172/(-3630*'BMP P Tracking Table'!$U172),(-(3630*'BMP P Tracking Table'!$U172+20.691*'BMP P Tracking Table'!$Z172-216.711*'BMP P Tracking Table'!$Y172-83.853*'BMP P Tracking Table'!$X172-42.834*'BMP P Tracking Table'!$W172)+SQRT((3630*'BMP P Tracking Table'!$U172+20.691*'BMP P Tracking Table'!$Z172-216.711*'BMP P Tracking Table'!$Y172-83.853*'BMP P Tracking Table'!$X172-42.834*'BMP P Tracking Table'!$W172)^2-(4*(149.919*'BMP P Tracking Table'!$W172+236.676*'BMP P Tracking Table'!$X172+726*'BMP P Tracking Table'!$Y172+996.798*'BMP P Tracking Table'!$Z172)*-'BMP P Tracking Table'!$AB172)))/(2*(149.919*'BMP P Tracking Table'!$W172+236.676*'BMP P Tracking Table'!$X172+726*'BMP P Tracking Table'!$Y172+996.798*'BMP P Tracking Table'!$Z172))))),"")</f>
        <v/>
      </c>
      <c r="AF172" s="101" t="str">
        <f>IFERROR((VLOOKUP(CONCATENATE('BMP P Tracking Table'!$T172," ",'BMP P Tracking Table'!$AC172),'Performance Curves'!$C$1:$L$45,MATCH('BMP P Tracking Table'!$AE172,'Performance Curves'!$E$1:$L$1,1)+2,FALSE)-VLOOKUP(CONCATENATE('BMP P Tracking Table'!$T172," ",'BMP P Tracking Table'!$AC172),'Performance Curves'!$C$1:$L$45,MATCH('BMP P Tracking Table'!$AE172,'Performance Curves'!$E$1:$L$1,1)+1,FALSE)),"")</f>
        <v/>
      </c>
      <c r="AG172" s="101" t="str">
        <f>IFERROR(('BMP P Tracking Table'!$AE172-INDEX('Performance Curves'!$E$1:$L$1,1,MATCH('BMP P Tracking Table'!$AE172,'Performance Curves'!$E$1:$L$1,1)))/(INDEX('Performance Curves'!$E$1:$L$1,1,MATCH('BMP P Tracking Table'!$AE172,'Performance Curves'!$E$1:$L$1,1)+1)-INDEX('Performance Curves'!$E$1:$L$1,1,MATCH('BMP P Tracking Table'!$AE172,'Performance Curves'!$E$1:$L$1,1))),"")</f>
        <v/>
      </c>
      <c r="AH172" s="102" t="str">
        <f>IFERROR(IF('BMP P Tracking Table'!$AE172=2,VLOOKUP(CONCATENATE('BMP P Tracking Table'!$T172," ",'BMP P Tracking Table'!$AC172),'Performance Curves'!$C$1:$L$45,MATCH('BMP P Tracking Table'!$AE172,'Performance Curves'!$E$1:$L$1,1)+1,FALSE),'BMP P Tracking Table'!$AF172*'BMP P Tracking Table'!$AG172+VLOOKUP(CONCATENATE('BMP P Tracking Table'!$T172," ",'BMP P Tracking Table'!$AC172),'Performance Curves'!$C$1:$L$45,MATCH('BMP P Tracking Table'!$AE172,'Performance Curves'!$E$1:$L$1,1)+1,FALSE)),"")</f>
        <v/>
      </c>
      <c r="AI172" s="101" t="str">
        <f>IFERROR('BMP P Tracking Table'!$AH172*'BMP P Tracking Table'!$AD172,"")</f>
        <v/>
      </c>
      <c r="AJ172" s="64"/>
      <c r="AK172" s="96"/>
      <c r="AL172" s="96"/>
      <c r="AM172" s="63"/>
      <c r="AN172" s="99" t="str">
        <f t="shared" si="16"/>
        <v/>
      </c>
      <c r="AO172" s="96"/>
      <c r="AP172" s="96"/>
      <c r="AQ172" s="96"/>
      <c r="AR172" s="96"/>
      <c r="AS172" s="96"/>
      <c r="AT172" s="96"/>
      <c r="AU172" s="96"/>
      <c r="AV172" s="64"/>
      <c r="AW172" s="97"/>
      <c r="AX172" s="97"/>
      <c r="AY172" s="101" t="str">
        <f>IF('BMP P Tracking Table'!$AK172="Yes",IF('BMP P Tracking Table'!$AL172="No",'BMP P Tracking Table'!$U172*VLOOKUP('BMP P Tracking Table'!$Q172,'Loading Rates'!$B$1:$L$24,4,FALSE)+IF('BMP P Tracking Table'!$V172="By HSG",'BMP P Tracking Table'!$W172*VLOOKUP('BMP P Tracking Table'!$Q172,'Loading Rates'!$B$1:$L$24,6,FALSE)+'BMP P Tracking Table'!$X172*VLOOKUP('BMP P Tracking Table'!$Q172,'Loading Rates'!$B$1:$L$24,7,FALSE)+'BMP P Tracking Table'!$Y172*VLOOKUP('BMP P Tracking Table'!$Q172,'Loading Rates'!$B$1:$L$24,8,FALSE)+'BMP P Tracking Table'!$Z172*VLOOKUP('BMP P Tracking Table'!$Q172,'Loading Rates'!$B$1:$L$24,9,FALSE),'BMP P Tracking Table'!$AA172*VLOOKUP('BMP P Tracking Table'!$Q172,'Loading Rates'!$B$1:$L$24,10,FALSE)),'BMP P Tracking Table'!$AO172*VLOOKUP('BMP P Tracking Table'!$Q172,'Loading Rates'!$B$1:$L$24,4,FALSE)+IF('BMP P Tracking Table'!$AP172="By HSG",'BMP P Tracking Table'!$AQ172*VLOOKUP('BMP P Tracking Table'!$Q172,'Loading Rates'!$B$1:$L$24,6,FALSE)+'BMP P Tracking Table'!$AR172*VLOOKUP('BMP P Tracking Table'!$Q172,'Loading Rates'!$B$1:$L$24,7,FALSE)+'BMP P Tracking Table'!$AS172*VLOOKUP('BMP P Tracking Table'!$Q172,'Loading Rates'!$B$1:$L$24,8,FALSE)+'BMP P Tracking Table'!$AT172*VLOOKUP('BMP P Tracking Table'!$Q172,'Loading Rates'!$B$1:$L$24,9,FALSE),'BMP P Tracking Table'!$AU172*VLOOKUP('BMP P Tracking Table'!$Q172,'Loading Rates'!$B$1:$L$24,10,FALSE))),"")</f>
        <v/>
      </c>
      <c r="AZ172" s="101" t="str">
        <f>IFERROR(IF('BMP P Tracking Table'!$AL172="Yes",MIN(2,IF('BMP P Tracking Table'!$AP172="Total Pervious",(-(3630*'BMP P Tracking Table'!$AO172+20.691*'BMP P Tracking Table'!$AU172)+SQRT((3630*'BMP P Tracking Table'!$AO172+20.691*'BMP P Tracking Table'!$AU172)^2-(4*(996.798*'BMP P Tracking Table'!$AU172)*-'BMP P Tracking Table'!$AW172)))/(2*(996.798*'BMP P Tracking Table'!$AU172)),IF(SUM('BMP P Tracking Table'!$AQ172:$AT172)=0,'BMP P Tracking Table'!$AU172/(-3630*'BMP P Tracking Table'!$AO172),(-(3630*'BMP P Tracking Table'!$AO172+20.691*'BMP P Tracking Table'!$AT172-216.711*'BMP P Tracking Table'!$AS172-83.853*'BMP P Tracking Table'!$AR172-42.834*'BMP P Tracking Table'!$AQ172)+SQRT((3630*'BMP P Tracking Table'!$AO172+20.691*'BMP P Tracking Table'!$AT172-216.711*'BMP P Tracking Table'!$AS172-83.853*'BMP P Tracking Table'!$AR172-42.834*'BMP P Tracking Table'!$AQ172)^2-(4*(149.919*'BMP P Tracking Table'!$AQ172+236.676*'BMP P Tracking Table'!$AR172+726*'BMP P Tracking Table'!$AS172+996.798*'BMP P Tracking Table'!$AT172)*-'BMP P Tracking Table'!$AW172)))/(2*(149.919*'BMP P Tracking Table'!$AQ172+236.676*'BMP P Tracking Table'!$AR172+726*'BMP P Tracking Table'!$AS172+996.798*'BMP P Tracking Table'!$AT172))))),MIN(2,IF('BMP P Tracking Table'!$AP172="Total Pervious",(-(3630*'BMP P Tracking Table'!$U172+20.691*'BMP P Tracking Table'!$AA172)+SQRT((3630*'BMP P Tracking Table'!$U172+20.691*'BMP P Tracking Table'!$AA172)^2-(4*(996.798*'BMP P Tracking Table'!$AA172)*-'BMP P Tracking Table'!$AW172)))/(2*(996.798*'BMP P Tracking Table'!$AA172)),IF(SUM('BMP P Tracking Table'!$W172:$Z172)=0,'BMP P Tracking Table'!$AW172/(-3630*'BMP P Tracking Table'!$U172),(-(3630*'BMP P Tracking Table'!$U172+20.691*'BMP P Tracking Table'!$Z172-216.711*'BMP P Tracking Table'!$Y172-83.853*'BMP P Tracking Table'!$X172-42.834*'BMP P Tracking Table'!$W172)+SQRT((3630*'BMP P Tracking Table'!$U172+20.691*'BMP P Tracking Table'!$Z172-216.711*'BMP P Tracking Table'!$Y172-83.853*'BMP P Tracking Table'!$X172-42.834*'BMP P Tracking Table'!$W172)^2-(4*(149.919*'BMP P Tracking Table'!$W172+236.676*'BMP P Tracking Table'!$X172+726*'BMP P Tracking Table'!$Y172+996.798*'BMP P Tracking Table'!$Z172)*-'BMP P Tracking Table'!$AW172)))/(2*(149.919*'BMP P Tracking Table'!$W172+236.676*'BMP P Tracking Table'!$X172+726*'BMP P Tracking Table'!$Y172+996.798*'BMP P Tracking Table'!$Z172)))))),"")</f>
        <v/>
      </c>
      <c r="BA172" s="101" t="str">
        <f>IFERROR((VLOOKUP(CONCATENATE('BMP P Tracking Table'!$AV172," ",'BMP P Tracking Table'!$AX172),'Performance Curves'!$C$1:$L$45,MATCH('BMP P Tracking Table'!$AZ172,'Performance Curves'!$E$1:$L$1,1)+2,FALSE)-VLOOKUP(CONCATENATE('BMP P Tracking Table'!$AV172," ",'BMP P Tracking Table'!$AX172),'Performance Curves'!$C$1:$L$45,MATCH('BMP P Tracking Table'!$AZ172,'Performance Curves'!$E$1:$L$1,1)+1,FALSE)),"")</f>
        <v/>
      </c>
      <c r="BB172" s="101" t="str">
        <f>IFERROR(('BMP P Tracking Table'!$AZ172-INDEX('Performance Curves'!$E$1:$L$1,1,MATCH('BMP P Tracking Table'!$AZ172,'Performance Curves'!$E$1:$L$1,1)))/(INDEX('Performance Curves'!$E$1:$L$1,1,MATCH('BMP P Tracking Table'!$AZ172,'Performance Curves'!$E$1:$L$1,1)+1)-INDEX('Performance Curves'!$E$1:$L$1,1,MATCH('BMP P Tracking Table'!$AZ172,'Performance Curves'!$E$1:$L$1,1))),"")</f>
        <v/>
      </c>
      <c r="BC172" s="102" t="str">
        <f>IFERROR(IF('BMP P Tracking Table'!$AZ172=2,VLOOKUP(CONCATENATE('BMP P Tracking Table'!$AV172," ",'BMP P Tracking Table'!$AX172),'Performance Curves'!$C$1:$L$44,MATCH('BMP P Tracking Table'!$AZ172,'Performance Curves'!$E$1:$L$1,1)+1,FALSE),'BMP P Tracking Table'!$BA172*'BMP P Tracking Table'!$BB172+VLOOKUP(CONCATENATE('BMP P Tracking Table'!$AV172," ",'BMP P Tracking Table'!$AX172),'Performance Curves'!$C$1:$L$44,MATCH('BMP P Tracking Table'!$AZ172,'Performance Curves'!$E$1:$L$1,1)+1,FALSE)),"")</f>
        <v/>
      </c>
      <c r="BD172" s="101" t="str">
        <f>IFERROR('BMP P Tracking Table'!$BC172*'BMP P Tracking Table'!$AY172,"")</f>
        <v/>
      </c>
      <c r="BE172" s="96"/>
      <c r="BF172" s="37">
        <f t="shared" si="17"/>
        <v>0</v>
      </c>
    </row>
    <row r="173" spans="1:58" x14ac:dyDescent="0.3">
      <c r="A173" s="64"/>
      <c r="B173" s="64"/>
      <c r="C173" s="64"/>
      <c r="D173" s="64"/>
      <c r="E173" s="93"/>
      <c r="F173" s="93"/>
      <c r="G173" s="64"/>
      <c r="H173" s="64"/>
      <c r="I173" s="64"/>
      <c r="J173" s="94"/>
      <c r="K173" s="64"/>
      <c r="L173" s="64"/>
      <c r="M173" s="64"/>
      <c r="N173" s="64"/>
      <c r="O173" s="64"/>
      <c r="P173" s="64"/>
      <c r="Q173" s="64" t="str">
        <f>IFERROR(VLOOKUP('BMP P Tracking Table'!$P173,Dropdowns!$C$2:$E$15,3,FALSE),"")</f>
        <v/>
      </c>
      <c r="R173" s="64" t="str">
        <f>IFERROR(VLOOKUP('BMP P Tracking Table'!$Q173,Dropdowns!$P$3:$Q$23,2,FALSE),"")</f>
        <v/>
      </c>
      <c r="S173" s="64"/>
      <c r="T173" s="64"/>
      <c r="U173" s="64"/>
      <c r="V173" s="64"/>
      <c r="W173" s="64"/>
      <c r="X173" s="64"/>
      <c r="Y173" s="64"/>
      <c r="Z173" s="64"/>
      <c r="AA173" s="64"/>
      <c r="AB173" s="95"/>
      <c r="AC173" s="64"/>
      <c r="AD173" s="101" t="str">
        <f>IFERROR('BMP P Tracking Table'!$U173*VLOOKUP('BMP P Tracking Table'!$Q173,'Loading Rates'!$B$1:$L$24,4,FALSE)+IF('BMP P Tracking Table'!$V173="By HSG",'BMP P Tracking Table'!$W173*VLOOKUP('BMP P Tracking Table'!$Q173,'Loading Rates'!$B$1:$L$24,6,FALSE)+'BMP P Tracking Table'!$X173*VLOOKUP('BMP P Tracking Table'!$Q173,'Loading Rates'!$B$1:$L$24,7,FALSE)+'BMP P Tracking Table'!$Y173*VLOOKUP('BMP P Tracking Table'!$Q173,'Loading Rates'!$B$1:$L$24,8,FALSE)+'BMP P Tracking Table'!$Z173*VLOOKUP('BMP P Tracking Table'!$Q173,'Loading Rates'!$B$1:$L$24,9,FALSE),'BMP P Tracking Table'!$AA173*VLOOKUP('BMP P Tracking Table'!$Q173,'Loading Rates'!$B$1:$L$24,10,FALSE)),"")</f>
        <v/>
      </c>
      <c r="AE173" s="101" t="str">
        <f>IFERROR(MIN(2,IF('BMP P Tracking Table'!$V173="Total Pervious",(-(3630*'BMP P Tracking Table'!$U173+20.691*'BMP P Tracking Table'!$AA173)+SQRT((3630*'BMP P Tracking Table'!$U173+20.691*'BMP P Tracking Table'!$AA173)^2-(4*(996.798*'BMP P Tracking Table'!$AA173)*-'BMP P Tracking Table'!$AB173)))/(2*(996.798*'BMP P Tracking Table'!$AA173)),IF(SUM('BMP P Tracking Table'!$W173:$Z173)=0,'BMP P Tracking Table'!$AB173/(-3630*'BMP P Tracking Table'!$U173),(-(3630*'BMP P Tracking Table'!$U173+20.691*'BMP P Tracking Table'!$Z173-216.711*'BMP P Tracking Table'!$Y173-83.853*'BMP P Tracking Table'!$X173-42.834*'BMP P Tracking Table'!$W173)+SQRT((3630*'BMP P Tracking Table'!$U173+20.691*'BMP P Tracking Table'!$Z173-216.711*'BMP P Tracking Table'!$Y173-83.853*'BMP P Tracking Table'!$X173-42.834*'BMP P Tracking Table'!$W173)^2-(4*(149.919*'BMP P Tracking Table'!$W173+236.676*'BMP P Tracking Table'!$X173+726*'BMP P Tracking Table'!$Y173+996.798*'BMP P Tracking Table'!$Z173)*-'BMP P Tracking Table'!$AB173)))/(2*(149.919*'BMP P Tracking Table'!$W173+236.676*'BMP P Tracking Table'!$X173+726*'BMP P Tracking Table'!$Y173+996.798*'BMP P Tracking Table'!$Z173))))),"")</f>
        <v/>
      </c>
      <c r="AF173" s="101" t="str">
        <f>IFERROR((VLOOKUP(CONCATENATE('BMP P Tracking Table'!$T173," ",'BMP P Tracking Table'!$AC173),'Performance Curves'!$C$1:$L$45,MATCH('BMP P Tracking Table'!$AE173,'Performance Curves'!$E$1:$L$1,1)+2,FALSE)-VLOOKUP(CONCATENATE('BMP P Tracking Table'!$T173," ",'BMP P Tracking Table'!$AC173),'Performance Curves'!$C$1:$L$45,MATCH('BMP P Tracking Table'!$AE173,'Performance Curves'!$E$1:$L$1,1)+1,FALSE)),"")</f>
        <v/>
      </c>
      <c r="AG173" s="101" t="str">
        <f>IFERROR(('BMP P Tracking Table'!$AE173-INDEX('Performance Curves'!$E$1:$L$1,1,MATCH('BMP P Tracking Table'!$AE173,'Performance Curves'!$E$1:$L$1,1)))/(INDEX('Performance Curves'!$E$1:$L$1,1,MATCH('BMP P Tracking Table'!$AE173,'Performance Curves'!$E$1:$L$1,1)+1)-INDEX('Performance Curves'!$E$1:$L$1,1,MATCH('BMP P Tracking Table'!$AE173,'Performance Curves'!$E$1:$L$1,1))),"")</f>
        <v/>
      </c>
      <c r="AH173" s="102" t="str">
        <f>IFERROR(IF('BMP P Tracking Table'!$AE173=2,VLOOKUP(CONCATENATE('BMP P Tracking Table'!$T173," ",'BMP P Tracking Table'!$AC173),'Performance Curves'!$C$1:$L$45,MATCH('BMP P Tracking Table'!$AE173,'Performance Curves'!$E$1:$L$1,1)+1,FALSE),'BMP P Tracking Table'!$AF173*'BMP P Tracking Table'!$AG173+VLOOKUP(CONCATENATE('BMP P Tracking Table'!$T173," ",'BMP P Tracking Table'!$AC173),'Performance Curves'!$C$1:$L$45,MATCH('BMP P Tracking Table'!$AE173,'Performance Curves'!$E$1:$L$1,1)+1,FALSE)),"")</f>
        <v/>
      </c>
      <c r="AI173" s="101" t="str">
        <f>IFERROR('BMP P Tracking Table'!$AH173*'BMP P Tracking Table'!$AD173,"")</f>
        <v/>
      </c>
      <c r="AJ173" s="64"/>
      <c r="AK173" s="96"/>
      <c r="AL173" s="96"/>
      <c r="AM173" s="63"/>
      <c r="AN173" s="99" t="str">
        <f t="shared" si="16"/>
        <v/>
      </c>
      <c r="AO173" s="96"/>
      <c r="AP173" s="96"/>
      <c r="AQ173" s="96"/>
      <c r="AR173" s="96"/>
      <c r="AS173" s="96"/>
      <c r="AT173" s="96"/>
      <c r="AU173" s="96"/>
      <c r="AV173" s="64"/>
      <c r="AW173" s="97"/>
      <c r="AX173" s="97"/>
      <c r="AY173" s="101" t="str">
        <f>IF('BMP P Tracking Table'!$AK173="Yes",IF('BMP P Tracking Table'!$AL173="No",'BMP P Tracking Table'!$U173*VLOOKUP('BMP P Tracking Table'!$Q173,'Loading Rates'!$B$1:$L$24,4,FALSE)+IF('BMP P Tracking Table'!$V173="By HSG",'BMP P Tracking Table'!$W173*VLOOKUP('BMP P Tracking Table'!$Q173,'Loading Rates'!$B$1:$L$24,6,FALSE)+'BMP P Tracking Table'!$X173*VLOOKUP('BMP P Tracking Table'!$Q173,'Loading Rates'!$B$1:$L$24,7,FALSE)+'BMP P Tracking Table'!$Y173*VLOOKUP('BMP P Tracking Table'!$Q173,'Loading Rates'!$B$1:$L$24,8,FALSE)+'BMP P Tracking Table'!$Z173*VLOOKUP('BMP P Tracking Table'!$Q173,'Loading Rates'!$B$1:$L$24,9,FALSE),'BMP P Tracking Table'!$AA173*VLOOKUP('BMP P Tracking Table'!$Q173,'Loading Rates'!$B$1:$L$24,10,FALSE)),'BMP P Tracking Table'!$AO173*VLOOKUP('BMP P Tracking Table'!$Q173,'Loading Rates'!$B$1:$L$24,4,FALSE)+IF('BMP P Tracking Table'!$AP173="By HSG",'BMP P Tracking Table'!$AQ173*VLOOKUP('BMP P Tracking Table'!$Q173,'Loading Rates'!$B$1:$L$24,6,FALSE)+'BMP P Tracking Table'!$AR173*VLOOKUP('BMP P Tracking Table'!$Q173,'Loading Rates'!$B$1:$L$24,7,FALSE)+'BMP P Tracking Table'!$AS173*VLOOKUP('BMP P Tracking Table'!$Q173,'Loading Rates'!$B$1:$L$24,8,FALSE)+'BMP P Tracking Table'!$AT173*VLOOKUP('BMP P Tracking Table'!$Q173,'Loading Rates'!$B$1:$L$24,9,FALSE),'BMP P Tracking Table'!$AU173*VLOOKUP('BMP P Tracking Table'!$Q173,'Loading Rates'!$B$1:$L$24,10,FALSE))),"")</f>
        <v/>
      </c>
      <c r="AZ173" s="101" t="str">
        <f>IFERROR(IF('BMP P Tracking Table'!$AL173="Yes",MIN(2,IF('BMP P Tracking Table'!$AP173="Total Pervious",(-(3630*'BMP P Tracking Table'!$AO173+20.691*'BMP P Tracking Table'!$AU173)+SQRT((3630*'BMP P Tracking Table'!$AO173+20.691*'BMP P Tracking Table'!$AU173)^2-(4*(996.798*'BMP P Tracking Table'!$AU173)*-'BMP P Tracking Table'!$AW173)))/(2*(996.798*'BMP P Tracking Table'!$AU173)),IF(SUM('BMP P Tracking Table'!$AQ173:$AT173)=0,'BMP P Tracking Table'!$AU173/(-3630*'BMP P Tracking Table'!$AO173),(-(3630*'BMP P Tracking Table'!$AO173+20.691*'BMP P Tracking Table'!$AT173-216.711*'BMP P Tracking Table'!$AS173-83.853*'BMP P Tracking Table'!$AR173-42.834*'BMP P Tracking Table'!$AQ173)+SQRT((3630*'BMP P Tracking Table'!$AO173+20.691*'BMP P Tracking Table'!$AT173-216.711*'BMP P Tracking Table'!$AS173-83.853*'BMP P Tracking Table'!$AR173-42.834*'BMP P Tracking Table'!$AQ173)^2-(4*(149.919*'BMP P Tracking Table'!$AQ173+236.676*'BMP P Tracking Table'!$AR173+726*'BMP P Tracking Table'!$AS173+996.798*'BMP P Tracking Table'!$AT173)*-'BMP P Tracking Table'!$AW173)))/(2*(149.919*'BMP P Tracking Table'!$AQ173+236.676*'BMP P Tracking Table'!$AR173+726*'BMP P Tracking Table'!$AS173+996.798*'BMP P Tracking Table'!$AT173))))),MIN(2,IF('BMP P Tracking Table'!$AP173="Total Pervious",(-(3630*'BMP P Tracking Table'!$U173+20.691*'BMP P Tracking Table'!$AA173)+SQRT((3630*'BMP P Tracking Table'!$U173+20.691*'BMP P Tracking Table'!$AA173)^2-(4*(996.798*'BMP P Tracking Table'!$AA173)*-'BMP P Tracking Table'!$AW173)))/(2*(996.798*'BMP P Tracking Table'!$AA173)),IF(SUM('BMP P Tracking Table'!$W173:$Z173)=0,'BMP P Tracking Table'!$AW173/(-3630*'BMP P Tracking Table'!$U173),(-(3630*'BMP P Tracking Table'!$U173+20.691*'BMP P Tracking Table'!$Z173-216.711*'BMP P Tracking Table'!$Y173-83.853*'BMP P Tracking Table'!$X173-42.834*'BMP P Tracking Table'!$W173)+SQRT((3630*'BMP P Tracking Table'!$U173+20.691*'BMP P Tracking Table'!$Z173-216.711*'BMP P Tracking Table'!$Y173-83.853*'BMP P Tracking Table'!$X173-42.834*'BMP P Tracking Table'!$W173)^2-(4*(149.919*'BMP P Tracking Table'!$W173+236.676*'BMP P Tracking Table'!$X173+726*'BMP P Tracking Table'!$Y173+996.798*'BMP P Tracking Table'!$Z173)*-'BMP P Tracking Table'!$AW173)))/(2*(149.919*'BMP P Tracking Table'!$W173+236.676*'BMP P Tracking Table'!$X173+726*'BMP P Tracking Table'!$Y173+996.798*'BMP P Tracking Table'!$Z173)))))),"")</f>
        <v/>
      </c>
      <c r="BA173" s="101" t="str">
        <f>IFERROR((VLOOKUP(CONCATENATE('BMP P Tracking Table'!$AV173," ",'BMP P Tracking Table'!$AX173),'Performance Curves'!$C$1:$L$45,MATCH('BMP P Tracking Table'!$AZ173,'Performance Curves'!$E$1:$L$1,1)+2,FALSE)-VLOOKUP(CONCATENATE('BMP P Tracking Table'!$AV173," ",'BMP P Tracking Table'!$AX173),'Performance Curves'!$C$1:$L$45,MATCH('BMP P Tracking Table'!$AZ173,'Performance Curves'!$E$1:$L$1,1)+1,FALSE)),"")</f>
        <v/>
      </c>
      <c r="BB173" s="101" t="str">
        <f>IFERROR(('BMP P Tracking Table'!$AZ173-INDEX('Performance Curves'!$E$1:$L$1,1,MATCH('BMP P Tracking Table'!$AZ173,'Performance Curves'!$E$1:$L$1,1)))/(INDEX('Performance Curves'!$E$1:$L$1,1,MATCH('BMP P Tracking Table'!$AZ173,'Performance Curves'!$E$1:$L$1,1)+1)-INDEX('Performance Curves'!$E$1:$L$1,1,MATCH('BMP P Tracking Table'!$AZ173,'Performance Curves'!$E$1:$L$1,1))),"")</f>
        <v/>
      </c>
      <c r="BC173" s="102" t="str">
        <f>IFERROR(IF('BMP P Tracking Table'!$AZ173=2,VLOOKUP(CONCATENATE('BMP P Tracking Table'!$AV173," ",'BMP P Tracking Table'!$AX173),'Performance Curves'!$C$1:$L$44,MATCH('BMP P Tracking Table'!$AZ173,'Performance Curves'!$E$1:$L$1,1)+1,FALSE),'BMP P Tracking Table'!$BA173*'BMP P Tracking Table'!$BB173+VLOOKUP(CONCATENATE('BMP P Tracking Table'!$AV173," ",'BMP P Tracking Table'!$AX173),'Performance Curves'!$C$1:$L$44,MATCH('BMP P Tracking Table'!$AZ173,'Performance Curves'!$E$1:$L$1,1)+1,FALSE)),"")</f>
        <v/>
      </c>
      <c r="BD173" s="101" t="str">
        <f>IFERROR('BMP P Tracking Table'!$BC173*'BMP P Tracking Table'!$AY173,"")</f>
        <v/>
      </c>
      <c r="BE173" s="96"/>
      <c r="BF173" s="37">
        <f t="shared" si="17"/>
        <v>0</v>
      </c>
    </row>
    <row r="174" spans="1:58" x14ac:dyDescent="0.3">
      <c r="A174" s="64"/>
      <c r="B174" s="64"/>
      <c r="C174" s="64"/>
      <c r="D174" s="64"/>
      <c r="E174" s="93"/>
      <c r="F174" s="93"/>
      <c r="G174" s="64"/>
      <c r="H174" s="64"/>
      <c r="I174" s="64"/>
      <c r="J174" s="94"/>
      <c r="K174" s="64"/>
      <c r="L174" s="64"/>
      <c r="M174" s="64"/>
      <c r="N174" s="64"/>
      <c r="O174" s="64"/>
      <c r="P174" s="64"/>
      <c r="Q174" s="64" t="str">
        <f>IFERROR(VLOOKUP('BMP P Tracking Table'!$P174,Dropdowns!$C$2:$E$15,3,FALSE),"")</f>
        <v/>
      </c>
      <c r="R174" s="64" t="str">
        <f>IFERROR(VLOOKUP('BMP P Tracking Table'!$Q174,Dropdowns!$P$3:$Q$23,2,FALSE),"")</f>
        <v/>
      </c>
      <c r="S174" s="64"/>
      <c r="T174" s="64"/>
      <c r="U174" s="64"/>
      <c r="V174" s="64"/>
      <c r="W174" s="64"/>
      <c r="X174" s="64"/>
      <c r="Y174" s="64"/>
      <c r="Z174" s="64"/>
      <c r="AA174" s="64"/>
      <c r="AB174" s="95"/>
      <c r="AC174" s="64"/>
      <c r="AD174" s="101" t="str">
        <f>IFERROR('BMP P Tracking Table'!$U174*VLOOKUP('BMP P Tracking Table'!$Q174,'Loading Rates'!$B$1:$L$24,4,FALSE)+IF('BMP P Tracking Table'!$V174="By HSG",'BMP P Tracking Table'!$W174*VLOOKUP('BMP P Tracking Table'!$Q174,'Loading Rates'!$B$1:$L$24,6,FALSE)+'BMP P Tracking Table'!$X174*VLOOKUP('BMP P Tracking Table'!$Q174,'Loading Rates'!$B$1:$L$24,7,FALSE)+'BMP P Tracking Table'!$Y174*VLOOKUP('BMP P Tracking Table'!$Q174,'Loading Rates'!$B$1:$L$24,8,FALSE)+'BMP P Tracking Table'!$Z174*VLOOKUP('BMP P Tracking Table'!$Q174,'Loading Rates'!$B$1:$L$24,9,FALSE),'BMP P Tracking Table'!$AA174*VLOOKUP('BMP P Tracking Table'!$Q174,'Loading Rates'!$B$1:$L$24,10,FALSE)),"")</f>
        <v/>
      </c>
      <c r="AE174" s="101" t="str">
        <f>IFERROR(MIN(2,IF('BMP P Tracking Table'!$V174="Total Pervious",(-(3630*'BMP P Tracking Table'!$U174+20.691*'BMP P Tracking Table'!$AA174)+SQRT((3630*'BMP P Tracking Table'!$U174+20.691*'BMP P Tracking Table'!$AA174)^2-(4*(996.798*'BMP P Tracking Table'!$AA174)*-'BMP P Tracking Table'!$AB174)))/(2*(996.798*'BMP P Tracking Table'!$AA174)),IF(SUM('BMP P Tracking Table'!$W174:$Z174)=0,'BMP P Tracking Table'!$AB174/(-3630*'BMP P Tracking Table'!$U174),(-(3630*'BMP P Tracking Table'!$U174+20.691*'BMP P Tracking Table'!$Z174-216.711*'BMP P Tracking Table'!$Y174-83.853*'BMP P Tracking Table'!$X174-42.834*'BMP P Tracking Table'!$W174)+SQRT((3630*'BMP P Tracking Table'!$U174+20.691*'BMP P Tracking Table'!$Z174-216.711*'BMP P Tracking Table'!$Y174-83.853*'BMP P Tracking Table'!$X174-42.834*'BMP P Tracking Table'!$W174)^2-(4*(149.919*'BMP P Tracking Table'!$W174+236.676*'BMP P Tracking Table'!$X174+726*'BMP P Tracking Table'!$Y174+996.798*'BMP P Tracking Table'!$Z174)*-'BMP P Tracking Table'!$AB174)))/(2*(149.919*'BMP P Tracking Table'!$W174+236.676*'BMP P Tracking Table'!$X174+726*'BMP P Tracking Table'!$Y174+996.798*'BMP P Tracking Table'!$Z174))))),"")</f>
        <v/>
      </c>
      <c r="AF174" s="101" t="str">
        <f>IFERROR((VLOOKUP(CONCATENATE('BMP P Tracking Table'!$T174," ",'BMP P Tracking Table'!$AC174),'Performance Curves'!$C$1:$L$45,MATCH('BMP P Tracking Table'!$AE174,'Performance Curves'!$E$1:$L$1,1)+2,FALSE)-VLOOKUP(CONCATENATE('BMP P Tracking Table'!$T174," ",'BMP P Tracking Table'!$AC174),'Performance Curves'!$C$1:$L$45,MATCH('BMP P Tracking Table'!$AE174,'Performance Curves'!$E$1:$L$1,1)+1,FALSE)),"")</f>
        <v/>
      </c>
      <c r="AG174" s="101" t="str">
        <f>IFERROR(('BMP P Tracking Table'!$AE174-INDEX('Performance Curves'!$E$1:$L$1,1,MATCH('BMP P Tracking Table'!$AE174,'Performance Curves'!$E$1:$L$1,1)))/(INDEX('Performance Curves'!$E$1:$L$1,1,MATCH('BMP P Tracking Table'!$AE174,'Performance Curves'!$E$1:$L$1,1)+1)-INDEX('Performance Curves'!$E$1:$L$1,1,MATCH('BMP P Tracking Table'!$AE174,'Performance Curves'!$E$1:$L$1,1))),"")</f>
        <v/>
      </c>
      <c r="AH174" s="102" t="str">
        <f>IFERROR(IF('BMP P Tracking Table'!$AE174=2,VLOOKUP(CONCATENATE('BMP P Tracking Table'!$T174," ",'BMP P Tracking Table'!$AC174),'Performance Curves'!$C$1:$L$45,MATCH('BMP P Tracking Table'!$AE174,'Performance Curves'!$E$1:$L$1,1)+1,FALSE),'BMP P Tracking Table'!$AF174*'BMP P Tracking Table'!$AG174+VLOOKUP(CONCATENATE('BMP P Tracking Table'!$T174," ",'BMP P Tracking Table'!$AC174),'Performance Curves'!$C$1:$L$45,MATCH('BMP P Tracking Table'!$AE174,'Performance Curves'!$E$1:$L$1,1)+1,FALSE)),"")</f>
        <v/>
      </c>
      <c r="AI174" s="101" t="str">
        <f>IFERROR('BMP P Tracking Table'!$AH174*'BMP P Tracking Table'!$AD174,"")</f>
        <v/>
      </c>
      <c r="AJ174" s="64"/>
      <c r="AK174" s="96"/>
      <c r="AL174" s="96"/>
      <c r="AM174" s="63"/>
      <c r="AN174" s="99" t="str">
        <f t="shared" si="16"/>
        <v/>
      </c>
      <c r="AO174" s="96"/>
      <c r="AP174" s="96"/>
      <c r="AQ174" s="96"/>
      <c r="AR174" s="96"/>
      <c r="AS174" s="96"/>
      <c r="AT174" s="96"/>
      <c r="AU174" s="96"/>
      <c r="AV174" s="64"/>
      <c r="AW174" s="97"/>
      <c r="AX174" s="97"/>
      <c r="AY174" s="101" t="str">
        <f>IF('BMP P Tracking Table'!$AK174="Yes",IF('BMP P Tracking Table'!$AL174="No",'BMP P Tracking Table'!$U174*VLOOKUP('BMP P Tracking Table'!$Q174,'Loading Rates'!$B$1:$L$24,4,FALSE)+IF('BMP P Tracking Table'!$V174="By HSG",'BMP P Tracking Table'!$W174*VLOOKUP('BMP P Tracking Table'!$Q174,'Loading Rates'!$B$1:$L$24,6,FALSE)+'BMP P Tracking Table'!$X174*VLOOKUP('BMP P Tracking Table'!$Q174,'Loading Rates'!$B$1:$L$24,7,FALSE)+'BMP P Tracking Table'!$Y174*VLOOKUP('BMP P Tracking Table'!$Q174,'Loading Rates'!$B$1:$L$24,8,FALSE)+'BMP P Tracking Table'!$Z174*VLOOKUP('BMP P Tracking Table'!$Q174,'Loading Rates'!$B$1:$L$24,9,FALSE),'BMP P Tracking Table'!$AA174*VLOOKUP('BMP P Tracking Table'!$Q174,'Loading Rates'!$B$1:$L$24,10,FALSE)),'BMP P Tracking Table'!$AO174*VLOOKUP('BMP P Tracking Table'!$Q174,'Loading Rates'!$B$1:$L$24,4,FALSE)+IF('BMP P Tracking Table'!$AP174="By HSG",'BMP P Tracking Table'!$AQ174*VLOOKUP('BMP P Tracking Table'!$Q174,'Loading Rates'!$B$1:$L$24,6,FALSE)+'BMP P Tracking Table'!$AR174*VLOOKUP('BMP P Tracking Table'!$Q174,'Loading Rates'!$B$1:$L$24,7,FALSE)+'BMP P Tracking Table'!$AS174*VLOOKUP('BMP P Tracking Table'!$Q174,'Loading Rates'!$B$1:$L$24,8,FALSE)+'BMP P Tracking Table'!$AT174*VLOOKUP('BMP P Tracking Table'!$Q174,'Loading Rates'!$B$1:$L$24,9,FALSE),'BMP P Tracking Table'!$AU174*VLOOKUP('BMP P Tracking Table'!$Q174,'Loading Rates'!$B$1:$L$24,10,FALSE))),"")</f>
        <v/>
      </c>
      <c r="AZ174" s="101" t="str">
        <f>IFERROR(IF('BMP P Tracking Table'!$AL174="Yes",MIN(2,IF('BMP P Tracking Table'!$AP174="Total Pervious",(-(3630*'BMP P Tracking Table'!$AO174+20.691*'BMP P Tracking Table'!$AU174)+SQRT((3630*'BMP P Tracking Table'!$AO174+20.691*'BMP P Tracking Table'!$AU174)^2-(4*(996.798*'BMP P Tracking Table'!$AU174)*-'BMP P Tracking Table'!$AW174)))/(2*(996.798*'BMP P Tracking Table'!$AU174)),IF(SUM('BMP P Tracking Table'!$AQ174:$AT174)=0,'BMP P Tracking Table'!$AU174/(-3630*'BMP P Tracking Table'!$AO174),(-(3630*'BMP P Tracking Table'!$AO174+20.691*'BMP P Tracking Table'!$AT174-216.711*'BMP P Tracking Table'!$AS174-83.853*'BMP P Tracking Table'!$AR174-42.834*'BMP P Tracking Table'!$AQ174)+SQRT((3630*'BMP P Tracking Table'!$AO174+20.691*'BMP P Tracking Table'!$AT174-216.711*'BMP P Tracking Table'!$AS174-83.853*'BMP P Tracking Table'!$AR174-42.834*'BMP P Tracking Table'!$AQ174)^2-(4*(149.919*'BMP P Tracking Table'!$AQ174+236.676*'BMP P Tracking Table'!$AR174+726*'BMP P Tracking Table'!$AS174+996.798*'BMP P Tracking Table'!$AT174)*-'BMP P Tracking Table'!$AW174)))/(2*(149.919*'BMP P Tracking Table'!$AQ174+236.676*'BMP P Tracking Table'!$AR174+726*'BMP P Tracking Table'!$AS174+996.798*'BMP P Tracking Table'!$AT174))))),MIN(2,IF('BMP P Tracking Table'!$AP174="Total Pervious",(-(3630*'BMP P Tracking Table'!$U174+20.691*'BMP P Tracking Table'!$AA174)+SQRT((3630*'BMP P Tracking Table'!$U174+20.691*'BMP P Tracking Table'!$AA174)^2-(4*(996.798*'BMP P Tracking Table'!$AA174)*-'BMP P Tracking Table'!$AW174)))/(2*(996.798*'BMP P Tracking Table'!$AA174)),IF(SUM('BMP P Tracking Table'!$W174:$Z174)=0,'BMP P Tracking Table'!$AW174/(-3630*'BMP P Tracking Table'!$U174),(-(3630*'BMP P Tracking Table'!$U174+20.691*'BMP P Tracking Table'!$Z174-216.711*'BMP P Tracking Table'!$Y174-83.853*'BMP P Tracking Table'!$X174-42.834*'BMP P Tracking Table'!$W174)+SQRT((3630*'BMP P Tracking Table'!$U174+20.691*'BMP P Tracking Table'!$Z174-216.711*'BMP P Tracking Table'!$Y174-83.853*'BMP P Tracking Table'!$X174-42.834*'BMP P Tracking Table'!$W174)^2-(4*(149.919*'BMP P Tracking Table'!$W174+236.676*'BMP P Tracking Table'!$X174+726*'BMP P Tracking Table'!$Y174+996.798*'BMP P Tracking Table'!$Z174)*-'BMP P Tracking Table'!$AW174)))/(2*(149.919*'BMP P Tracking Table'!$W174+236.676*'BMP P Tracking Table'!$X174+726*'BMP P Tracking Table'!$Y174+996.798*'BMP P Tracking Table'!$Z174)))))),"")</f>
        <v/>
      </c>
      <c r="BA174" s="101" t="str">
        <f>IFERROR((VLOOKUP(CONCATENATE('BMP P Tracking Table'!$AV174," ",'BMP P Tracking Table'!$AX174),'Performance Curves'!$C$1:$L$45,MATCH('BMP P Tracking Table'!$AZ174,'Performance Curves'!$E$1:$L$1,1)+2,FALSE)-VLOOKUP(CONCATENATE('BMP P Tracking Table'!$AV174," ",'BMP P Tracking Table'!$AX174),'Performance Curves'!$C$1:$L$45,MATCH('BMP P Tracking Table'!$AZ174,'Performance Curves'!$E$1:$L$1,1)+1,FALSE)),"")</f>
        <v/>
      </c>
      <c r="BB174" s="101" t="str">
        <f>IFERROR(('BMP P Tracking Table'!$AZ174-INDEX('Performance Curves'!$E$1:$L$1,1,MATCH('BMP P Tracking Table'!$AZ174,'Performance Curves'!$E$1:$L$1,1)))/(INDEX('Performance Curves'!$E$1:$L$1,1,MATCH('BMP P Tracking Table'!$AZ174,'Performance Curves'!$E$1:$L$1,1)+1)-INDEX('Performance Curves'!$E$1:$L$1,1,MATCH('BMP P Tracking Table'!$AZ174,'Performance Curves'!$E$1:$L$1,1))),"")</f>
        <v/>
      </c>
      <c r="BC174" s="102" t="str">
        <f>IFERROR(IF('BMP P Tracking Table'!$AZ174=2,VLOOKUP(CONCATENATE('BMP P Tracking Table'!$AV174," ",'BMP P Tracking Table'!$AX174),'Performance Curves'!$C$1:$L$44,MATCH('BMP P Tracking Table'!$AZ174,'Performance Curves'!$E$1:$L$1,1)+1,FALSE),'BMP P Tracking Table'!$BA174*'BMP P Tracking Table'!$BB174+VLOOKUP(CONCATENATE('BMP P Tracking Table'!$AV174," ",'BMP P Tracking Table'!$AX174),'Performance Curves'!$C$1:$L$44,MATCH('BMP P Tracking Table'!$AZ174,'Performance Curves'!$E$1:$L$1,1)+1,FALSE)),"")</f>
        <v/>
      </c>
      <c r="BD174" s="101" t="str">
        <f>IFERROR('BMP P Tracking Table'!$BC174*'BMP P Tracking Table'!$AY174,"")</f>
        <v/>
      </c>
      <c r="BE174" s="96"/>
      <c r="BF174" s="37">
        <f t="shared" si="17"/>
        <v>0</v>
      </c>
    </row>
    <row r="175" spans="1:58" x14ac:dyDescent="0.3">
      <c r="A175" s="64"/>
      <c r="B175" s="64"/>
      <c r="C175" s="64"/>
      <c r="D175" s="64"/>
      <c r="E175" s="93"/>
      <c r="F175" s="93"/>
      <c r="G175" s="64"/>
      <c r="H175" s="64"/>
      <c r="I175" s="64"/>
      <c r="J175" s="94"/>
      <c r="K175" s="64"/>
      <c r="L175" s="64"/>
      <c r="M175" s="64"/>
      <c r="N175" s="64"/>
      <c r="O175" s="64"/>
      <c r="P175" s="64"/>
      <c r="Q175" s="64" t="str">
        <f>IFERROR(VLOOKUP('BMP P Tracking Table'!$P175,Dropdowns!$C$2:$E$15,3,FALSE),"")</f>
        <v/>
      </c>
      <c r="R175" s="64" t="str">
        <f>IFERROR(VLOOKUP('BMP P Tracking Table'!$Q175,Dropdowns!$P$3:$Q$23,2,FALSE),"")</f>
        <v/>
      </c>
      <c r="S175" s="64"/>
      <c r="T175" s="64"/>
      <c r="U175" s="64"/>
      <c r="V175" s="64"/>
      <c r="W175" s="64"/>
      <c r="X175" s="64"/>
      <c r="Y175" s="64"/>
      <c r="Z175" s="64"/>
      <c r="AA175" s="64"/>
      <c r="AB175" s="95"/>
      <c r="AC175" s="64"/>
      <c r="AD175" s="101" t="str">
        <f>IFERROR('BMP P Tracking Table'!$U175*VLOOKUP('BMP P Tracking Table'!$Q175,'Loading Rates'!$B$1:$L$24,4,FALSE)+IF('BMP P Tracking Table'!$V175="By HSG",'BMP P Tracking Table'!$W175*VLOOKUP('BMP P Tracking Table'!$Q175,'Loading Rates'!$B$1:$L$24,6,FALSE)+'BMP P Tracking Table'!$X175*VLOOKUP('BMP P Tracking Table'!$Q175,'Loading Rates'!$B$1:$L$24,7,FALSE)+'BMP P Tracking Table'!$Y175*VLOOKUP('BMP P Tracking Table'!$Q175,'Loading Rates'!$B$1:$L$24,8,FALSE)+'BMP P Tracking Table'!$Z175*VLOOKUP('BMP P Tracking Table'!$Q175,'Loading Rates'!$B$1:$L$24,9,FALSE),'BMP P Tracking Table'!$AA175*VLOOKUP('BMP P Tracking Table'!$Q175,'Loading Rates'!$B$1:$L$24,10,FALSE)),"")</f>
        <v/>
      </c>
      <c r="AE175" s="101" t="str">
        <f>IFERROR(MIN(2,IF('BMP P Tracking Table'!$V175="Total Pervious",(-(3630*'BMP P Tracking Table'!$U175+20.691*'BMP P Tracking Table'!$AA175)+SQRT((3630*'BMP P Tracking Table'!$U175+20.691*'BMP P Tracking Table'!$AA175)^2-(4*(996.798*'BMP P Tracking Table'!$AA175)*-'BMP P Tracking Table'!$AB175)))/(2*(996.798*'BMP P Tracking Table'!$AA175)),IF(SUM('BMP P Tracking Table'!$W175:$Z175)=0,'BMP P Tracking Table'!$AB175/(-3630*'BMP P Tracking Table'!$U175),(-(3630*'BMP P Tracking Table'!$U175+20.691*'BMP P Tracking Table'!$Z175-216.711*'BMP P Tracking Table'!$Y175-83.853*'BMP P Tracking Table'!$X175-42.834*'BMP P Tracking Table'!$W175)+SQRT((3630*'BMP P Tracking Table'!$U175+20.691*'BMP P Tracking Table'!$Z175-216.711*'BMP P Tracking Table'!$Y175-83.853*'BMP P Tracking Table'!$X175-42.834*'BMP P Tracking Table'!$W175)^2-(4*(149.919*'BMP P Tracking Table'!$W175+236.676*'BMP P Tracking Table'!$X175+726*'BMP P Tracking Table'!$Y175+996.798*'BMP P Tracking Table'!$Z175)*-'BMP P Tracking Table'!$AB175)))/(2*(149.919*'BMP P Tracking Table'!$W175+236.676*'BMP P Tracking Table'!$X175+726*'BMP P Tracking Table'!$Y175+996.798*'BMP P Tracking Table'!$Z175))))),"")</f>
        <v/>
      </c>
      <c r="AF175" s="101" t="str">
        <f>IFERROR((VLOOKUP(CONCATENATE('BMP P Tracking Table'!$T175," ",'BMP P Tracking Table'!$AC175),'Performance Curves'!$C$1:$L$45,MATCH('BMP P Tracking Table'!$AE175,'Performance Curves'!$E$1:$L$1,1)+2,FALSE)-VLOOKUP(CONCATENATE('BMP P Tracking Table'!$T175," ",'BMP P Tracking Table'!$AC175),'Performance Curves'!$C$1:$L$45,MATCH('BMP P Tracking Table'!$AE175,'Performance Curves'!$E$1:$L$1,1)+1,FALSE)),"")</f>
        <v/>
      </c>
      <c r="AG175" s="101" t="str">
        <f>IFERROR(('BMP P Tracking Table'!$AE175-INDEX('Performance Curves'!$E$1:$L$1,1,MATCH('BMP P Tracking Table'!$AE175,'Performance Curves'!$E$1:$L$1,1)))/(INDEX('Performance Curves'!$E$1:$L$1,1,MATCH('BMP P Tracking Table'!$AE175,'Performance Curves'!$E$1:$L$1,1)+1)-INDEX('Performance Curves'!$E$1:$L$1,1,MATCH('BMP P Tracking Table'!$AE175,'Performance Curves'!$E$1:$L$1,1))),"")</f>
        <v/>
      </c>
      <c r="AH175" s="102" t="str">
        <f>IFERROR(IF('BMP P Tracking Table'!$AE175=2,VLOOKUP(CONCATENATE('BMP P Tracking Table'!$T175," ",'BMP P Tracking Table'!$AC175),'Performance Curves'!$C$1:$L$45,MATCH('BMP P Tracking Table'!$AE175,'Performance Curves'!$E$1:$L$1,1)+1,FALSE),'BMP P Tracking Table'!$AF175*'BMP P Tracking Table'!$AG175+VLOOKUP(CONCATENATE('BMP P Tracking Table'!$T175," ",'BMP P Tracking Table'!$AC175),'Performance Curves'!$C$1:$L$45,MATCH('BMP P Tracking Table'!$AE175,'Performance Curves'!$E$1:$L$1,1)+1,FALSE)),"")</f>
        <v/>
      </c>
      <c r="AI175" s="101" t="str">
        <f>IFERROR('BMP P Tracking Table'!$AH175*'BMP P Tracking Table'!$AD175,"")</f>
        <v/>
      </c>
      <c r="AJ175" s="64"/>
      <c r="AK175" s="96"/>
      <c r="AL175" s="96"/>
      <c r="AM175" s="63"/>
      <c r="AN175" s="99" t="str">
        <f t="shared" si="16"/>
        <v/>
      </c>
      <c r="AO175" s="96"/>
      <c r="AP175" s="96"/>
      <c r="AQ175" s="96"/>
      <c r="AR175" s="96"/>
      <c r="AS175" s="96"/>
      <c r="AT175" s="96"/>
      <c r="AU175" s="96"/>
      <c r="AV175" s="64"/>
      <c r="AW175" s="97"/>
      <c r="AX175" s="97"/>
      <c r="AY175" s="101" t="str">
        <f>IF('BMP P Tracking Table'!$AK175="Yes",IF('BMP P Tracking Table'!$AL175="No",'BMP P Tracking Table'!$U175*VLOOKUP('BMP P Tracking Table'!$Q175,'Loading Rates'!$B$1:$L$24,4,FALSE)+IF('BMP P Tracking Table'!$V175="By HSG",'BMP P Tracking Table'!$W175*VLOOKUP('BMP P Tracking Table'!$Q175,'Loading Rates'!$B$1:$L$24,6,FALSE)+'BMP P Tracking Table'!$X175*VLOOKUP('BMP P Tracking Table'!$Q175,'Loading Rates'!$B$1:$L$24,7,FALSE)+'BMP P Tracking Table'!$Y175*VLOOKUP('BMP P Tracking Table'!$Q175,'Loading Rates'!$B$1:$L$24,8,FALSE)+'BMP P Tracking Table'!$Z175*VLOOKUP('BMP P Tracking Table'!$Q175,'Loading Rates'!$B$1:$L$24,9,FALSE),'BMP P Tracking Table'!$AA175*VLOOKUP('BMP P Tracking Table'!$Q175,'Loading Rates'!$B$1:$L$24,10,FALSE)),'BMP P Tracking Table'!$AO175*VLOOKUP('BMP P Tracking Table'!$Q175,'Loading Rates'!$B$1:$L$24,4,FALSE)+IF('BMP P Tracking Table'!$AP175="By HSG",'BMP P Tracking Table'!$AQ175*VLOOKUP('BMP P Tracking Table'!$Q175,'Loading Rates'!$B$1:$L$24,6,FALSE)+'BMP P Tracking Table'!$AR175*VLOOKUP('BMP P Tracking Table'!$Q175,'Loading Rates'!$B$1:$L$24,7,FALSE)+'BMP P Tracking Table'!$AS175*VLOOKUP('BMP P Tracking Table'!$Q175,'Loading Rates'!$B$1:$L$24,8,FALSE)+'BMP P Tracking Table'!$AT175*VLOOKUP('BMP P Tracking Table'!$Q175,'Loading Rates'!$B$1:$L$24,9,FALSE),'BMP P Tracking Table'!$AU175*VLOOKUP('BMP P Tracking Table'!$Q175,'Loading Rates'!$B$1:$L$24,10,FALSE))),"")</f>
        <v/>
      </c>
      <c r="AZ175" s="101" t="str">
        <f>IFERROR(IF('BMP P Tracking Table'!$AL175="Yes",MIN(2,IF('BMP P Tracking Table'!$AP175="Total Pervious",(-(3630*'BMP P Tracking Table'!$AO175+20.691*'BMP P Tracking Table'!$AU175)+SQRT((3630*'BMP P Tracking Table'!$AO175+20.691*'BMP P Tracking Table'!$AU175)^2-(4*(996.798*'BMP P Tracking Table'!$AU175)*-'BMP P Tracking Table'!$AW175)))/(2*(996.798*'BMP P Tracking Table'!$AU175)),IF(SUM('BMP P Tracking Table'!$AQ175:$AT175)=0,'BMP P Tracking Table'!$AU175/(-3630*'BMP P Tracking Table'!$AO175),(-(3630*'BMP P Tracking Table'!$AO175+20.691*'BMP P Tracking Table'!$AT175-216.711*'BMP P Tracking Table'!$AS175-83.853*'BMP P Tracking Table'!$AR175-42.834*'BMP P Tracking Table'!$AQ175)+SQRT((3630*'BMP P Tracking Table'!$AO175+20.691*'BMP P Tracking Table'!$AT175-216.711*'BMP P Tracking Table'!$AS175-83.853*'BMP P Tracking Table'!$AR175-42.834*'BMP P Tracking Table'!$AQ175)^2-(4*(149.919*'BMP P Tracking Table'!$AQ175+236.676*'BMP P Tracking Table'!$AR175+726*'BMP P Tracking Table'!$AS175+996.798*'BMP P Tracking Table'!$AT175)*-'BMP P Tracking Table'!$AW175)))/(2*(149.919*'BMP P Tracking Table'!$AQ175+236.676*'BMP P Tracking Table'!$AR175+726*'BMP P Tracking Table'!$AS175+996.798*'BMP P Tracking Table'!$AT175))))),MIN(2,IF('BMP P Tracking Table'!$AP175="Total Pervious",(-(3630*'BMP P Tracking Table'!$U175+20.691*'BMP P Tracking Table'!$AA175)+SQRT((3630*'BMP P Tracking Table'!$U175+20.691*'BMP P Tracking Table'!$AA175)^2-(4*(996.798*'BMP P Tracking Table'!$AA175)*-'BMP P Tracking Table'!$AW175)))/(2*(996.798*'BMP P Tracking Table'!$AA175)),IF(SUM('BMP P Tracking Table'!$W175:$Z175)=0,'BMP P Tracking Table'!$AW175/(-3630*'BMP P Tracking Table'!$U175),(-(3630*'BMP P Tracking Table'!$U175+20.691*'BMP P Tracking Table'!$Z175-216.711*'BMP P Tracking Table'!$Y175-83.853*'BMP P Tracking Table'!$X175-42.834*'BMP P Tracking Table'!$W175)+SQRT((3630*'BMP P Tracking Table'!$U175+20.691*'BMP P Tracking Table'!$Z175-216.711*'BMP P Tracking Table'!$Y175-83.853*'BMP P Tracking Table'!$X175-42.834*'BMP P Tracking Table'!$W175)^2-(4*(149.919*'BMP P Tracking Table'!$W175+236.676*'BMP P Tracking Table'!$X175+726*'BMP P Tracking Table'!$Y175+996.798*'BMP P Tracking Table'!$Z175)*-'BMP P Tracking Table'!$AW175)))/(2*(149.919*'BMP P Tracking Table'!$W175+236.676*'BMP P Tracking Table'!$X175+726*'BMP P Tracking Table'!$Y175+996.798*'BMP P Tracking Table'!$Z175)))))),"")</f>
        <v/>
      </c>
      <c r="BA175" s="101" t="str">
        <f>IFERROR((VLOOKUP(CONCATENATE('BMP P Tracking Table'!$AV175," ",'BMP P Tracking Table'!$AX175),'Performance Curves'!$C$1:$L$45,MATCH('BMP P Tracking Table'!$AZ175,'Performance Curves'!$E$1:$L$1,1)+2,FALSE)-VLOOKUP(CONCATENATE('BMP P Tracking Table'!$AV175," ",'BMP P Tracking Table'!$AX175),'Performance Curves'!$C$1:$L$45,MATCH('BMP P Tracking Table'!$AZ175,'Performance Curves'!$E$1:$L$1,1)+1,FALSE)),"")</f>
        <v/>
      </c>
      <c r="BB175" s="101" t="str">
        <f>IFERROR(('BMP P Tracking Table'!$AZ175-INDEX('Performance Curves'!$E$1:$L$1,1,MATCH('BMP P Tracking Table'!$AZ175,'Performance Curves'!$E$1:$L$1,1)))/(INDEX('Performance Curves'!$E$1:$L$1,1,MATCH('BMP P Tracking Table'!$AZ175,'Performance Curves'!$E$1:$L$1,1)+1)-INDEX('Performance Curves'!$E$1:$L$1,1,MATCH('BMP P Tracking Table'!$AZ175,'Performance Curves'!$E$1:$L$1,1))),"")</f>
        <v/>
      </c>
      <c r="BC175" s="102" t="str">
        <f>IFERROR(IF('BMP P Tracking Table'!$AZ175=2,VLOOKUP(CONCATENATE('BMP P Tracking Table'!$AV175," ",'BMP P Tracking Table'!$AX175),'Performance Curves'!$C$1:$L$44,MATCH('BMP P Tracking Table'!$AZ175,'Performance Curves'!$E$1:$L$1,1)+1,FALSE),'BMP P Tracking Table'!$BA175*'BMP P Tracking Table'!$BB175+VLOOKUP(CONCATENATE('BMP P Tracking Table'!$AV175," ",'BMP P Tracking Table'!$AX175),'Performance Curves'!$C$1:$L$44,MATCH('BMP P Tracking Table'!$AZ175,'Performance Curves'!$E$1:$L$1,1)+1,FALSE)),"")</f>
        <v/>
      </c>
      <c r="BD175" s="101" t="str">
        <f>IFERROR('BMP P Tracking Table'!$BC175*'BMP P Tracking Table'!$AY175,"")</f>
        <v/>
      </c>
      <c r="BE175" s="96"/>
      <c r="BF175" s="37">
        <f t="shared" si="17"/>
        <v>0</v>
      </c>
    </row>
    <row r="176" spans="1:58" x14ac:dyDescent="0.3">
      <c r="A176" s="64"/>
      <c r="B176" s="64"/>
      <c r="C176" s="64"/>
      <c r="D176" s="64"/>
      <c r="E176" s="93"/>
      <c r="F176" s="93"/>
      <c r="G176" s="64"/>
      <c r="H176" s="64"/>
      <c r="I176" s="64"/>
      <c r="J176" s="94"/>
      <c r="K176" s="64"/>
      <c r="L176" s="64"/>
      <c r="M176" s="64"/>
      <c r="N176" s="64"/>
      <c r="O176" s="64"/>
      <c r="P176" s="64"/>
      <c r="Q176" s="64" t="str">
        <f>IFERROR(VLOOKUP('BMP P Tracking Table'!$P176,Dropdowns!$C$2:$E$15,3,FALSE),"")</f>
        <v/>
      </c>
      <c r="R176" s="64" t="str">
        <f>IFERROR(VLOOKUP('BMP P Tracking Table'!$Q176,Dropdowns!$P$3:$Q$23,2,FALSE),"")</f>
        <v/>
      </c>
      <c r="S176" s="64"/>
      <c r="T176" s="64"/>
      <c r="U176" s="64"/>
      <c r="V176" s="64"/>
      <c r="W176" s="64"/>
      <c r="X176" s="64"/>
      <c r="Y176" s="64"/>
      <c r="Z176" s="64"/>
      <c r="AA176" s="64"/>
      <c r="AB176" s="95"/>
      <c r="AC176" s="64"/>
      <c r="AD176" s="101" t="str">
        <f>IFERROR('BMP P Tracking Table'!$U176*VLOOKUP('BMP P Tracking Table'!$Q176,'Loading Rates'!$B$1:$L$24,4,FALSE)+IF('BMP P Tracking Table'!$V176="By HSG",'BMP P Tracking Table'!$W176*VLOOKUP('BMP P Tracking Table'!$Q176,'Loading Rates'!$B$1:$L$24,6,FALSE)+'BMP P Tracking Table'!$X176*VLOOKUP('BMP P Tracking Table'!$Q176,'Loading Rates'!$B$1:$L$24,7,FALSE)+'BMP P Tracking Table'!$Y176*VLOOKUP('BMP P Tracking Table'!$Q176,'Loading Rates'!$B$1:$L$24,8,FALSE)+'BMP P Tracking Table'!$Z176*VLOOKUP('BMP P Tracking Table'!$Q176,'Loading Rates'!$B$1:$L$24,9,FALSE),'BMP P Tracking Table'!$AA176*VLOOKUP('BMP P Tracking Table'!$Q176,'Loading Rates'!$B$1:$L$24,10,FALSE)),"")</f>
        <v/>
      </c>
      <c r="AE176" s="101" t="str">
        <f>IFERROR(MIN(2,IF('BMP P Tracking Table'!$V176="Total Pervious",(-(3630*'BMP P Tracking Table'!$U176+20.691*'BMP P Tracking Table'!$AA176)+SQRT((3630*'BMP P Tracking Table'!$U176+20.691*'BMP P Tracking Table'!$AA176)^2-(4*(996.798*'BMP P Tracking Table'!$AA176)*-'BMP P Tracking Table'!$AB176)))/(2*(996.798*'BMP P Tracking Table'!$AA176)),IF(SUM('BMP P Tracking Table'!$W176:$Z176)=0,'BMP P Tracking Table'!$AB176/(-3630*'BMP P Tracking Table'!$U176),(-(3630*'BMP P Tracking Table'!$U176+20.691*'BMP P Tracking Table'!$Z176-216.711*'BMP P Tracking Table'!$Y176-83.853*'BMP P Tracking Table'!$X176-42.834*'BMP P Tracking Table'!$W176)+SQRT((3630*'BMP P Tracking Table'!$U176+20.691*'BMP P Tracking Table'!$Z176-216.711*'BMP P Tracking Table'!$Y176-83.853*'BMP P Tracking Table'!$X176-42.834*'BMP P Tracking Table'!$W176)^2-(4*(149.919*'BMP P Tracking Table'!$W176+236.676*'BMP P Tracking Table'!$X176+726*'BMP P Tracking Table'!$Y176+996.798*'BMP P Tracking Table'!$Z176)*-'BMP P Tracking Table'!$AB176)))/(2*(149.919*'BMP P Tracking Table'!$W176+236.676*'BMP P Tracking Table'!$X176+726*'BMP P Tracking Table'!$Y176+996.798*'BMP P Tracking Table'!$Z176))))),"")</f>
        <v/>
      </c>
      <c r="AF176" s="101" t="str">
        <f>IFERROR((VLOOKUP(CONCATENATE('BMP P Tracking Table'!$T176," ",'BMP P Tracking Table'!$AC176),'Performance Curves'!$C$1:$L$45,MATCH('BMP P Tracking Table'!$AE176,'Performance Curves'!$E$1:$L$1,1)+2,FALSE)-VLOOKUP(CONCATENATE('BMP P Tracking Table'!$T176," ",'BMP P Tracking Table'!$AC176),'Performance Curves'!$C$1:$L$45,MATCH('BMP P Tracking Table'!$AE176,'Performance Curves'!$E$1:$L$1,1)+1,FALSE)),"")</f>
        <v/>
      </c>
      <c r="AG176" s="101" t="str">
        <f>IFERROR(('BMP P Tracking Table'!$AE176-INDEX('Performance Curves'!$E$1:$L$1,1,MATCH('BMP P Tracking Table'!$AE176,'Performance Curves'!$E$1:$L$1,1)))/(INDEX('Performance Curves'!$E$1:$L$1,1,MATCH('BMP P Tracking Table'!$AE176,'Performance Curves'!$E$1:$L$1,1)+1)-INDEX('Performance Curves'!$E$1:$L$1,1,MATCH('BMP P Tracking Table'!$AE176,'Performance Curves'!$E$1:$L$1,1))),"")</f>
        <v/>
      </c>
      <c r="AH176" s="102" t="str">
        <f>IFERROR(IF('BMP P Tracking Table'!$AE176=2,VLOOKUP(CONCATENATE('BMP P Tracking Table'!$T176," ",'BMP P Tracking Table'!$AC176),'Performance Curves'!$C$1:$L$45,MATCH('BMP P Tracking Table'!$AE176,'Performance Curves'!$E$1:$L$1,1)+1,FALSE),'BMP P Tracking Table'!$AF176*'BMP P Tracking Table'!$AG176+VLOOKUP(CONCATENATE('BMP P Tracking Table'!$T176," ",'BMP P Tracking Table'!$AC176),'Performance Curves'!$C$1:$L$45,MATCH('BMP P Tracking Table'!$AE176,'Performance Curves'!$E$1:$L$1,1)+1,FALSE)),"")</f>
        <v/>
      </c>
      <c r="AI176" s="101" t="str">
        <f>IFERROR('BMP P Tracking Table'!$AH176*'BMP P Tracking Table'!$AD176,"")</f>
        <v/>
      </c>
      <c r="AJ176" s="64"/>
      <c r="AK176" s="96"/>
      <c r="AL176" s="96"/>
      <c r="AM176" s="63"/>
      <c r="AN176" s="99" t="str">
        <f t="shared" si="16"/>
        <v/>
      </c>
      <c r="AO176" s="96"/>
      <c r="AP176" s="96"/>
      <c r="AQ176" s="96"/>
      <c r="AR176" s="96"/>
      <c r="AS176" s="96"/>
      <c r="AT176" s="96"/>
      <c r="AU176" s="96"/>
      <c r="AV176" s="64"/>
      <c r="AW176" s="97"/>
      <c r="AX176" s="97"/>
      <c r="AY176" s="101" t="str">
        <f>IF('BMP P Tracking Table'!$AK176="Yes",IF('BMP P Tracking Table'!$AL176="No",'BMP P Tracking Table'!$U176*VLOOKUP('BMP P Tracking Table'!$Q176,'Loading Rates'!$B$1:$L$24,4,FALSE)+IF('BMP P Tracking Table'!$V176="By HSG",'BMP P Tracking Table'!$W176*VLOOKUP('BMP P Tracking Table'!$Q176,'Loading Rates'!$B$1:$L$24,6,FALSE)+'BMP P Tracking Table'!$X176*VLOOKUP('BMP P Tracking Table'!$Q176,'Loading Rates'!$B$1:$L$24,7,FALSE)+'BMP P Tracking Table'!$Y176*VLOOKUP('BMP P Tracking Table'!$Q176,'Loading Rates'!$B$1:$L$24,8,FALSE)+'BMP P Tracking Table'!$Z176*VLOOKUP('BMP P Tracking Table'!$Q176,'Loading Rates'!$B$1:$L$24,9,FALSE),'BMP P Tracking Table'!$AA176*VLOOKUP('BMP P Tracking Table'!$Q176,'Loading Rates'!$B$1:$L$24,10,FALSE)),'BMP P Tracking Table'!$AO176*VLOOKUP('BMP P Tracking Table'!$Q176,'Loading Rates'!$B$1:$L$24,4,FALSE)+IF('BMP P Tracking Table'!$AP176="By HSG",'BMP P Tracking Table'!$AQ176*VLOOKUP('BMP P Tracking Table'!$Q176,'Loading Rates'!$B$1:$L$24,6,FALSE)+'BMP P Tracking Table'!$AR176*VLOOKUP('BMP P Tracking Table'!$Q176,'Loading Rates'!$B$1:$L$24,7,FALSE)+'BMP P Tracking Table'!$AS176*VLOOKUP('BMP P Tracking Table'!$Q176,'Loading Rates'!$B$1:$L$24,8,FALSE)+'BMP P Tracking Table'!$AT176*VLOOKUP('BMP P Tracking Table'!$Q176,'Loading Rates'!$B$1:$L$24,9,FALSE),'BMP P Tracking Table'!$AU176*VLOOKUP('BMP P Tracking Table'!$Q176,'Loading Rates'!$B$1:$L$24,10,FALSE))),"")</f>
        <v/>
      </c>
      <c r="AZ176" s="101" t="str">
        <f>IFERROR(IF('BMP P Tracking Table'!$AL176="Yes",MIN(2,IF('BMP P Tracking Table'!$AP176="Total Pervious",(-(3630*'BMP P Tracking Table'!$AO176+20.691*'BMP P Tracking Table'!$AU176)+SQRT((3630*'BMP P Tracking Table'!$AO176+20.691*'BMP P Tracking Table'!$AU176)^2-(4*(996.798*'BMP P Tracking Table'!$AU176)*-'BMP P Tracking Table'!$AW176)))/(2*(996.798*'BMP P Tracking Table'!$AU176)),IF(SUM('BMP P Tracking Table'!$AQ176:$AT176)=0,'BMP P Tracking Table'!$AU176/(-3630*'BMP P Tracking Table'!$AO176),(-(3630*'BMP P Tracking Table'!$AO176+20.691*'BMP P Tracking Table'!$AT176-216.711*'BMP P Tracking Table'!$AS176-83.853*'BMP P Tracking Table'!$AR176-42.834*'BMP P Tracking Table'!$AQ176)+SQRT((3630*'BMP P Tracking Table'!$AO176+20.691*'BMP P Tracking Table'!$AT176-216.711*'BMP P Tracking Table'!$AS176-83.853*'BMP P Tracking Table'!$AR176-42.834*'BMP P Tracking Table'!$AQ176)^2-(4*(149.919*'BMP P Tracking Table'!$AQ176+236.676*'BMP P Tracking Table'!$AR176+726*'BMP P Tracking Table'!$AS176+996.798*'BMP P Tracking Table'!$AT176)*-'BMP P Tracking Table'!$AW176)))/(2*(149.919*'BMP P Tracking Table'!$AQ176+236.676*'BMP P Tracking Table'!$AR176+726*'BMP P Tracking Table'!$AS176+996.798*'BMP P Tracking Table'!$AT176))))),MIN(2,IF('BMP P Tracking Table'!$AP176="Total Pervious",(-(3630*'BMP P Tracking Table'!$U176+20.691*'BMP P Tracking Table'!$AA176)+SQRT((3630*'BMP P Tracking Table'!$U176+20.691*'BMP P Tracking Table'!$AA176)^2-(4*(996.798*'BMP P Tracking Table'!$AA176)*-'BMP P Tracking Table'!$AW176)))/(2*(996.798*'BMP P Tracking Table'!$AA176)),IF(SUM('BMP P Tracking Table'!$W176:$Z176)=0,'BMP P Tracking Table'!$AW176/(-3630*'BMP P Tracking Table'!$U176),(-(3630*'BMP P Tracking Table'!$U176+20.691*'BMP P Tracking Table'!$Z176-216.711*'BMP P Tracking Table'!$Y176-83.853*'BMP P Tracking Table'!$X176-42.834*'BMP P Tracking Table'!$W176)+SQRT((3630*'BMP P Tracking Table'!$U176+20.691*'BMP P Tracking Table'!$Z176-216.711*'BMP P Tracking Table'!$Y176-83.853*'BMP P Tracking Table'!$X176-42.834*'BMP P Tracking Table'!$W176)^2-(4*(149.919*'BMP P Tracking Table'!$W176+236.676*'BMP P Tracking Table'!$X176+726*'BMP P Tracking Table'!$Y176+996.798*'BMP P Tracking Table'!$Z176)*-'BMP P Tracking Table'!$AW176)))/(2*(149.919*'BMP P Tracking Table'!$W176+236.676*'BMP P Tracking Table'!$X176+726*'BMP P Tracking Table'!$Y176+996.798*'BMP P Tracking Table'!$Z176)))))),"")</f>
        <v/>
      </c>
      <c r="BA176" s="101" t="str">
        <f>IFERROR((VLOOKUP(CONCATENATE('BMP P Tracking Table'!$AV176," ",'BMP P Tracking Table'!$AX176),'Performance Curves'!$C$1:$L$45,MATCH('BMP P Tracking Table'!$AZ176,'Performance Curves'!$E$1:$L$1,1)+2,FALSE)-VLOOKUP(CONCATENATE('BMP P Tracking Table'!$AV176," ",'BMP P Tracking Table'!$AX176),'Performance Curves'!$C$1:$L$45,MATCH('BMP P Tracking Table'!$AZ176,'Performance Curves'!$E$1:$L$1,1)+1,FALSE)),"")</f>
        <v/>
      </c>
      <c r="BB176" s="101" t="str">
        <f>IFERROR(('BMP P Tracking Table'!$AZ176-INDEX('Performance Curves'!$E$1:$L$1,1,MATCH('BMP P Tracking Table'!$AZ176,'Performance Curves'!$E$1:$L$1,1)))/(INDEX('Performance Curves'!$E$1:$L$1,1,MATCH('BMP P Tracking Table'!$AZ176,'Performance Curves'!$E$1:$L$1,1)+1)-INDEX('Performance Curves'!$E$1:$L$1,1,MATCH('BMP P Tracking Table'!$AZ176,'Performance Curves'!$E$1:$L$1,1))),"")</f>
        <v/>
      </c>
      <c r="BC176" s="102" t="str">
        <f>IFERROR(IF('BMP P Tracking Table'!$AZ176=2,VLOOKUP(CONCATENATE('BMP P Tracking Table'!$AV176," ",'BMP P Tracking Table'!$AX176),'Performance Curves'!$C$1:$L$44,MATCH('BMP P Tracking Table'!$AZ176,'Performance Curves'!$E$1:$L$1,1)+1,FALSE),'BMP P Tracking Table'!$BA176*'BMP P Tracking Table'!$BB176+VLOOKUP(CONCATENATE('BMP P Tracking Table'!$AV176," ",'BMP P Tracking Table'!$AX176),'Performance Curves'!$C$1:$L$44,MATCH('BMP P Tracking Table'!$AZ176,'Performance Curves'!$E$1:$L$1,1)+1,FALSE)),"")</f>
        <v/>
      </c>
      <c r="BD176" s="101" t="str">
        <f>IFERROR('BMP P Tracking Table'!$BC176*'BMP P Tracking Table'!$AY176,"")</f>
        <v/>
      </c>
      <c r="BE176" s="91"/>
      <c r="BF176" s="37">
        <f t="shared" si="17"/>
        <v>0</v>
      </c>
    </row>
    <row r="177" spans="1:58" x14ac:dyDescent="0.3">
      <c r="A177" s="64"/>
      <c r="B177" s="64"/>
      <c r="C177" s="64"/>
      <c r="D177" s="64"/>
      <c r="E177" s="93"/>
      <c r="F177" s="93"/>
      <c r="G177" s="64"/>
      <c r="H177" s="64"/>
      <c r="I177" s="64"/>
      <c r="J177" s="94"/>
      <c r="K177" s="64"/>
      <c r="L177" s="64"/>
      <c r="M177" s="64"/>
      <c r="N177" s="64"/>
      <c r="O177" s="64"/>
      <c r="P177" s="64"/>
      <c r="Q177" s="64" t="str">
        <f>IFERROR(VLOOKUP('BMP P Tracking Table'!$P177,Dropdowns!$C$2:$E$15,3,FALSE),"")</f>
        <v/>
      </c>
      <c r="R177" s="64" t="str">
        <f>IFERROR(VLOOKUP('BMP P Tracking Table'!$Q177,Dropdowns!$P$3:$Q$23,2,FALSE),"")</f>
        <v/>
      </c>
      <c r="S177" s="64"/>
      <c r="T177" s="64"/>
      <c r="U177" s="64"/>
      <c r="V177" s="64"/>
      <c r="W177" s="64"/>
      <c r="X177" s="64"/>
      <c r="Y177" s="64"/>
      <c r="Z177" s="64"/>
      <c r="AA177" s="64"/>
      <c r="AB177" s="95"/>
      <c r="AC177" s="64"/>
      <c r="AD177" s="101" t="str">
        <f>IFERROR('BMP P Tracking Table'!$U177*VLOOKUP('BMP P Tracking Table'!$Q177,'Loading Rates'!$B$1:$L$24,4,FALSE)+IF('BMP P Tracking Table'!$V177="By HSG",'BMP P Tracking Table'!$W177*VLOOKUP('BMP P Tracking Table'!$Q177,'Loading Rates'!$B$1:$L$24,6,FALSE)+'BMP P Tracking Table'!$X177*VLOOKUP('BMP P Tracking Table'!$Q177,'Loading Rates'!$B$1:$L$24,7,FALSE)+'BMP P Tracking Table'!$Y177*VLOOKUP('BMP P Tracking Table'!$Q177,'Loading Rates'!$B$1:$L$24,8,FALSE)+'BMP P Tracking Table'!$Z177*VLOOKUP('BMP P Tracking Table'!$Q177,'Loading Rates'!$B$1:$L$24,9,FALSE),'BMP P Tracking Table'!$AA177*VLOOKUP('BMP P Tracking Table'!$Q177,'Loading Rates'!$B$1:$L$24,10,FALSE)),"")</f>
        <v/>
      </c>
      <c r="AE177" s="101" t="str">
        <f>IFERROR(MIN(2,IF('BMP P Tracking Table'!$V177="Total Pervious",(-(3630*'BMP P Tracking Table'!$U177+20.691*'BMP P Tracking Table'!$AA177)+SQRT((3630*'BMP P Tracking Table'!$U177+20.691*'BMP P Tracking Table'!$AA177)^2-(4*(996.798*'BMP P Tracking Table'!$AA177)*-'BMP P Tracking Table'!$AB177)))/(2*(996.798*'BMP P Tracking Table'!$AA177)),IF(SUM('BMP P Tracking Table'!$W177:$Z177)=0,'BMP P Tracking Table'!$AB177/(-3630*'BMP P Tracking Table'!$U177),(-(3630*'BMP P Tracking Table'!$U177+20.691*'BMP P Tracking Table'!$Z177-216.711*'BMP P Tracking Table'!$Y177-83.853*'BMP P Tracking Table'!$X177-42.834*'BMP P Tracking Table'!$W177)+SQRT((3630*'BMP P Tracking Table'!$U177+20.691*'BMP P Tracking Table'!$Z177-216.711*'BMP P Tracking Table'!$Y177-83.853*'BMP P Tracking Table'!$X177-42.834*'BMP P Tracking Table'!$W177)^2-(4*(149.919*'BMP P Tracking Table'!$W177+236.676*'BMP P Tracking Table'!$X177+726*'BMP P Tracking Table'!$Y177+996.798*'BMP P Tracking Table'!$Z177)*-'BMP P Tracking Table'!$AB177)))/(2*(149.919*'BMP P Tracking Table'!$W177+236.676*'BMP P Tracking Table'!$X177+726*'BMP P Tracking Table'!$Y177+996.798*'BMP P Tracking Table'!$Z177))))),"")</f>
        <v/>
      </c>
      <c r="AF177" s="101" t="str">
        <f>IFERROR((VLOOKUP(CONCATENATE('BMP P Tracking Table'!$T177," ",'BMP P Tracking Table'!$AC177),'Performance Curves'!$C$1:$L$45,MATCH('BMP P Tracking Table'!$AE177,'Performance Curves'!$E$1:$L$1,1)+2,FALSE)-VLOOKUP(CONCATENATE('BMP P Tracking Table'!$T177," ",'BMP P Tracking Table'!$AC177),'Performance Curves'!$C$1:$L$45,MATCH('BMP P Tracking Table'!$AE177,'Performance Curves'!$E$1:$L$1,1)+1,FALSE)),"")</f>
        <v/>
      </c>
      <c r="AG177" s="101" t="str">
        <f>IFERROR(('BMP P Tracking Table'!$AE177-INDEX('Performance Curves'!$E$1:$L$1,1,MATCH('BMP P Tracking Table'!$AE177,'Performance Curves'!$E$1:$L$1,1)))/(INDEX('Performance Curves'!$E$1:$L$1,1,MATCH('BMP P Tracking Table'!$AE177,'Performance Curves'!$E$1:$L$1,1)+1)-INDEX('Performance Curves'!$E$1:$L$1,1,MATCH('BMP P Tracking Table'!$AE177,'Performance Curves'!$E$1:$L$1,1))),"")</f>
        <v/>
      </c>
      <c r="AH177" s="102" t="str">
        <f>IFERROR(IF('BMP P Tracking Table'!$AE177=2,VLOOKUP(CONCATENATE('BMP P Tracking Table'!$T177," ",'BMP P Tracking Table'!$AC177),'Performance Curves'!$C$1:$L$45,MATCH('BMP P Tracking Table'!$AE177,'Performance Curves'!$E$1:$L$1,1)+1,FALSE),'BMP P Tracking Table'!$AF177*'BMP P Tracking Table'!$AG177+VLOOKUP(CONCATENATE('BMP P Tracking Table'!$T177," ",'BMP P Tracking Table'!$AC177),'Performance Curves'!$C$1:$L$45,MATCH('BMP P Tracking Table'!$AE177,'Performance Curves'!$E$1:$L$1,1)+1,FALSE)),"")</f>
        <v/>
      </c>
      <c r="AI177" s="101" t="str">
        <f>IFERROR('BMP P Tracking Table'!$AH177*'BMP P Tracking Table'!$AD177,"")</f>
        <v/>
      </c>
      <c r="AJ177" s="64"/>
      <c r="AK177" s="96"/>
      <c r="AL177" s="96"/>
      <c r="AM177" s="63"/>
      <c r="AN177" s="99" t="str">
        <f t="shared" si="16"/>
        <v/>
      </c>
      <c r="AO177" s="96"/>
      <c r="AP177" s="96"/>
      <c r="AQ177" s="96"/>
      <c r="AR177" s="96"/>
      <c r="AS177" s="96"/>
      <c r="AT177" s="96"/>
      <c r="AU177" s="96"/>
      <c r="AV177" s="64"/>
      <c r="AW177" s="97"/>
      <c r="AX177" s="97"/>
      <c r="AY177" s="101" t="str">
        <f>IF('BMP P Tracking Table'!$AK177="Yes",IF('BMP P Tracking Table'!$AL177="No",'BMP P Tracking Table'!$U177*VLOOKUP('BMP P Tracking Table'!$Q177,'Loading Rates'!$B$1:$L$24,4,FALSE)+IF('BMP P Tracking Table'!$V177="By HSG",'BMP P Tracking Table'!$W177*VLOOKUP('BMP P Tracking Table'!$Q177,'Loading Rates'!$B$1:$L$24,6,FALSE)+'BMP P Tracking Table'!$X177*VLOOKUP('BMP P Tracking Table'!$Q177,'Loading Rates'!$B$1:$L$24,7,FALSE)+'BMP P Tracking Table'!$Y177*VLOOKUP('BMP P Tracking Table'!$Q177,'Loading Rates'!$B$1:$L$24,8,FALSE)+'BMP P Tracking Table'!$Z177*VLOOKUP('BMP P Tracking Table'!$Q177,'Loading Rates'!$B$1:$L$24,9,FALSE),'BMP P Tracking Table'!$AA177*VLOOKUP('BMP P Tracking Table'!$Q177,'Loading Rates'!$B$1:$L$24,10,FALSE)),'BMP P Tracking Table'!$AO177*VLOOKUP('BMP P Tracking Table'!$Q177,'Loading Rates'!$B$1:$L$24,4,FALSE)+IF('BMP P Tracking Table'!$AP177="By HSG",'BMP P Tracking Table'!$AQ177*VLOOKUP('BMP P Tracking Table'!$Q177,'Loading Rates'!$B$1:$L$24,6,FALSE)+'BMP P Tracking Table'!$AR177*VLOOKUP('BMP P Tracking Table'!$Q177,'Loading Rates'!$B$1:$L$24,7,FALSE)+'BMP P Tracking Table'!$AS177*VLOOKUP('BMP P Tracking Table'!$Q177,'Loading Rates'!$B$1:$L$24,8,FALSE)+'BMP P Tracking Table'!$AT177*VLOOKUP('BMP P Tracking Table'!$Q177,'Loading Rates'!$B$1:$L$24,9,FALSE),'BMP P Tracking Table'!$AU177*VLOOKUP('BMP P Tracking Table'!$Q177,'Loading Rates'!$B$1:$L$24,10,FALSE))),"")</f>
        <v/>
      </c>
      <c r="AZ177" s="101" t="str">
        <f>IFERROR(IF('BMP P Tracking Table'!$AL177="Yes",MIN(2,IF('BMP P Tracking Table'!$AP177="Total Pervious",(-(3630*'BMP P Tracking Table'!$AO177+20.691*'BMP P Tracking Table'!$AU177)+SQRT((3630*'BMP P Tracking Table'!$AO177+20.691*'BMP P Tracking Table'!$AU177)^2-(4*(996.798*'BMP P Tracking Table'!$AU177)*-'BMP P Tracking Table'!$AW177)))/(2*(996.798*'BMP P Tracking Table'!$AU177)),IF(SUM('BMP P Tracking Table'!$AQ177:$AT177)=0,'BMP P Tracking Table'!$AU177/(-3630*'BMP P Tracking Table'!$AO177),(-(3630*'BMP P Tracking Table'!$AO177+20.691*'BMP P Tracking Table'!$AT177-216.711*'BMP P Tracking Table'!$AS177-83.853*'BMP P Tracking Table'!$AR177-42.834*'BMP P Tracking Table'!$AQ177)+SQRT((3630*'BMP P Tracking Table'!$AO177+20.691*'BMP P Tracking Table'!$AT177-216.711*'BMP P Tracking Table'!$AS177-83.853*'BMP P Tracking Table'!$AR177-42.834*'BMP P Tracking Table'!$AQ177)^2-(4*(149.919*'BMP P Tracking Table'!$AQ177+236.676*'BMP P Tracking Table'!$AR177+726*'BMP P Tracking Table'!$AS177+996.798*'BMP P Tracking Table'!$AT177)*-'BMP P Tracking Table'!$AW177)))/(2*(149.919*'BMP P Tracking Table'!$AQ177+236.676*'BMP P Tracking Table'!$AR177+726*'BMP P Tracking Table'!$AS177+996.798*'BMP P Tracking Table'!$AT177))))),MIN(2,IF('BMP P Tracking Table'!$AP177="Total Pervious",(-(3630*'BMP P Tracking Table'!$U177+20.691*'BMP P Tracking Table'!$AA177)+SQRT((3630*'BMP P Tracking Table'!$U177+20.691*'BMP P Tracking Table'!$AA177)^2-(4*(996.798*'BMP P Tracking Table'!$AA177)*-'BMP P Tracking Table'!$AW177)))/(2*(996.798*'BMP P Tracking Table'!$AA177)),IF(SUM('BMP P Tracking Table'!$W177:$Z177)=0,'BMP P Tracking Table'!$AW177/(-3630*'BMP P Tracking Table'!$U177),(-(3630*'BMP P Tracking Table'!$U177+20.691*'BMP P Tracking Table'!$Z177-216.711*'BMP P Tracking Table'!$Y177-83.853*'BMP P Tracking Table'!$X177-42.834*'BMP P Tracking Table'!$W177)+SQRT((3630*'BMP P Tracking Table'!$U177+20.691*'BMP P Tracking Table'!$Z177-216.711*'BMP P Tracking Table'!$Y177-83.853*'BMP P Tracking Table'!$X177-42.834*'BMP P Tracking Table'!$W177)^2-(4*(149.919*'BMP P Tracking Table'!$W177+236.676*'BMP P Tracking Table'!$X177+726*'BMP P Tracking Table'!$Y177+996.798*'BMP P Tracking Table'!$Z177)*-'BMP P Tracking Table'!$AW177)))/(2*(149.919*'BMP P Tracking Table'!$W177+236.676*'BMP P Tracking Table'!$X177+726*'BMP P Tracking Table'!$Y177+996.798*'BMP P Tracking Table'!$Z177)))))),"")</f>
        <v/>
      </c>
      <c r="BA177" s="101" t="str">
        <f>IFERROR((VLOOKUP(CONCATENATE('BMP P Tracking Table'!$AV177," ",'BMP P Tracking Table'!$AX177),'Performance Curves'!$C$1:$L$45,MATCH('BMP P Tracking Table'!$AZ177,'Performance Curves'!$E$1:$L$1,1)+2,FALSE)-VLOOKUP(CONCATENATE('BMP P Tracking Table'!$AV177," ",'BMP P Tracking Table'!$AX177),'Performance Curves'!$C$1:$L$45,MATCH('BMP P Tracking Table'!$AZ177,'Performance Curves'!$E$1:$L$1,1)+1,FALSE)),"")</f>
        <v/>
      </c>
      <c r="BB177" s="101" t="str">
        <f>IFERROR(('BMP P Tracking Table'!$AZ177-INDEX('Performance Curves'!$E$1:$L$1,1,MATCH('BMP P Tracking Table'!$AZ177,'Performance Curves'!$E$1:$L$1,1)))/(INDEX('Performance Curves'!$E$1:$L$1,1,MATCH('BMP P Tracking Table'!$AZ177,'Performance Curves'!$E$1:$L$1,1)+1)-INDEX('Performance Curves'!$E$1:$L$1,1,MATCH('BMP P Tracking Table'!$AZ177,'Performance Curves'!$E$1:$L$1,1))),"")</f>
        <v/>
      </c>
      <c r="BC177" s="102" t="str">
        <f>IFERROR(IF('BMP P Tracking Table'!$AZ177=2,VLOOKUP(CONCATENATE('BMP P Tracking Table'!$AV177," ",'BMP P Tracking Table'!$AX177),'Performance Curves'!$C$1:$L$44,MATCH('BMP P Tracking Table'!$AZ177,'Performance Curves'!$E$1:$L$1,1)+1,FALSE),'BMP P Tracking Table'!$BA177*'BMP P Tracking Table'!$BB177+VLOOKUP(CONCATENATE('BMP P Tracking Table'!$AV177," ",'BMP P Tracking Table'!$AX177),'Performance Curves'!$C$1:$L$44,MATCH('BMP P Tracking Table'!$AZ177,'Performance Curves'!$E$1:$L$1,1)+1,FALSE)),"")</f>
        <v/>
      </c>
      <c r="BD177" s="101" t="str">
        <f>IFERROR('BMP P Tracking Table'!$BC177*'BMP P Tracking Table'!$AY177,"")</f>
        <v/>
      </c>
      <c r="BE177" s="96"/>
      <c r="BF177" s="37">
        <f t="shared" si="17"/>
        <v>0</v>
      </c>
    </row>
    <row r="178" spans="1:58" x14ac:dyDescent="0.3">
      <c r="A178" s="64"/>
      <c r="B178" s="64"/>
      <c r="C178" s="64"/>
      <c r="D178" s="64"/>
      <c r="E178" s="93"/>
      <c r="F178" s="93"/>
      <c r="G178" s="64"/>
      <c r="H178" s="64"/>
      <c r="I178" s="64"/>
      <c r="J178" s="94"/>
      <c r="K178" s="64"/>
      <c r="L178" s="64"/>
      <c r="M178" s="64"/>
      <c r="N178" s="64"/>
      <c r="O178" s="64"/>
      <c r="P178" s="64"/>
      <c r="Q178" s="64" t="str">
        <f>IFERROR(VLOOKUP('BMP P Tracking Table'!$P178,Dropdowns!$C$2:$E$15,3,FALSE),"")</f>
        <v/>
      </c>
      <c r="R178" s="64" t="str">
        <f>IFERROR(VLOOKUP('BMP P Tracking Table'!$Q178,Dropdowns!$P$3:$Q$23,2,FALSE),"")</f>
        <v/>
      </c>
      <c r="S178" s="64"/>
      <c r="T178" s="64"/>
      <c r="U178" s="64"/>
      <c r="V178" s="64"/>
      <c r="W178" s="64"/>
      <c r="X178" s="64"/>
      <c r="Y178" s="64"/>
      <c r="Z178" s="64"/>
      <c r="AA178" s="64"/>
      <c r="AB178" s="95"/>
      <c r="AC178" s="64"/>
      <c r="AD178" s="101" t="str">
        <f>IFERROR('BMP P Tracking Table'!$U178*VLOOKUP('BMP P Tracking Table'!$Q178,'Loading Rates'!$B$1:$L$24,4,FALSE)+IF('BMP P Tracking Table'!$V178="By HSG",'BMP P Tracking Table'!$W178*VLOOKUP('BMP P Tracking Table'!$Q178,'Loading Rates'!$B$1:$L$24,6,FALSE)+'BMP P Tracking Table'!$X178*VLOOKUP('BMP P Tracking Table'!$Q178,'Loading Rates'!$B$1:$L$24,7,FALSE)+'BMP P Tracking Table'!$Y178*VLOOKUP('BMP P Tracking Table'!$Q178,'Loading Rates'!$B$1:$L$24,8,FALSE)+'BMP P Tracking Table'!$Z178*VLOOKUP('BMP P Tracking Table'!$Q178,'Loading Rates'!$B$1:$L$24,9,FALSE),'BMP P Tracking Table'!$AA178*VLOOKUP('BMP P Tracking Table'!$Q178,'Loading Rates'!$B$1:$L$24,10,FALSE)),"")</f>
        <v/>
      </c>
      <c r="AE178" s="101" t="str">
        <f>IFERROR(MIN(2,IF('BMP P Tracking Table'!$V178="Total Pervious",(-(3630*'BMP P Tracking Table'!$U178+20.691*'BMP P Tracking Table'!$AA178)+SQRT((3630*'BMP P Tracking Table'!$U178+20.691*'BMP P Tracking Table'!$AA178)^2-(4*(996.798*'BMP P Tracking Table'!$AA178)*-'BMP P Tracking Table'!$AB178)))/(2*(996.798*'BMP P Tracking Table'!$AA178)),IF(SUM('BMP P Tracking Table'!$W178:$Z178)=0,'BMP P Tracking Table'!$AB178/(-3630*'BMP P Tracking Table'!$U178),(-(3630*'BMP P Tracking Table'!$U178+20.691*'BMP P Tracking Table'!$Z178-216.711*'BMP P Tracking Table'!$Y178-83.853*'BMP P Tracking Table'!$X178-42.834*'BMP P Tracking Table'!$W178)+SQRT((3630*'BMP P Tracking Table'!$U178+20.691*'BMP P Tracking Table'!$Z178-216.711*'BMP P Tracking Table'!$Y178-83.853*'BMP P Tracking Table'!$X178-42.834*'BMP P Tracking Table'!$W178)^2-(4*(149.919*'BMP P Tracking Table'!$W178+236.676*'BMP P Tracking Table'!$X178+726*'BMP P Tracking Table'!$Y178+996.798*'BMP P Tracking Table'!$Z178)*-'BMP P Tracking Table'!$AB178)))/(2*(149.919*'BMP P Tracking Table'!$W178+236.676*'BMP P Tracking Table'!$X178+726*'BMP P Tracking Table'!$Y178+996.798*'BMP P Tracking Table'!$Z178))))),"")</f>
        <v/>
      </c>
      <c r="AF178" s="101" t="str">
        <f>IFERROR((VLOOKUP(CONCATENATE('BMP P Tracking Table'!$T178," ",'BMP P Tracking Table'!$AC178),'Performance Curves'!$C$1:$L$45,MATCH('BMP P Tracking Table'!$AE178,'Performance Curves'!$E$1:$L$1,1)+2,FALSE)-VLOOKUP(CONCATENATE('BMP P Tracking Table'!$T178," ",'BMP P Tracking Table'!$AC178),'Performance Curves'!$C$1:$L$45,MATCH('BMP P Tracking Table'!$AE178,'Performance Curves'!$E$1:$L$1,1)+1,FALSE)),"")</f>
        <v/>
      </c>
      <c r="AG178" s="101" t="str">
        <f>IFERROR(('BMP P Tracking Table'!$AE178-INDEX('Performance Curves'!$E$1:$L$1,1,MATCH('BMP P Tracking Table'!$AE178,'Performance Curves'!$E$1:$L$1,1)))/(INDEX('Performance Curves'!$E$1:$L$1,1,MATCH('BMP P Tracking Table'!$AE178,'Performance Curves'!$E$1:$L$1,1)+1)-INDEX('Performance Curves'!$E$1:$L$1,1,MATCH('BMP P Tracking Table'!$AE178,'Performance Curves'!$E$1:$L$1,1))),"")</f>
        <v/>
      </c>
      <c r="AH178" s="102" t="str">
        <f>IFERROR(IF('BMP P Tracking Table'!$AE178=2,VLOOKUP(CONCATENATE('BMP P Tracking Table'!$T178," ",'BMP P Tracking Table'!$AC178),'Performance Curves'!$C$1:$L$45,MATCH('BMP P Tracking Table'!$AE178,'Performance Curves'!$E$1:$L$1,1)+1,FALSE),'BMP P Tracking Table'!$AF178*'BMP P Tracking Table'!$AG178+VLOOKUP(CONCATENATE('BMP P Tracking Table'!$T178," ",'BMP P Tracking Table'!$AC178),'Performance Curves'!$C$1:$L$45,MATCH('BMP P Tracking Table'!$AE178,'Performance Curves'!$E$1:$L$1,1)+1,FALSE)),"")</f>
        <v/>
      </c>
      <c r="AI178" s="101" t="str">
        <f>IFERROR('BMP P Tracking Table'!$AH178*'BMP P Tracking Table'!$AD178,"")</f>
        <v/>
      </c>
      <c r="AJ178" s="64"/>
      <c r="AK178" s="96"/>
      <c r="AL178" s="96"/>
      <c r="AM178" s="63"/>
      <c r="AN178" s="99" t="str">
        <f t="shared" si="16"/>
        <v/>
      </c>
      <c r="AO178" s="96"/>
      <c r="AP178" s="96"/>
      <c r="AQ178" s="96"/>
      <c r="AR178" s="96"/>
      <c r="AS178" s="96"/>
      <c r="AT178" s="96"/>
      <c r="AU178" s="96"/>
      <c r="AV178" s="64"/>
      <c r="AW178" s="97"/>
      <c r="AX178" s="97"/>
      <c r="AY178" s="101" t="str">
        <f>IF('BMP P Tracking Table'!$AK178="Yes",IF('BMP P Tracking Table'!$AL178="No",'BMP P Tracking Table'!$U178*VLOOKUP('BMP P Tracking Table'!$Q178,'Loading Rates'!$B$1:$L$24,4,FALSE)+IF('BMP P Tracking Table'!$V178="By HSG",'BMP P Tracking Table'!$W178*VLOOKUP('BMP P Tracking Table'!$Q178,'Loading Rates'!$B$1:$L$24,6,FALSE)+'BMP P Tracking Table'!$X178*VLOOKUP('BMP P Tracking Table'!$Q178,'Loading Rates'!$B$1:$L$24,7,FALSE)+'BMP P Tracking Table'!$Y178*VLOOKUP('BMP P Tracking Table'!$Q178,'Loading Rates'!$B$1:$L$24,8,FALSE)+'BMP P Tracking Table'!$Z178*VLOOKUP('BMP P Tracking Table'!$Q178,'Loading Rates'!$B$1:$L$24,9,FALSE),'BMP P Tracking Table'!$AA178*VLOOKUP('BMP P Tracking Table'!$Q178,'Loading Rates'!$B$1:$L$24,10,FALSE)),'BMP P Tracking Table'!$AO178*VLOOKUP('BMP P Tracking Table'!$Q178,'Loading Rates'!$B$1:$L$24,4,FALSE)+IF('BMP P Tracking Table'!$AP178="By HSG",'BMP P Tracking Table'!$AQ178*VLOOKUP('BMP P Tracking Table'!$Q178,'Loading Rates'!$B$1:$L$24,6,FALSE)+'BMP P Tracking Table'!$AR178*VLOOKUP('BMP P Tracking Table'!$Q178,'Loading Rates'!$B$1:$L$24,7,FALSE)+'BMP P Tracking Table'!$AS178*VLOOKUP('BMP P Tracking Table'!$Q178,'Loading Rates'!$B$1:$L$24,8,FALSE)+'BMP P Tracking Table'!$AT178*VLOOKUP('BMP P Tracking Table'!$Q178,'Loading Rates'!$B$1:$L$24,9,FALSE),'BMP P Tracking Table'!$AU178*VLOOKUP('BMP P Tracking Table'!$Q178,'Loading Rates'!$B$1:$L$24,10,FALSE))),"")</f>
        <v/>
      </c>
      <c r="AZ178" s="101" t="str">
        <f>IFERROR(IF('BMP P Tracking Table'!$AL178="Yes",MIN(2,IF('BMP P Tracking Table'!$AP178="Total Pervious",(-(3630*'BMP P Tracking Table'!$AO178+20.691*'BMP P Tracking Table'!$AU178)+SQRT((3630*'BMP P Tracking Table'!$AO178+20.691*'BMP P Tracking Table'!$AU178)^2-(4*(996.798*'BMP P Tracking Table'!$AU178)*-'BMP P Tracking Table'!$AW178)))/(2*(996.798*'BMP P Tracking Table'!$AU178)),IF(SUM('BMP P Tracking Table'!$AQ178:$AT178)=0,'BMP P Tracking Table'!$AU178/(-3630*'BMP P Tracking Table'!$AO178),(-(3630*'BMP P Tracking Table'!$AO178+20.691*'BMP P Tracking Table'!$AT178-216.711*'BMP P Tracking Table'!$AS178-83.853*'BMP P Tracking Table'!$AR178-42.834*'BMP P Tracking Table'!$AQ178)+SQRT((3630*'BMP P Tracking Table'!$AO178+20.691*'BMP P Tracking Table'!$AT178-216.711*'BMP P Tracking Table'!$AS178-83.853*'BMP P Tracking Table'!$AR178-42.834*'BMP P Tracking Table'!$AQ178)^2-(4*(149.919*'BMP P Tracking Table'!$AQ178+236.676*'BMP P Tracking Table'!$AR178+726*'BMP P Tracking Table'!$AS178+996.798*'BMP P Tracking Table'!$AT178)*-'BMP P Tracking Table'!$AW178)))/(2*(149.919*'BMP P Tracking Table'!$AQ178+236.676*'BMP P Tracking Table'!$AR178+726*'BMP P Tracking Table'!$AS178+996.798*'BMP P Tracking Table'!$AT178))))),MIN(2,IF('BMP P Tracking Table'!$AP178="Total Pervious",(-(3630*'BMP P Tracking Table'!$U178+20.691*'BMP P Tracking Table'!$AA178)+SQRT((3630*'BMP P Tracking Table'!$U178+20.691*'BMP P Tracking Table'!$AA178)^2-(4*(996.798*'BMP P Tracking Table'!$AA178)*-'BMP P Tracking Table'!$AW178)))/(2*(996.798*'BMP P Tracking Table'!$AA178)),IF(SUM('BMP P Tracking Table'!$W178:$Z178)=0,'BMP P Tracking Table'!$AW178/(-3630*'BMP P Tracking Table'!$U178),(-(3630*'BMP P Tracking Table'!$U178+20.691*'BMP P Tracking Table'!$Z178-216.711*'BMP P Tracking Table'!$Y178-83.853*'BMP P Tracking Table'!$X178-42.834*'BMP P Tracking Table'!$W178)+SQRT((3630*'BMP P Tracking Table'!$U178+20.691*'BMP P Tracking Table'!$Z178-216.711*'BMP P Tracking Table'!$Y178-83.853*'BMP P Tracking Table'!$X178-42.834*'BMP P Tracking Table'!$W178)^2-(4*(149.919*'BMP P Tracking Table'!$W178+236.676*'BMP P Tracking Table'!$X178+726*'BMP P Tracking Table'!$Y178+996.798*'BMP P Tracking Table'!$Z178)*-'BMP P Tracking Table'!$AW178)))/(2*(149.919*'BMP P Tracking Table'!$W178+236.676*'BMP P Tracking Table'!$X178+726*'BMP P Tracking Table'!$Y178+996.798*'BMP P Tracking Table'!$Z178)))))),"")</f>
        <v/>
      </c>
      <c r="BA178" s="101" t="str">
        <f>IFERROR((VLOOKUP(CONCATENATE('BMP P Tracking Table'!$AV178," ",'BMP P Tracking Table'!$AX178),'Performance Curves'!$C$1:$L$45,MATCH('BMP P Tracking Table'!$AZ178,'Performance Curves'!$E$1:$L$1,1)+2,FALSE)-VLOOKUP(CONCATENATE('BMP P Tracking Table'!$AV178," ",'BMP P Tracking Table'!$AX178),'Performance Curves'!$C$1:$L$45,MATCH('BMP P Tracking Table'!$AZ178,'Performance Curves'!$E$1:$L$1,1)+1,FALSE)),"")</f>
        <v/>
      </c>
      <c r="BB178" s="101" t="str">
        <f>IFERROR(('BMP P Tracking Table'!$AZ178-INDEX('Performance Curves'!$E$1:$L$1,1,MATCH('BMP P Tracking Table'!$AZ178,'Performance Curves'!$E$1:$L$1,1)))/(INDEX('Performance Curves'!$E$1:$L$1,1,MATCH('BMP P Tracking Table'!$AZ178,'Performance Curves'!$E$1:$L$1,1)+1)-INDEX('Performance Curves'!$E$1:$L$1,1,MATCH('BMP P Tracking Table'!$AZ178,'Performance Curves'!$E$1:$L$1,1))),"")</f>
        <v/>
      </c>
      <c r="BC178" s="102" t="str">
        <f>IFERROR(IF('BMP P Tracking Table'!$AZ178=2,VLOOKUP(CONCATENATE('BMP P Tracking Table'!$AV178," ",'BMP P Tracking Table'!$AX178),'Performance Curves'!$C$1:$L$44,MATCH('BMP P Tracking Table'!$AZ178,'Performance Curves'!$E$1:$L$1,1)+1,FALSE),'BMP P Tracking Table'!$BA178*'BMP P Tracking Table'!$BB178+VLOOKUP(CONCATENATE('BMP P Tracking Table'!$AV178," ",'BMP P Tracking Table'!$AX178),'Performance Curves'!$C$1:$L$44,MATCH('BMP P Tracking Table'!$AZ178,'Performance Curves'!$E$1:$L$1,1)+1,FALSE)),"")</f>
        <v/>
      </c>
      <c r="BD178" s="101" t="str">
        <f>IFERROR('BMP P Tracking Table'!$BC178*'BMP P Tracking Table'!$AY178,"")</f>
        <v/>
      </c>
      <c r="BE178" s="96"/>
      <c r="BF178" s="37">
        <f t="shared" si="17"/>
        <v>0</v>
      </c>
    </row>
    <row r="179" spans="1:58" x14ac:dyDescent="0.3">
      <c r="A179" s="64"/>
      <c r="B179" s="64"/>
      <c r="C179" s="64"/>
      <c r="D179" s="64"/>
      <c r="E179" s="93"/>
      <c r="F179" s="93"/>
      <c r="G179" s="64"/>
      <c r="H179" s="64"/>
      <c r="I179" s="64"/>
      <c r="J179" s="94"/>
      <c r="K179" s="64"/>
      <c r="L179" s="64"/>
      <c r="M179" s="64"/>
      <c r="N179" s="64"/>
      <c r="O179" s="64"/>
      <c r="P179" s="64"/>
      <c r="Q179" s="64" t="str">
        <f>IFERROR(VLOOKUP('BMP P Tracking Table'!$P179,Dropdowns!$C$2:$E$15,3,FALSE),"")</f>
        <v/>
      </c>
      <c r="R179" s="64" t="str">
        <f>IFERROR(VLOOKUP('BMP P Tracking Table'!$Q179,Dropdowns!$P$3:$Q$23,2,FALSE),"")</f>
        <v/>
      </c>
      <c r="S179" s="64"/>
      <c r="T179" s="64"/>
      <c r="U179" s="64"/>
      <c r="V179" s="64"/>
      <c r="W179" s="64"/>
      <c r="X179" s="64"/>
      <c r="Y179" s="64"/>
      <c r="Z179" s="64"/>
      <c r="AA179" s="64"/>
      <c r="AB179" s="95"/>
      <c r="AC179" s="64"/>
      <c r="AD179" s="101" t="str">
        <f>IFERROR('BMP P Tracking Table'!$U179*VLOOKUP('BMP P Tracking Table'!$Q179,'Loading Rates'!$B$1:$L$24,4,FALSE)+IF('BMP P Tracking Table'!$V179="By HSG",'BMP P Tracking Table'!$W179*VLOOKUP('BMP P Tracking Table'!$Q179,'Loading Rates'!$B$1:$L$24,6,FALSE)+'BMP P Tracking Table'!$X179*VLOOKUP('BMP P Tracking Table'!$Q179,'Loading Rates'!$B$1:$L$24,7,FALSE)+'BMP P Tracking Table'!$Y179*VLOOKUP('BMP P Tracking Table'!$Q179,'Loading Rates'!$B$1:$L$24,8,FALSE)+'BMP P Tracking Table'!$Z179*VLOOKUP('BMP P Tracking Table'!$Q179,'Loading Rates'!$B$1:$L$24,9,FALSE),'BMP P Tracking Table'!$AA179*VLOOKUP('BMP P Tracking Table'!$Q179,'Loading Rates'!$B$1:$L$24,10,FALSE)),"")</f>
        <v/>
      </c>
      <c r="AE179" s="101" t="str">
        <f>IFERROR(MIN(2,IF('BMP P Tracking Table'!$V179="Total Pervious",(-(3630*'BMP P Tracking Table'!$U179+20.691*'BMP P Tracking Table'!$AA179)+SQRT((3630*'BMP P Tracking Table'!$U179+20.691*'BMP P Tracking Table'!$AA179)^2-(4*(996.798*'BMP P Tracking Table'!$AA179)*-'BMP P Tracking Table'!$AB179)))/(2*(996.798*'BMP P Tracking Table'!$AA179)),IF(SUM('BMP P Tracking Table'!$W179:$Z179)=0,'BMP P Tracking Table'!$AB179/(-3630*'BMP P Tracking Table'!$U179),(-(3630*'BMP P Tracking Table'!$U179+20.691*'BMP P Tracking Table'!$Z179-216.711*'BMP P Tracking Table'!$Y179-83.853*'BMP P Tracking Table'!$X179-42.834*'BMP P Tracking Table'!$W179)+SQRT((3630*'BMP P Tracking Table'!$U179+20.691*'BMP P Tracking Table'!$Z179-216.711*'BMP P Tracking Table'!$Y179-83.853*'BMP P Tracking Table'!$X179-42.834*'BMP P Tracking Table'!$W179)^2-(4*(149.919*'BMP P Tracking Table'!$W179+236.676*'BMP P Tracking Table'!$X179+726*'BMP P Tracking Table'!$Y179+996.798*'BMP P Tracking Table'!$Z179)*-'BMP P Tracking Table'!$AB179)))/(2*(149.919*'BMP P Tracking Table'!$W179+236.676*'BMP P Tracking Table'!$X179+726*'BMP P Tracking Table'!$Y179+996.798*'BMP P Tracking Table'!$Z179))))),"")</f>
        <v/>
      </c>
      <c r="AF179" s="101" t="str">
        <f>IFERROR((VLOOKUP(CONCATENATE('BMP P Tracking Table'!$T179," ",'BMP P Tracking Table'!$AC179),'Performance Curves'!$C$1:$L$45,MATCH('BMP P Tracking Table'!$AE179,'Performance Curves'!$E$1:$L$1,1)+2,FALSE)-VLOOKUP(CONCATENATE('BMP P Tracking Table'!$T179," ",'BMP P Tracking Table'!$AC179),'Performance Curves'!$C$1:$L$45,MATCH('BMP P Tracking Table'!$AE179,'Performance Curves'!$E$1:$L$1,1)+1,FALSE)),"")</f>
        <v/>
      </c>
      <c r="AG179" s="101" t="str">
        <f>IFERROR(('BMP P Tracking Table'!$AE179-INDEX('Performance Curves'!$E$1:$L$1,1,MATCH('BMP P Tracking Table'!$AE179,'Performance Curves'!$E$1:$L$1,1)))/(INDEX('Performance Curves'!$E$1:$L$1,1,MATCH('BMP P Tracking Table'!$AE179,'Performance Curves'!$E$1:$L$1,1)+1)-INDEX('Performance Curves'!$E$1:$L$1,1,MATCH('BMP P Tracking Table'!$AE179,'Performance Curves'!$E$1:$L$1,1))),"")</f>
        <v/>
      </c>
      <c r="AH179" s="102" t="str">
        <f>IFERROR(IF('BMP P Tracking Table'!$AE179=2,VLOOKUP(CONCATENATE('BMP P Tracking Table'!$T179," ",'BMP P Tracking Table'!$AC179),'Performance Curves'!$C$1:$L$45,MATCH('BMP P Tracking Table'!$AE179,'Performance Curves'!$E$1:$L$1,1)+1,FALSE),'BMP P Tracking Table'!$AF179*'BMP P Tracking Table'!$AG179+VLOOKUP(CONCATENATE('BMP P Tracking Table'!$T179," ",'BMP P Tracking Table'!$AC179),'Performance Curves'!$C$1:$L$45,MATCH('BMP P Tracking Table'!$AE179,'Performance Curves'!$E$1:$L$1,1)+1,FALSE)),"")</f>
        <v/>
      </c>
      <c r="AI179" s="101" t="str">
        <f>IFERROR('BMP P Tracking Table'!$AH179*'BMP P Tracking Table'!$AD179,"")</f>
        <v/>
      </c>
      <c r="AJ179" s="64"/>
      <c r="AK179" s="96"/>
      <c r="AL179" s="96"/>
      <c r="AM179" s="63"/>
      <c r="AN179" s="99" t="str">
        <f t="shared" si="16"/>
        <v/>
      </c>
      <c r="AO179" s="96"/>
      <c r="AP179" s="96"/>
      <c r="AQ179" s="96"/>
      <c r="AR179" s="96"/>
      <c r="AS179" s="96"/>
      <c r="AT179" s="96"/>
      <c r="AU179" s="96"/>
      <c r="AV179" s="64"/>
      <c r="AW179" s="97"/>
      <c r="AX179" s="97"/>
      <c r="AY179" s="101" t="str">
        <f>IF('BMP P Tracking Table'!$AK179="Yes",IF('BMP P Tracking Table'!$AL179="No",'BMP P Tracking Table'!$U179*VLOOKUP('BMP P Tracking Table'!$Q179,'Loading Rates'!$B$1:$L$24,4,FALSE)+IF('BMP P Tracking Table'!$V179="By HSG",'BMP P Tracking Table'!$W179*VLOOKUP('BMP P Tracking Table'!$Q179,'Loading Rates'!$B$1:$L$24,6,FALSE)+'BMP P Tracking Table'!$X179*VLOOKUP('BMP P Tracking Table'!$Q179,'Loading Rates'!$B$1:$L$24,7,FALSE)+'BMP P Tracking Table'!$Y179*VLOOKUP('BMP P Tracking Table'!$Q179,'Loading Rates'!$B$1:$L$24,8,FALSE)+'BMP P Tracking Table'!$Z179*VLOOKUP('BMP P Tracking Table'!$Q179,'Loading Rates'!$B$1:$L$24,9,FALSE),'BMP P Tracking Table'!$AA179*VLOOKUP('BMP P Tracking Table'!$Q179,'Loading Rates'!$B$1:$L$24,10,FALSE)),'BMP P Tracking Table'!$AO179*VLOOKUP('BMP P Tracking Table'!$Q179,'Loading Rates'!$B$1:$L$24,4,FALSE)+IF('BMP P Tracking Table'!$AP179="By HSG",'BMP P Tracking Table'!$AQ179*VLOOKUP('BMP P Tracking Table'!$Q179,'Loading Rates'!$B$1:$L$24,6,FALSE)+'BMP P Tracking Table'!$AR179*VLOOKUP('BMP P Tracking Table'!$Q179,'Loading Rates'!$B$1:$L$24,7,FALSE)+'BMP P Tracking Table'!$AS179*VLOOKUP('BMP P Tracking Table'!$Q179,'Loading Rates'!$B$1:$L$24,8,FALSE)+'BMP P Tracking Table'!$AT179*VLOOKUP('BMP P Tracking Table'!$Q179,'Loading Rates'!$B$1:$L$24,9,FALSE),'BMP P Tracking Table'!$AU179*VLOOKUP('BMP P Tracking Table'!$Q179,'Loading Rates'!$B$1:$L$24,10,FALSE))),"")</f>
        <v/>
      </c>
      <c r="AZ179" s="101" t="str">
        <f>IFERROR(IF('BMP P Tracking Table'!$AL179="Yes",MIN(2,IF('BMP P Tracking Table'!$AP179="Total Pervious",(-(3630*'BMP P Tracking Table'!$AO179+20.691*'BMP P Tracking Table'!$AU179)+SQRT((3630*'BMP P Tracking Table'!$AO179+20.691*'BMP P Tracking Table'!$AU179)^2-(4*(996.798*'BMP P Tracking Table'!$AU179)*-'BMP P Tracking Table'!$AW179)))/(2*(996.798*'BMP P Tracking Table'!$AU179)),IF(SUM('BMP P Tracking Table'!$AQ179:$AT179)=0,'BMP P Tracking Table'!$AU179/(-3630*'BMP P Tracking Table'!$AO179),(-(3630*'BMP P Tracking Table'!$AO179+20.691*'BMP P Tracking Table'!$AT179-216.711*'BMP P Tracking Table'!$AS179-83.853*'BMP P Tracking Table'!$AR179-42.834*'BMP P Tracking Table'!$AQ179)+SQRT((3630*'BMP P Tracking Table'!$AO179+20.691*'BMP P Tracking Table'!$AT179-216.711*'BMP P Tracking Table'!$AS179-83.853*'BMP P Tracking Table'!$AR179-42.834*'BMP P Tracking Table'!$AQ179)^2-(4*(149.919*'BMP P Tracking Table'!$AQ179+236.676*'BMP P Tracking Table'!$AR179+726*'BMP P Tracking Table'!$AS179+996.798*'BMP P Tracking Table'!$AT179)*-'BMP P Tracking Table'!$AW179)))/(2*(149.919*'BMP P Tracking Table'!$AQ179+236.676*'BMP P Tracking Table'!$AR179+726*'BMP P Tracking Table'!$AS179+996.798*'BMP P Tracking Table'!$AT179))))),MIN(2,IF('BMP P Tracking Table'!$AP179="Total Pervious",(-(3630*'BMP P Tracking Table'!$U179+20.691*'BMP P Tracking Table'!$AA179)+SQRT((3630*'BMP P Tracking Table'!$U179+20.691*'BMP P Tracking Table'!$AA179)^2-(4*(996.798*'BMP P Tracking Table'!$AA179)*-'BMP P Tracking Table'!$AW179)))/(2*(996.798*'BMP P Tracking Table'!$AA179)),IF(SUM('BMP P Tracking Table'!$W179:$Z179)=0,'BMP P Tracking Table'!$AW179/(-3630*'BMP P Tracking Table'!$U179),(-(3630*'BMP P Tracking Table'!$U179+20.691*'BMP P Tracking Table'!$Z179-216.711*'BMP P Tracking Table'!$Y179-83.853*'BMP P Tracking Table'!$X179-42.834*'BMP P Tracking Table'!$W179)+SQRT((3630*'BMP P Tracking Table'!$U179+20.691*'BMP P Tracking Table'!$Z179-216.711*'BMP P Tracking Table'!$Y179-83.853*'BMP P Tracking Table'!$X179-42.834*'BMP P Tracking Table'!$W179)^2-(4*(149.919*'BMP P Tracking Table'!$W179+236.676*'BMP P Tracking Table'!$X179+726*'BMP P Tracking Table'!$Y179+996.798*'BMP P Tracking Table'!$Z179)*-'BMP P Tracking Table'!$AW179)))/(2*(149.919*'BMP P Tracking Table'!$W179+236.676*'BMP P Tracking Table'!$X179+726*'BMP P Tracking Table'!$Y179+996.798*'BMP P Tracking Table'!$Z179)))))),"")</f>
        <v/>
      </c>
      <c r="BA179" s="101" t="str">
        <f>IFERROR((VLOOKUP(CONCATENATE('BMP P Tracking Table'!$AV179," ",'BMP P Tracking Table'!$AX179),'Performance Curves'!$C$1:$L$45,MATCH('BMP P Tracking Table'!$AZ179,'Performance Curves'!$E$1:$L$1,1)+2,FALSE)-VLOOKUP(CONCATENATE('BMP P Tracking Table'!$AV179," ",'BMP P Tracking Table'!$AX179),'Performance Curves'!$C$1:$L$45,MATCH('BMP P Tracking Table'!$AZ179,'Performance Curves'!$E$1:$L$1,1)+1,FALSE)),"")</f>
        <v/>
      </c>
      <c r="BB179" s="101" t="str">
        <f>IFERROR(('BMP P Tracking Table'!$AZ179-INDEX('Performance Curves'!$E$1:$L$1,1,MATCH('BMP P Tracking Table'!$AZ179,'Performance Curves'!$E$1:$L$1,1)))/(INDEX('Performance Curves'!$E$1:$L$1,1,MATCH('BMP P Tracking Table'!$AZ179,'Performance Curves'!$E$1:$L$1,1)+1)-INDEX('Performance Curves'!$E$1:$L$1,1,MATCH('BMP P Tracking Table'!$AZ179,'Performance Curves'!$E$1:$L$1,1))),"")</f>
        <v/>
      </c>
      <c r="BC179" s="102" t="str">
        <f>IFERROR(IF('BMP P Tracking Table'!$AZ179=2,VLOOKUP(CONCATENATE('BMP P Tracking Table'!$AV179," ",'BMP P Tracking Table'!$AX179),'Performance Curves'!$C$1:$L$44,MATCH('BMP P Tracking Table'!$AZ179,'Performance Curves'!$E$1:$L$1,1)+1,FALSE),'BMP P Tracking Table'!$BA179*'BMP P Tracking Table'!$BB179+VLOOKUP(CONCATENATE('BMP P Tracking Table'!$AV179," ",'BMP P Tracking Table'!$AX179),'Performance Curves'!$C$1:$L$44,MATCH('BMP P Tracking Table'!$AZ179,'Performance Curves'!$E$1:$L$1,1)+1,FALSE)),"")</f>
        <v/>
      </c>
      <c r="BD179" s="101" t="str">
        <f>IFERROR('BMP P Tracking Table'!$BC179*'BMP P Tracking Table'!$AY179,"")</f>
        <v/>
      </c>
      <c r="BE179" s="96"/>
      <c r="BF179" s="37">
        <f t="shared" si="17"/>
        <v>0</v>
      </c>
    </row>
    <row r="180" spans="1:58" x14ac:dyDescent="0.3">
      <c r="A180" s="64"/>
      <c r="B180" s="64"/>
      <c r="C180" s="64"/>
      <c r="D180" s="64"/>
      <c r="E180" s="93"/>
      <c r="F180" s="93"/>
      <c r="G180" s="64"/>
      <c r="H180" s="64"/>
      <c r="I180" s="64"/>
      <c r="J180" s="94"/>
      <c r="K180" s="64"/>
      <c r="L180" s="64"/>
      <c r="M180" s="64"/>
      <c r="N180" s="64"/>
      <c r="O180" s="64"/>
      <c r="P180" s="64"/>
      <c r="Q180" s="64" t="str">
        <f>IFERROR(VLOOKUP('BMP P Tracking Table'!$P180,Dropdowns!$C$2:$E$15,3,FALSE),"")</f>
        <v/>
      </c>
      <c r="R180" s="64" t="str">
        <f>IFERROR(VLOOKUP('BMP P Tracking Table'!$Q180,Dropdowns!$P$3:$Q$23,2,FALSE),"")</f>
        <v/>
      </c>
      <c r="S180" s="64"/>
      <c r="T180" s="64"/>
      <c r="U180" s="64"/>
      <c r="V180" s="64"/>
      <c r="W180" s="64"/>
      <c r="X180" s="64"/>
      <c r="Y180" s="64"/>
      <c r="Z180" s="64"/>
      <c r="AA180" s="64"/>
      <c r="AB180" s="95"/>
      <c r="AC180" s="64"/>
      <c r="AD180" s="101" t="str">
        <f>IFERROR('BMP P Tracking Table'!$U180*VLOOKUP('BMP P Tracking Table'!$Q180,'Loading Rates'!$B$1:$L$24,4,FALSE)+IF('BMP P Tracking Table'!$V180="By HSG",'BMP P Tracking Table'!$W180*VLOOKUP('BMP P Tracking Table'!$Q180,'Loading Rates'!$B$1:$L$24,6,FALSE)+'BMP P Tracking Table'!$X180*VLOOKUP('BMP P Tracking Table'!$Q180,'Loading Rates'!$B$1:$L$24,7,FALSE)+'BMP P Tracking Table'!$Y180*VLOOKUP('BMP P Tracking Table'!$Q180,'Loading Rates'!$B$1:$L$24,8,FALSE)+'BMP P Tracking Table'!$Z180*VLOOKUP('BMP P Tracking Table'!$Q180,'Loading Rates'!$B$1:$L$24,9,FALSE),'BMP P Tracking Table'!$AA180*VLOOKUP('BMP P Tracking Table'!$Q180,'Loading Rates'!$B$1:$L$24,10,FALSE)),"")</f>
        <v/>
      </c>
      <c r="AE180" s="101" t="str">
        <f>IFERROR(MIN(2,IF('BMP P Tracking Table'!$V180="Total Pervious",(-(3630*'BMP P Tracking Table'!$U180+20.691*'BMP P Tracking Table'!$AA180)+SQRT((3630*'BMP P Tracking Table'!$U180+20.691*'BMP P Tracking Table'!$AA180)^2-(4*(996.798*'BMP P Tracking Table'!$AA180)*-'BMP P Tracking Table'!$AB180)))/(2*(996.798*'BMP P Tracking Table'!$AA180)),IF(SUM('BMP P Tracking Table'!$W180:$Z180)=0,'BMP P Tracking Table'!$AB180/(-3630*'BMP P Tracking Table'!$U180),(-(3630*'BMP P Tracking Table'!$U180+20.691*'BMP P Tracking Table'!$Z180-216.711*'BMP P Tracking Table'!$Y180-83.853*'BMP P Tracking Table'!$X180-42.834*'BMP P Tracking Table'!$W180)+SQRT((3630*'BMP P Tracking Table'!$U180+20.691*'BMP P Tracking Table'!$Z180-216.711*'BMP P Tracking Table'!$Y180-83.853*'BMP P Tracking Table'!$X180-42.834*'BMP P Tracking Table'!$W180)^2-(4*(149.919*'BMP P Tracking Table'!$W180+236.676*'BMP P Tracking Table'!$X180+726*'BMP P Tracking Table'!$Y180+996.798*'BMP P Tracking Table'!$Z180)*-'BMP P Tracking Table'!$AB180)))/(2*(149.919*'BMP P Tracking Table'!$W180+236.676*'BMP P Tracking Table'!$X180+726*'BMP P Tracking Table'!$Y180+996.798*'BMP P Tracking Table'!$Z180))))),"")</f>
        <v/>
      </c>
      <c r="AF180" s="101" t="str">
        <f>IFERROR((VLOOKUP(CONCATENATE('BMP P Tracking Table'!$T180," ",'BMP P Tracking Table'!$AC180),'Performance Curves'!$C$1:$L$45,MATCH('BMP P Tracking Table'!$AE180,'Performance Curves'!$E$1:$L$1,1)+2,FALSE)-VLOOKUP(CONCATENATE('BMP P Tracking Table'!$T180," ",'BMP P Tracking Table'!$AC180),'Performance Curves'!$C$1:$L$45,MATCH('BMP P Tracking Table'!$AE180,'Performance Curves'!$E$1:$L$1,1)+1,FALSE)),"")</f>
        <v/>
      </c>
      <c r="AG180" s="101" t="str">
        <f>IFERROR(('BMP P Tracking Table'!$AE180-INDEX('Performance Curves'!$E$1:$L$1,1,MATCH('BMP P Tracking Table'!$AE180,'Performance Curves'!$E$1:$L$1,1)))/(INDEX('Performance Curves'!$E$1:$L$1,1,MATCH('BMP P Tracking Table'!$AE180,'Performance Curves'!$E$1:$L$1,1)+1)-INDEX('Performance Curves'!$E$1:$L$1,1,MATCH('BMP P Tracking Table'!$AE180,'Performance Curves'!$E$1:$L$1,1))),"")</f>
        <v/>
      </c>
      <c r="AH180" s="102" t="str">
        <f>IFERROR(IF('BMP P Tracking Table'!$AE180=2,VLOOKUP(CONCATENATE('BMP P Tracking Table'!$T180," ",'BMP P Tracking Table'!$AC180),'Performance Curves'!$C$1:$L$45,MATCH('BMP P Tracking Table'!$AE180,'Performance Curves'!$E$1:$L$1,1)+1,FALSE),'BMP P Tracking Table'!$AF180*'BMP P Tracking Table'!$AG180+VLOOKUP(CONCATENATE('BMP P Tracking Table'!$T180," ",'BMP P Tracking Table'!$AC180),'Performance Curves'!$C$1:$L$45,MATCH('BMP P Tracking Table'!$AE180,'Performance Curves'!$E$1:$L$1,1)+1,FALSE)),"")</f>
        <v/>
      </c>
      <c r="AI180" s="101" t="str">
        <f>IFERROR('BMP P Tracking Table'!$AH180*'BMP P Tracking Table'!$AD180,"")</f>
        <v/>
      </c>
      <c r="AJ180" s="64"/>
      <c r="AK180" s="96"/>
      <c r="AL180" s="96"/>
      <c r="AM180" s="63"/>
      <c r="AN180" s="99" t="str">
        <f t="shared" si="16"/>
        <v/>
      </c>
      <c r="AO180" s="96"/>
      <c r="AP180" s="96"/>
      <c r="AQ180" s="96"/>
      <c r="AR180" s="96"/>
      <c r="AS180" s="96"/>
      <c r="AT180" s="96"/>
      <c r="AU180" s="96"/>
      <c r="AV180" s="64"/>
      <c r="AW180" s="97"/>
      <c r="AX180" s="97"/>
      <c r="AY180" s="101" t="str">
        <f>IF('BMP P Tracking Table'!$AK180="Yes",IF('BMP P Tracking Table'!$AL180="No",'BMP P Tracking Table'!$U180*VLOOKUP('BMP P Tracking Table'!$Q180,'Loading Rates'!$B$1:$L$24,4,FALSE)+IF('BMP P Tracking Table'!$V180="By HSG",'BMP P Tracking Table'!$W180*VLOOKUP('BMP P Tracking Table'!$Q180,'Loading Rates'!$B$1:$L$24,6,FALSE)+'BMP P Tracking Table'!$X180*VLOOKUP('BMP P Tracking Table'!$Q180,'Loading Rates'!$B$1:$L$24,7,FALSE)+'BMP P Tracking Table'!$Y180*VLOOKUP('BMP P Tracking Table'!$Q180,'Loading Rates'!$B$1:$L$24,8,FALSE)+'BMP P Tracking Table'!$Z180*VLOOKUP('BMP P Tracking Table'!$Q180,'Loading Rates'!$B$1:$L$24,9,FALSE),'BMP P Tracking Table'!$AA180*VLOOKUP('BMP P Tracking Table'!$Q180,'Loading Rates'!$B$1:$L$24,10,FALSE)),'BMP P Tracking Table'!$AO180*VLOOKUP('BMP P Tracking Table'!$Q180,'Loading Rates'!$B$1:$L$24,4,FALSE)+IF('BMP P Tracking Table'!$AP180="By HSG",'BMP P Tracking Table'!$AQ180*VLOOKUP('BMP P Tracking Table'!$Q180,'Loading Rates'!$B$1:$L$24,6,FALSE)+'BMP P Tracking Table'!$AR180*VLOOKUP('BMP P Tracking Table'!$Q180,'Loading Rates'!$B$1:$L$24,7,FALSE)+'BMP P Tracking Table'!$AS180*VLOOKUP('BMP P Tracking Table'!$Q180,'Loading Rates'!$B$1:$L$24,8,FALSE)+'BMP P Tracking Table'!$AT180*VLOOKUP('BMP P Tracking Table'!$Q180,'Loading Rates'!$B$1:$L$24,9,FALSE),'BMP P Tracking Table'!$AU180*VLOOKUP('BMP P Tracking Table'!$Q180,'Loading Rates'!$B$1:$L$24,10,FALSE))),"")</f>
        <v/>
      </c>
      <c r="AZ180" s="101" t="str">
        <f>IFERROR(IF('BMP P Tracking Table'!$AL180="Yes",MIN(2,IF('BMP P Tracking Table'!$AP180="Total Pervious",(-(3630*'BMP P Tracking Table'!$AO180+20.691*'BMP P Tracking Table'!$AU180)+SQRT((3630*'BMP P Tracking Table'!$AO180+20.691*'BMP P Tracking Table'!$AU180)^2-(4*(996.798*'BMP P Tracking Table'!$AU180)*-'BMP P Tracking Table'!$AW180)))/(2*(996.798*'BMP P Tracking Table'!$AU180)),IF(SUM('BMP P Tracking Table'!$AQ180:$AT180)=0,'BMP P Tracking Table'!$AU180/(-3630*'BMP P Tracking Table'!$AO180),(-(3630*'BMP P Tracking Table'!$AO180+20.691*'BMP P Tracking Table'!$AT180-216.711*'BMP P Tracking Table'!$AS180-83.853*'BMP P Tracking Table'!$AR180-42.834*'BMP P Tracking Table'!$AQ180)+SQRT((3630*'BMP P Tracking Table'!$AO180+20.691*'BMP P Tracking Table'!$AT180-216.711*'BMP P Tracking Table'!$AS180-83.853*'BMP P Tracking Table'!$AR180-42.834*'BMP P Tracking Table'!$AQ180)^2-(4*(149.919*'BMP P Tracking Table'!$AQ180+236.676*'BMP P Tracking Table'!$AR180+726*'BMP P Tracking Table'!$AS180+996.798*'BMP P Tracking Table'!$AT180)*-'BMP P Tracking Table'!$AW180)))/(2*(149.919*'BMP P Tracking Table'!$AQ180+236.676*'BMP P Tracking Table'!$AR180+726*'BMP P Tracking Table'!$AS180+996.798*'BMP P Tracking Table'!$AT180))))),MIN(2,IF('BMP P Tracking Table'!$AP180="Total Pervious",(-(3630*'BMP P Tracking Table'!$U180+20.691*'BMP P Tracking Table'!$AA180)+SQRT((3630*'BMP P Tracking Table'!$U180+20.691*'BMP P Tracking Table'!$AA180)^2-(4*(996.798*'BMP P Tracking Table'!$AA180)*-'BMP P Tracking Table'!$AW180)))/(2*(996.798*'BMP P Tracking Table'!$AA180)),IF(SUM('BMP P Tracking Table'!$W180:$Z180)=0,'BMP P Tracking Table'!$AW180/(-3630*'BMP P Tracking Table'!$U180),(-(3630*'BMP P Tracking Table'!$U180+20.691*'BMP P Tracking Table'!$Z180-216.711*'BMP P Tracking Table'!$Y180-83.853*'BMP P Tracking Table'!$X180-42.834*'BMP P Tracking Table'!$W180)+SQRT((3630*'BMP P Tracking Table'!$U180+20.691*'BMP P Tracking Table'!$Z180-216.711*'BMP P Tracking Table'!$Y180-83.853*'BMP P Tracking Table'!$X180-42.834*'BMP P Tracking Table'!$W180)^2-(4*(149.919*'BMP P Tracking Table'!$W180+236.676*'BMP P Tracking Table'!$X180+726*'BMP P Tracking Table'!$Y180+996.798*'BMP P Tracking Table'!$Z180)*-'BMP P Tracking Table'!$AW180)))/(2*(149.919*'BMP P Tracking Table'!$W180+236.676*'BMP P Tracking Table'!$X180+726*'BMP P Tracking Table'!$Y180+996.798*'BMP P Tracking Table'!$Z180)))))),"")</f>
        <v/>
      </c>
      <c r="BA180" s="101" t="str">
        <f>IFERROR((VLOOKUP(CONCATENATE('BMP P Tracking Table'!$AV180," ",'BMP P Tracking Table'!$AX180),'Performance Curves'!$C$1:$L$45,MATCH('BMP P Tracking Table'!$AZ180,'Performance Curves'!$E$1:$L$1,1)+2,FALSE)-VLOOKUP(CONCATENATE('BMP P Tracking Table'!$AV180," ",'BMP P Tracking Table'!$AX180),'Performance Curves'!$C$1:$L$45,MATCH('BMP P Tracking Table'!$AZ180,'Performance Curves'!$E$1:$L$1,1)+1,FALSE)),"")</f>
        <v/>
      </c>
      <c r="BB180" s="101" t="str">
        <f>IFERROR(('BMP P Tracking Table'!$AZ180-INDEX('Performance Curves'!$E$1:$L$1,1,MATCH('BMP P Tracking Table'!$AZ180,'Performance Curves'!$E$1:$L$1,1)))/(INDEX('Performance Curves'!$E$1:$L$1,1,MATCH('BMP P Tracking Table'!$AZ180,'Performance Curves'!$E$1:$L$1,1)+1)-INDEX('Performance Curves'!$E$1:$L$1,1,MATCH('BMP P Tracking Table'!$AZ180,'Performance Curves'!$E$1:$L$1,1))),"")</f>
        <v/>
      </c>
      <c r="BC180" s="102" t="str">
        <f>IFERROR(IF('BMP P Tracking Table'!$AZ180=2,VLOOKUP(CONCATENATE('BMP P Tracking Table'!$AV180," ",'BMP P Tracking Table'!$AX180),'Performance Curves'!$C$1:$L$44,MATCH('BMP P Tracking Table'!$AZ180,'Performance Curves'!$E$1:$L$1,1)+1,FALSE),'BMP P Tracking Table'!$BA180*'BMP P Tracking Table'!$BB180+VLOOKUP(CONCATENATE('BMP P Tracking Table'!$AV180," ",'BMP P Tracking Table'!$AX180),'Performance Curves'!$C$1:$L$44,MATCH('BMP P Tracking Table'!$AZ180,'Performance Curves'!$E$1:$L$1,1)+1,FALSE)),"")</f>
        <v/>
      </c>
      <c r="BD180" s="101" t="str">
        <f>IFERROR('BMP P Tracking Table'!$BC180*'BMP P Tracking Table'!$AY180,"")</f>
        <v/>
      </c>
      <c r="BE180" s="96"/>
      <c r="BF180" s="37">
        <f t="shared" si="17"/>
        <v>0</v>
      </c>
    </row>
    <row r="181" spans="1:58" x14ac:dyDescent="0.3">
      <c r="A181" s="64"/>
      <c r="B181" s="64"/>
      <c r="C181" s="64"/>
      <c r="D181" s="64"/>
      <c r="E181" s="93"/>
      <c r="F181" s="93"/>
      <c r="G181" s="64"/>
      <c r="H181" s="64"/>
      <c r="I181" s="64"/>
      <c r="J181" s="94"/>
      <c r="K181" s="64"/>
      <c r="L181" s="64"/>
      <c r="M181" s="64"/>
      <c r="N181" s="64"/>
      <c r="O181" s="64"/>
      <c r="P181" s="64"/>
      <c r="Q181" s="64" t="str">
        <f>IFERROR(VLOOKUP('BMP P Tracking Table'!$P181,Dropdowns!$C$2:$E$15,3,FALSE),"")</f>
        <v/>
      </c>
      <c r="R181" s="64" t="str">
        <f>IFERROR(VLOOKUP('BMP P Tracking Table'!$Q181,Dropdowns!$P$3:$Q$23,2,FALSE),"")</f>
        <v/>
      </c>
      <c r="S181" s="64"/>
      <c r="T181" s="64"/>
      <c r="U181" s="64"/>
      <c r="V181" s="64"/>
      <c r="W181" s="64"/>
      <c r="X181" s="64"/>
      <c r="Y181" s="64"/>
      <c r="Z181" s="64"/>
      <c r="AA181" s="64"/>
      <c r="AB181" s="95"/>
      <c r="AC181" s="64"/>
      <c r="AD181" s="101" t="str">
        <f>IFERROR('BMP P Tracking Table'!$U181*VLOOKUP('BMP P Tracking Table'!$Q181,'Loading Rates'!$B$1:$L$24,4,FALSE)+IF('BMP P Tracking Table'!$V181="By HSG",'BMP P Tracking Table'!$W181*VLOOKUP('BMP P Tracking Table'!$Q181,'Loading Rates'!$B$1:$L$24,6,FALSE)+'BMP P Tracking Table'!$X181*VLOOKUP('BMP P Tracking Table'!$Q181,'Loading Rates'!$B$1:$L$24,7,FALSE)+'BMP P Tracking Table'!$Y181*VLOOKUP('BMP P Tracking Table'!$Q181,'Loading Rates'!$B$1:$L$24,8,FALSE)+'BMP P Tracking Table'!$Z181*VLOOKUP('BMP P Tracking Table'!$Q181,'Loading Rates'!$B$1:$L$24,9,FALSE),'BMP P Tracking Table'!$AA181*VLOOKUP('BMP P Tracking Table'!$Q181,'Loading Rates'!$B$1:$L$24,10,FALSE)),"")</f>
        <v/>
      </c>
      <c r="AE181" s="101" t="str">
        <f>IFERROR(MIN(2,IF('BMP P Tracking Table'!$V181="Total Pervious",(-(3630*'BMP P Tracking Table'!$U181+20.691*'BMP P Tracking Table'!$AA181)+SQRT((3630*'BMP P Tracking Table'!$U181+20.691*'BMP P Tracking Table'!$AA181)^2-(4*(996.798*'BMP P Tracking Table'!$AA181)*-'BMP P Tracking Table'!$AB181)))/(2*(996.798*'BMP P Tracking Table'!$AA181)),IF(SUM('BMP P Tracking Table'!$W181:$Z181)=0,'BMP P Tracking Table'!$AB181/(-3630*'BMP P Tracking Table'!$U181),(-(3630*'BMP P Tracking Table'!$U181+20.691*'BMP P Tracking Table'!$Z181-216.711*'BMP P Tracking Table'!$Y181-83.853*'BMP P Tracking Table'!$X181-42.834*'BMP P Tracking Table'!$W181)+SQRT((3630*'BMP P Tracking Table'!$U181+20.691*'BMP P Tracking Table'!$Z181-216.711*'BMP P Tracking Table'!$Y181-83.853*'BMP P Tracking Table'!$X181-42.834*'BMP P Tracking Table'!$W181)^2-(4*(149.919*'BMP P Tracking Table'!$W181+236.676*'BMP P Tracking Table'!$X181+726*'BMP P Tracking Table'!$Y181+996.798*'BMP P Tracking Table'!$Z181)*-'BMP P Tracking Table'!$AB181)))/(2*(149.919*'BMP P Tracking Table'!$W181+236.676*'BMP P Tracking Table'!$X181+726*'BMP P Tracking Table'!$Y181+996.798*'BMP P Tracking Table'!$Z181))))),"")</f>
        <v/>
      </c>
      <c r="AF181" s="101" t="str">
        <f>IFERROR((VLOOKUP(CONCATENATE('BMP P Tracking Table'!$T181," ",'BMP P Tracking Table'!$AC181),'Performance Curves'!$C$1:$L$45,MATCH('BMP P Tracking Table'!$AE181,'Performance Curves'!$E$1:$L$1,1)+2,FALSE)-VLOOKUP(CONCATENATE('BMP P Tracking Table'!$T181," ",'BMP P Tracking Table'!$AC181),'Performance Curves'!$C$1:$L$45,MATCH('BMP P Tracking Table'!$AE181,'Performance Curves'!$E$1:$L$1,1)+1,FALSE)),"")</f>
        <v/>
      </c>
      <c r="AG181" s="101" t="str">
        <f>IFERROR(('BMP P Tracking Table'!$AE181-INDEX('Performance Curves'!$E$1:$L$1,1,MATCH('BMP P Tracking Table'!$AE181,'Performance Curves'!$E$1:$L$1,1)))/(INDEX('Performance Curves'!$E$1:$L$1,1,MATCH('BMP P Tracking Table'!$AE181,'Performance Curves'!$E$1:$L$1,1)+1)-INDEX('Performance Curves'!$E$1:$L$1,1,MATCH('BMP P Tracking Table'!$AE181,'Performance Curves'!$E$1:$L$1,1))),"")</f>
        <v/>
      </c>
      <c r="AH181" s="102" t="str">
        <f>IFERROR(IF('BMP P Tracking Table'!$AE181=2,VLOOKUP(CONCATENATE('BMP P Tracking Table'!$T181," ",'BMP P Tracking Table'!$AC181),'Performance Curves'!$C$1:$L$45,MATCH('BMP P Tracking Table'!$AE181,'Performance Curves'!$E$1:$L$1,1)+1,FALSE),'BMP P Tracking Table'!$AF181*'BMP P Tracking Table'!$AG181+VLOOKUP(CONCATENATE('BMP P Tracking Table'!$T181," ",'BMP P Tracking Table'!$AC181),'Performance Curves'!$C$1:$L$45,MATCH('BMP P Tracking Table'!$AE181,'Performance Curves'!$E$1:$L$1,1)+1,FALSE)),"")</f>
        <v/>
      </c>
      <c r="AI181" s="101" t="str">
        <f>IFERROR('BMP P Tracking Table'!$AH181*'BMP P Tracking Table'!$AD181,"")</f>
        <v/>
      </c>
      <c r="AJ181" s="64"/>
      <c r="AK181" s="96"/>
      <c r="AL181" s="96"/>
      <c r="AM181" s="63"/>
      <c r="AN181" s="99" t="str">
        <f t="shared" si="16"/>
        <v/>
      </c>
      <c r="AO181" s="96"/>
      <c r="AP181" s="96"/>
      <c r="AQ181" s="96"/>
      <c r="AR181" s="96"/>
      <c r="AS181" s="96"/>
      <c r="AT181" s="96"/>
      <c r="AU181" s="96"/>
      <c r="AV181" s="64"/>
      <c r="AW181" s="97"/>
      <c r="AX181" s="97"/>
      <c r="AY181" s="101" t="str">
        <f>IF('BMP P Tracking Table'!$AK181="Yes",IF('BMP P Tracking Table'!$AL181="No",'BMP P Tracking Table'!$U181*VLOOKUP('BMP P Tracking Table'!$Q181,'Loading Rates'!$B$1:$L$24,4,FALSE)+IF('BMP P Tracking Table'!$V181="By HSG",'BMP P Tracking Table'!$W181*VLOOKUP('BMP P Tracking Table'!$Q181,'Loading Rates'!$B$1:$L$24,6,FALSE)+'BMP P Tracking Table'!$X181*VLOOKUP('BMP P Tracking Table'!$Q181,'Loading Rates'!$B$1:$L$24,7,FALSE)+'BMP P Tracking Table'!$Y181*VLOOKUP('BMP P Tracking Table'!$Q181,'Loading Rates'!$B$1:$L$24,8,FALSE)+'BMP P Tracking Table'!$Z181*VLOOKUP('BMP P Tracking Table'!$Q181,'Loading Rates'!$B$1:$L$24,9,FALSE),'BMP P Tracking Table'!$AA181*VLOOKUP('BMP P Tracking Table'!$Q181,'Loading Rates'!$B$1:$L$24,10,FALSE)),'BMP P Tracking Table'!$AO181*VLOOKUP('BMP P Tracking Table'!$Q181,'Loading Rates'!$B$1:$L$24,4,FALSE)+IF('BMP P Tracking Table'!$AP181="By HSG",'BMP P Tracking Table'!$AQ181*VLOOKUP('BMP P Tracking Table'!$Q181,'Loading Rates'!$B$1:$L$24,6,FALSE)+'BMP P Tracking Table'!$AR181*VLOOKUP('BMP P Tracking Table'!$Q181,'Loading Rates'!$B$1:$L$24,7,FALSE)+'BMP P Tracking Table'!$AS181*VLOOKUP('BMP P Tracking Table'!$Q181,'Loading Rates'!$B$1:$L$24,8,FALSE)+'BMP P Tracking Table'!$AT181*VLOOKUP('BMP P Tracking Table'!$Q181,'Loading Rates'!$B$1:$L$24,9,FALSE),'BMP P Tracking Table'!$AU181*VLOOKUP('BMP P Tracking Table'!$Q181,'Loading Rates'!$B$1:$L$24,10,FALSE))),"")</f>
        <v/>
      </c>
      <c r="AZ181" s="101" t="str">
        <f>IFERROR(IF('BMP P Tracking Table'!$AL181="Yes",MIN(2,IF('BMP P Tracking Table'!$AP181="Total Pervious",(-(3630*'BMP P Tracking Table'!$AO181+20.691*'BMP P Tracking Table'!$AU181)+SQRT((3630*'BMP P Tracking Table'!$AO181+20.691*'BMP P Tracking Table'!$AU181)^2-(4*(996.798*'BMP P Tracking Table'!$AU181)*-'BMP P Tracking Table'!$AW181)))/(2*(996.798*'BMP P Tracking Table'!$AU181)),IF(SUM('BMP P Tracking Table'!$AQ181:$AT181)=0,'BMP P Tracking Table'!$AU181/(-3630*'BMP P Tracking Table'!$AO181),(-(3630*'BMP P Tracking Table'!$AO181+20.691*'BMP P Tracking Table'!$AT181-216.711*'BMP P Tracking Table'!$AS181-83.853*'BMP P Tracking Table'!$AR181-42.834*'BMP P Tracking Table'!$AQ181)+SQRT((3630*'BMP P Tracking Table'!$AO181+20.691*'BMP P Tracking Table'!$AT181-216.711*'BMP P Tracking Table'!$AS181-83.853*'BMP P Tracking Table'!$AR181-42.834*'BMP P Tracking Table'!$AQ181)^2-(4*(149.919*'BMP P Tracking Table'!$AQ181+236.676*'BMP P Tracking Table'!$AR181+726*'BMP P Tracking Table'!$AS181+996.798*'BMP P Tracking Table'!$AT181)*-'BMP P Tracking Table'!$AW181)))/(2*(149.919*'BMP P Tracking Table'!$AQ181+236.676*'BMP P Tracking Table'!$AR181+726*'BMP P Tracking Table'!$AS181+996.798*'BMP P Tracking Table'!$AT181))))),MIN(2,IF('BMP P Tracking Table'!$AP181="Total Pervious",(-(3630*'BMP P Tracking Table'!$U181+20.691*'BMP P Tracking Table'!$AA181)+SQRT((3630*'BMP P Tracking Table'!$U181+20.691*'BMP P Tracking Table'!$AA181)^2-(4*(996.798*'BMP P Tracking Table'!$AA181)*-'BMP P Tracking Table'!$AW181)))/(2*(996.798*'BMP P Tracking Table'!$AA181)),IF(SUM('BMP P Tracking Table'!$W181:$Z181)=0,'BMP P Tracking Table'!$AW181/(-3630*'BMP P Tracking Table'!$U181),(-(3630*'BMP P Tracking Table'!$U181+20.691*'BMP P Tracking Table'!$Z181-216.711*'BMP P Tracking Table'!$Y181-83.853*'BMP P Tracking Table'!$X181-42.834*'BMP P Tracking Table'!$W181)+SQRT((3630*'BMP P Tracking Table'!$U181+20.691*'BMP P Tracking Table'!$Z181-216.711*'BMP P Tracking Table'!$Y181-83.853*'BMP P Tracking Table'!$X181-42.834*'BMP P Tracking Table'!$W181)^2-(4*(149.919*'BMP P Tracking Table'!$W181+236.676*'BMP P Tracking Table'!$X181+726*'BMP P Tracking Table'!$Y181+996.798*'BMP P Tracking Table'!$Z181)*-'BMP P Tracking Table'!$AW181)))/(2*(149.919*'BMP P Tracking Table'!$W181+236.676*'BMP P Tracking Table'!$X181+726*'BMP P Tracking Table'!$Y181+996.798*'BMP P Tracking Table'!$Z181)))))),"")</f>
        <v/>
      </c>
      <c r="BA181" s="101" t="str">
        <f>IFERROR((VLOOKUP(CONCATENATE('BMP P Tracking Table'!$AV181," ",'BMP P Tracking Table'!$AX181),'Performance Curves'!$C$1:$L$45,MATCH('BMP P Tracking Table'!$AZ181,'Performance Curves'!$E$1:$L$1,1)+2,FALSE)-VLOOKUP(CONCATENATE('BMP P Tracking Table'!$AV181," ",'BMP P Tracking Table'!$AX181),'Performance Curves'!$C$1:$L$45,MATCH('BMP P Tracking Table'!$AZ181,'Performance Curves'!$E$1:$L$1,1)+1,FALSE)),"")</f>
        <v/>
      </c>
      <c r="BB181" s="101" t="str">
        <f>IFERROR(('BMP P Tracking Table'!$AZ181-INDEX('Performance Curves'!$E$1:$L$1,1,MATCH('BMP P Tracking Table'!$AZ181,'Performance Curves'!$E$1:$L$1,1)))/(INDEX('Performance Curves'!$E$1:$L$1,1,MATCH('BMP P Tracking Table'!$AZ181,'Performance Curves'!$E$1:$L$1,1)+1)-INDEX('Performance Curves'!$E$1:$L$1,1,MATCH('BMP P Tracking Table'!$AZ181,'Performance Curves'!$E$1:$L$1,1))),"")</f>
        <v/>
      </c>
      <c r="BC181" s="102" t="str">
        <f>IFERROR(IF('BMP P Tracking Table'!$AZ181=2,VLOOKUP(CONCATENATE('BMP P Tracking Table'!$AV181," ",'BMP P Tracking Table'!$AX181),'Performance Curves'!$C$1:$L$44,MATCH('BMP P Tracking Table'!$AZ181,'Performance Curves'!$E$1:$L$1,1)+1,FALSE),'BMP P Tracking Table'!$BA181*'BMP P Tracking Table'!$BB181+VLOOKUP(CONCATENATE('BMP P Tracking Table'!$AV181," ",'BMP P Tracking Table'!$AX181),'Performance Curves'!$C$1:$L$44,MATCH('BMP P Tracking Table'!$AZ181,'Performance Curves'!$E$1:$L$1,1)+1,FALSE)),"")</f>
        <v/>
      </c>
      <c r="BD181" s="101" t="str">
        <f>IFERROR('BMP P Tracking Table'!$BC181*'BMP P Tracking Table'!$AY181,"")</f>
        <v/>
      </c>
      <c r="BE181" s="96"/>
      <c r="BF181" s="37">
        <f t="shared" si="17"/>
        <v>0</v>
      </c>
    </row>
    <row r="182" spans="1:58" x14ac:dyDescent="0.3">
      <c r="A182" s="64"/>
      <c r="B182" s="64"/>
      <c r="C182" s="64"/>
      <c r="D182" s="64"/>
      <c r="E182" s="93"/>
      <c r="F182" s="93"/>
      <c r="G182" s="64"/>
      <c r="H182" s="64"/>
      <c r="I182" s="64"/>
      <c r="J182" s="94"/>
      <c r="K182" s="64"/>
      <c r="L182" s="64"/>
      <c r="M182" s="64"/>
      <c r="N182" s="64"/>
      <c r="O182" s="64"/>
      <c r="P182" s="64"/>
      <c r="Q182" s="64" t="str">
        <f>IFERROR(VLOOKUP('BMP P Tracking Table'!$P182,Dropdowns!$C$2:$E$15,3,FALSE),"")</f>
        <v/>
      </c>
      <c r="R182" s="64" t="str">
        <f>IFERROR(VLOOKUP('BMP P Tracking Table'!$Q182,Dropdowns!$P$3:$Q$23,2,FALSE),"")</f>
        <v/>
      </c>
      <c r="S182" s="64"/>
      <c r="T182" s="64"/>
      <c r="U182" s="64"/>
      <c r="V182" s="64"/>
      <c r="W182" s="64"/>
      <c r="X182" s="64"/>
      <c r="Y182" s="64"/>
      <c r="Z182" s="64"/>
      <c r="AA182" s="64"/>
      <c r="AB182" s="95"/>
      <c r="AC182" s="64"/>
      <c r="AD182" s="101" t="str">
        <f>IFERROR('BMP P Tracking Table'!$U182*VLOOKUP('BMP P Tracking Table'!$Q182,'Loading Rates'!$B$1:$L$24,4,FALSE)+IF('BMP P Tracking Table'!$V182="By HSG",'BMP P Tracking Table'!$W182*VLOOKUP('BMP P Tracking Table'!$Q182,'Loading Rates'!$B$1:$L$24,6,FALSE)+'BMP P Tracking Table'!$X182*VLOOKUP('BMP P Tracking Table'!$Q182,'Loading Rates'!$B$1:$L$24,7,FALSE)+'BMP P Tracking Table'!$Y182*VLOOKUP('BMP P Tracking Table'!$Q182,'Loading Rates'!$B$1:$L$24,8,FALSE)+'BMP P Tracking Table'!$Z182*VLOOKUP('BMP P Tracking Table'!$Q182,'Loading Rates'!$B$1:$L$24,9,FALSE),'BMP P Tracking Table'!$AA182*VLOOKUP('BMP P Tracking Table'!$Q182,'Loading Rates'!$B$1:$L$24,10,FALSE)),"")</f>
        <v/>
      </c>
      <c r="AE182" s="101" t="str">
        <f>IFERROR(MIN(2,IF('BMP P Tracking Table'!$V182="Total Pervious",(-(3630*'BMP P Tracking Table'!$U182+20.691*'BMP P Tracking Table'!$AA182)+SQRT((3630*'BMP P Tracking Table'!$U182+20.691*'BMP P Tracking Table'!$AA182)^2-(4*(996.798*'BMP P Tracking Table'!$AA182)*-'BMP P Tracking Table'!$AB182)))/(2*(996.798*'BMP P Tracking Table'!$AA182)),IF(SUM('BMP P Tracking Table'!$W182:$Z182)=0,'BMP P Tracking Table'!$AB182/(-3630*'BMP P Tracking Table'!$U182),(-(3630*'BMP P Tracking Table'!$U182+20.691*'BMP P Tracking Table'!$Z182-216.711*'BMP P Tracking Table'!$Y182-83.853*'BMP P Tracking Table'!$X182-42.834*'BMP P Tracking Table'!$W182)+SQRT((3630*'BMP P Tracking Table'!$U182+20.691*'BMP P Tracking Table'!$Z182-216.711*'BMP P Tracking Table'!$Y182-83.853*'BMP P Tracking Table'!$X182-42.834*'BMP P Tracking Table'!$W182)^2-(4*(149.919*'BMP P Tracking Table'!$W182+236.676*'BMP P Tracking Table'!$X182+726*'BMP P Tracking Table'!$Y182+996.798*'BMP P Tracking Table'!$Z182)*-'BMP P Tracking Table'!$AB182)))/(2*(149.919*'BMP P Tracking Table'!$W182+236.676*'BMP P Tracking Table'!$X182+726*'BMP P Tracking Table'!$Y182+996.798*'BMP P Tracking Table'!$Z182))))),"")</f>
        <v/>
      </c>
      <c r="AF182" s="101" t="str">
        <f>IFERROR((VLOOKUP(CONCATENATE('BMP P Tracking Table'!$T182," ",'BMP P Tracking Table'!$AC182),'Performance Curves'!$C$1:$L$45,MATCH('BMP P Tracking Table'!$AE182,'Performance Curves'!$E$1:$L$1,1)+2,FALSE)-VLOOKUP(CONCATENATE('BMP P Tracking Table'!$T182," ",'BMP P Tracking Table'!$AC182),'Performance Curves'!$C$1:$L$45,MATCH('BMP P Tracking Table'!$AE182,'Performance Curves'!$E$1:$L$1,1)+1,FALSE)),"")</f>
        <v/>
      </c>
      <c r="AG182" s="101" t="str">
        <f>IFERROR(('BMP P Tracking Table'!$AE182-INDEX('Performance Curves'!$E$1:$L$1,1,MATCH('BMP P Tracking Table'!$AE182,'Performance Curves'!$E$1:$L$1,1)))/(INDEX('Performance Curves'!$E$1:$L$1,1,MATCH('BMP P Tracking Table'!$AE182,'Performance Curves'!$E$1:$L$1,1)+1)-INDEX('Performance Curves'!$E$1:$L$1,1,MATCH('BMP P Tracking Table'!$AE182,'Performance Curves'!$E$1:$L$1,1))),"")</f>
        <v/>
      </c>
      <c r="AH182" s="102" t="str">
        <f>IFERROR(IF('BMP P Tracking Table'!$AE182=2,VLOOKUP(CONCATENATE('BMP P Tracking Table'!$T182," ",'BMP P Tracking Table'!$AC182),'Performance Curves'!$C$1:$L$45,MATCH('BMP P Tracking Table'!$AE182,'Performance Curves'!$E$1:$L$1,1)+1,FALSE),'BMP P Tracking Table'!$AF182*'BMP P Tracking Table'!$AG182+VLOOKUP(CONCATENATE('BMP P Tracking Table'!$T182," ",'BMP P Tracking Table'!$AC182),'Performance Curves'!$C$1:$L$45,MATCH('BMP P Tracking Table'!$AE182,'Performance Curves'!$E$1:$L$1,1)+1,FALSE)),"")</f>
        <v/>
      </c>
      <c r="AI182" s="101" t="str">
        <f>IFERROR('BMP P Tracking Table'!$AH182*'BMP P Tracking Table'!$AD182,"")</f>
        <v/>
      </c>
      <c r="AJ182" s="64"/>
      <c r="AK182" s="96"/>
      <c r="AL182" s="96"/>
      <c r="AM182" s="63"/>
      <c r="AN182" s="99" t="str">
        <f t="shared" si="16"/>
        <v/>
      </c>
      <c r="AO182" s="96"/>
      <c r="AP182" s="96"/>
      <c r="AQ182" s="96"/>
      <c r="AR182" s="96"/>
      <c r="AS182" s="96"/>
      <c r="AT182" s="96"/>
      <c r="AU182" s="96"/>
      <c r="AV182" s="64"/>
      <c r="AW182" s="97"/>
      <c r="AX182" s="97"/>
      <c r="AY182" s="101" t="str">
        <f>IF('BMP P Tracking Table'!$AK182="Yes",IF('BMP P Tracking Table'!$AL182="No",'BMP P Tracking Table'!$U182*VLOOKUP('BMP P Tracking Table'!$Q182,'Loading Rates'!$B$1:$L$24,4,FALSE)+IF('BMP P Tracking Table'!$V182="By HSG",'BMP P Tracking Table'!$W182*VLOOKUP('BMP P Tracking Table'!$Q182,'Loading Rates'!$B$1:$L$24,6,FALSE)+'BMP P Tracking Table'!$X182*VLOOKUP('BMP P Tracking Table'!$Q182,'Loading Rates'!$B$1:$L$24,7,FALSE)+'BMP P Tracking Table'!$Y182*VLOOKUP('BMP P Tracking Table'!$Q182,'Loading Rates'!$B$1:$L$24,8,FALSE)+'BMP P Tracking Table'!$Z182*VLOOKUP('BMP P Tracking Table'!$Q182,'Loading Rates'!$B$1:$L$24,9,FALSE),'BMP P Tracking Table'!$AA182*VLOOKUP('BMP P Tracking Table'!$Q182,'Loading Rates'!$B$1:$L$24,10,FALSE)),'BMP P Tracking Table'!$AO182*VLOOKUP('BMP P Tracking Table'!$Q182,'Loading Rates'!$B$1:$L$24,4,FALSE)+IF('BMP P Tracking Table'!$AP182="By HSG",'BMP P Tracking Table'!$AQ182*VLOOKUP('BMP P Tracking Table'!$Q182,'Loading Rates'!$B$1:$L$24,6,FALSE)+'BMP P Tracking Table'!$AR182*VLOOKUP('BMP P Tracking Table'!$Q182,'Loading Rates'!$B$1:$L$24,7,FALSE)+'BMP P Tracking Table'!$AS182*VLOOKUP('BMP P Tracking Table'!$Q182,'Loading Rates'!$B$1:$L$24,8,FALSE)+'BMP P Tracking Table'!$AT182*VLOOKUP('BMP P Tracking Table'!$Q182,'Loading Rates'!$B$1:$L$24,9,FALSE),'BMP P Tracking Table'!$AU182*VLOOKUP('BMP P Tracking Table'!$Q182,'Loading Rates'!$B$1:$L$24,10,FALSE))),"")</f>
        <v/>
      </c>
      <c r="AZ182" s="101" t="str">
        <f>IFERROR(IF('BMP P Tracking Table'!$AL182="Yes",MIN(2,IF('BMP P Tracking Table'!$AP182="Total Pervious",(-(3630*'BMP P Tracking Table'!$AO182+20.691*'BMP P Tracking Table'!$AU182)+SQRT((3630*'BMP P Tracking Table'!$AO182+20.691*'BMP P Tracking Table'!$AU182)^2-(4*(996.798*'BMP P Tracking Table'!$AU182)*-'BMP P Tracking Table'!$AW182)))/(2*(996.798*'BMP P Tracking Table'!$AU182)),IF(SUM('BMP P Tracking Table'!$AQ182:$AT182)=0,'BMP P Tracking Table'!$AU182/(-3630*'BMP P Tracking Table'!$AO182),(-(3630*'BMP P Tracking Table'!$AO182+20.691*'BMP P Tracking Table'!$AT182-216.711*'BMP P Tracking Table'!$AS182-83.853*'BMP P Tracking Table'!$AR182-42.834*'BMP P Tracking Table'!$AQ182)+SQRT((3630*'BMP P Tracking Table'!$AO182+20.691*'BMP P Tracking Table'!$AT182-216.711*'BMP P Tracking Table'!$AS182-83.853*'BMP P Tracking Table'!$AR182-42.834*'BMP P Tracking Table'!$AQ182)^2-(4*(149.919*'BMP P Tracking Table'!$AQ182+236.676*'BMP P Tracking Table'!$AR182+726*'BMP P Tracking Table'!$AS182+996.798*'BMP P Tracking Table'!$AT182)*-'BMP P Tracking Table'!$AW182)))/(2*(149.919*'BMP P Tracking Table'!$AQ182+236.676*'BMP P Tracking Table'!$AR182+726*'BMP P Tracking Table'!$AS182+996.798*'BMP P Tracking Table'!$AT182))))),MIN(2,IF('BMP P Tracking Table'!$AP182="Total Pervious",(-(3630*'BMP P Tracking Table'!$U182+20.691*'BMP P Tracking Table'!$AA182)+SQRT((3630*'BMP P Tracking Table'!$U182+20.691*'BMP P Tracking Table'!$AA182)^2-(4*(996.798*'BMP P Tracking Table'!$AA182)*-'BMP P Tracking Table'!$AW182)))/(2*(996.798*'BMP P Tracking Table'!$AA182)),IF(SUM('BMP P Tracking Table'!$W182:$Z182)=0,'BMP P Tracking Table'!$AW182/(-3630*'BMP P Tracking Table'!$U182),(-(3630*'BMP P Tracking Table'!$U182+20.691*'BMP P Tracking Table'!$Z182-216.711*'BMP P Tracking Table'!$Y182-83.853*'BMP P Tracking Table'!$X182-42.834*'BMP P Tracking Table'!$W182)+SQRT((3630*'BMP P Tracking Table'!$U182+20.691*'BMP P Tracking Table'!$Z182-216.711*'BMP P Tracking Table'!$Y182-83.853*'BMP P Tracking Table'!$X182-42.834*'BMP P Tracking Table'!$W182)^2-(4*(149.919*'BMP P Tracking Table'!$W182+236.676*'BMP P Tracking Table'!$X182+726*'BMP P Tracking Table'!$Y182+996.798*'BMP P Tracking Table'!$Z182)*-'BMP P Tracking Table'!$AW182)))/(2*(149.919*'BMP P Tracking Table'!$W182+236.676*'BMP P Tracking Table'!$X182+726*'BMP P Tracking Table'!$Y182+996.798*'BMP P Tracking Table'!$Z182)))))),"")</f>
        <v/>
      </c>
      <c r="BA182" s="101" t="str">
        <f>IFERROR((VLOOKUP(CONCATENATE('BMP P Tracking Table'!$AV182," ",'BMP P Tracking Table'!$AX182),'Performance Curves'!$C$1:$L$45,MATCH('BMP P Tracking Table'!$AZ182,'Performance Curves'!$E$1:$L$1,1)+2,FALSE)-VLOOKUP(CONCATENATE('BMP P Tracking Table'!$AV182," ",'BMP P Tracking Table'!$AX182),'Performance Curves'!$C$1:$L$45,MATCH('BMP P Tracking Table'!$AZ182,'Performance Curves'!$E$1:$L$1,1)+1,FALSE)),"")</f>
        <v/>
      </c>
      <c r="BB182" s="101" t="str">
        <f>IFERROR(('BMP P Tracking Table'!$AZ182-INDEX('Performance Curves'!$E$1:$L$1,1,MATCH('BMP P Tracking Table'!$AZ182,'Performance Curves'!$E$1:$L$1,1)))/(INDEX('Performance Curves'!$E$1:$L$1,1,MATCH('BMP P Tracking Table'!$AZ182,'Performance Curves'!$E$1:$L$1,1)+1)-INDEX('Performance Curves'!$E$1:$L$1,1,MATCH('BMP P Tracking Table'!$AZ182,'Performance Curves'!$E$1:$L$1,1))),"")</f>
        <v/>
      </c>
      <c r="BC182" s="102" t="str">
        <f>IFERROR(IF('BMP P Tracking Table'!$AZ182=2,VLOOKUP(CONCATENATE('BMP P Tracking Table'!$AV182," ",'BMP P Tracking Table'!$AX182),'Performance Curves'!$C$1:$L$44,MATCH('BMP P Tracking Table'!$AZ182,'Performance Curves'!$E$1:$L$1,1)+1,FALSE),'BMP P Tracking Table'!$BA182*'BMP P Tracking Table'!$BB182+VLOOKUP(CONCATENATE('BMP P Tracking Table'!$AV182," ",'BMP P Tracking Table'!$AX182),'Performance Curves'!$C$1:$L$44,MATCH('BMP P Tracking Table'!$AZ182,'Performance Curves'!$E$1:$L$1,1)+1,FALSE)),"")</f>
        <v/>
      </c>
      <c r="BD182" s="101" t="str">
        <f>IFERROR('BMP P Tracking Table'!$BC182*'BMP P Tracking Table'!$AY182,"")</f>
        <v/>
      </c>
      <c r="BE182" s="96"/>
      <c r="BF182" s="37">
        <f t="shared" si="17"/>
        <v>0</v>
      </c>
    </row>
    <row r="183" spans="1:58" x14ac:dyDescent="0.3">
      <c r="A183" s="64"/>
      <c r="B183" s="64"/>
      <c r="C183" s="64"/>
      <c r="D183" s="64"/>
      <c r="E183" s="93"/>
      <c r="F183" s="93"/>
      <c r="G183" s="64"/>
      <c r="H183" s="64"/>
      <c r="I183" s="64"/>
      <c r="J183" s="94"/>
      <c r="K183" s="64"/>
      <c r="L183" s="64"/>
      <c r="M183" s="64"/>
      <c r="N183" s="64"/>
      <c r="O183" s="64"/>
      <c r="P183" s="64"/>
      <c r="Q183" s="64" t="str">
        <f>IFERROR(VLOOKUP('BMP P Tracking Table'!$P183,Dropdowns!$C$2:$E$15,3,FALSE),"")</f>
        <v/>
      </c>
      <c r="R183" s="64" t="str">
        <f>IFERROR(VLOOKUP('BMP P Tracking Table'!$Q183,Dropdowns!$P$3:$Q$23,2,FALSE),"")</f>
        <v/>
      </c>
      <c r="S183" s="64"/>
      <c r="T183" s="64"/>
      <c r="U183" s="64"/>
      <c r="V183" s="64"/>
      <c r="W183" s="64"/>
      <c r="X183" s="64"/>
      <c r="Y183" s="64"/>
      <c r="Z183" s="64"/>
      <c r="AA183" s="64"/>
      <c r="AB183" s="95"/>
      <c r="AC183" s="64"/>
      <c r="AD183" s="101" t="str">
        <f>IFERROR('BMP P Tracking Table'!$U183*VLOOKUP('BMP P Tracking Table'!$Q183,'Loading Rates'!$B$1:$L$24,4,FALSE)+IF('BMP P Tracking Table'!$V183="By HSG",'BMP P Tracking Table'!$W183*VLOOKUP('BMP P Tracking Table'!$Q183,'Loading Rates'!$B$1:$L$24,6,FALSE)+'BMP P Tracking Table'!$X183*VLOOKUP('BMP P Tracking Table'!$Q183,'Loading Rates'!$B$1:$L$24,7,FALSE)+'BMP P Tracking Table'!$Y183*VLOOKUP('BMP P Tracking Table'!$Q183,'Loading Rates'!$B$1:$L$24,8,FALSE)+'BMP P Tracking Table'!$Z183*VLOOKUP('BMP P Tracking Table'!$Q183,'Loading Rates'!$B$1:$L$24,9,FALSE),'BMP P Tracking Table'!$AA183*VLOOKUP('BMP P Tracking Table'!$Q183,'Loading Rates'!$B$1:$L$24,10,FALSE)),"")</f>
        <v/>
      </c>
      <c r="AE183" s="101" t="str">
        <f>IFERROR(MIN(2,IF('BMP P Tracking Table'!$V183="Total Pervious",(-(3630*'BMP P Tracking Table'!$U183+20.691*'BMP P Tracking Table'!$AA183)+SQRT((3630*'BMP P Tracking Table'!$U183+20.691*'BMP P Tracking Table'!$AA183)^2-(4*(996.798*'BMP P Tracking Table'!$AA183)*-'BMP P Tracking Table'!$AB183)))/(2*(996.798*'BMP P Tracking Table'!$AA183)),IF(SUM('BMP P Tracking Table'!$W183:$Z183)=0,'BMP P Tracking Table'!$AB183/(-3630*'BMP P Tracking Table'!$U183),(-(3630*'BMP P Tracking Table'!$U183+20.691*'BMP P Tracking Table'!$Z183-216.711*'BMP P Tracking Table'!$Y183-83.853*'BMP P Tracking Table'!$X183-42.834*'BMP P Tracking Table'!$W183)+SQRT((3630*'BMP P Tracking Table'!$U183+20.691*'BMP P Tracking Table'!$Z183-216.711*'BMP P Tracking Table'!$Y183-83.853*'BMP P Tracking Table'!$X183-42.834*'BMP P Tracking Table'!$W183)^2-(4*(149.919*'BMP P Tracking Table'!$W183+236.676*'BMP P Tracking Table'!$X183+726*'BMP P Tracking Table'!$Y183+996.798*'BMP P Tracking Table'!$Z183)*-'BMP P Tracking Table'!$AB183)))/(2*(149.919*'BMP P Tracking Table'!$W183+236.676*'BMP P Tracking Table'!$X183+726*'BMP P Tracking Table'!$Y183+996.798*'BMP P Tracking Table'!$Z183))))),"")</f>
        <v/>
      </c>
      <c r="AF183" s="101" t="str">
        <f>IFERROR((VLOOKUP(CONCATENATE('BMP P Tracking Table'!$T183," ",'BMP P Tracking Table'!$AC183),'Performance Curves'!$C$1:$L$45,MATCH('BMP P Tracking Table'!$AE183,'Performance Curves'!$E$1:$L$1,1)+2,FALSE)-VLOOKUP(CONCATENATE('BMP P Tracking Table'!$T183," ",'BMP P Tracking Table'!$AC183),'Performance Curves'!$C$1:$L$45,MATCH('BMP P Tracking Table'!$AE183,'Performance Curves'!$E$1:$L$1,1)+1,FALSE)),"")</f>
        <v/>
      </c>
      <c r="AG183" s="101" t="str">
        <f>IFERROR(('BMP P Tracking Table'!$AE183-INDEX('Performance Curves'!$E$1:$L$1,1,MATCH('BMP P Tracking Table'!$AE183,'Performance Curves'!$E$1:$L$1,1)))/(INDEX('Performance Curves'!$E$1:$L$1,1,MATCH('BMP P Tracking Table'!$AE183,'Performance Curves'!$E$1:$L$1,1)+1)-INDEX('Performance Curves'!$E$1:$L$1,1,MATCH('BMP P Tracking Table'!$AE183,'Performance Curves'!$E$1:$L$1,1))),"")</f>
        <v/>
      </c>
      <c r="AH183" s="102" t="str">
        <f>IFERROR(IF('BMP P Tracking Table'!$AE183=2,VLOOKUP(CONCATENATE('BMP P Tracking Table'!$T183," ",'BMP P Tracking Table'!$AC183),'Performance Curves'!$C$1:$L$45,MATCH('BMP P Tracking Table'!$AE183,'Performance Curves'!$E$1:$L$1,1)+1,FALSE),'BMP P Tracking Table'!$AF183*'BMP P Tracking Table'!$AG183+VLOOKUP(CONCATENATE('BMP P Tracking Table'!$T183," ",'BMP P Tracking Table'!$AC183),'Performance Curves'!$C$1:$L$45,MATCH('BMP P Tracking Table'!$AE183,'Performance Curves'!$E$1:$L$1,1)+1,FALSE)),"")</f>
        <v/>
      </c>
      <c r="AI183" s="101" t="str">
        <f>IFERROR('BMP P Tracking Table'!$AH183*'BMP P Tracking Table'!$AD183,"")</f>
        <v/>
      </c>
      <c r="AJ183" s="64"/>
      <c r="AK183" s="96"/>
      <c r="AL183" s="96"/>
      <c r="AM183" s="63"/>
      <c r="AN183" s="99" t="str">
        <f t="shared" si="16"/>
        <v/>
      </c>
      <c r="AO183" s="96"/>
      <c r="AP183" s="96"/>
      <c r="AQ183" s="96"/>
      <c r="AR183" s="96"/>
      <c r="AS183" s="96"/>
      <c r="AT183" s="96"/>
      <c r="AU183" s="96"/>
      <c r="AV183" s="64"/>
      <c r="AW183" s="97"/>
      <c r="AX183" s="97"/>
      <c r="AY183" s="101" t="str">
        <f>IF('BMP P Tracking Table'!$AK183="Yes",IF('BMP P Tracking Table'!$AL183="No",'BMP P Tracking Table'!$U183*VLOOKUP('BMP P Tracking Table'!$Q183,'Loading Rates'!$B$1:$L$24,4,FALSE)+IF('BMP P Tracking Table'!$V183="By HSG",'BMP P Tracking Table'!$W183*VLOOKUP('BMP P Tracking Table'!$Q183,'Loading Rates'!$B$1:$L$24,6,FALSE)+'BMP P Tracking Table'!$X183*VLOOKUP('BMP P Tracking Table'!$Q183,'Loading Rates'!$B$1:$L$24,7,FALSE)+'BMP P Tracking Table'!$Y183*VLOOKUP('BMP P Tracking Table'!$Q183,'Loading Rates'!$B$1:$L$24,8,FALSE)+'BMP P Tracking Table'!$Z183*VLOOKUP('BMP P Tracking Table'!$Q183,'Loading Rates'!$B$1:$L$24,9,FALSE),'BMP P Tracking Table'!$AA183*VLOOKUP('BMP P Tracking Table'!$Q183,'Loading Rates'!$B$1:$L$24,10,FALSE)),'BMP P Tracking Table'!$AO183*VLOOKUP('BMP P Tracking Table'!$Q183,'Loading Rates'!$B$1:$L$24,4,FALSE)+IF('BMP P Tracking Table'!$AP183="By HSG",'BMP P Tracking Table'!$AQ183*VLOOKUP('BMP P Tracking Table'!$Q183,'Loading Rates'!$B$1:$L$24,6,FALSE)+'BMP P Tracking Table'!$AR183*VLOOKUP('BMP P Tracking Table'!$Q183,'Loading Rates'!$B$1:$L$24,7,FALSE)+'BMP P Tracking Table'!$AS183*VLOOKUP('BMP P Tracking Table'!$Q183,'Loading Rates'!$B$1:$L$24,8,FALSE)+'BMP P Tracking Table'!$AT183*VLOOKUP('BMP P Tracking Table'!$Q183,'Loading Rates'!$B$1:$L$24,9,FALSE),'BMP P Tracking Table'!$AU183*VLOOKUP('BMP P Tracking Table'!$Q183,'Loading Rates'!$B$1:$L$24,10,FALSE))),"")</f>
        <v/>
      </c>
      <c r="AZ183" s="101" t="str">
        <f>IFERROR(IF('BMP P Tracking Table'!$AL183="Yes",MIN(2,IF('BMP P Tracking Table'!$AP183="Total Pervious",(-(3630*'BMP P Tracking Table'!$AO183+20.691*'BMP P Tracking Table'!$AU183)+SQRT((3630*'BMP P Tracking Table'!$AO183+20.691*'BMP P Tracking Table'!$AU183)^2-(4*(996.798*'BMP P Tracking Table'!$AU183)*-'BMP P Tracking Table'!$AW183)))/(2*(996.798*'BMP P Tracking Table'!$AU183)),IF(SUM('BMP P Tracking Table'!$AQ183:$AT183)=0,'BMP P Tracking Table'!$AU183/(-3630*'BMP P Tracking Table'!$AO183),(-(3630*'BMP P Tracking Table'!$AO183+20.691*'BMP P Tracking Table'!$AT183-216.711*'BMP P Tracking Table'!$AS183-83.853*'BMP P Tracking Table'!$AR183-42.834*'BMP P Tracking Table'!$AQ183)+SQRT((3630*'BMP P Tracking Table'!$AO183+20.691*'BMP P Tracking Table'!$AT183-216.711*'BMP P Tracking Table'!$AS183-83.853*'BMP P Tracking Table'!$AR183-42.834*'BMP P Tracking Table'!$AQ183)^2-(4*(149.919*'BMP P Tracking Table'!$AQ183+236.676*'BMP P Tracking Table'!$AR183+726*'BMP P Tracking Table'!$AS183+996.798*'BMP P Tracking Table'!$AT183)*-'BMP P Tracking Table'!$AW183)))/(2*(149.919*'BMP P Tracking Table'!$AQ183+236.676*'BMP P Tracking Table'!$AR183+726*'BMP P Tracking Table'!$AS183+996.798*'BMP P Tracking Table'!$AT183))))),MIN(2,IF('BMP P Tracking Table'!$AP183="Total Pervious",(-(3630*'BMP P Tracking Table'!$U183+20.691*'BMP P Tracking Table'!$AA183)+SQRT((3630*'BMP P Tracking Table'!$U183+20.691*'BMP P Tracking Table'!$AA183)^2-(4*(996.798*'BMP P Tracking Table'!$AA183)*-'BMP P Tracking Table'!$AW183)))/(2*(996.798*'BMP P Tracking Table'!$AA183)),IF(SUM('BMP P Tracking Table'!$W183:$Z183)=0,'BMP P Tracking Table'!$AW183/(-3630*'BMP P Tracking Table'!$U183),(-(3630*'BMP P Tracking Table'!$U183+20.691*'BMP P Tracking Table'!$Z183-216.711*'BMP P Tracking Table'!$Y183-83.853*'BMP P Tracking Table'!$X183-42.834*'BMP P Tracking Table'!$W183)+SQRT((3630*'BMP P Tracking Table'!$U183+20.691*'BMP P Tracking Table'!$Z183-216.711*'BMP P Tracking Table'!$Y183-83.853*'BMP P Tracking Table'!$X183-42.834*'BMP P Tracking Table'!$W183)^2-(4*(149.919*'BMP P Tracking Table'!$W183+236.676*'BMP P Tracking Table'!$X183+726*'BMP P Tracking Table'!$Y183+996.798*'BMP P Tracking Table'!$Z183)*-'BMP P Tracking Table'!$AW183)))/(2*(149.919*'BMP P Tracking Table'!$W183+236.676*'BMP P Tracking Table'!$X183+726*'BMP P Tracking Table'!$Y183+996.798*'BMP P Tracking Table'!$Z183)))))),"")</f>
        <v/>
      </c>
      <c r="BA183" s="101" t="str">
        <f>IFERROR((VLOOKUP(CONCATENATE('BMP P Tracking Table'!$AV183," ",'BMP P Tracking Table'!$AX183),'Performance Curves'!$C$1:$L$45,MATCH('BMP P Tracking Table'!$AZ183,'Performance Curves'!$E$1:$L$1,1)+2,FALSE)-VLOOKUP(CONCATENATE('BMP P Tracking Table'!$AV183," ",'BMP P Tracking Table'!$AX183),'Performance Curves'!$C$1:$L$45,MATCH('BMP P Tracking Table'!$AZ183,'Performance Curves'!$E$1:$L$1,1)+1,FALSE)),"")</f>
        <v/>
      </c>
      <c r="BB183" s="101" t="str">
        <f>IFERROR(('BMP P Tracking Table'!$AZ183-INDEX('Performance Curves'!$E$1:$L$1,1,MATCH('BMP P Tracking Table'!$AZ183,'Performance Curves'!$E$1:$L$1,1)))/(INDEX('Performance Curves'!$E$1:$L$1,1,MATCH('BMP P Tracking Table'!$AZ183,'Performance Curves'!$E$1:$L$1,1)+1)-INDEX('Performance Curves'!$E$1:$L$1,1,MATCH('BMP P Tracking Table'!$AZ183,'Performance Curves'!$E$1:$L$1,1))),"")</f>
        <v/>
      </c>
      <c r="BC183" s="102" t="str">
        <f>IFERROR(IF('BMP P Tracking Table'!$AZ183=2,VLOOKUP(CONCATENATE('BMP P Tracking Table'!$AV183," ",'BMP P Tracking Table'!$AX183),'Performance Curves'!$C$1:$L$44,MATCH('BMP P Tracking Table'!$AZ183,'Performance Curves'!$E$1:$L$1,1)+1,FALSE),'BMP P Tracking Table'!$BA183*'BMP P Tracking Table'!$BB183+VLOOKUP(CONCATENATE('BMP P Tracking Table'!$AV183," ",'BMP P Tracking Table'!$AX183),'Performance Curves'!$C$1:$L$44,MATCH('BMP P Tracking Table'!$AZ183,'Performance Curves'!$E$1:$L$1,1)+1,FALSE)),"")</f>
        <v/>
      </c>
      <c r="BD183" s="101" t="str">
        <f>IFERROR('BMP P Tracking Table'!$BC183*'BMP P Tracking Table'!$AY183,"")</f>
        <v/>
      </c>
      <c r="BE183" s="96"/>
      <c r="BF183" s="37">
        <f t="shared" si="17"/>
        <v>0</v>
      </c>
    </row>
    <row r="184" spans="1:58" x14ac:dyDescent="0.3">
      <c r="A184" s="64"/>
      <c r="B184" s="64"/>
      <c r="C184" s="64"/>
      <c r="D184" s="64"/>
      <c r="E184" s="93"/>
      <c r="F184" s="93"/>
      <c r="G184" s="64"/>
      <c r="H184" s="64"/>
      <c r="I184" s="64"/>
      <c r="J184" s="94"/>
      <c r="K184" s="64"/>
      <c r="L184" s="64"/>
      <c r="M184" s="64"/>
      <c r="N184" s="64"/>
      <c r="O184" s="64"/>
      <c r="P184" s="64"/>
      <c r="Q184" s="64" t="str">
        <f>IFERROR(VLOOKUP('BMP P Tracking Table'!$P184,Dropdowns!$C$2:$E$15,3,FALSE),"")</f>
        <v/>
      </c>
      <c r="R184" s="64" t="str">
        <f>IFERROR(VLOOKUP('BMP P Tracking Table'!$Q184,Dropdowns!$P$3:$Q$23,2,FALSE),"")</f>
        <v/>
      </c>
      <c r="S184" s="64"/>
      <c r="T184" s="64"/>
      <c r="U184" s="64"/>
      <c r="V184" s="64"/>
      <c r="W184" s="64"/>
      <c r="X184" s="64"/>
      <c r="Y184" s="64"/>
      <c r="Z184" s="64"/>
      <c r="AA184" s="64"/>
      <c r="AB184" s="95"/>
      <c r="AC184" s="64"/>
      <c r="AD184" s="101" t="str">
        <f>IFERROR('BMP P Tracking Table'!$U184*VLOOKUP('BMP P Tracking Table'!$Q184,'Loading Rates'!$B$1:$L$24,4,FALSE)+IF('BMP P Tracking Table'!$V184="By HSG",'BMP P Tracking Table'!$W184*VLOOKUP('BMP P Tracking Table'!$Q184,'Loading Rates'!$B$1:$L$24,6,FALSE)+'BMP P Tracking Table'!$X184*VLOOKUP('BMP P Tracking Table'!$Q184,'Loading Rates'!$B$1:$L$24,7,FALSE)+'BMP P Tracking Table'!$Y184*VLOOKUP('BMP P Tracking Table'!$Q184,'Loading Rates'!$B$1:$L$24,8,FALSE)+'BMP P Tracking Table'!$Z184*VLOOKUP('BMP P Tracking Table'!$Q184,'Loading Rates'!$B$1:$L$24,9,FALSE),'BMP P Tracking Table'!$AA184*VLOOKUP('BMP P Tracking Table'!$Q184,'Loading Rates'!$B$1:$L$24,10,FALSE)),"")</f>
        <v/>
      </c>
      <c r="AE184" s="101" t="str">
        <f>IFERROR(MIN(2,IF('BMP P Tracking Table'!$V184="Total Pervious",(-(3630*'BMP P Tracking Table'!$U184+20.691*'BMP P Tracking Table'!$AA184)+SQRT((3630*'BMP P Tracking Table'!$U184+20.691*'BMP P Tracking Table'!$AA184)^2-(4*(996.798*'BMP P Tracking Table'!$AA184)*-'BMP P Tracking Table'!$AB184)))/(2*(996.798*'BMP P Tracking Table'!$AA184)),IF(SUM('BMP P Tracking Table'!$W184:$Z184)=0,'BMP P Tracking Table'!$AB184/(-3630*'BMP P Tracking Table'!$U184),(-(3630*'BMP P Tracking Table'!$U184+20.691*'BMP P Tracking Table'!$Z184-216.711*'BMP P Tracking Table'!$Y184-83.853*'BMP P Tracking Table'!$X184-42.834*'BMP P Tracking Table'!$W184)+SQRT((3630*'BMP P Tracking Table'!$U184+20.691*'BMP P Tracking Table'!$Z184-216.711*'BMP P Tracking Table'!$Y184-83.853*'BMP P Tracking Table'!$X184-42.834*'BMP P Tracking Table'!$W184)^2-(4*(149.919*'BMP P Tracking Table'!$W184+236.676*'BMP P Tracking Table'!$X184+726*'BMP P Tracking Table'!$Y184+996.798*'BMP P Tracking Table'!$Z184)*-'BMP P Tracking Table'!$AB184)))/(2*(149.919*'BMP P Tracking Table'!$W184+236.676*'BMP P Tracking Table'!$X184+726*'BMP P Tracking Table'!$Y184+996.798*'BMP P Tracking Table'!$Z184))))),"")</f>
        <v/>
      </c>
      <c r="AF184" s="101" t="str">
        <f>IFERROR((VLOOKUP(CONCATENATE('BMP P Tracking Table'!$T184," ",'BMP P Tracking Table'!$AC184),'Performance Curves'!$C$1:$L$45,MATCH('BMP P Tracking Table'!$AE184,'Performance Curves'!$E$1:$L$1,1)+2,FALSE)-VLOOKUP(CONCATENATE('BMP P Tracking Table'!$T184," ",'BMP P Tracking Table'!$AC184),'Performance Curves'!$C$1:$L$45,MATCH('BMP P Tracking Table'!$AE184,'Performance Curves'!$E$1:$L$1,1)+1,FALSE)),"")</f>
        <v/>
      </c>
      <c r="AG184" s="101" t="str">
        <f>IFERROR(('BMP P Tracking Table'!$AE184-INDEX('Performance Curves'!$E$1:$L$1,1,MATCH('BMP P Tracking Table'!$AE184,'Performance Curves'!$E$1:$L$1,1)))/(INDEX('Performance Curves'!$E$1:$L$1,1,MATCH('BMP P Tracking Table'!$AE184,'Performance Curves'!$E$1:$L$1,1)+1)-INDEX('Performance Curves'!$E$1:$L$1,1,MATCH('BMP P Tracking Table'!$AE184,'Performance Curves'!$E$1:$L$1,1))),"")</f>
        <v/>
      </c>
      <c r="AH184" s="102" t="str">
        <f>IFERROR(IF('BMP P Tracking Table'!$AE184=2,VLOOKUP(CONCATENATE('BMP P Tracking Table'!$T184," ",'BMP P Tracking Table'!$AC184),'Performance Curves'!$C$1:$L$45,MATCH('BMP P Tracking Table'!$AE184,'Performance Curves'!$E$1:$L$1,1)+1,FALSE),'BMP P Tracking Table'!$AF184*'BMP P Tracking Table'!$AG184+VLOOKUP(CONCATENATE('BMP P Tracking Table'!$T184," ",'BMP P Tracking Table'!$AC184),'Performance Curves'!$C$1:$L$45,MATCH('BMP P Tracking Table'!$AE184,'Performance Curves'!$E$1:$L$1,1)+1,FALSE)),"")</f>
        <v/>
      </c>
      <c r="AI184" s="101" t="str">
        <f>IFERROR('BMP P Tracking Table'!$AH184*'BMP P Tracking Table'!$AD184,"")</f>
        <v/>
      </c>
      <c r="AJ184" s="64"/>
      <c r="AK184" s="96"/>
      <c r="AL184" s="96"/>
      <c r="AM184" s="63"/>
      <c r="AN184" s="99" t="str">
        <f t="shared" si="16"/>
        <v/>
      </c>
      <c r="AO184" s="96"/>
      <c r="AP184" s="96"/>
      <c r="AQ184" s="96"/>
      <c r="AR184" s="96"/>
      <c r="AS184" s="96"/>
      <c r="AT184" s="96"/>
      <c r="AU184" s="96"/>
      <c r="AV184" s="64"/>
      <c r="AW184" s="97"/>
      <c r="AX184" s="97"/>
      <c r="AY184" s="101" t="str">
        <f>IF('BMP P Tracking Table'!$AK184="Yes",IF('BMP P Tracking Table'!$AL184="No",'BMP P Tracking Table'!$U184*VLOOKUP('BMP P Tracking Table'!$Q184,'Loading Rates'!$B$1:$L$24,4,FALSE)+IF('BMP P Tracking Table'!$V184="By HSG",'BMP P Tracking Table'!$W184*VLOOKUP('BMP P Tracking Table'!$Q184,'Loading Rates'!$B$1:$L$24,6,FALSE)+'BMP P Tracking Table'!$X184*VLOOKUP('BMP P Tracking Table'!$Q184,'Loading Rates'!$B$1:$L$24,7,FALSE)+'BMP P Tracking Table'!$Y184*VLOOKUP('BMP P Tracking Table'!$Q184,'Loading Rates'!$B$1:$L$24,8,FALSE)+'BMP P Tracking Table'!$Z184*VLOOKUP('BMP P Tracking Table'!$Q184,'Loading Rates'!$B$1:$L$24,9,FALSE),'BMP P Tracking Table'!$AA184*VLOOKUP('BMP P Tracking Table'!$Q184,'Loading Rates'!$B$1:$L$24,10,FALSE)),'BMP P Tracking Table'!$AO184*VLOOKUP('BMP P Tracking Table'!$Q184,'Loading Rates'!$B$1:$L$24,4,FALSE)+IF('BMP P Tracking Table'!$AP184="By HSG",'BMP P Tracking Table'!$AQ184*VLOOKUP('BMP P Tracking Table'!$Q184,'Loading Rates'!$B$1:$L$24,6,FALSE)+'BMP P Tracking Table'!$AR184*VLOOKUP('BMP P Tracking Table'!$Q184,'Loading Rates'!$B$1:$L$24,7,FALSE)+'BMP P Tracking Table'!$AS184*VLOOKUP('BMP P Tracking Table'!$Q184,'Loading Rates'!$B$1:$L$24,8,FALSE)+'BMP P Tracking Table'!$AT184*VLOOKUP('BMP P Tracking Table'!$Q184,'Loading Rates'!$B$1:$L$24,9,FALSE),'BMP P Tracking Table'!$AU184*VLOOKUP('BMP P Tracking Table'!$Q184,'Loading Rates'!$B$1:$L$24,10,FALSE))),"")</f>
        <v/>
      </c>
      <c r="AZ184" s="101" t="str">
        <f>IFERROR(IF('BMP P Tracking Table'!$AL184="Yes",MIN(2,IF('BMP P Tracking Table'!$AP184="Total Pervious",(-(3630*'BMP P Tracking Table'!$AO184+20.691*'BMP P Tracking Table'!$AU184)+SQRT((3630*'BMP P Tracking Table'!$AO184+20.691*'BMP P Tracking Table'!$AU184)^2-(4*(996.798*'BMP P Tracking Table'!$AU184)*-'BMP P Tracking Table'!$AW184)))/(2*(996.798*'BMP P Tracking Table'!$AU184)),IF(SUM('BMP P Tracking Table'!$AQ184:$AT184)=0,'BMP P Tracking Table'!$AU184/(-3630*'BMP P Tracking Table'!$AO184),(-(3630*'BMP P Tracking Table'!$AO184+20.691*'BMP P Tracking Table'!$AT184-216.711*'BMP P Tracking Table'!$AS184-83.853*'BMP P Tracking Table'!$AR184-42.834*'BMP P Tracking Table'!$AQ184)+SQRT((3630*'BMP P Tracking Table'!$AO184+20.691*'BMP P Tracking Table'!$AT184-216.711*'BMP P Tracking Table'!$AS184-83.853*'BMP P Tracking Table'!$AR184-42.834*'BMP P Tracking Table'!$AQ184)^2-(4*(149.919*'BMP P Tracking Table'!$AQ184+236.676*'BMP P Tracking Table'!$AR184+726*'BMP P Tracking Table'!$AS184+996.798*'BMP P Tracking Table'!$AT184)*-'BMP P Tracking Table'!$AW184)))/(2*(149.919*'BMP P Tracking Table'!$AQ184+236.676*'BMP P Tracking Table'!$AR184+726*'BMP P Tracking Table'!$AS184+996.798*'BMP P Tracking Table'!$AT184))))),MIN(2,IF('BMP P Tracking Table'!$AP184="Total Pervious",(-(3630*'BMP P Tracking Table'!$U184+20.691*'BMP P Tracking Table'!$AA184)+SQRT((3630*'BMP P Tracking Table'!$U184+20.691*'BMP P Tracking Table'!$AA184)^2-(4*(996.798*'BMP P Tracking Table'!$AA184)*-'BMP P Tracking Table'!$AW184)))/(2*(996.798*'BMP P Tracking Table'!$AA184)),IF(SUM('BMP P Tracking Table'!$W184:$Z184)=0,'BMP P Tracking Table'!$AW184/(-3630*'BMP P Tracking Table'!$U184),(-(3630*'BMP P Tracking Table'!$U184+20.691*'BMP P Tracking Table'!$Z184-216.711*'BMP P Tracking Table'!$Y184-83.853*'BMP P Tracking Table'!$X184-42.834*'BMP P Tracking Table'!$W184)+SQRT((3630*'BMP P Tracking Table'!$U184+20.691*'BMP P Tracking Table'!$Z184-216.711*'BMP P Tracking Table'!$Y184-83.853*'BMP P Tracking Table'!$X184-42.834*'BMP P Tracking Table'!$W184)^2-(4*(149.919*'BMP P Tracking Table'!$W184+236.676*'BMP P Tracking Table'!$X184+726*'BMP P Tracking Table'!$Y184+996.798*'BMP P Tracking Table'!$Z184)*-'BMP P Tracking Table'!$AW184)))/(2*(149.919*'BMP P Tracking Table'!$W184+236.676*'BMP P Tracking Table'!$X184+726*'BMP P Tracking Table'!$Y184+996.798*'BMP P Tracking Table'!$Z184)))))),"")</f>
        <v/>
      </c>
      <c r="BA184" s="101" t="str">
        <f>IFERROR((VLOOKUP(CONCATENATE('BMP P Tracking Table'!$AV184," ",'BMP P Tracking Table'!$AX184),'Performance Curves'!$C$1:$L$45,MATCH('BMP P Tracking Table'!$AZ184,'Performance Curves'!$E$1:$L$1,1)+2,FALSE)-VLOOKUP(CONCATENATE('BMP P Tracking Table'!$AV184," ",'BMP P Tracking Table'!$AX184),'Performance Curves'!$C$1:$L$45,MATCH('BMP P Tracking Table'!$AZ184,'Performance Curves'!$E$1:$L$1,1)+1,FALSE)),"")</f>
        <v/>
      </c>
      <c r="BB184" s="101" t="str">
        <f>IFERROR(('BMP P Tracking Table'!$AZ184-INDEX('Performance Curves'!$E$1:$L$1,1,MATCH('BMP P Tracking Table'!$AZ184,'Performance Curves'!$E$1:$L$1,1)))/(INDEX('Performance Curves'!$E$1:$L$1,1,MATCH('BMP P Tracking Table'!$AZ184,'Performance Curves'!$E$1:$L$1,1)+1)-INDEX('Performance Curves'!$E$1:$L$1,1,MATCH('BMP P Tracking Table'!$AZ184,'Performance Curves'!$E$1:$L$1,1))),"")</f>
        <v/>
      </c>
      <c r="BC184" s="102" t="str">
        <f>IFERROR(IF('BMP P Tracking Table'!$AZ184=2,VLOOKUP(CONCATENATE('BMP P Tracking Table'!$AV184," ",'BMP P Tracking Table'!$AX184),'Performance Curves'!$C$1:$L$44,MATCH('BMP P Tracking Table'!$AZ184,'Performance Curves'!$E$1:$L$1,1)+1,FALSE),'BMP P Tracking Table'!$BA184*'BMP P Tracking Table'!$BB184+VLOOKUP(CONCATENATE('BMP P Tracking Table'!$AV184," ",'BMP P Tracking Table'!$AX184),'Performance Curves'!$C$1:$L$44,MATCH('BMP P Tracking Table'!$AZ184,'Performance Curves'!$E$1:$L$1,1)+1,FALSE)),"")</f>
        <v/>
      </c>
      <c r="BD184" s="101" t="str">
        <f>IFERROR('BMP P Tracking Table'!$BC184*'BMP P Tracking Table'!$AY184,"")</f>
        <v/>
      </c>
      <c r="BE184" s="96"/>
      <c r="BF184" s="37">
        <f t="shared" si="17"/>
        <v>0</v>
      </c>
    </row>
    <row r="185" spans="1:58" x14ac:dyDescent="0.3">
      <c r="A185" s="64"/>
      <c r="B185" s="64"/>
      <c r="C185" s="64"/>
      <c r="D185" s="64"/>
      <c r="E185" s="93"/>
      <c r="F185" s="93"/>
      <c r="G185" s="64"/>
      <c r="H185" s="64"/>
      <c r="I185" s="64"/>
      <c r="J185" s="94"/>
      <c r="K185" s="64"/>
      <c r="L185" s="64"/>
      <c r="M185" s="64"/>
      <c r="N185" s="64"/>
      <c r="O185" s="64"/>
      <c r="P185" s="64"/>
      <c r="Q185" s="64" t="str">
        <f>IFERROR(VLOOKUP('BMP P Tracking Table'!$P185,Dropdowns!$C$2:$E$15,3,FALSE),"")</f>
        <v/>
      </c>
      <c r="R185" s="64" t="str">
        <f>IFERROR(VLOOKUP('BMP P Tracking Table'!$Q185,Dropdowns!$P$3:$Q$23,2,FALSE),"")</f>
        <v/>
      </c>
      <c r="S185" s="64"/>
      <c r="T185" s="64"/>
      <c r="U185" s="64"/>
      <c r="V185" s="64"/>
      <c r="W185" s="64"/>
      <c r="X185" s="64"/>
      <c r="Y185" s="64"/>
      <c r="Z185" s="64"/>
      <c r="AA185" s="64"/>
      <c r="AB185" s="95"/>
      <c r="AC185" s="64"/>
      <c r="AD185" s="101" t="str">
        <f>IFERROR('BMP P Tracking Table'!$U185*VLOOKUP('BMP P Tracking Table'!$Q185,'Loading Rates'!$B$1:$L$24,4,FALSE)+IF('BMP P Tracking Table'!$V185="By HSG",'BMP P Tracking Table'!$W185*VLOOKUP('BMP P Tracking Table'!$Q185,'Loading Rates'!$B$1:$L$24,6,FALSE)+'BMP P Tracking Table'!$X185*VLOOKUP('BMP P Tracking Table'!$Q185,'Loading Rates'!$B$1:$L$24,7,FALSE)+'BMP P Tracking Table'!$Y185*VLOOKUP('BMP P Tracking Table'!$Q185,'Loading Rates'!$B$1:$L$24,8,FALSE)+'BMP P Tracking Table'!$Z185*VLOOKUP('BMP P Tracking Table'!$Q185,'Loading Rates'!$B$1:$L$24,9,FALSE),'BMP P Tracking Table'!$AA185*VLOOKUP('BMP P Tracking Table'!$Q185,'Loading Rates'!$B$1:$L$24,10,FALSE)),"")</f>
        <v/>
      </c>
      <c r="AE185" s="101" t="str">
        <f>IFERROR(MIN(2,IF('BMP P Tracking Table'!$V185="Total Pervious",(-(3630*'BMP P Tracking Table'!$U185+20.691*'BMP P Tracking Table'!$AA185)+SQRT((3630*'BMP P Tracking Table'!$U185+20.691*'BMP P Tracking Table'!$AA185)^2-(4*(996.798*'BMP P Tracking Table'!$AA185)*-'BMP P Tracking Table'!$AB185)))/(2*(996.798*'BMP P Tracking Table'!$AA185)),IF(SUM('BMP P Tracking Table'!$W185:$Z185)=0,'BMP P Tracking Table'!$AB185/(-3630*'BMP P Tracking Table'!$U185),(-(3630*'BMP P Tracking Table'!$U185+20.691*'BMP P Tracking Table'!$Z185-216.711*'BMP P Tracking Table'!$Y185-83.853*'BMP P Tracking Table'!$X185-42.834*'BMP P Tracking Table'!$W185)+SQRT((3630*'BMP P Tracking Table'!$U185+20.691*'BMP P Tracking Table'!$Z185-216.711*'BMP P Tracking Table'!$Y185-83.853*'BMP P Tracking Table'!$X185-42.834*'BMP P Tracking Table'!$W185)^2-(4*(149.919*'BMP P Tracking Table'!$W185+236.676*'BMP P Tracking Table'!$X185+726*'BMP P Tracking Table'!$Y185+996.798*'BMP P Tracking Table'!$Z185)*-'BMP P Tracking Table'!$AB185)))/(2*(149.919*'BMP P Tracking Table'!$W185+236.676*'BMP P Tracking Table'!$X185+726*'BMP P Tracking Table'!$Y185+996.798*'BMP P Tracking Table'!$Z185))))),"")</f>
        <v/>
      </c>
      <c r="AF185" s="101" t="str">
        <f>IFERROR((VLOOKUP(CONCATENATE('BMP P Tracking Table'!$T185," ",'BMP P Tracking Table'!$AC185),'Performance Curves'!$C$1:$L$45,MATCH('BMP P Tracking Table'!$AE185,'Performance Curves'!$E$1:$L$1,1)+2,FALSE)-VLOOKUP(CONCATENATE('BMP P Tracking Table'!$T185," ",'BMP P Tracking Table'!$AC185),'Performance Curves'!$C$1:$L$45,MATCH('BMP P Tracking Table'!$AE185,'Performance Curves'!$E$1:$L$1,1)+1,FALSE)),"")</f>
        <v/>
      </c>
      <c r="AG185" s="101" t="str">
        <f>IFERROR(('BMP P Tracking Table'!$AE185-INDEX('Performance Curves'!$E$1:$L$1,1,MATCH('BMP P Tracking Table'!$AE185,'Performance Curves'!$E$1:$L$1,1)))/(INDEX('Performance Curves'!$E$1:$L$1,1,MATCH('BMP P Tracking Table'!$AE185,'Performance Curves'!$E$1:$L$1,1)+1)-INDEX('Performance Curves'!$E$1:$L$1,1,MATCH('BMP P Tracking Table'!$AE185,'Performance Curves'!$E$1:$L$1,1))),"")</f>
        <v/>
      </c>
      <c r="AH185" s="102" t="str">
        <f>IFERROR(IF('BMP P Tracking Table'!$AE185=2,VLOOKUP(CONCATENATE('BMP P Tracking Table'!$T185," ",'BMP P Tracking Table'!$AC185),'Performance Curves'!$C$1:$L$45,MATCH('BMP P Tracking Table'!$AE185,'Performance Curves'!$E$1:$L$1,1)+1,FALSE),'BMP P Tracking Table'!$AF185*'BMP P Tracking Table'!$AG185+VLOOKUP(CONCATENATE('BMP P Tracking Table'!$T185," ",'BMP P Tracking Table'!$AC185),'Performance Curves'!$C$1:$L$45,MATCH('BMP P Tracking Table'!$AE185,'Performance Curves'!$E$1:$L$1,1)+1,FALSE)),"")</f>
        <v/>
      </c>
      <c r="AI185" s="101" t="str">
        <f>IFERROR('BMP P Tracking Table'!$AH185*'BMP P Tracking Table'!$AD185,"")</f>
        <v/>
      </c>
      <c r="AJ185" s="64"/>
      <c r="AK185" s="96"/>
      <c r="AL185" s="96"/>
      <c r="AM185" s="63"/>
      <c r="AN185" s="99" t="str">
        <f t="shared" si="16"/>
        <v/>
      </c>
      <c r="AO185" s="96"/>
      <c r="AP185" s="96"/>
      <c r="AQ185" s="96"/>
      <c r="AR185" s="96"/>
      <c r="AS185" s="96"/>
      <c r="AT185" s="96"/>
      <c r="AU185" s="96"/>
      <c r="AV185" s="64"/>
      <c r="AW185" s="97"/>
      <c r="AX185" s="97"/>
      <c r="AY185" s="101" t="str">
        <f>IF('BMP P Tracking Table'!$AK185="Yes",IF('BMP P Tracking Table'!$AL185="No",'BMP P Tracking Table'!$U185*VLOOKUP('BMP P Tracking Table'!$Q185,'Loading Rates'!$B$1:$L$24,4,FALSE)+IF('BMP P Tracking Table'!$V185="By HSG",'BMP P Tracking Table'!$W185*VLOOKUP('BMP P Tracking Table'!$Q185,'Loading Rates'!$B$1:$L$24,6,FALSE)+'BMP P Tracking Table'!$X185*VLOOKUP('BMP P Tracking Table'!$Q185,'Loading Rates'!$B$1:$L$24,7,FALSE)+'BMP P Tracking Table'!$Y185*VLOOKUP('BMP P Tracking Table'!$Q185,'Loading Rates'!$B$1:$L$24,8,FALSE)+'BMP P Tracking Table'!$Z185*VLOOKUP('BMP P Tracking Table'!$Q185,'Loading Rates'!$B$1:$L$24,9,FALSE),'BMP P Tracking Table'!$AA185*VLOOKUP('BMP P Tracking Table'!$Q185,'Loading Rates'!$B$1:$L$24,10,FALSE)),'BMP P Tracking Table'!$AO185*VLOOKUP('BMP P Tracking Table'!$Q185,'Loading Rates'!$B$1:$L$24,4,FALSE)+IF('BMP P Tracking Table'!$AP185="By HSG",'BMP P Tracking Table'!$AQ185*VLOOKUP('BMP P Tracking Table'!$Q185,'Loading Rates'!$B$1:$L$24,6,FALSE)+'BMP P Tracking Table'!$AR185*VLOOKUP('BMP P Tracking Table'!$Q185,'Loading Rates'!$B$1:$L$24,7,FALSE)+'BMP P Tracking Table'!$AS185*VLOOKUP('BMP P Tracking Table'!$Q185,'Loading Rates'!$B$1:$L$24,8,FALSE)+'BMP P Tracking Table'!$AT185*VLOOKUP('BMP P Tracking Table'!$Q185,'Loading Rates'!$B$1:$L$24,9,FALSE),'BMP P Tracking Table'!$AU185*VLOOKUP('BMP P Tracking Table'!$Q185,'Loading Rates'!$B$1:$L$24,10,FALSE))),"")</f>
        <v/>
      </c>
      <c r="AZ185" s="101" t="str">
        <f>IFERROR(IF('BMP P Tracking Table'!$AL185="Yes",MIN(2,IF('BMP P Tracking Table'!$AP185="Total Pervious",(-(3630*'BMP P Tracking Table'!$AO185+20.691*'BMP P Tracking Table'!$AU185)+SQRT((3630*'BMP P Tracking Table'!$AO185+20.691*'BMP P Tracking Table'!$AU185)^2-(4*(996.798*'BMP P Tracking Table'!$AU185)*-'BMP P Tracking Table'!$AW185)))/(2*(996.798*'BMP P Tracking Table'!$AU185)),IF(SUM('BMP P Tracking Table'!$AQ185:$AT185)=0,'BMP P Tracking Table'!$AU185/(-3630*'BMP P Tracking Table'!$AO185),(-(3630*'BMP P Tracking Table'!$AO185+20.691*'BMP P Tracking Table'!$AT185-216.711*'BMP P Tracking Table'!$AS185-83.853*'BMP P Tracking Table'!$AR185-42.834*'BMP P Tracking Table'!$AQ185)+SQRT((3630*'BMP P Tracking Table'!$AO185+20.691*'BMP P Tracking Table'!$AT185-216.711*'BMP P Tracking Table'!$AS185-83.853*'BMP P Tracking Table'!$AR185-42.834*'BMP P Tracking Table'!$AQ185)^2-(4*(149.919*'BMP P Tracking Table'!$AQ185+236.676*'BMP P Tracking Table'!$AR185+726*'BMP P Tracking Table'!$AS185+996.798*'BMP P Tracking Table'!$AT185)*-'BMP P Tracking Table'!$AW185)))/(2*(149.919*'BMP P Tracking Table'!$AQ185+236.676*'BMP P Tracking Table'!$AR185+726*'BMP P Tracking Table'!$AS185+996.798*'BMP P Tracking Table'!$AT185))))),MIN(2,IF('BMP P Tracking Table'!$AP185="Total Pervious",(-(3630*'BMP P Tracking Table'!$U185+20.691*'BMP P Tracking Table'!$AA185)+SQRT((3630*'BMP P Tracking Table'!$U185+20.691*'BMP P Tracking Table'!$AA185)^2-(4*(996.798*'BMP P Tracking Table'!$AA185)*-'BMP P Tracking Table'!$AW185)))/(2*(996.798*'BMP P Tracking Table'!$AA185)),IF(SUM('BMP P Tracking Table'!$W185:$Z185)=0,'BMP P Tracking Table'!$AW185/(-3630*'BMP P Tracking Table'!$U185),(-(3630*'BMP P Tracking Table'!$U185+20.691*'BMP P Tracking Table'!$Z185-216.711*'BMP P Tracking Table'!$Y185-83.853*'BMP P Tracking Table'!$X185-42.834*'BMP P Tracking Table'!$W185)+SQRT((3630*'BMP P Tracking Table'!$U185+20.691*'BMP P Tracking Table'!$Z185-216.711*'BMP P Tracking Table'!$Y185-83.853*'BMP P Tracking Table'!$X185-42.834*'BMP P Tracking Table'!$W185)^2-(4*(149.919*'BMP P Tracking Table'!$W185+236.676*'BMP P Tracking Table'!$X185+726*'BMP P Tracking Table'!$Y185+996.798*'BMP P Tracking Table'!$Z185)*-'BMP P Tracking Table'!$AW185)))/(2*(149.919*'BMP P Tracking Table'!$W185+236.676*'BMP P Tracking Table'!$X185+726*'BMP P Tracking Table'!$Y185+996.798*'BMP P Tracking Table'!$Z185)))))),"")</f>
        <v/>
      </c>
      <c r="BA185" s="101" t="str">
        <f>IFERROR((VLOOKUP(CONCATENATE('BMP P Tracking Table'!$AV185," ",'BMP P Tracking Table'!$AX185),'Performance Curves'!$C$1:$L$45,MATCH('BMP P Tracking Table'!$AZ185,'Performance Curves'!$E$1:$L$1,1)+2,FALSE)-VLOOKUP(CONCATENATE('BMP P Tracking Table'!$AV185," ",'BMP P Tracking Table'!$AX185),'Performance Curves'!$C$1:$L$45,MATCH('BMP P Tracking Table'!$AZ185,'Performance Curves'!$E$1:$L$1,1)+1,FALSE)),"")</f>
        <v/>
      </c>
      <c r="BB185" s="101" t="str">
        <f>IFERROR(('BMP P Tracking Table'!$AZ185-INDEX('Performance Curves'!$E$1:$L$1,1,MATCH('BMP P Tracking Table'!$AZ185,'Performance Curves'!$E$1:$L$1,1)))/(INDEX('Performance Curves'!$E$1:$L$1,1,MATCH('BMP P Tracking Table'!$AZ185,'Performance Curves'!$E$1:$L$1,1)+1)-INDEX('Performance Curves'!$E$1:$L$1,1,MATCH('BMP P Tracking Table'!$AZ185,'Performance Curves'!$E$1:$L$1,1))),"")</f>
        <v/>
      </c>
      <c r="BC185" s="102" t="str">
        <f>IFERROR(IF('BMP P Tracking Table'!$AZ185=2,VLOOKUP(CONCATENATE('BMP P Tracking Table'!$AV185," ",'BMP P Tracking Table'!$AX185),'Performance Curves'!$C$1:$L$44,MATCH('BMP P Tracking Table'!$AZ185,'Performance Curves'!$E$1:$L$1,1)+1,FALSE),'BMP P Tracking Table'!$BA185*'BMP P Tracking Table'!$BB185+VLOOKUP(CONCATENATE('BMP P Tracking Table'!$AV185," ",'BMP P Tracking Table'!$AX185),'Performance Curves'!$C$1:$L$44,MATCH('BMP P Tracking Table'!$AZ185,'Performance Curves'!$E$1:$L$1,1)+1,FALSE)),"")</f>
        <v/>
      </c>
      <c r="BD185" s="101" t="str">
        <f>IFERROR('BMP P Tracking Table'!$BC185*'BMP P Tracking Table'!$AY185,"")</f>
        <v/>
      </c>
      <c r="BE185" s="96"/>
      <c r="BF185" s="37">
        <f t="shared" si="17"/>
        <v>0</v>
      </c>
    </row>
    <row r="186" spans="1:58" x14ac:dyDescent="0.3">
      <c r="A186" s="64"/>
      <c r="B186" s="64"/>
      <c r="C186" s="64"/>
      <c r="D186" s="64"/>
      <c r="E186" s="93"/>
      <c r="F186" s="93"/>
      <c r="G186" s="64"/>
      <c r="H186" s="64"/>
      <c r="I186" s="64"/>
      <c r="J186" s="94"/>
      <c r="K186" s="64"/>
      <c r="L186" s="64"/>
      <c r="M186" s="64"/>
      <c r="N186" s="64"/>
      <c r="O186" s="64"/>
      <c r="P186" s="64"/>
      <c r="Q186" s="64" t="str">
        <f>IFERROR(VLOOKUP('BMP P Tracking Table'!$P186,Dropdowns!$C$2:$E$15,3,FALSE),"")</f>
        <v/>
      </c>
      <c r="R186" s="64" t="str">
        <f>IFERROR(VLOOKUP('BMP P Tracking Table'!$Q186,Dropdowns!$P$3:$Q$23,2,FALSE),"")</f>
        <v/>
      </c>
      <c r="S186" s="64"/>
      <c r="T186" s="64"/>
      <c r="U186" s="64"/>
      <c r="V186" s="64"/>
      <c r="W186" s="64"/>
      <c r="X186" s="64"/>
      <c r="Y186" s="64"/>
      <c r="Z186" s="64"/>
      <c r="AA186" s="64"/>
      <c r="AB186" s="95"/>
      <c r="AC186" s="64"/>
      <c r="AD186" s="101" t="str">
        <f>IFERROR('BMP P Tracking Table'!$U186*VLOOKUP('BMP P Tracking Table'!$Q186,'Loading Rates'!$B$1:$L$24,4,FALSE)+IF('BMP P Tracking Table'!$V186="By HSG",'BMP P Tracking Table'!$W186*VLOOKUP('BMP P Tracking Table'!$Q186,'Loading Rates'!$B$1:$L$24,6,FALSE)+'BMP P Tracking Table'!$X186*VLOOKUP('BMP P Tracking Table'!$Q186,'Loading Rates'!$B$1:$L$24,7,FALSE)+'BMP P Tracking Table'!$Y186*VLOOKUP('BMP P Tracking Table'!$Q186,'Loading Rates'!$B$1:$L$24,8,FALSE)+'BMP P Tracking Table'!$Z186*VLOOKUP('BMP P Tracking Table'!$Q186,'Loading Rates'!$B$1:$L$24,9,FALSE),'BMP P Tracking Table'!$AA186*VLOOKUP('BMP P Tracking Table'!$Q186,'Loading Rates'!$B$1:$L$24,10,FALSE)),"")</f>
        <v/>
      </c>
      <c r="AE186" s="101" t="str">
        <f>IFERROR(MIN(2,IF('BMP P Tracking Table'!$V186="Total Pervious",(-(3630*'BMP P Tracking Table'!$U186+20.691*'BMP P Tracking Table'!$AA186)+SQRT((3630*'BMP P Tracking Table'!$U186+20.691*'BMP P Tracking Table'!$AA186)^2-(4*(996.798*'BMP P Tracking Table'!$AA186)*-'BMP P Tracking Table'!$AB186)))/(2*(996.798*'BMP P Tracking Table'!$AA186)),IF(SUM('BMP P Tracking Table'!$W186:$Z186)=0,'BMP P Tracking Table'!$AB186/(-3630*'BMP P Tracking Table'!$U186),(-(3630*'BMP P Tracking Table'!$U186+20.691*'BMP P Tracking Table'!$Z186-216.711*'BMP P Tracking Table'!$Y186-83.853*'BMP P Tracking Table'!$X186-42.834*'BMP P Tracking Table'!$W186)+SQRT((3630*'BMP P Tracking Table'!$U186+20.691*'BMP P Tracking Table'!$Z186-216.711*'BMP P Tracking Table'!$Y186-83.853*'BMP P Tracking Table'!$X186-42.834*'BMP P Tracking Table'!$W186)^2-(4*(149.919*'BMP P Tracking Table'!$W186+236.676*'BMP P Tracking Table'!$X186+726*'BMP P Tracking Table'!$Y186+996.798*'BMP P Tracking Table'!$Z186)*-'BMP P Tracking Table'!$AB186)))/(2*(149.919*'BMP P Tracking Table'!$W186+236.676*'BMP P Tracking Table'!$X186+726*'BMP P Tracking Table'!$Y186+996.798*'BMP P Tracking Table'!$Z186))))),"")</f>
        <v/>
      </c>
      <c r="AF186" s="101" t="str">
        <f>IFERROR((VLOOKUP(CONCATENATE('BMP P Tracking Table'!$T186," ",'BMP P Tracking Table'!$AC186),'Performance Curves'!$C$1:$L$45,MATCH('BMP P Tracking Table'!$AE186,'Performance Curves'!$E$1:$L$1,1)+2,FALSE)-VLOOKUP(CONCATENATE('BMP P Tracking Table'!$T186," ",'BMP P Tracking Table'!$AC186),'Performance Curves'!$C$1:$L$45,MATCH('BMP P Tracking Table'!$AE186,'Performance Curves'!$E$1:$L$1,1)+1,FALSE)),"")</f>
        <v/>
      </c>
      <c r="AG186" s="101" t="str">
        <f>IFERROR(('BMP P Tracking Table'!$AE186-INDEX('Performance Curves'!$E$1:$L$1,1,MATCH('BMP P Tracking Table'!$AE186,'Performance Curves'!$E$1:$L$1,1)))/(INDEX('Performance Curves'!$E$1:$L$1,1,MATCH('BMP P Tracking Table'!$AE186,'Performance Curves'!$E$1:$L$1,1)+1)-INDEX('Performance Curves'!$E$1:$L$1,1,MATCH('BMP P Tracking Table'!$AE186,'Performance Curves'!$E$1:$L$1,1))),"")</f>
        <v/>
      </c>
      <c r="AH186" s="102" t="str">
        <f>IFERROR(IF('BMP P Tracking Table'!$AE186=2,VLOOKUP(CONCATENATE('BMP P Tracking Table'!$T186," ",'BMP P Tracking Table'!$AC186),'Performance Curves'!$C$1:$L$45,MATCH('BMP P Tracking Table'!$AE186,'Performance Curves'!$E$1:$L$1,1)+1,FALSE),'BMP P Tracking Table'!$AF186*'BMP P Tracking Table'!$AG186+VLOOKUP(CONCATENATE('BMP P Tracking Table'!$T186," ",'BMP P Tracking Table'!$AC186),'Performance Curves'!$C$1:$L$45,MATCH('BMP P Tracking Table'!$AE186,'Performance Curves'!$E$1:$L$1,1)+1,FALSE)),"")</f>
        <v/>
      </c>
      <c r="AI186" s="101" t="str">
        <f>IFERROR('BMP P Tracking Table'!$AH186*'BMP P Tracking Table'!$AD186,"")</f>
        <v/>
      </c>
      <c r="AJ186" s="64"/>
      <c r="AK186" s="96"/>
      <c r="AL186" s="96"/>
      <c r="AM186" s="63"/>
      <c r="AN186" s="99" t="str">
        <f t="shared" si="16"/>
        <v/>
      </c>
      <c r="AO186" s="96"/>
      <c r="AP186" s="96"/>
      <c r="AQ186" s="96"/>
      <c r="AR186" s="96"/>
      <c r="AS186" s="96"/>
      <c r="AT186" s="96"/>
      <c r="AU186" s="96"/>
      <c r="AV186" s="64"/>
      <c r="AW186" s="97"/>
      <c r="AX186" s="97"/>
      <c r="AY186" s="101" t="str">
        <f>IF('BMP P Tracking Table'!$AK186="Yes",IF('BMP P Tracking Table'!$AL186="No",'BMP P Tracking Table'!$U186*VLOOKUP('BMP P Tracking Table'!$Q186,'Loading Rates'!$B$1:$L$24,4,FALSE)+IF('BMP P Tracking Table'!$V186="By HSG",'BMP P Tracking Table'!$W186*VLOOKUP('BMP P Tracking Table'!$Q186,'Loading Rates'!$B$1:$L$24,6,FALSE)+'BMP P Tracking Table'!$X186*VLOOKUP('BMP P Tracking Table'!$Q186,'Loading Rates'!$B$1:$L$24,7,FALSE)+'BMP P Tracking Table'!$Y186*VLOOKUP('BMP P Tracking Table'!$Q186,'Loading Rates'!$B$1:$L$24,8,FALSE)+'BMP P Tracking Table'!$Z186*VLOOKUP('BMP P Tracking Table'!$Q186,'Loading Rates'!$B$1:$L$24,9,FALSE),'BMP P Tracking Table'!$AA186*VLOOKUP('BMP P Tracking Table'!$Q186,'Loading Rates'!$B$1:$L$24,10,FALSE)),'BMP P Tracking Table'!$AO186*VLOOKUP('BMP P Tracking Table'!$Q186,'Loading Rates'!$B$1:$L$24,4,FALSE)+IF('BMP P Tracking Table'!$AP186="By HSG",'BMP P Tracking Table'!$AQ186*VLOOKUP('BMP P Tracking Table'!$Q186,'Loading Rates'!$B$1:$L$24,6,FALSE)+'BMP P Tracking Table'!$AR186*VLOOKUP('BMP P Tracking Table'!$Q186,'Loading Rates'!$B$1:$L$24,7,FALSE)+'BMP P Tracking Table'!$AS186*VLOOKUP('BMP P Tracking Table'!$Q186,'Loading Rates'!$B$1:$L$24,8,FALSE)+'BMP P Tracking Table'!$AT186*VLOOKUP('BMP P Tracking Table'!$Q186,'Loading Rates'!$B$1:$L$24,9,FALSE),'BMP P Tracking Table'!$AU186*VLOOKUP('BMP P Tracking Table'!$Q186,'Loading Rates'!$B$1:$L$24,10,FALSE))),"")</f>
        <v/>
      </c>
      <c r="AZ186" s="101" t="str">
        <f>IFERROR(IF('BMP P Tracking Table'!$AL186="Yes",MIN(2,IF('BMP P Tracking Table'!$AP186="Total Pervious",(-(3630*'BMP P Tracking Table'!$AO186+20.691*'BMP P Tracking Table'!$AU186)+SQRT((3630*'BMP P Tracking Table'!$AO186+20.691*'BMP P Tracking Table'!$AU186)^2-(4*(996.798*'BMP P Tracking Table'!$AU186)*-'BMP P Tracking Table'!$AW186)))/(2*(996.798*'BMP P Tracking Table'!$AU186)),IF(SUM('BMP P Tracking Table'!$AQ186:$AT186)=0,'BMP P Tracking Table'!$AU186/(-3630*'BMP P Tracking Table'!$AO186),(-(3630*'BMP P Tracking Table'!$AO186+20.691*'BMP P Tracking Table'!$AT186-216.711*'BMP P Tracking Table'!$AS186-83.853*'BMP P Tracking Table'!$AR186-42.834*'BMP P Tracking Table'!$AQ186)+SQRT((3630*'BMP P Tracking Table'!$AO186+20.691*'BMP P Tracking Table'!$AT186-216.711*'BMP P Tracking Table'!$AS186-83.853*'BMP P Tracking Table'!$AR186-42.834*'BMP P Tracking Table'!$AQ186)^2-(4*(149.919*'BMP P Tracking Table'!$AQ186+236.676*'BMP P Tracking Table'!$AR186+726*'BMP P Tracking Table'!$AS186+996.798*'BMP P Tracking Table'!$AT186)*-'BMP P Tracking Table'!$AW186)))/(2*(149.919*'BMP P Tracking Table'!$AQ186+236.676*'BMP P Tracking Table'!$AR186+726*'BMP P Tracking Table'!$AS186+996.798*'BMP P Tracking Table'!$AT186))))),MIN(2,IF('BMP P Tracking Table'!$AP186="Total Pervious",(-(3630*'BMP P Tracking Table'!$U186+20.691*'BMP P Tracking Table'!$AA186)+SQRT((3630*'BMP P Tracking Table'!$U186+20.691*'BMP P Tracking Table'!$AA186)^2-(4*(996.798*'BMP P Tracking Table'!$AA186)*-'BMP P Tracking Table'!$AW186)))/(2*(996.798*'BMP P Tracking Table'!$AA186)),IF(SUM('BMP P Tracking Table'!$W186:$Z186)=0,'BMP P Tracking Table'!$AW186/(-3630*'BMP P Tracking Table'!$U186),(-(3630*'BMP P Tracking Table'!$U186+20.691*'BMP P Tracking Table'!$Z186-216.711*'BMP P Tracking Table'!$Y186-83.853*'BMP P Tracking Table'!$X186-42.834*'BMP P Tracking Table'!$W186)+SQRT((3630*'BMP P Tracking Table'!$U186+20.691*'BMP P Tracking Table'!$Z186-216.711*'BMP P Tracking Table'!$Y186-83.853*'BMP P Tracking Table'!$X186-42.834*'BMP P Tracking Table'!$W186)^2-(4*(149.919*'BMP P Tracking Table'!$W186+236.676*'BMP P Tracking Table'!$X186+726*'BMP P Tracking Table'!$Y186+996.798*'BMP P Tracking Table'!$Z186)*-'BMP P Tracking Table'!$AW186)))/(2*(149.919*'BMP P Tracking Table'!$W186+236.676*'BMP P Tracking Table'!$X186+726*'BMP P Tracking Table'!$Y186+996.798*'BMP P Tracking Table'!$Z186)))))),"")</f>
        <v/>
      </c>
      <c r="BA186" s="101" t="str">
        <f>IFERROR((VLOOKUP(CONCATENATE('BMP P Tracking Table'!$AV186," ",'BMP P Tracking Table'!$AX186),'Performance Curves'!$C$1:$L$45,MATCH('BMP P Tracking Table'!$AZ186,'Performance Curves'!$E$1:$L$1,1)+2,FALSE)-VLOOKUP(CONCATENATE('BMP P Tracking Table'!$AV186," ",'BMP P Tracking Table'!$AX186),'Performance Curves'!$C$1:$L$45,MATCH('BMP P Tracking Table'!$AZ186,'Performance Curves'!$E$1:$L$1,1)+1,FALSE)),"")</f>
        <v/>
      </c>
      <c r="BB186" s="101" t="str">
        <f>IFERROR(('BMP P Tracking Table'!$AZ186-INDEX('Performance Curves'!$E$1:$L$1,1,MATCH('BMP P Tracking Table'!$AZ186,'Performance Curves'!$E$1:$L$1,1)))/(INDEX('Performance Curves'!$E$1:$L$1,1,MATCH('BMP P Tracking Table'!$AZ186,'Performance Curves'!$E$1:$L$1,1)+1)-INDEX('Performance Curves'!$E$1:$L$1,1,MATCH('BMP P Tracking Table'!$AZ186,'Performance Curves'!$E$1:$L$1,1))),"")</f>
        <v/>
      </c>
      <c r="BC186" s="102" t="str">
        <f>IFERROR(IF('BMP P Tracking Table'!$AZ186=2,VLOOKUP(CONCATENATE('BMP P Tracking Table'!$AV186," ",'BMP P Tracking Table'!$AX186),'Performance Curves'!$C$1:$L$44,MATCH('BMP P Tracking Table'!$AZ186,'Performance Curves'!$E$1:$L$1,1)+1,FALSE),'BMP P Tracking Table'!$BA186*'BMP P Tracking Table'!$BB186+VLOOKUP(CONCATENATE('BMP P Tracking Table'!$AV186," ",'BMP P Tracking Table'!$AX186),'Performance Curves'!$C$1:$L$44,MATCH('BMP P Tracking Table'!$AZ186,'Performance Curves'!$E$1:$L$1,1)+1,FALSE)),"")</f>
        <v/>
      </c>
      <c r="BD186" s="101" t="str">
        <f>IFERROR('BMP P Tracking Table'!$BC186*'BMP P Tracking Table'!$AY186,"")</f>
        <v/>
      </c>
      <c r="BE186" s="96"/>
      <c r="BF186" s="37">
        <f t="shared" si="17"/>
        <v>0</v>
      </c>
    </row>
    <row r="187" spans="1:58" x14ac:dyDescent="0.3">
      <c r="A187" s="64"/>
      <c r="B187" s="64"/>
      <c r="C187" s="64"/>
      <c r="D187" s="64"/>
      <c r="E187" s="93"/>
      <c r="F187" s="93"/>
      <c r="G187" s="64"/>
      <c r="H187" s="64"/>
      <c r="I187" s="64"/>
      <c r="J187" s="94"/>
      <c r="K187" s="64"/>
      <c r="L187" s="64"/>
      <c r="M187" s="64"/>
      <c r="N187" s="64"/>
      <c r="O187" s="64"/>
      <c r="P187" s="64"/>
      <c r="Q187" s="64" t="str">
        <f>IFERROR(VLOOKUP('BMP P Tracking Table'!$P187,Dropdowns!$C$2:$E$15,3,FALSE),"")</f>
        <v/>
      </c>
      <c r="R187" s="64" t="str">
        <f>IFERROR(VLOOKUP('BMP P Tracking Table'!$Q187,Dropdowns!$P$3:$Q$23,2,FALSE),"")</f>
        <v/>
      </c>
      <c r="S187" s="64"/>
      <c r="T187" s="64"/>
      <c r="U187" s="64"/>
      <c r="V187" s="64"/>
      <c r="W187" s="64"/>
      <c r="X187" s="64"/>
      <c r="Y187" s="64"/>
      <c r="Z187" s="64"/>
      <c r="AA187" s="64"/>
      <c r="AB187" s="95"/>
      <c r="AC187" s="64"/>
      <c r="AD187" s="101" t="str">
        <f>IFERROR('BMP P Tracking Table'!$U187*VLOOKUP('BMP P Tracking Table'!$Q187,'Loading Rates'!$B$1:$L$24,4,FALSE)+IF('BMP P Tracking Table'!$V187="By HSG",'BMP P Tracking Table'!$W187*VLOOKUP('BMP P Tracking Table'!$Q187,'Loading Rates'!$B$1:$L$24,6,FALSE)+'BMP P Tracking Table'!$X187*VLOOKUP('BMP P Tracking Table'!$Q187,'Loading Rates'!$B$1:$L$24,7,FALSE)+'BMP P Tracking Table'!$Y187*VLOOKUP('BMP P Tracking Table'!$Q187,'Loading Rates'!$B$1:$L$24,8,FALSE)+'BMP P Tracking Table'!$Z187*VLOOKUP('BMP P Tracking Table'!$Q187,'Loading Rates'!$B$1:$L$24,9,FALSE),'BMP P Tracking Table'!$AA187*VLOOKUP('BMP P Tracking Table'!$Q187,'Loading Rates'!$B$1:$L$24,10,FALSE)),"")</f>
        <v/>
      </c>
      <c r="AE187" s="101" t="str">
        <f>IFERROR(MIN(2,IF('BMP P Tracking Table'!$V187="Total Pervious",(-(3630*'BMP P Tracking Table'!$U187+20.691*'BMP P Tracking Table'!$AA187)+SQRT((3630*'BMP P Tracking Table'!$U187+20.691*'BMP P Tracking Table'!$AA187)^2-(4*(996.798*'BMP P Tracking Table'!$AA187)*-'BMP P Tracking Table'!$AB187)))/(2*(996.798*'BMP P Tracking Table'!$AA187)),IF(SUM('BMP P Tracking Table'!$W187:$Z187)=0,'BMP P Tracking Table'!$AB187/(-3630*'BMP P Tracking Table'!$U187),(-(3630*'BMP P Tracking Table'!$U187+20.691*'BMP P Tracking Table'!$Z187-216.711*'BMP P Tracking Table'!$Y187-83.853*'BMP P Tracking Table'!$X187-42.834*'BMP P Tracking Table'!$W187)+SQRT((3630*'BMP P Tracking Table'!$U187+20.691*'BMP P Tracking Table'!$Z187-216.711*'BMP P Tracking Table'!$Y187-83.853*'BMP P Tracking Table'!$X187-42.834*'BMP P Tracking Table'!$W187)^2-(4*(149.919*'BMP P Tracking Table'!$W187+236.676*'BMP P Tracking Table'!$X187+726*'BMP P Tracking Table'!$Y187+996.798*'BMP P Tracking Table'!$Z187)*-'BMP P Tracking Table'!$AB187)))/(2*(149.919*'BMP P Tracking Table'!$W187+236.676*'BMP P Tracking Table'!$X187+726*'BMP P Tracking Table'!$Y187+996.798*'BMP P Tracking Table'!$Z187))))),"")</f>
        <v/>
      </c>
      <c r="AF187" s="101" t="str">
        <f>IFERROR((VLOOKUP(CONCATENATE('BMP P Tracking Table'!$T187," ",'BMP P Tracking Table'!$AC187),'Performance Curves'!$C$1:$L$45,MATCH('BMP P Tracking Table'!$AE187,'Performance Curves'!$E$1:$L$1,1)+2,FALSE)-VLOOKUP(CONCATENATE('BMP P Tracking Table'!$T187," ",'BMP P Tracking Table'!$AC187),'Performance Curves'!$C$1:$L$45,MATCH('BMP P Tracking Table'!$AE187,'Performance Curves'!$E$1:$L$1,1)+1,FALSE)),"")</f>
        <v/>
      </c>
      <c r="AG187" s="101" t="str">
        <f>IFERROR(('BMP P Tracking Table'!$AE187-INDEX('Performance Curves'!$E$1:$L$1,1,MATCH('BMP P Tracking Table'!$AE187,'Performance Curves'!$E$1:$L$1,1)))/(INDEX('Performance Curves'!$E$1:$L$1,1,MATCH('BMP P Tracking Table'!$AE187,'Performance Curves'!$E$1:$L$1,1)+1)-INDEX('Performance Curves'!$E$1:$L$1,1,MATCH('BMP P Tracking Table'!$AE187,'Performance Curves'!$E$1:$L$1,1))),"")</f>
        <v/>
      </c>
      <c r="AH187" s="102" t="str">
        <f>IFERROR(IF('BMP P Tracking Table'!$AE187=2,VLOOKUP(CONCATENATE('BMP P Tracking Table'!$T187," ",'BMP P Tracking Table'!$AC187),'Performance Curves'!$C$1:$L$45,MATCH('BMP P Tracking Table'!$AE187,'Performance Curves'!$E$1:$L$1,1)+1,FALSE),'BMP P Tracking Table'!$AF187*'BMP P Tracking Table'!$AG187+VLOOKUP(CONCATENATE('BMP P Tracking Table'!$T187," ",'BMP P Tracking Table'!$AC187),'Performance Curves'!$C$1:$L$45,MATCH('BMP P Tracking Table'!$AE187,'Performance Curves'!$E$1:$L$1,1)+1,FALSE)),"")</f>
        <v/>
      </c>
      <c r="AI187" s="101" t="str">
        <f>IFERROR('BMP P Tracking Table'!$AH187*'BMP P Tracking Table'!$AD187,"")</f>
        <v/>
      </c>
      <c r="AJ187" s="64"/>
      <c r="AK187" s="96"/>
      <c r="AL187" s="96"/>
      <c r="AM187" s="63"/>
      <c r="AN187" s="99" t="str">
        <f t="shared" si="16"/>
        <v/>
      </c>
      <c r="AO187" s="96"/>
      <c r="AP187" s="96"/>
      <c r="AQ187" s="96"/>
      <c r="AR187" s="96"/>
      <c r="AS187" s="96"/>
      <c r="AT187" s="96"/>
      <c r="AU187" s="96"/>
      <c r="AV187" s="64"/>
      <c r="AW187" s="97"/>
      <c r="AX187" s="97"/>
      <c r="AY187" s="101" t="str">
        <f>IF('BMP P Tracking Table'!$AK187="Yes",IF('BMP P Tracking Table'!$AL187="No",'BMP P Tracking Table'!$U187*VLOOKUP('BMP P Tracking Table'!$Q187,'Loading Rates'!$B$1:$L$24,4,FALSE)+IF('BMP P Tracking Table'!$V187="By HSG",'BMP P Tracking Table'!$W187*VLOOKUP('BMP P Tracking Table'!$Q187,'Loading Rates'!$B$1:$L$24,6,FALSE)+'BMP P Tracking Table'!$X187*VLOOKUP('BMP P Tracking Table'!$Q187,'Loading Rates'!$B$1:$L$24,7,FALSE)+'BMP P Tracking Table'!$Y187*VLOOKUP('BMP P Tracking Table'!$Q187,'Loading Rates'!$B$1:$L$24,8,FALSE)+'BMP P Tracking Table'!$Z187*VLOOKUP('BMP P Tracking Table'!$Q187,'Loading Rates'!$B$1:$L$24,9,FALSE),'BMP P Tracking Table'!$AA187*VLOOKUP('BMP P Tracking Table'!$Q187,'Loading Rates'!$B$1:$L$24,10,FALSE)),'BMP P Tracking Table'!$AO187*VLOOKUP('BMP P Tracking Table'!$Q187,'Loading Rates'!$B$1:$L$24,4,FALSE)+IF('BMP P Tracking Table'!$AP187="By HSG",'BMP P Tracking Table'!$AQ187*VLOOKUP('BMP P Tracking Table'!$Q187,'Loading Rates'!$B$1:$L$24,6,FALSE)+'BMP P Tracking Table'!$AR187*VLOOKUP('BMP P Tracking Table'!$Q187,'Loading Rates'!$B$1:$L$24,7,FALSE)+'BMP P Tracking Table'!$AS187*VLOOKUP('BMP P Tracking Table'!$Q187,'Loading Rates'!$B$1:$L$24,8,FALSE)+'BMP P Tracking Table'!$AT187*VLOOKUP('BMP P Tracking Table'!$Q187,'Loading Rates'!$B$1:$L$24,9,FALSE),'BMP P Tracking Table'!$AU187*VLOOKUP('BMP P Tracking Table'!$Q187,'Loading Rates'!$B$1:$L$24,10,FALSE))),"")</f>
        <v/>
      </c>
      <c r="AZ187" s="101" t="str">
        <f>IFERROR(IF('BMP P Tracking Table'!$AL187="Yes",MIN(2,IF('BMP P Tracking Table'!$AP187="Total Pervious",(-(3630*'BMP P Tracking Table'!$AO187+20.691*'BMP P Tracking Table'!$AU187)+SQRT((3630*'BMP P Tracking Table'!$AO187+20.691*'BMP P Tracking Table'!$AU187)^2-(4*(996.798*'BMP P Tracking Table'!$AU187)*-'BMP P Tracking Table'!$AW187)))/(2*(996.798*'BMP P Tracking Table'!$AU187)),IF(SUM('BMP P Tracking Table'!$AQ187:$AT187)=0,'BMP P Tracking Table'!$AU187/(-3630*'BMP P Tracking Table'!$AO187),(-(3630*'BMP P Tracking Table'!$AO187+20.691*'BMP P Tracking Table'!$AT187-216.711*'BMP P Tracking Table'!$AS187-83.853*'BMP P Tracking Table'!$AR187-42.834*'BMP P Tracking Table'!$AQ187)+SQRT((3630*'BMP P Tracking Table'!$AO187+20.691*'BMP P Tracking Table'!$AT187-216.711*'BMP P Tracking Table'!$AS187-83.853*'BMP P Tracking Table'!$AR187-42.834*'BMP P Tracking Table'!$AQ187)^2-(4*(149.919*'BMP P Tracking Table'!$AQ187+236.676*'BMP P Tracking Table'!$AR187+726*'BMP P Tracking Table'!$AS187+996.798*'BMP P Tracking Table'!$AT187)*-'BMP P Tracking Table'!$AW187)))/(2*(149.919*'BMP P Tracking Table'!$AQ187+236.676*'BMP P Tracking Table'!$AR187+726*'BMP P Tracking Table'!$AS187+996.798*'BMP P Tracking Table'!$AT187))))),MIN(2,IF('BMP P Tracking Table'!$AP187="Total Pervious",(-(3630*'BMP P Tracking Table'!$U187+20.691*'BMP P Tracking Table'!$AA187)+SQRT((3630*'BMP P Tracking Table'!$U187+20.691*'BMP P Tracking Table'!$AA187)^2-(4*(996.798*'BMP P Tracking Table'!$AA187)*-'BMP P Tracking Table'!$AW187)))/(2*(996.798*'BMP P Tracking Table'!$AA187)),IF(SUM('BMP P Tracking Table'!$W187:$Z187)=0,'BMP P Tracking Table'!$AW187/(-3630*'BMP P Tracking Table'!$U187),(-(3630*'BMP P Tracking Table'!$U187+20.691*'BMP P Tracking Table'!$Z187-216.711*'BMP P Tracking Table'!$Y187-83.853*'BMP P Tracking Table'!$X187-42.834*'BMP P Tracking Table'!$W187)+SQRT((3630*'BMP P Tracking Table'!$U187+20.691*'BMP P Tracking Table'!$Z187-216.711*'BMP P Tracking Table'!$Y187-83.853*'BMP P Tracking Table'!$X187-42.834*'BMP P Tracking Table'!$W187)^2-(4*(149.919*'BMP P Tracking Table'!$W187+236.676*'BMP P Tracking Table'!$X187+726*'BMP P Tracking Table'!$Y187+996.798*'BMP P Tracking Table'!$Z187)*-'BMP P Tracking Table'!$AW187)))/(2*(149.919*'BMP P Tracking Table'!$W187+236.676*'BMP P Tracking Table'!$X187+726*'BMP P Tracking Table'!$Y187+996.798*'BMP P Tracking Table'!$Z187)))))),"")</f>
        <v/>
      </c>
      <c r="BA187" s="101" t="str">
        <f>IFERROR((VLOOKUP(CONCATENATE('BMP P Tracking Table'!$AV187," ",'BMP P Tracking Table'!$AX187),'Performance Curves'!$C$1:$L$45,MATCH('BMP P Tracking Table'!$AZ187,'Performance Curves'!$E$1:$L$1,1)+2,FALSE)-VLOOKUP(CONCATENATE('BMP P Tracking Table'!$AV187," ",'BMP P Tracking Table'!$AX187),'Performance Curves'!$C$1:$L$45,MATCH('BMP P Tracking Table'!$AZ187,'Performance Curves'!$E$1:$L$1,1)+1,FALSE)),"")</f>
        <v/>
      </c>
      <c r="BB187" s="101" t="str">
        <f>IFERROR(('BMP P Tracking Table'!$AZ187-INDEX('Performance Curves'!$E$1:$L$1,1,MATCH('BMP P Tracking Table'!$AZ187,'Performance Curves'!$E$1:$L$1,1)))/(INDEX('Performance Curves'!$E$1:$L$1,1,MATCH('BMP P Tracking Table'!$AZ187,'Performance Curves'!$E$1:$L$1,1)+1)-INDEX('Performance Curves'!$E$1:$L$1,1,MATCH('BMP P Tracking Table'!$AZ187,'Performance Curves'!$E$1:$L$1,1))),"")</f>
        <v/>
      </c>
      <c r="BC187" s="102" t="str">
        <f>IFERROR(IF('BMP P Tracking Table'!$AZ187=2,VLOOKUP(CONCATENATE('BMP P Tracking Table'!$AV187," ",'BMP P Tracking Table'!$AX187),'Performance Curves'!$C$1:$L$44,MATCH('BMP P Tracking Table'!$AZ187,'Performance Curves'!$E$1:$L$1,1)+1,FALSE),'BMP P Tracking Table'!$BA187*'BMP P Tracking Table'!$BB187+VLOOKUP(CONCATENATE('BMP P Tracking Table'!$AV187," ",'BMP P Tracking Table'!$AX187),'Performance Curves'!$C$1:$L$44,MATCH('BMP P Tracking Table'!$AZ187,'Performance Curves'!$E$1:$L$1,1)+1,FALSE)),"")</f>
        <v/>
      </c>
      <c r="BD187" s="101" t="str">
        <f>IFERROR('BMP P Tracking Table'!$BC187*'BMP P Tracking Table'!$AY187,"")</f>
        <v/>
      </c>
      <c r="BE187" s="96"/>
      <c r="BF187" s="37">
        <f t="shared" si="17"/>
        <v>0</v>
      </c>
    </row>
    <row r="188" spans="1:58" x14ac:dyDescent="0.3">
      <c r="A188" s="64"/>
      <c r="B188" s="64"/>
      <c r="C188" s="64"/>
      <c r="D188" s="64"/>
      <c r="E188" s="93"/>
      <c r="F188" s="93"/>
      <c r="G188" s="64"/>
      <c r="H188" s="64"/>
      <c r="I188" s="64"/>
      <c r="J188" s="94"/>
      <c r="K188" s="64"/>
      <c r="L188" s="64"/>
      <c r="M188" s="64"/>
      <c r="N188" s="64"/>
      <c r="O188" s="64"/>
      <c r="P188" s="64"/>
      <c r="Q188" s="64" t="str">
        <f>IFERROR(VLOOKUP('BMP P Tracking Table'!$P188,Dropdowns!$C$2:$E$15,3,FALSE),"")</f>
        <v/>
      </c>
      <c r="R188" s="64" t="str">
        <f>IFERROR(VLOOKUP('BMP P Tracking Table'!$Q188,Dropdowns!$P$3:$Q$23,2,FALSE),"")</f>
        <v/>
      </c>
      <c r="S188" s="64"/>
      <c r="T188" s="64"/>
      <c r="U188" s="64"/>
      <c r="V188" s="64"/>
      <c r="W188" s="64"/>
      <c r="X188" s="64"/>
      <c r="Y188" s="64"/>
      <c r="Z188" s="64"/>
      <c r="AA188" s="64"/>
      <c r="AB188" s="95"/>
      <c r="AC188" s="64"/>
      <c r="AD188" s="101" t="str">
        <f>IFERROR('BMP P Tracking Table'!$U188*VLOOKUP('BMP P Tracking Table'!$Q188,'Loading Rates'!$B$1:$L$24,4,FALSE)+IF('BMP P Tracking Table'!$V188="By HSG",'BMP P Tracking Table'!$W188*VLOOKUP('BMP P Tracking Table'!$Q188,'Loading Rates'!$B$1:$L$24,6,FALSE)+'BMP P Tracking Table'!$X188*VLOOKUP('BMP P Tracking Table'!$Q188,'Loading Rates'!$B$1:$L$24,7,FALSE)+'BMP P Tracking Table'!$Y188*VLOOKUP('BMP P Tracking Table'!$Q188,'Loading Rates'!$B$1:$L$24,8,FALSE)+'BMP P Tracking Table'!$Z188*VLOOKUP('BMP P Tracking Table'!$Q188,'Loading Rates'!$B$1:$L$24,9,FALSE),'BMP P Tracking Table'!$AA188*VLOOKUP('BMP P Tracking Table'!$Q188,'Loading Rates'!$B$1:$L$24,10,FALSE)),"")</f>
        <v/>
      </c>
      <c r="AE188" s="101" t="str">
        <f>IFERROR(MIN(2,IF('BMP P Tracking Table'!$V188="Total Pervious",(-(3630*'BMP P Tracking Table'!$U188+20.691*'BMP P Tracking Table'!$AA188)+SQRT((3630*'BMP P Tracking Table'!$U188+20.691*'BMP P Tracking Table'!$AA188)^2-(4*(996.798*'BMP P Tracking Table'!$AA188)*-'BMP P Tracking Table'!$AB188)))/(2*(996.798*'BMP P Tracking Table'!$AA188)),IF(SUM('BMP P Tracking Table'!$W188:$Z188)=0,'BMP P Tracking Table'!$AB188/(-3630*'BMP P Tracking Table'!$U188),(-(3630*'BMP P Tracking Table'!$U188+20.691*'BMP P Tracking Table'!$Z188-216.711*'BMP P Tracking Table'!$Y188-83.853*'BMP P Tracking Table'!$X188-42.834*'BMP P Tracking Table'!$W188)+SQRT((3630*'BMP P Tracking Table'!$U188+20.691*'BMP P Tracking Table'!$Z188-216.711*'BMP P Tracking Table'!$Y188-83.853*'BMP P Tracking Table'!$X188-42.834*'BMP P Tracking Table'!$W188)^2-(4*(149.919*'BMP P Tracking Table'!$W188+236.676*'BMP P Tracking Table'!$X188+726*'BMP P Tracking Table'!$Y188+996.798*'BMP P Tracking Table'!$Z188)*-'BMP P Tracking Table'!$AB188)))/(2*(149.919*'BMP P Tracking Table'!$W188+236.676*'BMP P Tracking Table'!$X188+726*'BMP P Tracking Table'!$Y188+996.798*'BMP P Tracking Table'!$Z188))))),"")</f>
        <v/>
      </c>
      <c r="AF188" s="101" t="str">
        <f>IFERROR((VLOOKUP(CONCATENATE('BMP P Tracking Table'!$T188," ",'BMP P Tracking Table'!$AC188),'Performance Curves'!$C$1:$L$45,MATCH('BMP P Tracking Table'!$AE188,'Performance Curves'!$E$1:$L$1,1)+2,FALSE)-VLOOKUP(CONCATENATE('BMP P Tracking Table'!$T188," ",'BMP P Tracking Table'!$AC188),'Performance Curves'!$C$1:$L$45,MATCH('BMP P Tracking Table'!$AE188,'Performance Curves'!$E$1:$L$1,1)+1,FALSE)),"")</f>
        <v/>
      </c>
      <c r="AG188" s="101" t="str">
        <f>IFERROR(('BMP P Tracking Table'!$AE188-INDEX('Performance Curves'!$E$1:$L$1,1,MATCH('BMP P Tracking Table'!$AE188,'Performance Curves'!$E$1:$L$1,1)))/(INDEX('Performance Curves'!$E$1:$L$1,1,MATCH('BMP P Tracking Table'!$AE188,'Performance Curves'!$E$1:$L$1,1)+1)-INDEX('Performance Curves'!$E$1:$L$1,1,MATCH('BMP P Tracking Table'!$AE188,'Performance Curves'!$E$1:$L$1,1))),"")</f>
        <v/>
      </c>
      <c r="AH188" s="102" t="str">
        <f>IFERROR(IF('BMP P Tracking Table'!$AE188=2,VLOOKUP(CONCATENATE('BMP P Tracking Table'!$T188," ",'BMP P Tracking Table'!$AC188),'Performance Curves'!$C$1:$L$45,MATCH('BMP P Tracking Table'!$AE188,'Performance Curves'!$E$1:$L$1,1)+1,FALSE),'BMP P Tracking Table'!$AF188*'BMP P Tracking Table'!$AG188+VLOOKUP(CONCATENATE('BMP P Tracking Table'!$T188," ",'BMP P Tracking Table'!$AC188),'Performance Curves'!$C$1:$L$45,MATCH('BMP P Tracking Table'!$AE188,'Performance Curves'!$E$1:$L$1,1)+1,FALSE)),"")</f>
        <v/>
      </c>
      <c r="AI188" s="101" t="str">
        <f>IFERROR('BMP P Tracking Table'!$AH188*'BMP P Tracking Table'!$AD188,"")</f>
        <v/>
      </c>
      <c r="AJ188" s="64"/>
      <c r="AK188" s="96"/>
      <c r="AL188" s="96"/>
      <c r="AM188" s="63"/>
      <c r="AN188" s="99" t="str">
        <f t="shared" si="16"/>
        <v/>
      </c>
      <c r="AO188" s="96"/>
      <c r="AP188" s="96"/>
      <c r="AQ188" s="96"/>
      <c r="AR188" s="96"/>
      <c r="AS188" s="96"/>
      <c r="AT188" s="96"/>
      <c r="AU188" s="96"/>
      <c r="AV188" s="64"/>
      <c r="AW188" s="97"/>
      <c r="AX188" s="97"/>
      <c r="AY188" s="101" t="str">
        <f>IF('BMP P Tracking Table'!$AK188="Yes",IF('BMP P Tracking Table'!$AL188="No",'BMP P Tracking Table'!$U188*VLOOKUP('BMP P Tracking Table'!$Q188,'Loading Rates'!$B$1:$L$24,4,FALSE)+IF('BMP P Tracking Table'!$V188="By HSG",'BMP P Tracking Table'!$W188*VLOOKUP('BMP P Tracking Table'!$Q188,'Loading Rates'!$B$1:$L$24,6,FALSE)+'BMP P Tracking Table'!$X188*VLOOKUP('BMP P Tracking Table'!$Q188,'Loading Rates'!$B$1:$L$24,7,FALSE)+'BMP P Tracking Table'!$Y188*VLOOKUP('BMP P Tracking Table'!$Q188,'Loading Rates'!$B$1:$L$24,8,FALSE)+'BMP P Tracking Table'!$Z188*VLOOKUP('BMP P Tracking Table'!$Q188,'Loading Rates'!$B$1:$L$24,9,FALSE),'BMP P Tracking Table'!$AA188*VLOOKUP('BMP P Tracking Table'!$Q188,'Loading Rates'!$B$1:$L$24,10,FALSE)),'BMP P Tracking Table'!$AO188*VLOOKUP('BMP P Tracking Table'!$Q188,'Loading Rates'!$B$1:$L$24,4,FALSE)+IF('BMP P Tracking Table'!$AP188="By HSG",'BMP P Tracking Table'!$AQ188*VLOOKUP('BMP P Tracking Table'!$Q188,'Loading Rates'!$B$1:$L$24,6,FALSE)+'BMP P Tracking Table'!$AR188*VLOOKUP('BMP P Tracking Table'!$Q188,'Loading Rates'!$B$1:$L$24,7,FALSE)+'BMP P Tracking Table'!$AS188*VLOOKUP('BMP P Tracking Table'!$Q188,'Loading Rates'!$B$1:$L$24,8,FALSE)+'BMP P Tracking Table'!$AT188*VLOOKUP('BMP P Tracking Table'!$Q188,'Loading Rates'!$B$1:$L$24,9,FALSE),'BMP P Tracking Table'!$AU188*VLOOKUP('BMP P Tracking Table'!$Q188,'Loading Rates'!$B$1:$L$24,10,FALSE))),"")</f>
        <v/>
      </c>
      <c r="AZ188" s="101" t="str">
        <f>IFERROR(IF('BMP P Tracking Table'!$AL188="Yes",MIN(2,IF('BMP P Tracking Table'!$AP188="Total Pervious",(-(3630*'BMP P Tracking Table'!$AO188+20.691*'BMP P Tracking Table'!$AU188)+SQRT((3630*'BMP P Tracking Table'!$AO188+20.691*'BMP P Tracking Table'!$AU188)^2-(4*(996.798*'BMP P Tracking Table'!$AU188)*-'BMP P Tracking Table'!$AW188)))/(2*(996.798*'BMP P Tracking Table'!$AU188)),IF(SUM('BMP P Tracking Table'!$AQ188:$AT188)=0,'BMP P Tracking Table'!$AU188/(-3630*'BMP P Tracking Table'!$AO188),(-(3630*'BMP P Tracking Table'!$AO188+20.691*'BMP P Tracking Table'!$AT188-216.711*'BMP P Tracking Table'!$AS188-83.853*'BMP P Tracking Table'!$AR188-42.834*'BMP P Tracking Table'!$AQ188)+SQRT((3630*'BMP P Tracking Table'!$AO188+20.691*'BMP P Tracking Table'!$AT188-216.711*'BMP P Tracking Table'!$AS188-83.853*'BMP P Tracking Table'!$AR188-42.834*'BMP P Tracking Table'!$AQ188)^2-(4*(149.919*'BMP P Tracking Table'!$AQ188+236.676*'BMP P Tracking Table'!$AR188+726*'BMP P Tracking Table'!$AS188+996.798*'BMP P Tracking Table'!$AT188)*-'BMP P Tracking Table'!$AW188)))/(2*(149.919*'BMP P Tracking Table'!$AQ188+236.676*'BMP P Tracking Table'!$AR188+726*'BMP P Tracking Table'!$AS188+996.798*'BMP P Tracking Table'!$AT188))))),MIN(2,IF('BMP P Tracking Table'!$AP188="Total Pervious",(-(3630*'BMP P Tracking Table'!$U188+20.691*'BMP P Tracking Table'!$AA188)+SQRT((3630*'BMP P Tracking Table'!$U188+20.691*'BMP P Tracking Table'!$AA188)^2-(4*(996.798*'BMP P Tracking Table'!$AA188)*-'BMP P Tracking Table'!$AW188)))/(2*(996.798*'BMP P Tracking Table'!$AA188)),IF(SUM('BMP P Tracking Table'!$W188:$Z188)=0,'BMP P Tracking Table'!$AW188/(-3630*'BMP P Tracking Table'!$U188),(-(3630*'BMP P Tracking Table'!$U188+20.691*'BMP P Tracking Table'!$Z188-216.711*'BMP P Tracking Table'!$Y188-83.853*'BMP P Tracking Table'!$X188-42.834*'BMP P Tracking Table'!$W188)+SQRT((3630*'BMP P Tracking Table'!$U188+20.691*'BMP P Tracking Table'!$Z188-216.711*'BMP P Tracking Table'!$Y188-83.853*'BMP P Tracking Table'!$X188-42.834*'BMP P Tracking Table'!$W188)^2-(4*(149.919*'BMP P Tracking Table'!$W188+236.676*'BMP P Tracking Table'!$X188+726*'BMP P Tracking Table'!$Y188+996.798*'BMP P Tracking Table'!$Z188)*-'BMP P Tracking Table'!$AW188)))/(2*(149.919*'BMP P Tracking Table'!$W188+236.676*'BMP P Tracking Table'!$X188+726*'BMP P Tracking Table'!$Y188+996.798*'BMP P Tracking Table'!$Z188)))))),"")</f>
        <v/>
      </c>
      <c r="BA188" s="101" t="str">
        <f>IFERROR((VLOOKUP(CONCATENATE('BMP P Tracking Table'!$AV188," ",'BMP P Tracking Table'!$AX188),'Performance Curves'!$C$1:$L$45,MATCH('BMP P Tracking Table'!$AZ188,'Performance Curves'!$E$1:$L$1,1)+2,FALSE)-VLOOKUP(CONCATENATE('BMP P Tracking Table'!$AV188," ",'BMP P Tracking Table'!$AX188),'Performance Curves'!$C$1:$L$45,MATCH('BMP P Tracking Table'!$AZ188,'Performance Curves'!$E$1:$L$1,1)+1,FALSE)),"")</f>
        <v/>
      </c>
      <c r="BB188" s="101" t="str">
        <f>IFERROR(('BMP P Tracking Table'!$AZ188-INDEX('Performance Curves'!$E$1:$L$1,1,MATCH('BMP P Tracking Table'!$AZ188,'Performance Curves'!$E$1:$L$1,1)))/(INDEX('Performance Curves'!$E$1:$L$1,1,MATCH('BMP P Tracking Table'!$AZ188,'Performance Curves'!$E$1:$L$1,1)+1)-INDEX('Performance Curves'!$E$1:$L$1,1,MATCH('BMP P Tracking Table'!$AZ188,'Performance Curves'!$E$1:$L$1,1))),"")</f>
        <v/>
      </c>
      <c r="BC188" s="102" t="str">
        <f>IFERROR(IF('BMP P Tracking Table'!$AZ188=2,VLOOKUP(CONCATENATE('BMP P Tracking Table'!$AV188," ",'BMP P Tracking Table'!$AX188),'Performance Curves'!$C$1:$L$44,MATCH('BMP P Tracking Table'!$AZ188,'Performance Curves'!$E$1:$L$1,1)+1,FALSE),'BMP P Tracking Table'!$BA188*'BMP P Tracking Table'!$BB188+VLOOKUP(CONCATENATE('BMP P Tracking Table'!$AV188," ",'BMP P Tracking Table'!$AX188),'Performance Curves'!$C$1:$L$44,MATCH('BMP P Tracking Table'!$AZ188,'Performance Curves'!$E$1:$L$1,1)+1,FALSE)),"")</f>
        <v/>
      </c>
      <c r="BD188" s="101" t="str">
        <f>IFERROR('BMP P Tracking Table'!$BC188*'BMP P Tracking Table'!$AY188,"")</f>
        <v/>
      </c>
      <c r="BE188" s="96"/>
      <c r="BF188" s="37">
        <f t="shared" si="17"/>
        <v>0</v>
      </c>
    </row>
    <row r="189" spans="1:58" x14ac:dyDescent="0.3">
      <c r="A189" s="64"/>
      <c r="B189" s="64"/>
      <c r="C189" s="64"/>
      <c r="D189" s="64"/>
      <c r="E189" s="93"/>
      <c r="F189" s="93"/>
      <c r="G189" s="64"/>
      <c r="H189" s="64"/>
      <c r="I189" s="64"/>
      <c r="J189" s="94"/>
      <c r="K189" s="64"/>
      <c r="L189" s="64"/>
      <c r="M189" s="64"/>
      <c r="N189" s="64"/>
      <c r="O189" s="64"/>
      <c r="P189" s="64"/>
      <c r="Q189" s="64" t="str">
        <f>IFERROR(VLOOKUP('BMP P Tracking Table'!$P189,Dropdowns!$C$2:$E$15,3,FALSE),"")</f>
        <v/>
      </c>
      <c r="R189" s="64" t="str">
        <f>IFERROR(VLOOKUP('BMP P Tracking Table'!$Q189,Dropdowns!$P$3:$Q$23,2,FALSE),"")</f>
        <v/>
      </c>
      <c r="S189" s="64"/>
      <c r="T189" s="64"/>
      <c r="U189" s="64"/>
      <c r="V189" s="64"/>
      <c r="W189" s="64"/>
      <c r="X189" s="64"/>
      <c r="Y189" s="64"/>
      <c r="Z189" s="64"/>
      <c r="AA189" s="64"/>
      <c r="AB189" s="95"/>
      <c r="AC189" s="64"/>
      <c r="AD189" s="101" t="str">
        <f>IFERROR('BMP P Tracking Table'!$U189*VLOOKUP('BMP P Tracking Table'!$Q189,'Loading Rates'!$B$1:$L$24,4,FALSE)+IF('BMP P Tracking Table'!$V189="By HSG",'BMP P Tracking Table'!$W189*VLOOKUP('BMP P Tracking Table'!$Q189,'Loading Rates'!$B$1:$L$24,6,FALSE)+'BMP P Tracking Table'!$X189*VLOOKUP('BMP P Tracking Table'!$Q189,'Loading Rates'!$B$1:$L$24,7,FALSE)+'BMP P Tracking Table'!$Y189*VLOOKUP('BMP P Tracking Table'!$Q189,'Loading Rates'!$B$1:$L$24,8,FALSE)+'BMP P Tracking Table'!$Z189*VLOOKUP('BMP P Tracking Table'!$Q189,'Loading Rates'!$B$1:$L$24,9,FALSE),'BMP P Tracking Table'!$AA189*VLOOKUP('BMP P Tracking Table'!$Q189,'Loading Rates'!$B$1:$L$24,10,FALSE)),"")</f>
        <v/>
      </c>
      <c r="AE189" s="101" t="str">
        <f>IFERROR(MIN(2,IF('BMP P Tracking Table'!$V189="Total Pervious",(-(3630*'BMP P Tracking Table'!$U189+20.691*'BMP P Tracking Table'!$AA189)+SQRT((3630*'BMP P Tracking Table'!$U189+20.691*'BMP P Tracking Table'!$AA189)^2-(4*(996.798*'BMP P Tracking Table'!$AA189)*-'BMP P Tracking Table'!$AB189)))/(2*(996.798*'BMP P Tracking Table'!$AA189)),IF(SUM('BMP P Tracking Table'!$W189:$Z189)=0,'BMP P Tracking Table'!$AB189/(-3630*'BMP P Tracking Table'!$U189),(-(3630*'BMP P Tracking Table'!$U189+20.691*'BMP P Tracking Table'!$Z189-216.711*'BMP P Tracking Table'!$Y189-83.853*'BMP P Tracking Table'!$X189-42.834*'BMP P Tracking Table'!$W189)+SQRT((3630*'BMP P Tracking Table'!$U189+20.691*'BMP P Tracking Table'!$Z189-216.711*'BMP P Tracking Table'!$Y189-83.853*'BMP P Tracking Table'!$X189-42.834*'BMP P Tracking Table'!$W189)^2-(4*(149.919*'BMP P Tracking Table'!$W189+236.676*'BMP P Tracking Table'!$X189+726*'BMP P Tracking Table'!$Y189+996.798*'BMP P Tracking Table'!$Z189)*-'BMP P Tracking Table'!$AB189)))/(2*(149.919*'BMP P Tracking Table'!$W189+236.676*'BMP P Tracking Table'!$X189+726*'BMP P Tracking Table'!$Y189+996.798*'BMP P Tracking Table'!$Z189))))),"")</f>
        <v/>
      </c>
      <c r="AF189" s="101" t="str">
        <f>IFERROR((VLOOKUP(CONCATENATE('BMP P Tracking Table'!$T189," ",'BMP P Tracking Table'!$AC189),'Performance Curves'!$C$1:$L$45,MATCH('BMP P Tracking Table'!$AE189,'Performance Curves'!$E$1:$L$1,1)+2,FALSE)-VLOOKUP(CONCATENATE('BMP P Tracking Table'!$T189," ",'BMP P Tracking Table'!$AC189),'Performance Curves'!$C$1:$L$45,MATCH('BMP P Tracking Table'!$AE189,'Performance Curves'!$E$1:$L$1,1)+1,FALSE)),"")</f>
        <v/>
      </c>
      <c r="AG189" s="101" t="str">
        <f>IFERROR(('BMP P Tracking Table'!$AE189-INDEX('Performance Curves'!$E$1:$L$1,1,MATCH('BMP P Tracking Table'!$AE189,'Performance Curves'!$E$1:$L$1,1)))/(INDEX('Performance Curves'!$E$1:$L$1,1,MATCH('BMP P Tracking Table'!$AE189,'Performance Curves'!$E$1:$L$1,1)+1)-INDEX('Performance Curves'!$E$1:$L$1,1,MATCH('BMP P Tracking Table'!$AE189,'Performance Curves'!$E$1:$L$1,1))),"")</f>
        <v/>
      </c>
      <c r="AH189" s="102" t="str">
        <f>IFERROR(IF('BMP P Tracking Table'!$AE189=2,VLOOKUP(CONCATENATE('BMP P Tracking Table'!$T189," ",'BMP P Tracking Table'!$AC189),'Performance Curves'!$C$1:$L$45,MATCH('BMP P Tracking Table'!$AE189,'Performance Curves'!$E$1:$L$1,1)+1,FALSE),'BMP P Tracking Table'!$AF189*'BMP P Tracking Table'!$AG189+VLOOKUP(CONCATENATE('BMP P Tracking Table'!$T189," ",'BMP P Tracking Table'!$AC189),'Performance Curves'!$C$1:$L$45,MATCH('BMP P Tracking Table'!$AE189,'Performance Curves'!$E$1:$L$1,1)+1,FALSE)),"")</f>
        <v/>
      </c>
      <c r="AI189" s="101" t="str">
        <f>IFERROR('BMP P Tracking Table'!$AH189*'BMP P Tracking Table'!$AD189,"")</f>
        <v/>
      </c>
      <c r="AJ189" s="64"/>
      <c r="AK189" s="96"/>
      <c r="AL189" s="96"/>
      <c r="AM189" s="63"/>
      <c r="AN189" s="99" t="str">
        <f t="shared" si="16"/>
        <v/>
      </c>
      <c r="AO189" s="96"/>
      <c r="AP189" s="96"/>
      <c r="AQ189" s="96"/>
      <c r="AR189" s="96"/>
      <c r="AS189" s="96"/>
      <c r="AT189" s="96"/>
      <c r="AU189" s="96"/>
      <c r="AV189" s="64"/>
      <c r="AW189" s="97"/>
      <c r="AX189" s="97"/>
      <c r="AY189" s="101" t="str">
        <f>IF('BMP P Tracking Table'!$AK189="Yes",IF('BMP P Tracking Table'!$AL189="No",'BMP P Tracking Table'!$U189*VLOOKUP('BMP P Tracking Table'!$Q189,'Loading Rates'!$B$1:$L$24,4,FALSE)+IF('BMP P Tracking Table'!$V189="By HSG",'BMP P Tracking Table'!$W189*VLOOKUP('BMP P Tracking Table'!$Q189,'Loading Rates'!$B$1:$L$24,6,FALSE)+'BMP P Tracking Table'!$X189*VLOOKUP('BMP P Tracking Table'!$Q189,'Loading Rates'!$B$1:$L$24,7,FALSE)+'BMP P Tracking Table'!$Y189*VLOOKUP('BMP P Tracking Table'!$Q189,'Loading Rates'!$B$1:$L$24,8,FALSE)+'BMP P Tracking Table'!$Z189*VLOOKUP('BMP P Tracking Table'!$Q189,'Loading Rates'!$B$1:$L$24,9,FALSE),'BMP P Tracking Table'!$AA189*VLOOKUP('BMP P Tracking Table'!$Q189,'Loading Rates'!$B$1:$L$24,10,FALSE)),'BMP P Tracking Table'!$AO189*VLOOKUP('BMP P Tracking Table'!$Q189,'Loading Rates'!$B$1:$L$24,4,FALSE)+IF('BMP P Tracking Table'!$AP189="By HSG",'BMP P Tracking Table'!$AQ189*VLOOKUP('BMP P Tracking Table'!$Q189,'Loading Rates'!$B$1:$L$24,6,FALSE)+'BMP P Tracking Table'!$AR189*VLOOKUP('BMP P Tracking Table'!$Q189,'Loading Rates'!$B$1:$L$24,7,FALSE)+'BMP P Tracking Table'!$AS189*VLOOKUP('BMP P Tracking Table'!$Q189,'Loading Rates'!$B$1:$L$24,8,FALSE)+'BMP P Tracking Table'!$AT189*VLOOKUP('BMP P Tracking Table'!$Q189,'Loading Rates'!$B$1:$L$24,9,FALSE),'BMP P Tracking Table'!$AU189*VLOOKUP('BMP P Tracking Table'!$Q189,'Loading Rates'!$B$1:$L$24,10,FALSE))),"")</f>
        <v/>
      </c>
      <c r="AZ189" s="101" t="str">
        <f>IFERROR(IF('BMP P Tracking Table'!$AL189="Yes",MIN(2,IF('BMP P Tracking Table'!$AP189="Total Pervious",(-(3630*'BMP P Tracking Table'!$AO189+20.691*'BMP P Tracking Table'!$AU189)+SQRT((3630*'BMP P Tracking Table'!$AO189+20.691*'BMP P Tracking Table'!$AU189)^2-(4*(996.798*'BMP P Tracking Table'!$AU189)*-'BMP P Tracking Table'!$AW189)))/(2*(996.798*'BMP P Tracking Table'!$AU189)),IF(SUM('BMP P Tracking Table'!$AQ189:$AT189)=0,'BMP P Tracking Table'!$AU189/(-3630*'BMP P Tracking Table'!$AO189),(-(3630*'BMP P Tracking Table'!$AO189+20.691*'BMP P Tracking Table'!$AT189-216.711*'BMP P Tracking Table'!$AS189-83.853*'BMP P Tracking Table'!$AR189-42.834*'BMP P Tracking Table'!$AQ189)+SQRT((3630*'BMP P Tracking Table'!$AO189+20.691*'BMP P Tracking Table'!$AT189-216.711*'BMP P Tracking Table'!$AS189-83.853*'BMP P Tracking Table'!$AR189-42.834*'BMP P Tracking Table'!$AQ189)^2-(4*(149.919*'BMP P Tracking Table'!$AQ189+236.676*'BMP P Tracking Table'!$AR189+726*'BMP P Tracking Table'!$AS189+996.798*'BMP P Tracking Table'!$AT189)*-'BMP P Tracking Table'!$AW189)))/(2*(149.919*'BMP P Tracking Table'!$AQ189+236.676*'BMP P Tracking Table'!$AR189+726*'BMP P Tracking Table'!$AS189+996.798*'BMP P Tracking Table'!$AT189))))),MIN(2,IF('BMP P Tracking Table'!$AP189="Total Pervious",(-(3630*'BMP P Tracking Table'!$U189+20.691*'BMP P Tracking Table'!$AA189)+SQRT((3630*'BMP P Tracking Table'!$U189+20.691*'BMP P Tracking Table'!$AA189)^2-(4*(996.798*'BMP P Tracking Table'!$AA189)*-'BMP P Tracking Table'!$AW189)))/(2*(996.798*'BMP P Tracking Table'!$AA189)),IF(SUM('BMP P Tracking Table'!$W189:$Z189)=0,'BMP P Tracking Table'!$AW189/(-3630*'BMP P Tracking Table'!$U189),(-(3630*'BMP P Tracking Table'!$U189+20.691*'BMP P Tracking Table'!$Z189-216.711*'BMP P Tracking Table'!$Y189-83.853*'BMP P Tracking Table'!$X189-42.834*'BMP P Tracking Table'!$W189)+SQRT((3630*'BMP P Tracking Table'!$U189+20.691*'BMP P Tracking Table'!$Z189-216.711*'BMP P Tracking Table'!$Y189-83.853*'BMP P Tracking Table'!$X189-42.834*'BMP P Tracking Table'!$W189)^2-(4*(149.919*'BMP P Tracking Table'!$W189+236.676*'BMP P Tracking Table'!$X189+726*'BMP P Tracking Table'!$Y189+996.798*'BMP P Tracking Table'!$Z189)*-'BMP P Tracking Table'!$AW189)))/(2*(149.919*'BMP P Tracking Table'!$W189+236.676*'BMP P Tracking Table'!$X189+726*'BMP P Tracking Table'!$Y189+996.798*'BMP P Tracking Table'!$Z189)))))),"")</f>
        <v/>
      </c>
      <c r="BA189" s="101" t="str">
        <f>IFERROR((VLOOKUP(CONCATENATE('BMP P Tracking Table'!$AV189," ",'BMP P Tracking Table'!$AX189),'Performance Curves'!$C$1:$L$45,MATCH('BMP P Tracking Table'!$AZ189,'Performance Curves'!$E$1:$L$1,1)+2,FALSE)-VLOOKUP(CONCATENATE('BMP P Tracking Table'!$AV189," ",'BMP P Tracking Table'!$AX189),'Performance Curves'!$C$1:$L$45,MATCH('BMP P Tracking Table'!$AZ189,'Performance Curves'!$E$1:$L$1,1)+1,FALSE)),"")</f>
        <v/>
      </c>
      <c r="BB189" s="101" t="str">
        <f>IFERROR(('BMP P Tracking Table'!$AZ189-INDEX('Performance Curves'!$E$1:$L$1,1,MATCH('BMP P Tracking Table'!$AZ189,'Performance Curves'!$E$1:$L$1,1)))/(INDEX('Performance Curves'!$E$1:$L$1,1,MATCH('BMP P Tracking Table'!$AZ189,'Performance Curves'!$E$1:$L$1,1)+1)-INDEX('Performance Curves'!$E$1:$L$1,1,MATCH('BMP P Tracking Table'!$AZ189,'Performance Curves'!$E$1:$L$1,1))),"")</f>
        <v/>
      </c>
      <c r="BC189" s="102" t="str">
        <f>IFERROR(IF('BMP P Tracking Table'!$AZ189=2,VLOOKUP(CONCATENATE('BMP P Tracking Table'!$AV189," ",'BMP P Tracking Table'!$AX189),'Performance Curves'!$C$1:$L$44,MATCH('BMP P Tracking Table'!$AZ189,'Performance Curves'!$E$1:$L$1,1)+1,FALSE),'BMP P Tracking Table'!$BA189*'BMP P Tracking Table'!$BB189+VLOOKUP(CONCATENATE('BMP P Tracking Table'!$AV189," ",'BMP P Tracking Table'!$AX189),'Performance Curves'!$C$1:$L$44,MATCH('BMP P Tracking Table'!$AZ189,'Performance Curves'!$E$1:$L$1,1)+1,FALSE)),"")</f>
        <v/>
      </c>
      <c r="BD189" s="101" t="str">
        <f>IFERROR('BMP P Tracking Table'!$BC189*'BMP P Tracking Table'!$AY189,"")</f>
        <v/>
      </c>
      <c r="BE189" s="96"/>
      <c r="BF189" s="37">
        <f t="shared" si="17"/>
        <v>0</v>
      </c>
    </row>
    <row r="190" spans="1:58" x14ac:dyDescent="0.3">
      <c r="A190" s="64"/>
      <c r="B190" s="64"/>
      <c r="C190" s="64"/>
      <c r="D190" s="64"/>
      <c r="E190" s="93"/>
      <c r="F190" s="93"/>
      <c r="G190" s="64"/>
      <c r="H190" s="64"/>
      <c r="I190" s="64"/>
      <c r="J190" s="94"/>
      <c r="K190" s="64"/>
      <c r="L190" s="64"/>
      <c r="M190" s="64"/>
      <c r="N190" s="64"/>
      <c r="O190" s="64"/>
      <c r="P190" s="64"/>
      <c r="Q190" s="64" t="str">
        <f>IFERROR(VLOOKUP('BMP P Tracking Table'!$P190,Dropdowns!$C$2:$E$15,3,FALSE),"")</f>
        <v/>
      </c>
      <c r="R190" s="64" t="str">
        <f>IFERROR(VLOOKUP('BMP P Tracking Table'!$Q190,Dropdowns!$P$3:$Q$23,2,FALSE),"")</f>
        <v/>
      </c>
      <c r="S190" s="64"/>
      <c r="T190" s="64"/>
      <c r="U190" s="64"/>
      <c r="V190" s="64"/>
      <c r="W190" s="64"/>
      <c r="X190" s="64"/>
      <c r="Y190" s="64"/>
      <c r="Z190" s="64"/>
      <c r="AA190" s="64"/>
      <c r="AB190" s="95"/>
      <c r="AC190" s="64"/>
      <c r="AD190" s="101" t="str">
        <f>IFERROR('BMP P Tracking Table'!$U190*VLOOKUP('BMP P Tracking Table'!$Q190,'Loading Rates'!$B$1:$L$24,4,FALSE)+IF('BMP P Tracking Table'!$V190="By HSG",'BMP P Tracking Table'!$W190*VLOOKUP('BMP P Tracking Table'!$Q190,'Loading Rates'!$B$1:$L$24,6,FALSE)+'BMP P Tracking Table'!$X190*VLOOKUP('BMP P Tracking Table'!$Q190,'Loading Rates'!$B$1:$L$24,7,FALSE)+'BMP P Tracking Table'!$Y190*VLOOKUP('BMP P Tracking Table'!$Q190,'Loading Rates'!$B$1:$L$24,8,FALSE)+'BMP P Tracking Table'!$Z190*VLOOKUP('BMP P Tracking Table'!$Q190,'Loading Rates'!$B$1:$L$24,9,FALSE),'BMP P Tracking Table'!$AA190*VLOOKUP('BMP P Tracking Table'!$Q190,'Loading Rates'!$B$1:$L$24,10,FALSE)),"")</f>
        <v/>
      </c>
      <c r="AE190" s="101" t="str">
        <f>IFERROR(MIN(2,IF('BMP P Tracking Table'!$V190="Total Pervious",(-(3630*'BMP P Tracking Table'!$U190+20.691*'BMP P Tracking Table'!$AA190)+SQRT((3630*'BMP P Tracking Table'!$U190+20.691*'BMP P Tracking Table'!$AA190)^2-(4*(996.798*'BMP P Tracking Table'!$AA190)*-'BMP P Tracking Table'!$AB190)))/(2*(996.798*'BMP P Tracking Table'!$AA190)),IF(SUM('BMP P Tracking Table'!$W190:$Z190)=0,'BMP P Tracking Table'!$AB190/(-3630*'BMP P Tracking Table'!$U190),(-(3630*'BMP P Tracking Table'!$U190+20.691*'BMP P Tracking Table'!$Z190-216.711*'BMP P Tracking Table'!$Y190-83.853*'BMP P Tracking Table'!$X190-42.834*'BMP P Tracking Table'!$W190)+SQRT((3630*'BMP P Tracking Table'!$U190+20.691*'BMP P Tracking Table'!$Z190-216.711*'BMP P Tracking Table'!$Y190-83.853*'BMP P Tracking Table'!$X190-42.834*'BMP P Tracking Table'!$W190)^2-(4*(149.919*'BMP P Tracking Table'!$W190+236.676*'BMP P Tracking Table'!$X190+726*'BMP P Tracking Table'!$Y190+996.798*'BMP P Tracking Table'!$Z190)*-'BMP P Tracking Table'!$AB190)))/(2*(149.919*'BMP P Tracking Table'!$W190+236.676*'BMP P Tracking Table'!$X190+726*'BMP P Tracking Table'!$Y190+996.798*'BMP P Tracking Table'!$Z190))))),"")</f>
        <v/>
      </c>
      <c r="AF190" s="101" t="str">
        <f>IFERROR((VLOOKUP(CONCATENATE('BMP P Tracking Table'!$T190," ",'BMP P Tracking Table'!$AC190),'Performance Curves'!$C$1:$L$45,MATCH('BMP P Tracking Table'!$AE190,'Performance Curves'!$E$1:$L$1,1)+2,FALSE)-VLOOKUP(CONCATENATE('BMP P Tracking Table'!$T190," ",'BMP P Tracking Table'!$AC190),'Performance Curves'!$C$1:$L$45,MATCH('BMP P Tracking Table'!$AE190,'Performance Curves'!$E$1:$L$1,1)+1,FALSE)),"")</f>
        <v/>
      </c>
      <c r="AG190" s="101" t="str">
        <f>IFERROR(('BMP P Tracking Table'!$AE190-INDEX('Performance Curves'!$E$1:$L$1,1,MATCH('BMP P Tracking Table'!$AE190,'Performance Curves'!$E$1:$L$1,1)))/(INDEX('Performance Curves'!$E$1:$L$1,1,MATCH('BMP P Tracking Table'!$AE190,'Performance Curves'!$E$1:$L$1,1)+1)-INDEX('Performance Curves'!$E$1:$L$1,1,MATCH('BMP P Tracking Table'!$AE190,'Performance Curves'!$E$1:$L$1,1))),"")</f>
        <v/>
      </c>
      <c r="AH190" s="102" t="str">
        <f>IFERROR(IF('BMP P Tracking Table'!$AE190=2,VLOOKUP(CONCATENATE('BMP P Tracking Table'!$T190," ",'BMP P Tracking Table'!$AC190),'Performance Curves'!$C$1:$L$45,MATCH('BMP P Tracking Table'!$AE190,'Performance Curves'!$E$1:$L$1,1)+1,FALSE),'BMP P Tracking Table'!$AF190*'BMP P Tracking Table'!$AG190+VLOOKUP(CONCATENATE('BMP P Tracking Table'!$T190," ",'BMP P Tracking Table'!$AC190),'Performance Curves'!$C$1:$L$45,MATCH('BMP P Tracking Table'!$AE190,'Performance Curves'!$E$1:$L$1,1)+1,FALSE)),"")</f>
        <v/>
      </c>
      <c r="AI190" s="101" t="str">
        <f>IFERROR('BMP P Tracking Table'!$AH190*'BMP P Tracking Table'!$AD190,"")</f>
        <v/>
      </c>
      <c r="AJ190" s="64"/>
      <c r="AK190" s="96"/>
      <c r="AL190" s="96"/>
      <c r="AM190" s="63"/>
      <c r="AN190" s="99" t="str">
        <f t="shared" si="16"/>
        <v/>
      </c>
      <c r="AO190" s="96"/>
      <c r="AP190" s="96"/>
      <c r="AQ190" s="96"/>
      <c r="AR190" s="96"/>
      <c r="AS190" s="96"/>
      <c r="AT190" s="96"/>
      <c r="AU190" s="96"/>
      <c r="AV190" s="64"/>
      <c r="AW190" s="97"/>
      <c r="AX190" s="97"/>
      <c r="AY190" s="101" t="str">
        <f>IF('BMP P Tracking Table'!$AK190="Yes",IF('BMP P Tracking Table'!$AL190="No",'BMP P Tracking Table'!$U190*VLOOKUP('BMP P Tracking Table'!$Q190,'Loading Rates'!$B$1:$L$24,4,FALSE)+IF('BMP P Tracking Table'!$V190="By HSG",'BMP P Tracking Table'!$W190*VLOOKUP('BMP P Tracking Table'!$Q190,'Loading Rates'!$B$1:$L$24,6,FALSE)+'BMP P Tracking Table'!$X190*VLOOKUP('BMP P Tracking Table'!$Q190,'Loading Rates'!$B$1:$L$24,7,FALSE)+'BMP P Tracking Table'!$Y190*VLOOKUP('BMP P Tracking Table'!$Q190,'Loading Rates'!$B$1:$L$24,8,FALSE)+'BMP P Tracking Table'!$Z190*VLOOKUP('BMP P Tracking Table'!$Q190,'Loading Rates'!$B$1:$L$24,9,FALSE),'BMP P Tracking Table'!$AA190*VLOOKUP('BMP P Tracking Table'!$Q190,'Loading Rates'!$B$1:$L$24,10,FALSE)),'BMP P Tracking Table'!$AO190*VLOOKUP('BMP P Tracking Table'!$Q190,'Loading Rates'!$B$1:$L$24,4,FALSE)+IF('BMP P Tracking Table'!$AP190="By HSG",'BMP P Tracking Table'!$AQ190*VLOOKUP('BMP P Tracking Table'!$Q190,'Loading Rates'!$B$1:$L$24,6,FALSE)+'BMP P Tracking Table'!$AR190*VLOOKUP('BMP P Tracking Table'!$Q190,'Loading Rates'!$B$1:$L$24,7,FALSE)+'BMP P Tracking Table'!$AS190*VLOOKUP('BMP P Tracking Table'!$Q190,'Loading Rates'!$B$1:$L$24,8,FALSE)+'BMP P Tracking Table'!$AT190*VLOOKUP('BMP P Tracking Table'!$Q190,'Loading Rates'!$B$1:$L$24,9,FALSE),'BMP P Tracking Table'!$AU190*VLOOKUP('BMP P Tracking Table'!$Q190,'Loading Rates'!$B$1:$L$24,10,FALSE))),"")</f>
        <v/>
      </c>
      <c r="AZ190" s="101" t="str">
        <f>IFERROR(IF('BMP P Tracking Table'!$AL190="Yes",MIN(2,IF('BMP P Tracking Table'!$AP190="Total Pervious",(-(3630*'BMP P Tracking Table'!$AO190+20.691*'BMP P Tracking Table'!$AU190)+SQRT((3630*'BMP P Tracking Table'!$AO190+20.691*'BMP P Tracking Table'!$AU190)^2-(4*(996.798*'BMP P Tracking Table'!$AU190)*-'BMP P Tracking Table'!$AW190)))/(2*(996.798*'BMP P Tracking Table'!$AU190)),IF(SUM('BMP P Tracking Table'!$AQ190:$AT190)=0,'BMP P Tracking Table'!$AU190/(-3630*'BMP P Tracking Table'!$AO190),(-(3630*'BMP P Tracking Table'!$AO190+20.691*'BMP P Tracking Table'!$AT190-216.711*'BMP P Tracking Table'!$AS190-83.853*'BMP P Tracking Table'!$AR190-42.834*'BMP P Tracking Table'!$AQ190)+SQRT((3630*'BMP P Tracking Table'!$AO190+20.691*'BMP P Tracking Table'!$AT190-216.711*'BMP P Tracking Table'!$AS190-83.853*'BMP P Tracking Table'!$AR190-42.834*'BMP P Tracking Table'!$AQ190)^2-(4*(149.919*'BMP P Tracking Table'!$AQ190+236.676*'BMP P Tracking Table'!$AR190+726*'BMP P Tracking Table'!$AS190+996.798*'BMP P Tracking Table'!$AT190)*-'BMP P Tracking Table'!$AW190)))/(2*(149.919*'BMP P Tracking Table'!$AQ190+236.676*'BMP P Tracking Table'!$AR190+726*'BMP P Tracking Table'!$AS190+996.798*'BMP P Tracking Table'!$AT190))))),MIN(2,IF('BMP P Tracking Table'!$AP190="Total Pervious",(-(3630*'BMP P Tracking Table'!$U190+20.691*'BMP P Tracking Table'!$AA190)+SQRT((3630*'BMP P Tracking Table'!$U190+20.691*'BMP P Tracking Table'!$AA190)^2-(4*(996.798*'BMP P Tracking Table'!$AA190)*-'BMP P Tracking Table'!$AW190)))/(2*(996.798*'BMP P Tracking Table'!$AA190)),IF(SUM('BMP P Tracking Table'!$W190:$Z190)=0,'BMP P Tracking Table'!$AW190/(-3630*'BMP P Tracking Table'!$U190),(-(3630*'BMP P Tracking Table'!$U190+20.691*'BMP P Tracking Table'!$Z190-216.711*'BMP P Tracking Table'!$Y190-83.853*'BMP P Tracking Table'!$X190-42.834*'BMP P Tracking Table'!$W190)+SQRT((3630*'BMP P Tracking Table'!$U190+20.691*'BMP P Tracking Table'!$Z190-216.711*'BMP P Tracking Table'!$Y190-83.853*'BMP P Tracking Table'!$X190-42.834*'BMP P Tracking Table'!$W190)^2-(4*(149.919*'BMP P Tracking Table'!$W190+236.676*'BMP P Tracking Table'!$X190+726*'BMP P Tracking Table'!$Y190+996.798*'BMP P Tracking Table'!$Z190)*-'BMP P Tracking Table'!$AW190)))/(2*(149.919*'BMP P Tracking Table'!$W190+236.676*'BMP P Tracking Table'!$X190+726*'BMP P Tracking Table'!$Y190+996.798*'BMP P Tracking Table'!$Z190)))))),"")</f>
        <v/>
      </c>
      <c r="BA190" s="101" t="str">
        <f>IFERROR((VLOOKUP(CONCATENATE('BMP P Tracking Table'!$AV190," ",'BMP P Tracking Table'!$AX190),'Performance Curves'!$C$1:$L$45,MATCH('BMP P Tracking Table'!$AZ190,'Performance Curves'!$E$1:$L$1,1)+2,FALSE)-VLOOKUP(CONCATENATE('BMP P Tracking Table'!$AV190," ",'BMP P Tracking Table'!$AX190),'Performance Curves'!$C$1:$L$45,MATCH('BMP P Tracking Table'!$AZ190,'Performance Curves'!$E$1:$L$1,1)+1,FALSE)),"")</f>
        <v/>
      </c>
      <c r="BB190" s="101" t="str">
        <f>IFERROR(('BMP P Tracking Table'!$AZ190-INDEX('Performance Curves'!$E$1:$L$1,1,MATCH('BMP P Tracking Table'!$AZ190,'Performance Curves'!$E$1:$L$1,1)))/(INDEX('Performance Curves'!$E$1:$L$1,1,MATCH('BMP P Tracking Table'!$AZ190,'Performance Curves'!$E$1:$L$1,1)+1)-INDEX('Performance Curves'!$E$1:$L$1,1,MATCH('BMP P Tracking Table'!$AZ190,'Performance Curves'!$E$1:$L$1,1))),"")</f>
        <v/>
      </c>
      <c r="BC190" s="102" t="str">
        <f>IFERROR(IF('BMP P Tracking Table'!$AZ190=2,VLOOKUP(CONCATENATE('BMP P Tracking Table'!$AV190," ",'BMP P Tracking Table'!$AX190),'Performance Curves'!$C$1:$L$44,MATCH('BMP P Tracking Table'!$AZ190,'Performance Curves'!$E$1:$L$1,1)+1,FALSE),'BMP P Tracking Table'!$BA190*'BMP P Tracking Table'!$BB190+VLOOKUP(CONCATENATE('BMP P Tracking Table'!$AV190," ",'BMP P Tracking Table'!$AX190),'Performance Curves'!$C$1:$L$44,MATCH('BMP P Tracking Table'!$AZ190,'Performance Curves'!$E$1:$L$1,1)+1,FALSE)),"")</f>
        <v/>
      </c>
      <c r="BD190" s="101" t="str">
        <f>IFERROR('BMP P Tracking Table'!$BC190*'BMP P Tracking Table'!$AY190,"")</f>
        <v/>
      </c>
      <c r="BE190" s="96"/>
      <c r="BF190" s="37">
        <f t="shared" si="17"/>
        <v>0</v>
      </c>
    </row>
    <row r="191" spans="1:58" x14ac:dyDescent="0.3">
      <c r="A191" s="64"/>
      <c r="B191" s="64"/>
      <c r="C191" s="64"/>
      <c r="D191" s="64"/>
      <c r="E191" s="93"/>
      <c r="F191" s="93"/>
      <c r="G191" s="64"/>
      <c r="H191" s="64"/>
      <c r="I191" s="64"/>
      <c r="J191" s="94"/>
      <c r="K191" s="64"/>
      <c r="L191" s="64"/>
      <c r="M191" s="64"/>
      <c r="N191" s="64"/>
      <c r="O191" s="64"/>
      <c r="P191" s="64"/>
      <c r="Q191" s="64" t="str">
        <f>IFERROR(VLOOKUP('BMP P Tracking Table'!$P191,Dropdowns!$C$2:$E$15,3,FALSE),"")</f>
        <v/>
      </c>
      <c r="R191" s="64" t="str">
        <f>IFERROR(VLOOKUP('BMP P Tracking Table'!$Q191,Dropdowns!$P$3:$Q$23,2,FALSE),"")</f>
        <v/>
      </c>
      <c r="S191" s="64"/>
      <c r="T191" s="64"/>
      <c r="U191" s="64"/>
      <c r="V191" s="64"/>
      <c r="W191" s="64"/>
      <c r="X191" s="64"/>
      <c r="Y191" s="64"/>
      <c r="Z191" s="64"/>
      <c r="AA191" s="64"/>
      <c r="AB191" s="95"/>
      <c r="AC191" s="64"/>
      <c r="AD191" s="101" t="str">
        <f>IFERROR('BMP P Tracking Table'!$U191*VLOOKUP('BMP P Tracking Table'!$Q191,'Loading Rates'!$B$1:$L$24,4,FALSE)+IF('BMP P Tracking Table'!$V191="By HSG",'BMP P Tracking Table'!$W191*VLOOKUP('BMP P Tracking Table'!$Q191,'Loading Rates'!$B$1:$L$24,6,FALSE)+'BMP P Tracking Table'!$X191*VLOOKUP('BMP P Tracking Table'!$Q191,'Loading Rates'!$B$1:$L$24,7,FALSE)+'BMP P Tracking Table'!$Y191*VLOOKUP('BMP P Tracking Table'!$Q191,'Loading Rates'!$B$1:$L$24,8,FALSE)+'BMP P Tracking Table'!$Z191*VLOOKUP('BMP P Tracking Table'!$Q191,'Loading Rates'!$B$1:$L$24,9,FALSE),'BMP P Tracking Table'!$AA191*VLOOKUP('BMP P Tracking Table'!$Q191,'Loading Rates'!$B$1:$L$24,10,FALSE)),"")</f>
        <v/>
      </c>
      <c r="AE191" s="101" t="str">
        <f>IFERROR(MIN(2,IF('BMP P Tracking Table'!$V191="Total Pervious",(-(3630*'BMP P Tracking Table'!$U191+20.691*'BMP P Tracking Table'!$AA191)+SQRT((3630*'BMP P Tracking Table'!$U191+20.691*'BMP P Tracking Table'!$AA191)^2-(4*(996.798*'BMP P Tracking Table'!$AA191)*-'BMP P Tracking Table'!$AB191)))/(2*(996.798*'BMP P Tracking Table'!$AA191)),IF(SUM('BMP P Tracking Table'!$W191:$Z191)=0,'BMP P Tracking Table'!$AB191/(-3630*'BMP P Tracking Table'!$U191),(-(3630*'BMP P Tracking Table'!$U191+20.691*'BMP P Tracking Table'!$Z191-216.711*'BMP P Tracking Table'!$Y191-83.853*'BMP P Tracking Table'!$X191-42.834*'BMP P Tracking Table'!$W191)+SQRT((3630*'BMP P Tracking Table'!$U191+20.691*'BMP P Tracking Table'!$Z191-216.711*'BMP P Tracking Table'!$Y191-83.853*'BMP P Tracking Table'!$X191-42.834*'BMP P Tracking Table'!$W191)^2-(4*(149.919*'BMP P Tracking Table'!$W191+236.676*'BMP P Tracking Table'!$X191+726*'BMP P Tracking Table'!$Y191+996.798*'BMP P Tracking Table'!$Z191)*-'BMP P Tracking Table'!$AB191)))/(2*(149.919*'BMP P Tracking Table'!$W191+236.676*'BMP P Tracking Table'!$X191+726*'BMP P Tracking Table'!$Y191+996.798*'BMP P Tracking Table'!$Z191))))),"")</f>
        <v/>
      </c>
      <c r="AF191" s="101" t="str">
        <f>IFERROR((VLOOKUP(CONCATENATE('BMP P Tracking Table'!$T191," ",'BMP P Tracking Table'!$AC191),'Performance Curves'!$C$1:$L$45,MATCH('BMP P Tracking Table'!$AE191,'Performance Curves'!$E$1:$L$1,1)+2,FALSE)-VLOOKUP(CONCATENATE('BMP P Tracking Table'!$T191," ",'BMP P Tracking Table'!$AC191),'Performance Curves'!$C$1:$L$45,MATCH('BMP P Tracking Table'!$AE191,'Performance Curves'!$E$1:$L$1,1)+1,FALSE)),"")</f>
        <v/>
      </c>
      <c r="AG191" s="101" t="str">
        <f>IFERROR(('BMP P Tracking Table'!$AE191-INDEX('Performance Curves'!$E$1:$L$1,1,MATCH('BMP P Tracking Table'!$AE191,'Performance Curves'!$E$1:$L$1,1)))/(INDEX('Performance Curves'!$E$1:$L$1,1,MATCH('BMP P Tracking Table'!$AE191,'Performance Curves'!$E$1:$L$1,1)+1)-INDEX('Performance Curves'!$E$1:$L$1,1,MATCH('BMP P Tracking Table'!$AE191,'Performance Curves'!$E$1:$L$1,1))),"")</f>
        <v/>
      </c>
      <c r="AH191" s="102" t="str">
        <f>IFERROR(IF('BMP P Tracking Table'!$AE191=2,VLOOKUP(CONCATENATE('BMP P Tracking Table'!$T191," ",'BMP P Tracking Table'!$AC191),'Performance Curves'!$C$1:$L$45,MATCH('BMP P Tracking Table'!$AE191,'Performance Curves'!$E$1:$L$1,1)+1,FALSE),'BMP P Tracking Table'!$AF191*'BMP P Tracking Table'!$AG191+VLOOKUP(CONCATENATE('BMP P Tracking Table'!$T191," ",'BMP P Tracking Table'!$AC191),'Performance Curves'!$C$1:$L$45,MATCH('BMP P Tracking Table'!$AE191,'Performance Curves'!$E$1:$L$1,1)+1,FALSE)),"")</f>
        <v/>
      </c>
      <c r="AI191" s="101" t="str">
        <f>IFERROR('BMP P Tracking Table'!$AH191*'BMP P Tracking Table'!$AD191,"")</f>
        <v/>
      </c>
      <c r="AJ191" s="64"/>
      <c r="AK191" s="96"/>
      <c r="AL191" s="96"/>
      <c r="AM191" s="63"/>
      <c r="AN191" s="99" t="str">
        <f t="shared" si="16"/>
        <v/>
      </c>
      <c r="AO191" s="96"/>
      <c r="AP191" s="96"/>
      <c r="AQ191" s="96"/>
      <c r="AR191" s="96"/>
      <c r="AS191" s="96"/>
      <c r="AT191" s="96"/>
      <c r="AU191" s="96"/>
      <c r="AV191" s="64"/>
      <c r="AW191" s="97"/>
      <c r="AX191" s="97"/>
      <c r="AY191" s="101" t="str">
        <f>IF('BMP P Tracking Table'!$AK191="Yes",IF('BMP P Tracking Table'!$AL191="No",'BMP P Tracking Table'!$U191*VLOOKUP('BMP P Tracking Table'!$Q191,'Loading Rates'!$B$1:$L$24,4,FALSE)+IF('BMP P Tracking Table'!$V191="By HSG",'BMP P Tracking Table'!$W191*VLOOKUP('BMP P Tracking Table'!$Q191,'Loading Rates'!$B$1:$L$24,6,FALSE)+'BMP P Tracking Table'!$X191*VLOOKUP('BMP P Tracking Table'!$Q191,'Loading Rates'!$B$1:$L$24,7,FALSE)+'BMP P Tracking Table'!$Y191*VLOOKUP('BMP P Tracking Table'!$Q191,'Loading Rates'!$B$1:$L$24,8,FALSE)+'BMP P Tracking Table'!$Z191*VLOOKUP('BMP P Tracking Table'!$Q191,'Loading Rates'!$B$1:$L$24,9,FALSE),'BMP P Tracking Table'!$AA191*VLOOKUP('BMP P Tracking Table'!$Q191,'Loading Rates'!$B$1:$L$24,10,FALSE)),'BMP P Tracking Table'!$AO191*VLOOKUP('BMP P Tracking Table'!$Q191,'Loading Rates'!$B$1:$L$24,4,FALSE)+IF('BMP P Tracking Table'!$AP191="By HSG",'BMP P Tracking Table'!$AQ191*VLOOKUP('BMP P Tracking Table'!$Q191,'Loading Rates'!$B$1:$L$24,6,FALSE)+'BMP P Tracking Table'!$AR191*VLOOKUP('BMP P Tracking Table'!$Q191,'Loading Rates'!$B$1:$L$24,7,FALSE)+'BMP P Tracking Table'!$AS191*VLOOKUP('BMP P Tracking Table'!$Q191,'Loading Rates'!$B$1:$L$24,8,FALSE)+'BMP P Tracking Table'!$AT191*VLOOKUP('BMP P Tracking Table'!$Q191,'Loading Rates'!$B$1:$L$24,9,FALSE),'BMP P Tracking Table'!$AU191*VLOOKUP('BMP P Tracking Table'!$Q191,'Loading Rates'!$B$1:$L$24,10,FALSE))),"")</f>
        <v/>
      </c>
      <c r="AZ191" s="101" t="str">
        <f>IFERROR(IF('BMP P Tracking Table'!$AL191="Yes",MIN(2,IF('BMP P Tracking Table'!$AP191="Total Pervious",(-(3630*'BMP P Tracking Table'!$AO191+20.691*'BMP P Tracking Table'!$AU191)+SQRT((3630*'BMP P Tracking Table'!$AO191+20.691*'BMP P Tracking Table'!$AU191)^2-(4*(996.798*'BMP P Tracking Table'!$AU191)*-'BMP P Tracking Table'!$AW191)))/(2*(996.798*'BMP P Tracking Table'!$AU191)),IF(SUM('BMP P Tracking Table'!$AQ191:$AT191)=0,'BMP P Tracking Table'!$AU191/(-3630*'BMP P Tracking Table'!$AO191),(-(3630*'BMP P Tracking Table'!$AO191+20.691*'BMP P Tracking Table'!$AT191-216.711*'BMP P Tracking Table'!$AS191-83.853*'BMP P Tracking Table'!$AR191-42.834*'BMP P Tracking Table'!$AQ191)+SQRT((3630*'BMP P Tracking Table'!$AO191+20.691*'BMP P Tracking Table'!$AT191-216.711*'BMP P Tracking Table'!$AS191-83.853*'BMP P Tracking Table'!$AR191-42.834*'BMP P Tracking Table'!$AQ191)^2-(4*(149.919*'BMP P Tracking Table'!$AQ191+236.676*'BMP P Tracking Table'!$AR191+726*'BMP P Tracking Table'!$AS191+996.798*'BMP P Tracking Table'!$AT191)*-'BMP P Tracking Table'!$AW191)))/(2*(149.919*'BMP P Tracking Table'!$AQ191+236.676*'BMP P Tracking Table'!$AR191+726*'BMP P Tracking Table'!$AS191+996.798*'BMP P Tracking Table'!$AT191))))),MIN(2,IF('BMP P Tracking Table'!$AP191="Total Pervious",(-(3630*'BMP P Tracking Table'!$U191+20.691*'BMP P Tracking Table'!$AA191)+SQRT((3630*'BMP P Tracking Table'!$U191+20.691*'BMP P Tracking Table'!$AA191)^2-(4*(996.798*'BMP P Tracking Table'!$AA191)*-'BMP P Tracking Table'!$AW191)))/(2*(996.798*'BMP P Tracking Table'!$AA191)),IF(SUM('BMP P Tracking Table'!$W191:$Z191)=0,'BMP P Tracking Table'!$AW191/(-3630*'BMP P Tracking Table'!$U191),(-(3630*'BMP P Tracking Table'!$U191+20.691*'BMP P Tracking Table'!$Z191-216.711*'BMP P Tracking Table'!$Y191-83.853*'BMP P Tracking Table'!$X191-42.834*'BMP P Tracking Table'!$W191)+SQRT((3630*'BMP P Tracking Table'!$U191+20.691*'BMP P Tracking Table'!$Z191-216.711*'BMP P Tracking Table'!$Y191-83.853*'BMP P Tracking Table'!$X191-42.834*'BMP P Tracking Table'!$W191)^2-(4*(149.919*'BMP P Tracking Table'!$W191+236.676*'BMP P Tracking Table'!$X191+726*'BMP P Tracking Table'!$Y191+996.798*'BMP P Tracking Table'!$Z191)*-'BMP P Tracking Table'!$AW191)))/(2*(149.919*'BMP P Tracking Table'!$W191+236.676*'BMP P Tracking Table'!$X191+726*'BMP P Tracking Table'!$Y191+996.798*'BMP P Tracking Table'!$Z191)))))),"")</f>
        <v/>
      </c>
      <c r="BA191" s="101" t="str">
        <f>IFERROR((VLOOKUP(CONCATENATE('BMP P Tracking Table'!$AV191," ",'BMP P Tracking Table'!$AX191),'Performance Curves'!$C$1:$L$45,MATCH('BMP P Tracking Table'!$AZ191,'Performance Curves'!$E$1:$L$1,1)+2,FALSE)-VLOOKUP(CONCATENATE('BMP P Tracking Table'!$AV191," ",'BMP P Tracking Table'!$AX191),'Performance Curves'!$C$1:$L$45,MATCH('BMP P Tracking Table'!$AZ191,'Performance Curves'!$E$1:$L$1,1)+1,FALSE)),"")</f>
        <v/>
      </c>
      <c r="BB191" s="101" t="str">
        <f>IFERROR(('BMP P Tracking Table'!$AZ191-INDEX('Performance Curves'!$E$1:$L$1,1,MATCH('BMP P Tracking Table'!$AZ191,'Performance Curves'!$E$1:$L$1,1)))/(INDEX('Performance Curves'!$E$1:$L$1,1,MATCH('BMP P Tracking Table'!$AZ191,'Performance Curves'!$E$1:$L$1,1)+1)-INDEX('Performance Curves'!$E$1:$L$1,1,MATCH('BMP P Tracking Table'!$AZ191,'Performance Curves'!$E$1:$L$1,1))),"")</f>
        <v/>
      </c>
      <c r="BC191" s="102" t="str">
        <f>IFERROR(IF('BMP P Tracking Table'!$AZ191=2,VLOOKUP(CONCATENATE('BMP P Tracking Table'!$AV191," ",'BMP P Tracking Table'!$AX191),'Performance Curves'!$C$1:$L$44,MATCH('BMP P Tracking Table'!$AZ191,'Performance Curves'!$E$1:$L$1,1)+1,FALSE),'BMP P Tracking Table'!$BA191*'BMP P Tracking Table'!$BB191+VLOOKUP(CONCATENATE('BMP P Tracking Table'!$AV191," ",'BMP P Tracking Table'!$AX191),'Performance Curves'!$C$1:$L$44,MATCH('BMP P Tracking Table'!$AZ191,'Performance Curves'!$E$1:$L$1,1)+1,FALSE)),"")</f>
        <v/>
      </c>
      <c r="BD191" s="101" t="str">
        <f>IFERROR('BMP P Tracking Table'!$BC191*'BMP P Tracking Table'!$AY191,"")</f>
        <v/>
      </c>
      <c r="BE191" s="91"/>
      <c r="BF191" s="37">
        <f t="shared" si="17"/>
        <v>0</v>
      </c>
    </row>
    <row r="192" spans="1:58" x14ac:dyDescent="0.3">
      <c r="A192" s="64"/>
      <c r="B192" s="64"/>
      <c r="C192" s="64"/>
      <c r="D192" s="64"/>
      <c r="E192" s="93"/>
      <c r="F192" s="93"/>
      <c r="G192" s="64"/>
      <c r="H192" s="64"/>
      <c r="I192" s="64"/>
      <c r="J192" s="94"/>
      <c r="K192" s="64"/>
      <c r="L192" s="64"/>
      <c r="M192" s="64"/>
      <c r="N192" s="64"/>
      <c r="O192" s="64"/>
      <c r="P192" s="64"/>
      <c r="Q192" s="64" t="str">
        <f>IFERROR(VLOOKUP('BMP P Tracking Table'!$P192,Dropdowns!$C$2:$E$15,3,FALSE),"")</f>
        <v/>
      </c>
      <c r="R192" s="64" t="str">
        <f>IFERROR(VLOOKUP('BMP P Tracking Table'!$Q192,Dropdowns!$P$3:$Q$23,2,FALSE),"")</f>
        <v/>
      </c>
      <c r="S192" s="64"/>
      <c r="T192" s="64"/>
      <c r="U192" s="64"/>
      <c r="V192" s="64"/>
      <c r="W192" s="64"/>
      <c r="X192" s="64"/>
      <c r="Y192" s="64"/>
      <c r="Z192" s="64"/>
      <c r="AA192" s="64"/>
      <c r="AB192" s="95"/>
      <c r="AC192" s="64"/>
      <c r="AD192" s="101" t="str">
        <f>IFERROR('BMP P Tracking Table'!$U192*VLOOKUP('BMP P Tracking Table'!$Q192,'Loading Rates'!$B$1:$L$24,4,FALSE)+IF('BMP P Tracking Table'!$V192="By HSG",'BMP P Tracking Table'!$W192*VLOOKUP('BMP P Tracking Table'!$Q192,'Loading Rates'!$B$1:$L$24,6,FALSE)+'BMP P Tracking Table'!$X192*VLOOKUP('BMP P Tracking Table'!$Q192,'Loading Rates'!$B$1:$L$24,7,FALSE)+'BMP P Tracking Table'!$Y192*VLOOKUP('BMP P Tracking Table'!$Q192,'Loading Rates'!$B$1:$L$24,8,FALSE)+'BMP P Tracking Table'!$Z192*VLOOKUP('BMP P Tracking Table'!$Q192,'Loading Rates'!$B$1:$L$24,9,FALSE),'BMP P Tracking Table'!$AA192*VLOOKUP('BMP P Tracking Table'!$Q192,'Loading Rates'!$B$1:$L$24,10,FALSE)),"")</f>
        <v/>
      </c>
      <c r="AE192" s="101" t="str">
        <f>IFERROR(MIN(2,IF('BMP P Tracking Table'!$V192="Total Pervious",(-(3630*'BMP P Tracking Table'!$U192+20.691*'BMP P Tracking Table'!$AA192)+SQRT((3630*'BMP P Tracking Table'!$U192+20.691*'BMP P Tracking Table'!$AA192)^2-(4*(996.798*'BMP P Tracking Table'!$AA192)*-'BMP P Tracking Table'!$AB192)))/(2*(996.798*'BMP P Tracking Table'!$AA192)),IF(SUM('BMP P Tracking Table'!$W192:$Z192)=0,'BMP P Tracking Table'!$AB192/(-3630*'BMP P Tracking Table'!$U192),(-(3630*'BMP P Tracking Table'!$U192+20.691*'BMP P Tracking Table'!$Z192-216.711*'BMP P Tracking Table'!$Y192-83.853*'BMP P Tracking Table'!$X192-42.834*'BMP P Tracking Table'!$W192)+SQRT((3630*'BMP P Tracking Table'!$U192+20.691*'BMP P Tracking Table'!$Z192-216.711*'BMP P Tracking Table'!$Y192-83.853*'BMP P Tracking Table'!$X192-42.834*'BMP P Tracking Table'!$W192)^2-(4*(149.919*'BMP P Tracking Table'!$W192+236.676*'BMP P Tracking Table'!$X192+726*'BMP P Tracking Table'!$Y192+996.798*'BMP P Tracking Table'!$Z192)*-'BMP P Tracking Table'!$AB192)))/(2*(149.919*'BMP P Tracking Table'!$W192+236.676*'BMP P Tracking Table'!$X192+726*'BMP P Tracking Table'!$Y192+996.798*'BMP P Tracking Table'!$Z192))))),"")</f>
        <v/>
      </c>
      <c r="AF192" s="101" t="str">
        <f>IFERROR((VLOOKUP(CONCATENATE('BMP P Tracking Table'!$T192," ",'BMP P Tracking Table'!$AC192),'Performance Curves'!$C$1:$L$45,MATCH('BMP P Tracking Table'!$AE192,'Performance Curves'!$E$1:$L$1,1)+2,FALSE)-VLOOKUP(CONCATENATE('BMP P Tracking Table'!$T192," ",'BMP P Tracking Table'!$AC192),'Performance Curves'!$C$1:$L$45,MATCH('BMP P Tracking Table'!$AE192,'Performance Curves'!$E$1:$L$1,1)+1,FALSE)),"")</f>
        <v/>
      </c>
      <c r="AG192" s="101" t="str">
        <f>IFERROR(('BMP P Tracking Table'!$AE192-INDEX('Performance Curves'!$E$1:$L$1,1,MATCH('BMP P Tracking Table'!$AE192,'Performance Curves'!$E$1:$L$1,1)))/(INDEX('Performance Curves'!$E$1:$L$1,1,MATCH('BMP P Tracking Table'!$AE192,'Performance Curves'!$E$1:$L$1,1)+1)-INDEX('Performance Curves'!$E$1:$L$1,1,MATCH('BMP P Tracking Table'!$AE192,'Performance Curves'!$E$1:$L$1,1))),"")</f>
        <v/>
      </c>
      <c r="AH192" s="102" t="str">
        <f>IFERROR(IF('BMP P Tracking Table'!$AE192=2,VLOOKUP(CONCATENATE('BMP P Tracking Table'!$T192," ",'BMP P Tracking Table'!$AC192),'Performance Curves'!$C$1:$L$45,MATCH('BMP P Tracking Table'!$AE192,'Performance Curves'!$E$1:$L$1,1)+1,FALSE),'BMP P Tracking Table'!$AF192*'BMP P Tracking Table'!$AG192+VLOOKUP(CONCATENATE('BMP P Tracking Table'!$T192," ",'BMP P Tracking Table'!$AC192),'Performance Curves'!$C$1:$L$45,MATCH('BMP P Tracking Table'!$AE192,'Performance Curves'!$E$1:$L$1,1)+1,FALSE)),"")</f>
        <v/>
      </c>
      <c r="AI192" s="101" t="str">
        <f>IFERROR('BMP P Tracking Table'!$AH192*'BMP P Tracking Table'!$AD192,"")</f>
        <v/>
      </c>
      <c r="AJ192" s="64"/>
      <c r="AK192" s="96"/>
      <c r="AL192" s="96"/>
      <c r="AM192" s="63"/>
      <c r="AN192" s="99" t="str">
        <f t="shared" si="16"/>
        <v/>
      </c>
      <c r="AO192" s="96"/>
      <c r="AP192" s="96"/>
      <c r="AQ192" s="96"/>
      <c r="AR192" s="96"/>
      <c r="AS192" s="96"/>
      <c r="AT192" s="96"/>
      <c r="AU192" s="96"/>
      <c r="AV192" s="64"/>
      <c r="AW192" s="97"/>
      <c r="AX192" s="97"/>
      <c r="AY192" s="101" t="str">
        <f>IF('BMP P Tracking Table'!$AK192="Yes",IF('BMP P Tracking Table'!$AL192="No",'BMP P Tracking Table'!$U192*VLOOKUP('BMP P Tracking Table'!$Q192,'Loading Rates'!$B$1:$L$24,4,FALSE)+IF('BMP P Tracking Table'!$V192="By HSG",'BMP P Tracking Table'!$W192*VLOOKUP('BMP P Tracking Table'!$Q192,'Loading Rates'!$B$1:$L$24,6,FALSE)+'BMP P Tracking Table'!$X192*VLOOKUP('BMP P Tracking Table'!$Q192,'Loading Rates'!$B$1:$L$24,7,FALSE)+'BMP P Tracking Table'!$Y192*VLOOKUP('BMP P Tracking Table'!$Q192,'Loading Rates'!$B$1:$L$24,8,FALSE)+'BMP P Tracking Table'!$Z192*VLOOKUP('BMP P Tracking Table'!$Q192,'Loading Rates'!$B$1:$L$24,9,FALSE),'BMP P Tracking Table'!$AA192*VLOOKUP('BMP P Tracking Table'!$Q192,'Loading Rates'!$B$1:$L$24,10,FALSE)),'BMP P Tracking Table'!$AO192*VLOOKUP('BMP P Tracking Table'!$Q192,'Loading Rates'!$B$1:$L$24,4,FALSE)+IF('BMP P Tracking Table'!$AP192="By HSG",'BMP P Tracking Table'!$AQ192*VLOOKUP('BMP P Tracking Table'!$Q192,'Loading Rates'!$B$1:$L$24,6,FALSE)+'BMP P Tracking Table'!$AR192*VLOOKUP('BMP P Tracking Table'!$Q192,'Loading Rates'!$B$1:$L$24,7,FALSE)+'BMP P Tracking Table'!$AS192*VLOOKUP('BMP P Tracking Table'!$Q192,'Loading Rates'!$B$1:$L$24,8,FALSE)+'BMP P Tracking Table'!$AT192*VLOOKUP('BMP P Tracking Table'!$Q192,'Loading Rates'!$B$1:$L$24,9,FALSE),'BMP P Tracking Table'!$AU192*VLOOKUP('BMP P Tracking Table'!$Q192,'Loading Rates'!$B$1:$L$24,10,FALSE))),"")</f>
        <v/>
      </c>
      <c r="AZ192" s="101" t="str">
        <f>IFERROR(IF('BMP P Tracking Table'!$AL192="Yes",MIN(2,IF('BMP P Tracking Table'!$AP192="Total Pervious",(-(3630*'BMP P Tracking Table'!$AO192+20.691*'BMP P Tracking Table'!$AU192)+SQRT((3630*'BMP P Tracking Table'!$AO192+20.691*'BMP P Tracking Table'!$AU192)^2-(4*(996.798*'BMP P Tracking Table'!$AU192)*-'BMP P Tracking Table'!$AW192)))/(2*(996.798*'BMP P Tracking Table'!$AU192)),IF(SUM('BMP P Tracking Table'!$AQ192:$AT192)=0,'BMP P Tracking Table'!$AU192/(-3630*'BMP P Tracking Table'!$AO192),(-(3630*'BMP P Tracking Table'!$AO192+20.691*'BMP P Tracking Table'!$AT192-216.711*'BMP P Tracking Table'!$AS192-83.853*'BMP P Tracking Table'!$AR192-42.834*'BMP P Tracking Table'!$AQ192)+SQRT((3630*'BMP P Tracking Table'!$AO192+20.691*'BMP P Tracking Table'!$AT192-216.711*'BMP P Tracking Table'!$AS192-83.853*'BMP P Tracking Table'!$AR192-42.834*'BMP P Tracking Table'!$AQ192)^2-(4*(149.919*'BMP P Tracking Table'!$AQ192+236.676*'BMP P Tracking Table'!$AR192+726*'BMP P Tracking Table'!$AS192+996.798*'BMP P Tracking Table'!$AT192)*-'BMP P Tracking Table'!$AW192)))/(2*(149.919*'BMP P Tracking Table'!$AQ192+236.676*'BMP P Tracking Table'!$AR192+726*'BMP P Tracking Table'!$AS192+996.798*'BMP P Tracking Table'!$AT192))))),MIN(2,IF('BMP P Tracking Table'!$AP192="Total Pervious",(-(3630*'BMP P Tracking Table'!$U192+20.691*'BMP P Tracking Table'!$AA192)+SQRT((3630*'BMP P Tracking Table'!$U192+20.691*'BMP P Tracking Table'!$AA192)^2-(4*(996.798*'BMP P Tracking Table'!$AA192)*-'BMP P Tracking Table'!$AW192)))/(2*(996.798*'BMP P Tracking Table'!$AA192)),IF(SUM('BMP P Tracking Table'!$W192:$Z192)=0,'BMP P Tracking Table'!$AW192/(-3630*'BMP P Tracking Table'!$U192),(-(3630*'BMP P Tracking Table'!$U192+20.691*'BMP P Tracking Table'!$Z192-216.711*'BMP P Tracking Table'!$Y192-83.853*'BMP P Tracking Table'!$X192-42.834*'BMP P Tracking Table'!$W192)+SQRT((3630*'BMP P Tracking Table'!$U192+20.691*'BMP P Tracking Table'!$Z192-216.711*'BMP P Tracking Table'!$Y192-83.853*'BMP P Tracking Table'!$X192-42.834*'BMP P Tracking Table'!$W192)^2-(4*(149.919*'BMP P Tracking Table'!$W192+236.676*'BMP P Tracking Table'!$X192+726*'BMP P Tracking Table'!$Y192+996.798*'BMP P Tracking Table'!$Z192)*-'BMP P Tracking Table'!$AW192)))/(2*(149.919*'BMP P Tracking Table'!$W192+236.676*'BMP P Tracking Table'!$X192+726*'BMP P Tracking Table'!$Y192+996.798*'BMP P Tracking Table'!$Z192)))))),"")</f>
        <v/>
      </c>
      <c r="BA192" s="101" t="str">
        <f>IFERROR((VLOOKUP(CONCATENATE('BMP P Tracking Table'!$AV192," ",'BMP P Tracking Table'!$AX192),'Performance Curves'!$C$1:$L$45,MATCH('BMP P Tracking Table'!$AZ192,'Performance Curves'!$E$1:$L$1,1)+2,FALSE)-VLOOKUP(CONCATENATE('BMP P Tracking Table'!$AV192," ",'BMP P Tracking Table'!$AX192),'Performance Curves'!$C$1:$L$45,MATCH('BMP P Tracking Table'!$AZ192,'Performance Curves'!$E$1:$L$1,1)+1,FALSE)),"")</f>
        <v/>
      </c>
      <c r="BB192" s="101" t="str">
        <f>IFERROR(('BMP P Tracking Table'!$AZ192-INDEX('Performance Curves'!$E$1:$L$1,1,MATCH('BMP P Tracking Table'!$AZ192,'Performance Curves'!$E$1:$L$1,1)))/(INDEX('Performance Curves'!$E$1:$L$1,1,MATCH('BMP P Tracking Table'!$AZ192,'Performance Curves'!$E$1:$L$1,1)+1)-INDEX('Performance Curves'!$E$1:$L$1,1,MATCH('BMP P Tracking Table'!$AZ192,'Performance Curves'!$E$1:$L$1,1))),"")</f>
        <v/>
      </c>
      <c r="BC192" s="102" t="str">
        <f>IFERROR(IF('BMP P Tracking Table'!$AZ192=2,VLOOKUP(CONCATENATE('BMP P Tracking Table'!$AV192," ",'BMP P Tracking Table'!$AX192),'Performance Curves'!$C$1:$L$44,MATCH('BMP P Tracking Table'!$AZ192,'Performance Curves'!$E$1:$L$1,1)+1,FALSE),'BMP P Tracking Table'!$BA192*'BMP P Tracking Table'!$BB192+VLOOKUP(CONCATENATE('BMP P Tracking Table'!$AV192," ",'BMP P Tracking Table'!$AX192),'Performance Curves'!$C$1:$L$44,MATCH('BMP P Tracking Table'!$AZ192,'Performance Curves'!$E$1:$L$1,1)+1,FALSE)),"")</f>
        <v/>
      </c>
      <c r="BD192" s="101" t="str">
        <f>IFERROR('BMP P Tracking Table'!$BC192*'BMP P Tracking Table'!$AY192,"")</f>
        <v/>
      </c>
      <c r="BE192" s="96"/>
      <c r="BF192" s="37">
        <f t="shared" si="17"/>
        <v>0</v>
      </c>
    </row>
    <row r="193" spans="1:58" x14ac:dyDescent="0.3">
      <c r="A193" s="64"/>
      <c r="B193" s="64"/>
      <c r="C193" s="64"/>
      <c r="D193" s="64"/>
      <c r="E193" s="93"/>
      <c r="F193" s="93"/>
      <c r="G193" s="64"/>
      <c r="H193" s="64"/>
      <c r="I193" s="64"/>
      <c r="J193" s="94"/>
      <c r="K193" s="64"/>
      <c r="L193" s="64"/>
      <c r="M193" s="64"/>
      <c r="N193" s="64"/>
      <c r="O193" s="64"/>
      <c r="P193" s="64"/>
      <c r="Q193" s="64" t="str">
        <f>IFERROR(VLOOKUP('BMP P Tracking Table'!$P193,Dropdowns!$C$2:$E$15,3,FALSE),"")</f>
        <v/>
      </c>
      <c r="R193" s="64" t="str">
        <f>IFERROR(VLOOKUP('BMP P Tracking Table'!$Q193,Dropdowns!$P$3:$Q$23,2,FALSE),"")</f>
        <v/>
      </c>
      <c r="S193" s="64"/>
      <c r="T193" s="64"/>
      <c r="U193" s="64"/>
      <c r="V193" s="64"/>
      <c r="W193" s="64"/>
      <c r="X193" s="64"/>
      <c r="Y193" s="64"/>
      <c r="Z193" s="64"/>
      <c r="AA193" s="64"/>
      <c r="AB193" s="95"/>
      <c r="AC193" s="64"/>
      <c r="AD193" s="101" t="str">
        <f>IFERROR('BMP P Tracking Table'!$U193*VLOOKUP('BMP P Tracking Table'!$Q193,'Loading Rates'!$B$1:$L$24,4,FALSE)+IF('BMP P Tracking Table'!$V193="By HSG",'BMP P Tracking Table'!$W193*VLOOKUP('BMP P Tracking Table'!$Q193,'Loading Rates'!$B$1:$L$24,6,FALSE)+'BMP P Tracking Table'!$X193*VLOOKUP('BMP P Tracking Table'!$Q193,'Loading Rates'!$B$1:$L$24,7,FALSE)+'BMP P Tracking Table'!$Y193*VLOOKUP('BMP P Tracking Table'!$Q193,'Loading Rates'!$B$1:$L$24,8,FALSE)+'BMP P Tracking Table'!$Z193*VLOOKUP('BMP P Tracking Table'!$Q193,'Loading Rates'!$B$1:$L$24,9,FALSE),'BMP P Tracking Table'!$AA193*VLOOKUP('BMP P Tracking Table'!$Q193,'Loading Rates'!$B$1:$L$24,10,FALSE)),"")</f>
        <v/>
      </c>
      <c r="AE193" s="101" t="str">
        <f>IFERROR(MIN(2,IF('BMP P Tracking Table'!$V193="Total Pervious",(-(3630*'BMP P Tracking Table'!$U193+20.691*'BMP P Tracking Table'!$AA193)+SQRT((3630*'BMP P Tracking Table'!$U193+20.691*'BMP P Tracking Table'!$AA193)^2-(4*(996.798*'BMP P Tracking Table'!$AA193)*-'BMP P Tracking Table'!$AB193)))/(2*(996.798*'BMP P Tracking Table'!$AA193)),IF(SUM('BMP P Tracking Table'!$W193:$Z193)=0,'BMP P Tracking Table'!$AB193/(-3630*'BMP P Tracking Table'!$U193),(-(3630*'BMP P Tracking Table'!$U193+20.691*'BMP P Tracking Table'!$Z193-216.711*'BMP P Tracking Table'!$Y193-83.853*'BMP P Tracking Table'!$X193-42.834*'BMP P Tracking Table'!$W193)+SQRT((3630*'BMP P Tracking Table'!$U193+20.691*'BMP P Tracking Table'!$Z193-216.711*'BMP P Tracking Table'!$Y193-83.853*'BMP P Tracking Table'!$X193-42.834*'BMP P Tracking Table'!$W193)^2-(4*(149.919*'BMP P Tracking Table'!$W193+236.676*'BMP P Tracking Table'!$X193+726*'BMP P Tracking Table'!$Y193+996.798*'BMP P Tracking Table'!$Z193)*-'BMP P Tracking Table'!$AB193)))/(2*(149.919*'BMP P Tracking Table'!$W193+236.676*'BMP P Tracking Table'!$X193+726*'BMP P Tracking Table'!$Y193+996.798*'BMP P Tracking Table'!$Z193))))),"")</f>
        <v/>
      </c>
      <c r="AF193" s="101" t="str">
        <f>IFERROR((VLOOKUP(CONCATENATE('BMP P Tracking Table'!$T193," ",'BMP P Tracking Table'!$AC193),'Performance Curves'!$C$1:$L$45,MATCH('BMP P Tracking Table'!$AE193,'Performance Curves'!$E$1:$L$1,1)+2,FALSE)-VLOOKUP(CONCATENATE('BMP P Tracking Table'!$T193," ",'BMP P Tracking Table'!$AC193),'Performance Curves'!$C$1:$L$45,MATCH('BMP P Tracking Table'!$AE193,'Performance Curves'!$E$1:$L$1,1)+1,FALSE)),"")</f>
        <v/>
      </c>
      <c r="AG193" s="101" t="str">
        <f>IFERROR(('BMP P Tracking Table'!$AE193-INDEX('Performance Curves'!$E$1:$L$1,1,MATCH('BMP P Tracking Table'!$AE193,'Performance Curves'!$E$1:$L$1,1)))/(INDEX('Performance Curves'!$E$1:$L$1,1,MATCH('BMP P Tracking Table'!$AE193,'Performance Curves'!$E$1:$L$1,1)+1)-INDEX('Performance Curves'!$E$1:$L$1,1,MATCH('BMP P Tracking Table'!$AE193,'Performance Curves'!$E$1:$L$1,1))),"")</f>
        <v/>
      </c>
      <c r="AH193" s="102" t="str">
        <f>IFERROR(IF('BMP P Tracking Table'!$AE193=2,VLOOKUP(CONCATENATE('BMP P Tracking Table'!$T193," ",'BMP P Tracking Table'!$AC193),'Performance Curves'!$C$1:$L$45,MATCH('BMP P Tracking Table'!$AE193,'Performance Curves'!$E$1:$L$1,1)+1,FALSE),'BMP P Tracking Table'!$AF193*'BMP P Tracking Table'!$AG193+VLOOKUP(CONCATENATE('BMP P Tracking Table'!$T193," ",'BMP P Tracking Table'!$AC193),'Performance Curves'!$C$1:$L$45,MATCH('BMP P Tracking Table'!$AE193,'Performance Curves'!$E$1:$L$1,1)+1,FALSE)),"")</f>
        <v/>
      </c>
      <c r="AI193" s="101" t="str">
        <f>IFERROR('BMP P Tracking Table'!$AH193*'BMP P Tracking Table'!$AD193,"")</f>
        <v/>
      </c>
      <c r="AJ193" s="64"/>
      <c r="AK193" s="96"/>
      <c r="AL193" s="96"/>
      <c r="AM193" s="63"/>
      <c r="AN193" s="99" t="str">
        <f t="shared" si="16"/>
        <v/>
      </c>
      <c r="AO193" s="96"/>
      <c r="AP193" s="96"/>
      <c r="AQ193" s="96"/>
      <c r="AR193" s="96"/>
      <c r="AS193" s="96"/>
      <c r="AT193" s="96"/>
      <c r="AU193" s="96"/>
      <c r="AV193" s="64"/>
      <c r="AW193" s="97"/>
      <c r="AX193" s="97"/>
      <c r="AY193" s="101" t="str">
        <f>IF('BMP P Tracking Table'!$AK193="Yes",IF('BMP P Tracking Table'!$AL193="No",'BMP P Tracking Table'!$U193*VLOOKUP('BMP P Tracking Table'!$Q193,'Loading Rates'!$B$1:$L$24,4,FALSE)+IF('BMP P Tracking Table'!$V193="By HSG",'BMP P Tracking Table'!$W193*VLOOKUP('BMP P Tracking Table'!$Q193,'Loading Rates'!$B$1:$L$24,6,FALSE)+'BMP P Tracking Table'!$X193*VLOOKUP('BMP P Tracking Table'!$Q193,'Loading Rates'!$B$1:$L$24,7,FALSE)+'BMP P Tracking Table'!$Y193*VLOOKUP('BMP P Tracking Table'!$Q193,'Loading Rates'!$B$1:$L$24,8,FALSE)+'BMP P Tracking Table'!$Z193*VLOOKUP('BMP P Tracking Table'!$Q193,'Loading Rates'!$B$1:$L$24,9,FALSE),'BMP P Tracking Table'!$AA193*VLOOKUP('BMP P Tracking Table'!$Q193,'Loading Rates'!$B$1:$L$24,10,FALSE)),'BMP P Tracking Table'!$AO193*VLOOKUP('BMP P Tracking Table'!$Q193,'Loading Rates'!$B$1:$L$24,4,FALSE)+IF('BMP P Tracking Table'!$AP193="By HSG",'BMP P Tracking Table'!$AQ193*VLOOKUP('BMP P Tracking Table'!$Q193,'Loading Rates'!$B$1:$L$24,6,FALSE)+'BMP P Tracking Table'!$AR193*VLOOKUP('BMP P Tracking Table'!$Q193,'Loading Rates'!$B$1:$L$24,7,FALSE)+'BMP P Tracking Table'!$AS193*VLOOKUP('BMP P Tracking Table'!$Q193,'Loading Rates'!$B$1:$L$24,8,FALSE)+'BMP P Tracking Table'!$AT193*VLOOKUP('BMP P Tracking Table'!$Q193,'Loading Rates'!$B$1:$L$24,9,FALSE),'BMP P Tracking Table'!$AU193*VLOOKUP('BMP P Tracking Table'!$Q193,'Loading Rates'!$B$1:$L$24,10,FALSE))),"")</f>
        <v/>
      </c>
      <c r="AZ193" s="101" t="str">
        <f>IFERROR(IF('BMP P Tracking Table'!$AL193="Yes",MIN(2,IF('BMP P Tracking Table'!$AP193="Total Pervious",(-(3630*'BMP P Tracking Table'!$AO193+20.691*'BMP P Tracking Table'!$AU193)+SQRT((3630*'BMP P Tracking Table'!$AO193+20.691*'BMP P Tracking Table'!$AU193)^2-(4*(996.798*'BMP P Tracking Table'!$AU193)*-'BMP P Tracking Table'!$AW193)))/(2*(996.798*'BMP P Tracking Table'!$AU193)),IF(SUM('BMP P Tracking Table'!$AQ193:$AT193)=0,'BMP P Tracking Table'!$AU193/(-3630*'BMP P Tracking Table'!$AO193),(-(3630*'BMP P Tracking Table'!$AO193+20.691*'BMP P Tracking Table'!$AT193-216.711*'BMP P Tracking Table'!$AS193-83.853*'BMP P Tracking Table'!$AR193-42.834*'BMP P Tracking Table'!$AQ193)+SQRT((3630*'BMP P Tracking Table'!$AO193+20.691*'BMP P Tracking Table'!$AT193-216.711*'BMP P Tracking Table'!$AS193-83.853*'BMP P Tracking Table'!$AR193-42.834*'BMP P Tracking Table'!$AQ193)^2-(4*(149.919*'BMP P Tracking Table'!$AQ193+236.676*'BMP P Tracking Table'!$AR193+726*'BMP P Tracking Table'!$AS193+996.798*'BMP P Tracking Table'!$AT193)*-'BMP P Tracking Table'!$AW193)))/(2*(149.919*'BMP P Tracking Table'!$AQ193+236.676*'BMP P Tracking Table'!$AR193+726*'BMP P Tracking Table'!$AS193+996.798*'BMP P Tracking Table'!$AT193))))),MIN(2,IF('BMP P Tracking Table'!$AP193="Total Pervious",(-(3630*'BMP P Tracking Table'!$U193+20.691*'BMP P Tracking Table'!$AA193)+SQRT((3630*'BMP P Tracking Table'!$U193+20.691*'BMP P Tracking Table'!$AA193)^2-(4*(996.798*'BMP P Tracking Table'!$AA193)*-'BMP P Tracking Table'!$AW193)))/(2*(996.798*'BMP P Tracking Table'!$AA193)),IF(SUM('BMP P Tracking Table'!$W193:$Z193)=0,'BMP P Tracking Table'!$AW193/(-3630*'BMP P Tracking Table'!$U193),(-(3630*'BMP P Tracking Table'!$U193+20.691*'BMP P Tracking Table'!$Z193-216.711*'BMP P Tracking Table'!$Y193-83.853*'BMP P Tracking Table'!$X193-42.834*'BMP P Tracking Table'!$W193)+SQRT((3630*'BMP P Tracking Table'!$U193+20.691*'BMP P Tracking Table'!$Z193-216.711*'BMP P Tracking Table'!$Y193-83.853*'BMP P Tracking Table'!$X193-42.834*'BMP P Tracking Table'!$W193)^2-(4*(149.919*'BMP P Tracking Table'!$W193+236.676*'BMP P Tracking Table'!$X193+726*'BMP P Tracking Table'!$Y193+996.798*'BMP P Tracking Table'!$Z193)*-'BMP P Tracking Table'!$AW193)))/(2*(149.919*'BMP P Tracking Table'!$W193+236.676*'BMP P Tracking Table'!$X193+726*'BMP P Tracking Table'!$Y193+996.798*'BMP P Tracking Table'!$Z193)))))),"")</f>
        <v/>
      </c>
      <c r="BA193" s="101" t="str">
        <f>IFERROR((VLOOKUP(CONCATENATE('BMP P Tracking Table'!$AV193," ",'BMP P Tracking Table'!$AX193),'Performance Curves'!$C$1:$L$45,MATCH('BMP P Tracking Table'!$AZ193,'Performance Curves'!$E$1:$L$1,1)+2,FALSE)-VLOOKUP(CONCATENATE('BMP P Tracking Table'!$AV193," ",'BMP P Tracking Table'!$AX193),'Performance Curves'!$C$1:$L$45,MATCH('BMP P Tracking Table'!$AZ193,'Performance Curves'!$E$1:$L$1,1)+1,FALSE)),"")</f>
        <v/>
      </c>
      <c r="BB193" s="101" t="str">
        <f>IFERROR(('BMP P Tracking Table'!$AZ193-INDEX('Performance Curves'!$E$1:$L$1,1,MATCH('BMP P Tracking Table'!$AZ193,'Performance Curves'!$E$1:$L$1,1)))/(INDEX('Performance Curves'!$E$1:$L$1,1,MATCH('BMP P Tracking Table'!$AZ193,'Performance Curves'!$E$1:$L$1,1)+1)-INDEX('Performance Curves'!$E$1:$L$1,1,MATCH('BMP P Tracking Table'!$AZ193,'Performance Curves'!$E$1:$L$1,1))),"")</f>
        <v/>
      </c>
      <c r="BC193" s="102" t="str">
        <f>IFERROR(IF('BMP P Tracking Table'!$AZ193=2,VLOOKUP(CONCATENATE('BMP P Tracking Table'!$AV193," ",'BMP P Tracking Table'!$AX193),'Performance Curves'!$C$1:$L$44,MATCH('BMP P Tracking Table'!$AZ193,'Performance Curves'!$E$1:$L$1,1)+1,FALSE),'BMP P Tracking Table'!$BA193*'BMP P Tracking Table'!$BB193+VLOOKUP(CONCATENATE('BMP P Tracking Table'!$AV193," ",'BMP P Tracking Table'!$AX193),'Performance Curves'!$C$1:$L$44,MATCH('BMP P Tracking Table'!$AZ193,'Performance Curves'!$E$1:$L$1,1)+1,FALSE)),"")</f>
        <v/>
      </c>
      <c r="BD193" s="101" t="str">
        <f>IFERROR('BMP P Tracking Table'!$BC193*'BMP P Tracking Table'!$AY193,"")</f>
        <v/>
      </c>
      <c r="BE193" s="96"/>
      <c r="BF193" s="37">
        <f t="shared" si="17"/>
        <v>0</v>
      </c>
    </row>
    <row r="194" spans="1:58" x14ac:dyDescent="0.3">
      <c r="A194" s="64"/>
      <c r="B194" s="64"/>
      <c r="C194" s="64"/>
      <c r="D194" s="64"/>
      <c r="E194" s="93"/>
      <c r="F194" s="93"/>
      <c r="G194" s="64"/>
      <c r="H194" s="64"/>
      <c r="I194" s="64"/>
      <c r="J194" s="94"/>
      <c r="K194" s="64"/>
      <c r="L194" s="64"/>
      <c r="M194" s="64"/>
      <c r="N194" s="64"/>
      <c r="O194" s="64"/>
      <c r="P194" s="64"/>
      <c r="Q194" s="64" t="str">
        <f>IFERROR(VLOOKUP('BMP P Tracking Table'!$P194,Dropdowns!$C$2:$E$15,3,FALSE),"")</f>
        <v/>
      </c>
      <c r="R194" s="64" t="str">
        <f>IFERROR(VLOOKUP('BMP P Tracking Table'!$Q194,Dropdowns!$P$3:$Q$23,2,FALSE),"")</f>
        <v/>
      </c>
      <c r="S194" s="64"/>
      <c r="T194" s="64"/>
      <c r="U194" s="64"/>
      <c r="V194" s="64"/>
      <c r="W194" s="64"/>
      <c r="X194" s="64"/>
      <c r="Y194" s="64"/>
      <c r="Z194" s="64"/>
      <c r="AA194" s="64"/>
      <c r="AB194" s="95"/>
      <c r="AC194" s="64"/>
      <c r="AD194" s="101" t="str">
        <f>IFERROR('BMP P Tracking Table'!$U194*VLOOKUP('BMP P Tracking Table'!$Q194,'Loading Rates'!$B$1:$L$24,4,FALSE)+IF('BMP P Tracking Table'!$V194="By HSG",'BMP P Tracking Table'!$W194*VLOOKUP('BMP P Tracking Table'!$Q194,'Loading Rates'!$B$1:$L$24,6,FALSE)+'BMP P Tracking Table'!$X194*VLOOKUP('BMP P Tracking Table'!$Q194,'Loading Rates'!$B$1:$L$24,7,FALSE)+'BMP P Tracking Table'!$Y194*VLOOKUP('BMP P Tracking Table'!$Q194,'Loading Rates'!$B$1:$L$24,8,FALSE)+'BMP P Tracking Table'!$Z194*VLOOKUP('BMP P Tracking Table'!$Q194,'Loading Rates'!$B$1:$L$24,9,FALSE),'BMP P Tracking Table'!$AA194*VLOOKUP('BMP P Tracking Table'!$Q194,'Loading Rates'!$B$1:$L$24,10,FALSE)),"")</f>
        <v/>
      </c>
      <c r="AE194" s="101" t="str">
        <f>IFERROR(MIN(2,IF('BMP P Tracking Table'!$V194="Total Pervious",(-(3630*'BMP P Tracking Table'!$U194+20.691*'BMP P Tracking Table'!$AA194)+SQRT((3630*'BMP P Tracking Table'!$U194+20.691*'BMP P Tracking Table'!$AA194)^2-(4*(996.798*'BMP P Tracking Table'!$AA194)*-'BMP P Tracking Table'!$AB194)))/(2*(996.798*'BMP P Tracking Table'!$AA194)),IF(SUM('BMP P Tracking Table'!$W194:$Z194)=0,'BMP P Tracking Table'!$AB194/(-3630*'BMP P Tracking Table'!$U194),(-(3630*'BMP P Tracking Table'!$U194+20.691*'BMP P Tracking Table'!$Z194-216.711*'BMP P Tracking Table'!$Y194-83.853*'BMP P Tracking Table'!$X194-42.834*'BMP P Tracking Table'!$W194)+SQRT((3630*'BMP P Tracking Table'!$U194+20.691*'BMP P Tracking Table'!$Z194-216.711*'BMP P Tracking Table'!$Y194-83.853*'BMP P Tracking Table'!$X194-42.834*'BMP P Tracking Table'!$W194)^2-(4*(149.919*'BMP P Tracking Table'!$W194+236.676*'BMP P Tracking Table'!$X194+726*'BMP P Tracking Table'!$Y194+996.798*'BMP P Tracking Table'!$Z194)*-'BMP P Tracking Table'!$AB194)))/(2*(149.919*'BMP P Tracking Table'!$W194+236.676*'BMP P Tracking Table'!$X194+726*'BMP P Tracking Table'!$Y194+996.798*'BMP P Tracking Table'!$Z194))))),"")</f>
        <v/>
      </c>
      <c r="AF194" s="101" t="str">
        <f>IFERROR((VLOOKUP(CONCATENATE('BMP P Tracking Table'!$T194," ",'BMP P Tracking Table'!$AC194),'Performance Curves'!$C$1:$L$45,MATCH('BMP P Tracking Table'!$AE194,'Performance Curves'!$E$1:$L$1,1)+2,FALSE)-VLOOKUP(CONCATENATE('BMP P Tracking Table'!$T194," ",'BMP P Tracking Table'!$AC194),'Performance Curves'!$C$1:$L$45,MATCH('BMP P Tracking Table'!$AE194,'Performance Curves'!$E$1:$L$1,1)+1,FALSE)),"")</f>
        <v/>
      </c>
      <c r="AG194" s="101" t="str">
        <f>IFERROR(('BMP P Tracking Table'!$AE194-INDEX('Performance Curves'!$E$1:$L$1,1,MATCH('BMP P Tracking Table'!$AE194,'Performance Curves'!$E$1:$L$1,1)))/(INDEX('Performance Curves'!$E$1:$L$1,1,MATCH('BMP P Tracking Table'!$AE194,'Performance Curves'!$E$1:$L$1,1)+1)-INDEX('Performance Curves'!$E$1:$L$1,1,MATCH('BMP P Tracking Table'!$AE194,'Performance Curves'!$E$1:$L$1,1))),"")</f>
        <v/>
      </c>
      <c r="AH194" s="102" t="str">
        <f>IFERROR(IF('BMP P Tracking Table'!$AE194=2,VLOOKUP(CONCATENATE('BMP P Tracking Table'!$T194," ",'BMP P Tracking Table'!$AC194),'Performance Curves'!$C$1:$L$45,MATCH('BMP P Tracking Table'!$AE194,'Performance Curves'!$E$1:$L$1,1)+1,FALSE),'BMP P Tracking Table'!$AF194*'BMP P Tracking Table'!$AG194+VLOOKUP(CONCATENATE('BMP P Tracking Table'!$T194," ",'BMP P Tracking Table'!$AC194),'Performance Curves'!$C$1:$L$45,MATCH('BMP P Tracking Table'!$AE194,'Performance Curves'!$E$1:$L$1,1)+1,FALSE)),"")</f>
        <v/>
      </c>
      <c r="AI194" s="101" t="str">
        <f>IFERROR('BMP P Tracking Table'!$AH194*'BMP P Tracking Table'!$AD194,"")</f>
        <v/>
      </c>
      <c r="AJ194" s="64"/>
      <c r="AK194" s="96"/>
      <c r="AL194" s="96"/>
      <c r="AM194" s="63"/>
      <c r="AN194" s="99" t="str">
        <f t="shared" si="16"/>
        <v/>
      </c>
      <c r="AO194" s="96"/>
      <c r="AP194" s="96"/>
      <c r="AQ194" s="96"/>
      <c r="AR194" s="96"/>
      <c r="AS194" s="96"/>
      <c r="AT194" s="96"/>
      <c r="AU194" s="96"/>
      <c r="AV194" s="64"/>
      <c r="AW194" s="97"/>
      <c r="AX194" s="97"/>
      <c r="AY194" s="101" t="str">
        <f>IF('BMP P Tracking Table'!$AK194="Yes",IF('BMP P Tracking Table'!$AL194="No",'BMP P Tracking Table'!$U194*VLOOKUP('BMP P Tracking Table'!$Q194,'Loading Rates'!$B$1:$L$24,4,FALSE)+IF('BMP P Tracking Table'!$V194="By HSG",'BMP P Tracking Table'!$W194*VLOOKUP('BMP P Tracking Table'!$Q194,'Loading Rates'!$B$1:$L$24,6,FALSE)+'BMP P Tracking Table'!$X194*VLOOKUP('BMP P Tracking Table'!$Q194,'Loading Rates'!$B$1:$L$24,7,FALSE)+'BMP P Tracking Table'!$Y194*VLOOKUP('BMP P Tracking Table'!$Q194,'Loading Rates'!$B$1:$L$24,8,FALSE)+'BMP P Tracking Table'!$Z194*VLOOKUP('BMP P Tracking Table'!$Q194,'Loading Rates'!$B$1:$L$24,9,FALSE),'BMP P Tracking Table'!$AA194*VLOOKUP('BMP P Tracking Table'!$Q194,'Loading Rates'!$B$1:$L$24,10,FALSE)),'BMP P Tracking Table'!$AO194*VLOOKUP('BMP P Tracking Table'!$Q194,'Loading Rates'!$B$1:$L$24,4,FALSE)+IF('BMP P Tracking Table'!$AP194="By HSG",'BMP P Tracking Table'!$AQ194*VLOOKUP('BMP P Tracking Table'!$Q194,'Loading Rates'!$B$1:$L$24,6,FALSE)+'BMP P Tracking Table'!$AR194*VLOOKUP('BMP P Tracking Table'!$Q194,'Loading Rates'!$B$1:$L$24,7,FALSE)+'BMP P Tracking Table'!$AS194*VLOOKUP('BMP P Tracking Table'!$Q194,'Loading Rates'!$B$1:$L$24,8,FALSE)+'BMP P Tracking Table'!$AT194*VLOOKUP('BMP P Tracking Table'!$Q194,'Loading Rates'!$B$1:$L$24,9,FALSE),'BMP P Tracking Table'!$AU194*VLOOKUP('BMP P Tracking Table'!$Q194,'Loading Rates'!$B$1:$L$24,10,FALSE))),"")</f>
        <v/>
      </c>
      <c r="AZ194" s="101" t="str">
        <f>IFERROR(IF('BMP P Tracking Table'!$AL194="Yes",MIN(2,IF('BMP P Tracking Table'!$AP194="Total Pervious",(-(3630*'BMP P Tracking Table'!$AO194+20.691*'BMP P Tracking Table'!$AU194)+SQRT((3630*'BMP P Tracking Table'!$AO194+20.691*'BMP P Tracking Table'!$AU194)^2-(4*(996.798*'BMP P Tracking Table'!$AU194)*-'BMP P Tracking Table'!$AW194)))/(2*(996.798*'BMP P Tracking Table'!$AU194)),IF(SUM('BMP P Tracking Table'!$AQ194:$AT194)=0,'BMP P Tracking Table'!$AU194/(-3630*'BMP P Tracking Table'!$AO194),(-(3630*'BMP P Tracking Table'!$AO194+20.691*'BMP P Tracking Table'!$AT194-216.711*'BMP P Tracking Table'!$AS194-83.853*'BMP P Tracking Table'!$AR194-42.834*'BMP P Tracking Table'!$AQ194)+SQRT((3630*'BMP P Tracking Table'!$AO194+20.691*'BMP P Tracking Table'!$AT194-216.711*'BMP P Tracking Table'!$AS194-83.853*'BMP P Tracking Table'!$AR194-42.834*'BMP P Tracking Table'!$AQ194)^2-(4*(149.919*'BMP P Tracking Table'!$AQ194+236.676*'BMP P Tracking Table'!$AR194+726*'BMP P Tracking Table'!$AS194+996.798*'BMP P Tracking Table'!$AT194)*-'BMP P Tracking Table'!$AW194)))/(2*(149.919*'BMP P Tracking Table'!$AQ194+236.676*'BMP P Tracking Table'!$AR194+726*'BMP P Tracking Table'!$AS194+996.798*'BMP P Tracking Table'!$AT194))))),MIN(2,IF('BMP P Tracking Table'!$AP194="Total Pervious",(-(3630*'BMP P Tracking Table'!$U194+20.691*'BMP P Tracking Table'!$AA194)+SQRT((3630*'BMP P Tracking Table'!$U194+20.691*'BMP P Tracking Table'!$AA194)^2-(4*(996.798*'BMP P Tracking Table'!$AA194)*-'BMP P Tracking Table'!$AW194)))/(2*(996.798*'BMP P Tracking Table'!$AA194)),IF(SUM('BMP P Tracking Table'!$W194:$Z194)=0,'BMP P Tracking Table'!$AW194/(-3630*'BMP P Tracking Table'!$U194),(-(3630*'BMP P Tracking Table'!$U194+20.691*'BMP P Tracking Table'!$Z194-216.711*'BMP P Tracking Table'!$Y194-83.853*'BMP P Tracking Table'!$X194-42.834*'BMP P Tracking Table'!$W194)+SQRT((3630*'BMP P Tracking Table'!$U194+20.691*'BMP P Tracking Table'!$Z194-216.711*'BMP P Tracking Table'!$Y194-83.853*'BMP P Tracking Table'!$X194-42.834*'BMP P Tracking Table'!$W194)^2-(4*(149.919*'BMP P Tracking Table'!$W194+236.676*'BMP P Tracking Table'!$X194+726*'BMP P Tracking Table'!$Y194+996.798*'BMP P Tracking Table'!$Z194)*-'BMP P Tracking Table'!$AW194)))/(2*(149.919*'BMP P Tracking Table'!$W194+236.676*'BMP P Tracking Table'!$X194+726*'BMP P Tracking Table'!$Y194+996.798*'BMP P Tracking Table'!$Z194)))))),"")</f>
        <v/>
      </c>
      <c r="BA194" s="101" t="str">
        <f>IFERROR((VLOOKUP(CONCATENATE('BMP P Tracking Table'!$AV194," ",'BMP P Tracking Table'!$AX194),'Performance Curves'!$C$1:$L$45,MATCH('BMP P Tracking Table'!$AZ194,'Performance Curves'!$E$1:$L$1,1)+2,FALSE)-VLOOKUP(CONCATENATE('BMP P Tracking Table'!$AV194," ",'BMP P Tracking Table'!$AX194),'Performance Curves'!$C$1:$L$45,MATCH('BMP P Tracking Table'!$AZ194,'Performance Curves'!$E$1:$L$1,1)+1,FALSE)),"")</f>
        <v/>
      </c>
      <c r="BB194" s="101" t="str">
        <f>IFERROR(('BMP P Tracking Table'!$AZ194-INDEX('Performance Curves'!$E$1:$L$1,1,MATCH('BMP P Tracking Table'!$AZ194,'Performance Curves'!$E$1:$L$1,1)))/(INDEX('Performance Curves'!$E$1:$L$1,1,MATCH('BMP P Tracking Table'!$AZ194,'Performance Curves'!$E$1:$L$1,1)+1)-INDEX('Performance Curves'!$E$1:$L$1,1,MATCH('BMP P Tracking Table'!$AZ194,'Performance Curves'!$E$1:$L$1,1))),"")</f>
        <v/>
      </c>
      <c r="BC194" s="102" t="str">
        <f>IFERROR(IF('BMP P Tracking Table'!$AZ194=2,VLOOKUP(CONCATENATE('BMP P Tracking Table'!$AV194," ",'BMP P Tracking Table'!$AX194),'Performance Curves'!$C$1:$L$44,MATCH('BMP P Tracking Table'!$AZ194,'Performance Curves'!$E$1:$L$1,1)+1,FALSE),'BMP P Tracking Table'!$BA194*'BMP P Tracking Table'!$BB194+VLOOKUP(CONCATENATE('BMP P Tracking Table'!$AV194," ",'BMP P Tracking Table'!$AX194),'Performance Curves'!$C$1:$L$44,MATCH('BMP P Tracking Table'!$AZ194,'Performance Curves'!$E$1:$L$1,1)+1,FALSE)),"")</f>
        <v/>
      </c>
      <c r="BD194" s="101" t="str">
        <f>IFERROR('BMP P Tracking Table'!$BC194*'BMP P Tracking Table'!$AY194,"")</f>
        <v/>
      </c>
      <c r="BE194" s="96"/>
      <c r="BF194" s="37">
        <f t="shared" si="17"/>
        <v>0</v>
      </c>
    </row>
    <row r="195" spans="1:58" x14ac:dyDescent="0.3">
      <c r="A195" s="64"/>
      <c r="B195" s="64"/>
      <c r="C195" s="64"/>
      <c r="D195" s="64"/>
      <c r="E195" s="93"/>
      <c r="F195" s="93"/>
      <c r="G195" s="64"/>
      <c r="H195" s="64"/>
      <c r="I195" s="64"/>
      <c r="J195" s="94"/>
      <c r="K195" s="64"/>
      <c r="L195" s="64"/>
      <c r="M195" s="64"/>
      <c r="N195" s="64"/>
      <c r="O195" s="64"/>
      <c r="P195" s="64"/>
      <c r="Q195" s="64" t="str">
        <f>IFERROR(VLOOKUP('BMP P Tracking Table'!$P195,Dropdowns!$C$2:$E$15,3,FALSE),"")</f>
        <v/>
      </c>
      <c r="R195" s="64" t="str">
        <f>IFERROR(VLOOKUP('BMP P Tracking Table'!$Q195,Dropdowns!$P$3:$Q$23,2,FALSE),"")</f>
        <v/>
      </c>
      <c r="S195" s="64"/>
      <c r="T195" s="64"/>
      <c r="U195" s="64"/>
      <c r="V195" s="64"/>
      <c r="W195" s="64"/>
      <c r="X195" s="64"/>
      <c r="Y195" s="64"/>
      <c r="Z195" s="64"/>
      <c r="AA195" s="64"/>
      <c r="AB195" s="95"/>
      <c r="AC195" s="64"/>
      <c r="AD195" s="101" t="str">
        <f>IFERROR('BMP P Tracking Table'!$U195*VLOOKUP('BMP P Tracking Table'!$Q195,'Loading Rates'!$B$1:$L$24,4,FALSE)+IF('BMP P Tracking Table'!$V195="By HSG",'BMP P Tracking Table'!$W195*VLOOKUP('BMP P Tracking Table'!$Q195,'Loading Rates'!$B$1:$L$24,6,FALSE)+'BMP P Tracking Table'!$X195*VLOOKUP('BMP P Tracking Table'!$Q195,'Loading Rates'!$B$1:$L$24,7,FALSE)+'BMP P Tracking Table'!$Y195*VLOOKUP('BMP P Tracking Table'!$Q195,'Loading Rates'!$B$1:$L$24,8,FALSE)+'BMP P Tracking Table'!$Z195*VLOOKUP('BMP P Tracking Table'!$Q195,'Loading Rates'!$B$1:$L$24,9,FALSE),'BMP P Tracking Table'!$AA195*VLOOKUP('BMP P Tracking Table'!$Q195,'Loading Rates'!$B$1:$L$24,10,FALSE)),"")</f>
        <v/>
      </c>
      <c r="AE195" s="101" t="str">
        <f>IFERROR(MIN(2,IF('BMP P Tracking Table'!$V195="Total Pervious",(-(3630*'BMP P Tracking Table'!$U195+20.691*'BMP P Tracking Table'!$AA195)+SQRT((3630*'BMP P Tracking Table'!$U195+20.691*'BMP P Tracking Table'!$AA195)^2-(4*(996.798*'BMP P Tracking Table'!$AA195)*-'BMP P Tracking Table'!$AB195)))/(2*(996.798*'BMP P Tracking Table'!$AA195)),IF(SUM('BMP P Tracking Table'!$W195:$Z195)=0,'BMP P Tracking Table'!$AB195/(-3630*'BMP P Tracking Table'!$U195),(-(3630*'BMP P Tracking Table'!$U195+20.691*'BMP P Tracking Table'!$Z195-216.711*'BMP P Tracking Table'!$Y195-83.853*'BMP P Tracking Table'!$X195-42.834*'BMP P Tracking Table'!$W195)+SQRT((3630*'BMP P Tracking Table'!$U195+20.691*'BMP P Tracking Table'!$Z195-216.711*'BMP P Tracking Table'!$Y195-83.853*'BMP P Tracking Table'!$X195-42.834*'BMP P Tracking Table'!$W195)^2-(4*(149.919*'BMP P Tracking Table'!$W195+236.676*'BMP P Tracking Table'!$X195+726*'BMP P Tracking Table'!$Y195+996.798*'BMP P Tracking Table'!$Z195)*-'BMP P Tracking Table'!$AB195)))/(2*(149.919*'BMP P Tracking Table'!$W195+236.676*'BMP P Tracking Table'!$X195+726*'BMP P Tracking Table'!$Y195+996.798*'BMP P Tracking Table'!$Z195))))),"")</f>
        <v/>
      </c>
      <c r="AF195" s="101" t="str">
        <f>IFERROR((VLOOKUP(CONCATENATE('BMP P Tracking Table'!$T195," ",'BMP P Tracking Table'!$AC195),'Performance Curves'!$C$1:$L$45,MATCH('BMP P Tracking Table'!$AE195,'Performance Curves'!$E$1:$L$1,1)+2,FALSE)-VLOOKUP(CONCATENATE('BMP P Tracking Table'!$T195," ",'BMP P Tracking Table'!$AC195),'Performance Curves'!$C$1:$L$45,MATCH('BMP P Tracking Table'!$AE195,'Performance Curves'!$E$1:$L$1,1)+1,FALSE)),"")</f>
        <v/>
      </c>
      <c r="AG195" s="101" t="str">
        <f>IFERROR(('BMP P Tracking Table'!$AE195-INDEX('Performance Curves'!$E$1:$L$1,1,MATCH('BMP P Tracking Table'!$AE195,'Performance Curves'!$E$1:$L$1,1)))/(INDEX('Performance Curves'!$E$1:$L$1,1,MATCH('BMP P Tracking Table'!$AE195,'Performance Curves'!$E$1:$L$1,1)+1)-INDEX('Performance Curves'!$E$1:$L$1,1,MATCH('BMP P Tracking Table'!$AE195,'Performance Curves'!$E$1:$L$1,1))),"")</f>
        <v/>
      </c>
      <c r="AH195" s="102" t="str">
        <f>IFERROR(IF('BMP P Tracking Table'!$AE195=2,VLOOKUP(CONCATENATE('BMP P Tracking Table'!$T195," ",'BMP P Tracking Table'!$AC195),'Performance Curves'!$C$1:$L$45,MATCH('BMP P Tracking Table'!$AE195,'Performance Curves'!$E$1:$L$1,1)+1,FALSE),'BMP P Tracking Table'!$AF195*'BMP P Tracking Table'!$AG195+VLOOKUP(CONCATENATE('BMP P Tracking Table'!$T195," ",'BMP P Tracking Table'!$AC195),'Performance Curves'!$C$1:$L$45,MATCH('BMP P Tracking Table'!$AE195,'Performance Curves'!$E$1:$L$1,1)+1,FALSE)),"")</f>
        <v/>
      </c>
      <c r="AI195" s="101" t="str">
        <f>IFERROR('BMP P Tracking Table'!$AH195*'BMP P Tracking Table'!$AD195,"")</f>
        <v/>
      </c>
      <c r="AJ195" s="64"/>
      <c r="AK195" s="96"/>
      <c r="AL195" s="96"/>
      <c r="AM195" s="63"/>
      <c r="AN195" s="99" t="str">
        <f t="shared" si="16"/>
        <v/>
      </c>
      <c r="AO195" s="96"/>
      <c r="AP195" s="96"/>
      <c r="AQ195" s="96"/>
      <c r="AR195" s="96"/>
      <c r="AS195" s="96"/>
      <c r="AT195" s="96"/>
      <c r="AU195" s="96"/>
      <c r="AV195" s="64"/>
      <c r="AW195" s="97"/>
      <c r="AX195" s="97"/>
      <c r="AY195" s="101" t="str">
        <f>IF('BMP P Tracking Table'!$AK195="Yes",IF('BMP P Tracking Table'!$AL195="No",'BMP P Tracking Table'!$U195*VLOOKUP('BMP P Tracking Table'!$Q195,'Loading Rates'!$B$1:$L$24,4,FALSE)+IF('BMP P Tracking Table'!$V195="By HSG",'BMP P Tracking Table'!$W195*VLOOKUP('BMP P Tracking Table'!$Q195,'Loading Rates'!$B$1:$L$24,6,FALSE)+'BMP P Tracking Table'!$X195*VLOOKUP('BMP P Tracking Table'!$Q195,'Loading Rates'!$B$1:$L$24,7,FALSE)+'BMP P Tracking Table'!$Y195*VLOOKUP('BMP P Tracking Table'!$Q195,'Loading Rates'!$B$1:$L$24,8,FALSE)+'BMP P Tracking Table'!$Z195*VLOOKUP('BMP P Tracking Table'!$Q195,'Loading Rates'!$B$1:$L$24,9,FALSE),'BMP P Tracking Table'!$AA195*VLOOKUP('BMP P Tracking Table'!$Q195,'Loading Rates'!$B$1:$L$24,10,FALSE)),'BMP P Tracking Table'!$AO195*VLOOKUP('BMP P Tracking Table'!$Q195,'Loading Rates'!$B$1:$L$24,4,FALSE)+IF('BMP P Tracking Table'!$AP195="By HSG",'BMP P Tracking Table'!$AQ195*VLOOKUP('BMP P Tracking Table'!$Q195,'Loading Rates'!$B$1:$L$24,6,FALSE)+'BMP P Tracking Table'!$AR195*VLOOKUP('BMP P Tracking Table'!$Q195,'Loading Rates'!$B$1:$L$24,7,FALSE)+'BMP P Tracking Table'!$AS195*VLOOKUP('BMP P Tracking Table'!$Q195,'Loading Rates'!$B$1:$L$24,8,FALSE)+'BMP P Tracking Table'!$AT195*VLOOKUP('BMP P Tracking Table'!$Q195,'Loading Rates'!$B$1:$L$24,9,FALSE),'BMP P Tracking Table'!$AU195*VLOOKUP('BMP P Tracking Table'!$Q195,'Loading Rates'!$B$1:$L$24,10,FALSE))),"")</f>
        <v/>
      </c>
      <c r="AZ195" s="101" t="str">
        <f>IFERROR(IF('BMP P Tracking Table'!$AL195="Yes",MIN(2,IF('BMP P Tracking Table'!$AP195="Total Pervious",(-(3630*'BMP P Tracking Table'!$AO195+20.691*'BMP P Tracking Table'!$AU195)+SQRT((3630*'BMP P Tracking Table'!$AO195+20.691*'BMP P Tracking Table'!$AU195)^2-(4*(996.798*'BMP P Tracking Table'!$AU195)*-'BMP P Tracking Table'!$AW195)))/(2*(996.798*'BMP P Tracking Table'!$AU195)),IF(SUM('BMP P Tracking Table'!$AQ195:$AT195)=0,'BMP P Tracking Table'!$AU195/(-3630*'BMP P Tracking Table'!$AO195),(-(3630*'BMP P Tracking Table'!$AO195+20.691*'BMP P Tracking Table'!$AT195-216.711*'BMP P Tracking Table'!$AS195-83.853*'BMP P Tracking Table'!$AR195-42.834*'BMP P Tracking Table'!$AQ195)+SQRT((3630*'BMP P Tracking Table'!$AO195+20.691*'BMP P Tracking Table'!$AT195-216.711*'BMP P Tracking Table'!$AS195-83.853*'BMP P Tracking Table'!$AR195-42.834*'BMP P Tracking Table'!$AQ195)^2-(4*(149.919*'BMP P Tracking Table'!$AQ195+236.676*'BMP P Tracking Table'!$AR195+726*'BMP P Tracking Table'!$AS195+996.798*'BMP P Tracking Table'!$AT195)*-'BMP P Tracking Table'!$AW195)))/(2*(149.919*'BMP P Tracking Table'!$AQ195+236.676*'BMP P Tracking Table'!$AR195+726*'BMP P Tracking Table'!$AS195+996.798*'BMP P Tracking Table'!$AT195))))),MIN(2,IF('BMP P Tracking Table'!$AP195="Total Pervious",(-(3630*'BMP P Tracking Table'!$U195+20.691*'BMP P Tracking Table'!$AA195)+SQRT((3630*'BMP P Tracking Table'!$U195+20.691*'BMP P Tracking Table'!$AA195)^2-(4*(996.798*'BMP P Tracking Table'!$AA195)*-'BMP P Tracking Table'!$AW195)))/(2*(996.798*'BMP P Tracking Table'!$AA195)),IF(SUM('BMP P Tracking Table'!$W195:$Z195)=0,'BMP P Tracking Table'!$AW195/(-3630*'BMP P Tracking Table'!$U195),(-(3630*'BMP P Tracking Table'!$U195+20.691*'BMP P Tracking Table'!$Z195-216.711*'BMP P Tracking Table'!$Y195-83.853*'BMP P Tracking Table'!$X195-42.834*'BMP P Tracking Table'!$W195)+SQRT((3630*'BMP P Tracking Table'!$U195+20.691*'BMP P Tracking Table'!$Z195-216.711*'BMP P Tracking Table'!$Y195-83.853*'BMP P Tracking Table'!$X195-42.834*'BMP P Tracking Table'!$W195)^2-(4*(149.919*'BMP P Tracking Table'!$W195+236.676*'BMP P Tracking Table'!$X195+726*'BMP P Tracking Table'!$Y195+996.798*'BMP P Tracking Table'!$Z195)*-'BMP P Tracking Table'!$AW195)))/(2*(149.919*'BMP P Tracking Table'!$W195+236.676*'BMP P Tracking Table'!$X195+726*'BMP P Tracking Table'!$Y195+996.798*'BMP P Tracking Table'!$Z195)))))),"")</f>
        <v/>
      </c>
      <c r="BA195" s="101" t="str">
        <f>IFERROR((VLOOKUP(CONCATENATE('BMP P Tracking Table'!$AV195," ",'BMP P Tracking Table'!$AX195),'Performance Curves'!$C$1:$L$45,MATCH('BMP P Tracking Table'!$AZ195,'Performance Curves'!$E$1:$L$1,1)+2,FALSE)-VLOOKUP(CONCATENATE('BMP P Tracking Table'!$AV195," ",'BMP P Tracking Table'!$AX195),'Performance Curves'!$C$1:$L$45,MATCH('BMP P Tracking Table'!$AZ195,'Performance Curves'!$E$1:$L$1,1)+1,FALSE)),"")</f>
        <v/>
      </c>
      <c r="BB195" s="101" t="str">
        <f>IFERROR(('BMP P Tracking Table'!$AZ195-INDEX('Performance Curves'!$E$1:$L$1,1,MATCH('BMP P Tracking Table'!$AZ195,'Performance Curves'!$E$1:$L$1,1)))/(INDEX('Performance Curves'!$E$1:$L$1,1,MATCH('BMP P Tracking Table'!$AZ195,'Performance Curves'!$E$1:$L$1,1)+1)-INDEX('Performance Curves'!$E$1:$L$1,1,MATCH('BMP P Tracking Table'!$AZ195,'Performance Curves'!$E$1:$L$1,1))),"")</f>
        <v/>
      </c>
      <c r="BC195" s="102" t="str">
        <f>IFERROR(IF('BMP P Tracking Table'!$AZ195=2,VLOOKUP(CONCATENATE('BMP P Tracking Table'!$AV195," ",'BMP P Tracking Table'!$AX195),'Performance Curves'!$C$1:$L$44,MATCH('BMP P Tracking Table'!$AZ195,'Performance Curves'!$E$1:$L$1,1)+1,FALSE),'BMP P Tracking Table'!$BA195*'BMP P Tracking Table'!$BB195+VLOOKUP(CONCATENATE('BMP P Tracking Table'!$AV195," ",'BMP P Tracking Table'!$AX195),'Performance Curves'!$C$1:$L$44,MATCH('BMP P Tracking Table'!$AZ195,'Performance Curves'!$E$1:$L$1,1)+1,FALSE)),"")</f>
        <v/>
      </c>
      <c r="BD195" s="101" t="str">
        <f>IFERROR('BMP P Tracking Table'!$BC195*'BMP P Tracking Table'!$AY195,"")</f>
        <v/>
      </c>
      <c r="BE195" s="96"/>
      <c r="BF195" s="37">
        <f t="shared" si="17"/>
        <v>0</v>
      </c>
    </row>
    <row r="196" spans="1:58" x14ac:dyDescent="0.3">
      <c r="A196" s="64"/>
      <c r="B196" s="64"/>
      <c r="C196" s="64"/>
      <c r="D196" s="64"/>
      <c r="E196" s="93"/>
      <c r="F196" s="93"/>
      <c r="G196" s="64"/>
      <c r="H196" s="64"/>
      <c r="I196" s="64"/>
      <c r="J196" s="94"/>
      <c r="K196" s="64"/>
      <c r="L196" s="64"/>
      <c r="M196" s="64"/>
      <c r="N196" s="64"/>
      <c r="O196" s="64"/>
      <c r="P196" s="64"/>
      <c r="Q196" s="64" t="str">
        <f>IFERROR(VLOOKUP('BMP P Tracking Table'!$P196,Dropdowns!$C$2:$E$15,3,FALSE),"")</f>
        <v/>
      </c>
      <c r="R196" s="64" t="str">
        <f>IFERROR(VLOOKUP('BMP P Tracking Table'!$Q196,Dropdowns!$P$3:$Q$23,2,FALSE),"")</f>
        <v/>
      </c>
      <c r="S196" s="64"/>
      <c r="T196" s="64"/>
      <c r="U196" s="64"/>
      <c r="V196" s="64"/>
      <c r="W196" s="64"/>
      <c r="X196" s="64"/>
      <c r="Y196" s="64"/>
      <c r="Z196" s="64"/>
      <c r="AA196" s="64"/>
      <c r="AB196" s="95"/>
      <c r="AC196" s="64"/>
      <c r="AD196" s="101" t="str">
        <f>IFERROR('BMP P Tracking Table'!$U196*VLOOKUP('BMP P Tracking Table'!$Q196,'Loading Rates'!$B$1:$L$24,4,FALSE)+IF('BMP P Tracking Table'!$V196="By HSG",'BMP P Tracking Table'!$W196*VLOOKUP('BMP P Tracking Table'!$Q196,'Loading Rates'!$B$1:$L$24,6,FALSE)+'BMP P Tracking Table'!$X196*VLOOKUP('BMP P Tracking Table'!$Q196,'Loading Rates'!$B$1:$L$24,7,FALSE)+'BMP P Tracking Table'!$Y196*VLOOKUP('BMP P Tracking Table'!$Q196,'Loading Rates'!$B$1:$L$24,8,FALSE)+'BMP P Tracking Table'!$Z196*VLOOKUP('BMP P Tracking Table'!$Q196,'Loading Rates'!$B$1:$L$24,9,FALSE),'BMP P Tracking Table'!$AA196*VLOOKUP('BMP P Tracking Table'!$Q196,'Loading Rates'!$B$1:$L$24,10,FALSE)),"")</f>
        <v/>
      </c>
      <c r="AE196" s="101" t="str">
        <f>IFERROR(MIN(2,IF('BMP P Tracking Table'!$V196="Total Pervious",(-(3630*'BMP P Tracking Table'!$U196+20.691*'BMP P Tracking Table'!$AA196)+SQRT((3630*'BMP P Tracking Table'!$U196+20.691*'BMP P Tracking Table'!$AA196)^2-(4*(996.798*'BMP P Tracking Table'!$AA196)*-'BMP P Tracking Table'!$AB196)))/(2*(996.798*'BMP P Tracking Table'!$AA196)),IF(SUM('BMP P Tracking Table'!$W196:$Z196)=0,'BMP P Tracking Table'!$AB196/(-3630*'BMP P Tracking Table'!$U196),(-(3630*'BMP P Tracking Table'!$U196+20.691*'BMP P Tracking Table'!$Z196-216.711*'BMP P Tracking Table'!$Y196-83.853*'BMP P Tracking Table'!$X196-42.834*'BMP P Tracking Table'!$W196)+SQRT((3630*'BMP P Tracking Table'!$U196+20.691*'BMP P Tracking Table'!$Z196-216.711*'BMP P Tracking Table'!$Y196-83.853*'BMP P Tracking Table'!$X196-42.834*'BMP P Tracking Table'!$W196)^2-(4*(149.919*'BMP P Tracking Table'!$W196+236.676*'BMP P Tracking Table'!$X196+726*'BMP P Tracking Table'!$Y196+996.798*'BMP P Tracking Table'!$Z196)*-'BMP P Tracking Table'!$AB196)))/(2*(149.919*'BMP P Tracking Table'!$W196+236.676*'BMP P Tracking Table'!$X196+726*'BMP P Tracking Table'!$Y196+996.798*'BMP P Tracking Table'!$Z196))))),"")</f>
        <v/>
      </c>
      <c r="AF196" s="101" t="str">
        <f>IFERROR((VLOOKUP(CONCATENATE('BMP P Tracking Table'!$T196," ",'BMP P Tracking Table'!$AC196),'Performance Curves'!$C$1:$L$45,MATCH('BMP P Tracking Table'!$AE196,'Performance Curves'!$E$1:$L$1,1)+2,FALSE)-VLOOKUP(CONCATENATE('BMP P Tracking Table'!$T196," ",'BMP P Tracking Table'!$AC196),'Performance Curves'!$C$1:$L$45,MATCH('BMP P Tracking Table'!$AE196,'Performance Curves'!$E$1:$L$1,1)+1,FALSE)),"")</f>
        <v/>
      </c>
      <c r="AG196" s="101" t="str">
        <f>IFERROR(('BMP P Tracking Table'!$AE196-INDEX('Performance Curves'!$E$1:$L$1,1,MATCH('BMP P Tracking Table'!$AE196,'Performance Curves'!$E$1:$L$1,1)))/(INDEX('Performance Curves'!$E$1:$L$1,1,MATCH('BMP P Tracking Table'!$AE196,'Performance Curves'!$E$1:$L$1,1)+1)-INDEX('Performance Curves'!$E$1:$L$1,1,MATCH('BMP P Tracking Table'!$AE196,'Performance Curves'!$E$1:$L$1,1))),"")</f>
        <v/>
      </c>
      <c r="AH196" s="102" t="str">
        <f>IFERROR(IF('BMP P Tracking Table'!$AE196=2,VLOOKUP(CONCATENATE('BMP P Tracking Table'!$T196," ",'BMP P Tracking Table'!$AC196),'Performance Curves'!$C$1:$L$45,MATCH('BMP P Tracking Table'!$AE196,'Performance Curves'!$E$1:$L$1,1)+1,FALSE),'BMP P Tracking Table'!$AF196*'BMP P Tracking Table'!$AG196+VLOOKUP(CONCATENATE('BMP P Tracking Table'!$T196," ",'BMP P Tracking Table'!$AC196),'Performance Curves'!$C$1:$L$45,MATCH('BMP P Tracking Table'!$AE196,'Performance Curves'!$E$1:$L$1,1)+1,FALSE)),"")</f>
        <v/>
      </c>
      <c r="AI196" s="101" t="str">
        <f>IFERROR('BMP P Tracking Table'!$AH196*'BMP P Tracking Table'!$AD196,"")</f>
        <v/>
      </c>
      <c r="AJ196" s="64"/>
      <c r="AK196" s="96"/>
      <c r="AL196" s="96"/>
      <c r="AM196" s="63"/>
      <c r="AN196" s="99" t="str">
        <f t="shared" si="16"/>
        <v/>
      </c>
      <c r="AO196" s="96"/>
      <c r="AP196" s="96"/>
      <c r="AQ196" s="96"/>
      <c r="AR196" s="96"/>
      <c r="AS196" s="96"/>
      <c r="AT196" s="96"/>
      <c r="AU196" s="96"/>
      <c r="AV196" s="64"/>
      <c r="AW196" s="97"/>
      <c r="AX196" s="97"/>
      <c r="AY196" s="101" t="str">
        <f>IF('BMP P Tracking Table'!$AK196="Yes",IF('BMP P Tracking Table'!$AL196="No",'BMP P Tracking Table'!$U196*VLOOKUP('BMP P Tracking Table'!$Q196,'Loading Rates'!$B$1:$L$24,4,FALSE)+IF('BMP P Tracking Table'!$V196="By HSG",'BMP P Tracking Table'!$W196*VLOOKUP('BMP P Tracking Table'!$Q196,'Loading Rates'!$B$1:$L$24,6,FALSE)+'BMP P Tracking Table'!$X196*VLOOKUP('BMP P Tracking Table'!$Q196,'Loading Rates'!$B$1:$L$24,7,FALSE)+'BMP P Tracking Table'!$Y196*VLOOKUP('BMP P Tracking Table'!$Q196,'Loading Rates'!$B$1:$L$24,8,FALSE)+'BMP P Tracking Table'!$Z196*VLOOKUP('BMP P Tracking Table'!$Q196,'Loading Rates'!$B$1:$L$24,9,FALSE),'BMP P Tracking Table'!$AA196*VLOOKUP('BMP P Tracking Table'!$Q196,'Loading Rates'!$B$1:$L$24,10,FALSE)),'BMP P Tracking Table'!$AO196*VLOOKUP('BMP P Tracking Table'!$Q196,'Loading Rates'!$B$1:$L$24,4,FALSE)+IF('BMP P Tracking Table'!$AP196="By HSG",'BMP P Tracking Table'!$AQ196*VLOOKUP('BMP P Tracking Table'!$Q196,'Loading Rates'!$B$1:$L$24,6,FALSE)+'BMP P Tracking Table'!$AR196*VLOOKUP('BMP P Tracking Table'!$Q196,'Loading Rates'!$B$1:$L$24,7,FALSE)+'BMP P Tracking Table'!$AS196*VLOOKUP('BMP P Tracking Table'!$Q196,'Loading Rates'!$B$1:$L$24,8,FALSE)+'BMP P Tracking Table'!$AT196*VLOOKUP('BMP P Tracking Table'!$Q196,'Loading Rates'!$B$1:$L$24,9,FALSE),'BMP P Tracking Table'!$AU196*VLOOKUP('BMP P Tracking Table'!$Q196,'Loading Rates'!$B$1:$L$24,10,FALSE))),"")</f>
        <v/>
      </c>
      <c r="AZ196" s="101" t="str">
        <f>IFERROR(IF('BMP P Tracking Table'!$AL196="Yes",MIN(2,IF('BMP P Tracking Table'!$AP196="Total Pervious",(-(3630*'BMP P Tracking Table'!$AO196+20.691*'BMP P Tracking Table'!$AU196)+SQRT((3630*'BMP P Tracking Table'!$AO196+20.691*'BMP P Tracking Table'!$AU196)^2-(4*(996.798*'BMP P Tracking Table'!$AU196)*-'BMP P Tracking Table'!$AW196)))/(2*(996.798*'BMP P Tracking Table'!$AU196)),IF(SUM('BMP P Tracking Table'!$AQ196:$AT196)=0,'BMP P Tracking Table'!$AU196/(-3630*'BMP P Tracking Table'!$AO196),(-(3630*'BMP P Tracking Table'!$AO196+20.691*'BMP P Tracking Table'!$AT196-216.711*'BMP P Tracking Table'!$AS196-83.853*'BMP P Tracking Table'!$AR196-42.834*'BMP P Tracking Table'!$AQ196)+SQRT((3630*'BMP P Tracking Table'!$AO196+20.691*'BMP P Tracking Table'!$AT196-216.711*'BMP P Tracking Table'!$AS196-83.853*'BMP P Tracking Table'!$AR196-42.834*'BMP P Tracking Table'!$AQ196)^2-(4*(149.919*'BMP P Tracking Table'!$AQ196+236.676*'BMP P Tracking Table'!$AR196+726*'BMP P Tracking Table'!$AS196+996.798*'BMP P Tracking Table'!$AT196)*-'BMP P Tracking Table'!$AW196)))/(2*(149.919*'BMP P Tracking Table'!$AQ196+236.676*'BMP P Tracking Table'!$AR196+726*'BMP P Tracking Table'!$AS196+996.798*'BMP P Tracking Table'!$AT196))))),MIN(2,IF('BMP P Tracking Table'!$AP196="Total Pervious",(-(3630*'BMP P Tracking Table'!$U196+20.691*'BMP P Tracking Table'!$AA196)+SQRT((3630*'BMP P Tracking Table'!$U196+20.691*'BMP P Tracking Table'!$AA196)^2-(4*(996.798*'BMP P Tracking Table'!$AA196)*-'BMP P Tracking Table'!$AW196)))/(2*(996.798*'BMP P Tracking Table'!$AA196)),IF(SUM('BMP P Tracking Table'!$W196:$Z196)=0,'BMP P Tracking Table'!$AW196/(-3630*'BMP P Tracking Table'!$U196),(-(3630*'BMP P Tracking Table'!$U196+20.691*'BMP P Tracking Table'!$Z196-216.711*'BMP P Tracking Table'!$Y196-83.853*'BMP P Tracking Table'!$X196-42.834*'BMP P Tracking Table'!$W196)+SQRT((3630*'BMP P Tracking Table'!$U196+20.691*'BMP P Tracking Table'!$Z196-216.711*'BMP P Tracking Table'!$Y196-83.853*'BMP P Tracking Table'!$X196-42.834*'BMP P Tracking Table'!$W196)^2-(4*(149.919*'BMP P Tracking Table'!$W196+236.676*'BMP P Tracking Table'!$X196+726*'BMP P Tracking Table'!$Y196+996.798*'BMP P Tracking Table'!$Z196)*-'BMP P Tracking Table'!$AW196)))/(2*(149.919*'BMP P Tracking Table'!$W196+236.676*'BMP P Tracking Table'!$X196+726*'BMP P Tracking Table'!$Y196+996.798*'BMP P Tracking Table'!$Z196)))))),"")</f>
        <v/>
      </c>
      <c r="BA196" s="101" t="str">
        <f>IFERROR((VLOOKUP(CONCATENATE('BMP P Tracking Table'!$AV196," ",'BMP P Tracking Table'!$AX196),'Performance Curves'!$C$1:$L$45,MATCH('BMP P Tracking Table'!$AZ196,'Performance Curves'!$E$1:$L$1,1)+2,FALSE)-VLOOKUP(CONCATENATE('BMP P Tracking Table'!$AV196," ",'BMP P Tracking Table'!$AX196),'Performance Curves'!$C$1:$L$45,MATCH('BMP P Tracking Table'!$AZ196,'Performance Curves'!$E$1:$L$1,1)+1,FALSE)),"")</f>
        <v/>
      </c>
      <c r="BB196" s="101" t="str">
        <f>IFERROR(('BMP P Tracking Table'!$AZ196-INDEX('Performance Curves'!$E$1:$L$1,1,MATCH('BMP P Tracking Table'!$AZ196,'Performance Curves'!$E$1:$L$1,1)))/(INDEX('Performance Curves'!$E$1:$L$1,1,MATCH('BMP P Tracking Table'!$AZ196,'Performance Curves'!$E$1:$L$1,1)+1)-INDEX('Performance Curves'!$E$1:$L$1,1,MATCH('BMP P Tracking Table'!$AZ196,'Performance Curves'!$E$1:$L$1,1))),"")</f>
        <v/>
      </c>
      <c r="BC196" s="102" t="str">
        <f>IFERROR(IF('BMP P Tracking Table'!$AZ196=2,VLOOKUP(CONCATENATE('BMP P Tracking Table'!$AV196," ",'BMP P Tracking Table'!$AX196),'Performance Curves'!$C$1:$L$44,MATCH('BMP P Tracking Table'!$AZ196,'Performance Curves'!$E$1:$L$1,1)+1,FALSE),'BMP P Tracking Table'!$BA196*'BMP P Tracking Table'!$BB196+VLOOKUP(CONCATENATE('BMP P Tracking Table'!$AV196," ",'BMP P Tracking Table'!$AX196),'Performance Curves'!$C$1:$L$44,MATCH('BMP P Tracking Table'!$AZ196,'Performance Curves'!$E$1:$L$1,1)+1,FALSE)),"")</f>
        <v/>
      </c>
      <c r="BD196" s="101" t="str">
        <f>IFERROR('BMP P Tracking Table'!$BC196*'BMP P Tracking Table'!$AY196,"")</f>
        <v/>
      </c>
      <c r="BE196" s="96"/>
      <c r="BF196" s="37">
        <f t="shared" si="17"/>
        <v>0</v>
      </c>
    </row>
    <row r="197" spans="1:58" x14ac:dyDescent="0.3">
      <c r="A197" s="64"/>
      <c r="B197" s="64"/>
      <c r="C197" s="64"/>
      <c r="D197" s="64"/>
      <c r="E197" s="93"/>
      <c r="F197" s="93"/>
      <c r="G197" s="64"/>
      <c r="H197" s="64"/>
      <c r="I197" s="64"/>
      <c r="J197" s="94"/>
      <c r="K197" s="64"/>
      <c r="L197" s="64"/>
      <c r="M197" s="64"/>
      <c r="N197" s="64"/>
      <c r="O197" s="64"/>
      <c r="P197" s="64"/>
      <c r="Q197" s="64" t="str">
        <f>IFERROR(VLOOKUP('BMP P Tracking Table'!$P197,Dropdowns!$C$2:$E$15,3,FALSE),"")</f>
        <v/>
      </c>
      <c r="R197" s="64" t="str">
        <f>IFERROR(VLOOKUP('BMP P Tracking Table'!$Q197,Dropdowns!$P$3:$Q$23,2,FALSE),"")</f>
        <v/>
      </c>
      <c r="S197" s="64"/>
      <c r="T197" s="64"/>
      <c r="U197" s="64"/>
      <c r="V197" s="64"/>
      <c r="W197" s="64"/>
      <c r="X197" s="64"/>
      <c r="Y197" s="64"/>
      <c r="Z197" s="64"/>
      <c r="AA197" s="64"/>
      <c r="AB197" s="95"/>
      <c r="AC197" s="64"/>
      <c r="AD197" s="101" t="str">
        <f>IFERROR('BMP P Tracking Table'!$U197*VLOOKUP('BMP P Tracking Table'!$Q197,'Loading Rates'!$B$1:$L$24,4,FALSE)+IF('BMP P Tracking Table'!$V197="By HSG",'BMP P Tracking Table'!$W197*VLOOKUP('BMP P Tracking Table'!$Q197,'Loading Rates'!$B$1:$L$24,6,FALSE)+'BMP P Tracking Table'!$X197*VLOOKUP('BMP P Tracking Table'!$Q197,'Loading Rates'!$B$1:$L$24,7,FALSE)+'BMP P Tracking Table'!$Y197*VLOOKUP('BMP P Tracking Table'!$Q197,'Loading Rates'!$B$1:$L$24,8,FALSE)+'BMP P Tracking Table'!$Z197*VLOOKUP('BMP P Tracking Table'!$Q197,'Loading Rates'!$B$1:$L$24,9,FALSE),'BMP P Tracking Table'!$AA197*VLOOKUP('BMP P Tracking Table'!$Q197,'Loading Rates'!$B$1:$L$24,10,FALSE)),"")</f>
        <v/>
      </c>
      <c r="AE197" s="101" t="str">
        <f>IFERROR(MIN(2,IF('BMP P Tracking Table'!$V197="Total Pervious",(-(3630*'BMP P Tracking Table'!$U197+20.691*'BMP P Tracking Table'!$AA197)+SQRT((3630*'BMP P Tracking Table'!$U197+20.691*'BMP P Tracking Table'!$AA197)^2-(4*(996.798*'BMP P Tracking Table'!$AA197)*-'BMP P Tracking Table'!$AB197)))/(2*(996.798*'BMP P Tracking Table'!$AA197)),IF(SUM('BMP P Tracking Table'!$W197:$Z197)=0,'BMP P Tracking Table'!$AB197/(-3630*'BMP P Tracking Table'!$U197),(-(3630*'BMP P Tracking Table'!$U197+20.691*'BMP P Tracking Table'!$Z197-216.711*'BMP P Tracking Table'!$Y197-83.853*'BMP P Tracking Table'!$X197-42.834*'BMP P Tracking Table'!$W197)+SQRT((3630*'BMP P Tracking Table'!$U197+20.691*'BMP P Tracking Table'!$Z197-216.711*'BMP P Tracking Table'!$Y197-83.853*'BMP P Tracking Table'!$X197-42.834*'BMP P Tracking Table'!$W197)^2-(4*(149.919*'BMP P Tracking Table'!$W197+236.676*'BMP P Tracking Table'!$X197+726*'BMP P Tracking Table'!$Y197+996.798*'BMP P Tracking Table'!$Z197)*-'BMP P Tracking Table'!$AB197)))/(2*(149.919*'BMP P Tracking Table'!$W197+236.676*'BMP P Tracking Table'!$X197+726*'BMP P Tracking Table'!$Y197+996.798*'BMP P Tracking Table'!$Z197))))),"")</f>
        <v/>
      </c>
      <c r="AF197" s="101" t="str">
        <f>IFERROR((VLOOKUP(CONCATENATE('BMP P Tracking Table'!$T197," ",'BMP P Tracking Table'!$AC197),'Performance Curves'!$C$1:$L$45,MATCH('BMP P Tracking Table'!$AE197,'Performance Curves'!$E$1:$L$1,1)+2,FALSE)-VLOOKUP(CONCATENATE('BMP P Tracking Table'!$T197," ",'BMP P Tracking Table'!$AC197),'Performance Curves'!$C$1:$L$45,MATCH('BMP P Tracking Table'!$AE197,'Performance Curves'!$E$1:$L$1,1)+1,FALSE)),"")</f>
        <v/>
      </c>
      <c r="AG197" s="101" t="str">
        <f>IFERROR(('BMP P Tracking Table'!$AE197-INDEX('Performance Curves'!$E$1:$L$1,1,MATCH('BMP P Tracking Table'!$AE197,'Performance Curves'!$E$1:$L$1,1)))/(INDEX('Performance Curves'!$E$1:$L$1,1,MATCH('BMP P Tracking Table'!$AE197,'Performance Curves'!$E$1:$L$1,1)+1)-INDEX('Performance Curves'!$E$1:$L$1,1,MATCH('BMP P Tracking Table'!$AE197,'Performance Curves'!$E$1:$L$1,1))),"")</f>
        <v/>
      </c>
      <c r="AH197" s="102" t="str">
        <f>IFERROR(IF('BMP P Tracking Table'!$AE197=2,VLOOKUP(CONCATENATE('BMP P Tracking Table'!$T197," ",'BMP P Tracking Table'!$AC197),'Performance Curves'!$C$1:$L$45,MATCH('BMP P Tracking Table'!$AE197,'Performance Curves'!$E$1:$L$1,1)+1,FALSE),'BMP P Tracking Table'!$AF197*'BMP P Tracking Table'!$AG197+VLOOKUP(CONCATENATE('BMP P Tracking Table'!$T197," ",'BMP P Tracking Table'!$AC197),'Performance Curves'!$C$1:$L$45,MATCH('BMP P Tracking Table'!$AE197,'Performance Curves'!$E$1:$L$1,1)+1,FALSE)),"")</f>
        <v/>
      </c>
      <c r="AI197" s="101" t="str">
        <f>IFERROR('BMP P Tracking Table'!$AH197*'BMP P Tracking Table'!$AD197,"")</f>
        <v/>
      </c>
      <c r="AJ197" s="64"/>
      <c r="AK197" s="96"/>
      <c r="AL197" s="96"/>
      <c r="AM197" s="63"/>
      <c r="AN197" s="99" t="str">
        <f t="shared" si="16"/>
        <v/>
      </c>
      <c r="AO197" s="96"/>
      <c r="AP197" s="96"/>
      <c r="AQ197" s="96"/>
      <c r="AR197" s="96"/>
      <c r="AS197" s="96"/>
      <c r="AT197" s="96"/>
      <c r="AU197" s="96"/>
      <c r="AV197" s="64"/>
      <c r="AW197" s="97"/>
      <c r="AX197" s="97"/>
      <c r="AY197" s="101" t="str">
        <f>IF('BMP P Tracking Table'!$AK197="Yes",IF('BMP P Tracking Table'!$AL197="No",'BMP P Tracking Table'!$U197*VLOOKUP('BMP P Tracking Table'!$Q197,'Loading Rates'!$B$1:$L$24,4,FALSE)+IF('BMP P Tracking Table'!$V197="By HSG",'BMP P Tracking Table'!$W197*VLOOKUP('BMP P Tracking Table'!$Q197,'Loading Rates'!$B$1:$L$24,6,FALSE)+'BMP P Tracking Table'!$X197*VLOOKUP('BMP P Tracking Table'!$Q197,'Loading Rates'!$B$1:$L$24,7,FALSE)+'BMP P Tracking Table'!$Y197*VLOOKUP('BMP P Tracking Table'!$Q197,'Loading Rates'!$B$1:$L$24,8,FALSE)+'BMP P Tracking Table'!$Z197*VLOOKUP('BMP P Tracking Table'!$Q197,'Loading Rates'!$B$1:$L$24,9,FALSE),'BMP P Tracking Table'!$AA197*VLOOKUP('BMP P Tracking Table'!$Q197,'Loading Rates'!$B$1:$L$24,10,FALSE)),'BMP P Tracking Table'!$AO197*VLOOKUP('BMP P Tracking Table'!$Q197,'Loading Rates'!$B$1:$L$24,4,FALSE)+IF('BMP P Tracking Table'!$AP197="By HSG",'BMP P Tracking Table'!$AQ197*VLOOKUP('BMP P Tracking Table'!$Q197,'Loading Rates'!$B$1:$L$24,6,FALSE)+'BMP P Tracking Table'!$AR197*VLOOKUP('BMP P Tracking Table'!$Q197,'Loading Rates'!$B$1:$L$24,7,FALSE)+'BMP P Tracking Table'!$AS197*VLOOKUP('BMP P Tracking Table'!$Q197,'Loading Rates'!$B$1:$L$24,8,FALSE)+'BMP P Tracking Table'!$AT197*VLOOKUP('BMP P Tracking Table'!$Q197,'Loading Rates'!$B$1:$L$24,9,FALSE),'BMP P Tracking Table'!$AU197*VLOOKUP('BMP P Tracking Table'!$Q197,'Loading Rates'!$B$1:$L$24,10,FALSE))),"")</f>
        <v/>
      </c>
      <c r="AZ197" s="101" t="str">
        <f>IFERROR(IF('BMP P Tracking Table'!$AL197="Yes",MIN(2,IF('BMP P Tracking Table'!$AP197="Total Pervious",(-(3630*'BMP P Tracking Table'!$AO197+20.691*'BMP P Tracking Table'!$AU197)+SQRT((3630*'BMP P Tracking Table'!$AO197+20.691*'BMP P Tracking Table'!$AU197)^2-(4*(996.798*'BMP P Tracking Table'!$AU197)*-'BMP P Tracking Table'!$AW197)))/(2*(996.798*'BMP P Tracking Table'!$AU197)),IF(SUM('BMP P Tracking Table'!$AQ197:$AT197)=0,'BMP P Tracking Table'!$AU197/(-3630*'BMP P Tracking Table'!$AO197),(-(3630*'BMP P Tracking Table'!$AO197+20.691*'BMP P Tracking Table'!$AT197-216.711*'BMP P Tracking Table'!$AS197-83.853*'BMP P Tracking Table'!$AR197-42.834*'BMP P Tracking Table'!$AQ197)+SQRT((3630*'BMP P Tracking Table'!$AO197+20.691*'BMP P Tracking Table'!$AT197-216.711*'BMP P Tracking Table'!$AS197-83.853*'BMP P Tracking Table'!$AR197-42.834*'BMP P Tracking Table'!$AQ197)^2-(4*(149.919*'BMP P Tracking Table'!$AQ197+236.676*'BMP P Tracking Table'!$AR197+726*'BMP P Tracking Table'!$AS197+996.798*'BMP P Tracking Table'!$AT197)*-'BMP P Tracking Table'!$AW197)))/(2*(149.919*'BMP P Tracking Table'!$AQ197+236.676*'BMP P Tracking Table'!$AR197+726*'BMP P Tracking Table'!$AS197+996.798*'BMP P Tracking Table'!$AT197))))),MIN(2,IF('BMP P Tracking Table'!$AP197="Total Pervious",(-(3630*'BMP P Tracking Table'!$U197+20.691*'BMP P Tracking Table'!$AA197)+SQRT((3630*'BMP P Tracking Table'!$U197+20.691*'BMP P Tracking Table'!$AA197)^2-(4*(996.798*'BMP P Tracking Table'!$AA197)*-'BMP P Tracking Table'!$AW197)))/(2*(996.798*'BMP P Tracking Table'!$AA197)),IF(SUM('BMP P Tracking Table'!$W197:$Z197)=0,'BMP P Tracking Table'!$AW197/(-3630*'BMP P Tracking Table'!$U197),(-(3630*'BMP P Tracking Table'!$U197+20.691*'BMP P Tracking Table'!$Z197-216.711*'BMP P Tracking Table'!$Y197-83.853*'BMP P Tracking Table'!$X197-42.834*'BMP P Tracking Table'!$W197)+SQRT((3630*'BMP P Tracking Table'!$U197+20.691*'BMP P Tracking Table'!$Z197-216.711*'BMP P Tracking Table'!$Y197-83.853*'BMP P Tracking Table'!$X197-42.834*'BMP P Tracking Table'!$W197)^2-(4*(149.919*'BMP P Tracking Table'!$W197+236.676*'BMP P Tracking Table'!$X197+726*'BMP P Tracking Table'!$Y197+996.798*'BMP P Tracking Table'!$Z197)*-'BMP P Tracking Table'!$AW197)))/(2*(149.919*'BMP P Tracking Table'!$W197+236.676*'BMP P Tracking Table'!$X197+726*'BMP P Tracking Table'!$Y197+996.798*'BMP P Tracking Table'!$Z197)))))),"")</f>
        <v/>
      </c>
      <c r="BA197" s="101" t="str">
        <f>IFERROR((VLOOKUP(CONCATENATE('BMP P Tracking Table'!$AV197," ",'BMP P Tracking Table'!$AX197),'Performance Curves'!$C$1:$L$45,MATCH('BMP P Tracking Table'!$AZ197,'Performance Curves'!$E$1:$L$1,1)+2,FALSE)-VLOOKUP(CONCATENATE('BMP P Tracking Table'!$AV197," ",'BMP P Tracking Table'!$AX197),'Performance Curves'!$C$1:$L$45,MATCH('BMP P Tracking Table'!$AZ197,'Performance Curves'!$E$1:$L$1,1)+1,FALSE)),"")</f>
        <v/>
      </c>
      <c r="BB197" s="101" t="str">
        <f>IFERROR(('BMP P Tracking Table'!$AZ197-INDEX('Performance Curves'!$E$1:$L$1,1,MATCH('BMP P Tracking Table'!$AZ197,'Performance Curves'!$E$1:$L$1,1)))/(INDEX('Performance Curves'!$E$1:$L$1,1,MATCH('BMP P Tracking Table'!$AZ197,'Performance Curves'!$E$1:$L$1,1)+1)-INDEX('Performance Curves'!$E$1:$L$1,1,MATCH('BMP P Tracking Table'!$AZ197,'Performance Curves'!$E$1:$L$1,1))),"")</f>
        <v/>
      </c>
      <c r="BC197" s="102" t="str">
        <f>IFERROR(IF('BMP P Tracking Table'!$AZ197=2,VLOOKUP(CONCATENATE('BMP P Tracking Table'!$AV197," ",'BMP P Tracking Table'!$AX197),'Performance Curves'!$C$1:$L$44,MATCH('BMP P Tracking Table'!$AZ197,'Performance Curves'!$E$1:$L$1,1)+1,FALSE),'BMP P Tracking Table'!$BA197*'BMP P Tracking Table'!$BB197+VLOOKUP(CONCATENATE('BMP P Tracking Table'!$AV197," ",'BMP P Tracking Table'!$AX197),'Performance Curves'!$C$1:$L$44,MATCH('BMP P Tracking Table'!$AZ197,'Performance Curves'!$E$1:$L$1,1)+1,FALSE)),"")</f>
        <v/>
      </c>
      <c r="BD197" s="101" t="str">
        <f>IFERROR('BMP P Tracking Table'!$BC197*'BMP P Tracking Table'!$AY197,"")</f>
        <v/>
      </c>
      <c r="BE197" s="96"/>
      <c r="BF197" s="37">
        <f t="shared" si="17"/>
        <v>0</v>
      </c>
    </row>
    <row r="198" spans="1:58" x14ac:dyDescent="0.3">
      <c r="A198" s="64"/>
      <c r="B198" s="64"/>
      <c r="C198" s="64"/>
      <c r="D198" s="64"/>
      <c r="E198" s="93"/>
      <c r="F198" s="93"/>
      <c r="G198" s="64"/>
      <c r="H198" s="64"/>
      <c r="I198" s="64"/>
      <c r="J198" s="94"/>
      <c r="K198" s="64"/>
      <c r="L198" s="64"/>
      <c r="M198" s="64"/>
      <c r="N198" s="64"/>
      <c r="O198" s="64"/>
      <c r="P198" s="64"/>
      <c r="Q198" s="64" t="str">
        <f>IFERROR(VLOOKUP('BMP P Tracking Table'!$P198,Dropdowns!$C$2:$E$15,3,FALSE),"")</f>
        <v/>
      </c>
      <c r="R198" s="64" t="str">
        <f>IFERROR(VLOOKUP('BMP P Tracking Table'!$Q198,Dropdowns!$P$3:$Q$23,2,FALSE),"")</f>
        <v/>
      </c>
      <c r="S198" s="64"/>
      <c r="T198" s="64"/>
      <c r="U198" s="64"/>
      <c r="V198" s="64"/>
      <c r="W198" s="64"/>
      <c r="X198" s="64"/>
      <c r="Y198" s="64"/>
      <c r="Z198" s="64"/>
      <c r="AA198" s="64"/>
      <c r="AB198" s="95"/>
      <c r="AC198" s="64"/>
      <c r="AD198" s="101" t="str">
        <f>IFERROR('BMP P Tracking Table'!$U198*VLOOKUP('BMP P Tracking Table'!$Q198,'Loading Rates'!$B$1:$L$24,4,FALSE)+IF('BMP P Tracking Table'!$V198="By HSG",'BMP P Tracking Table'!$W198*VLOOKUP('BMP P Tracking Table'!$Q198,'Loading Rates'!$B$1:$L$24,6,FALSE)+'BMP P Tracking Table'!$X198*VLOOKUP('BMP P Tracking Table'!$Q198,'Loading Rates'!$B$1:$L$24,7,FALSE)+'BMP P Tracking Table'!$Y198*VLOOKUP('BMP P Tracking Table'!$Q198,'Loading Rates'!$B$1:$L$24,8,FALSE)+'BMP P Tracking Table'!$Z198*VLOOKUP('BMP P Tracking Table'!$Q198,'Loading Rates'!$B$1:$L$24,9,FALSE),'BMP P Tracking Table'!$AA198*VLOOKUP('BMP P Tracking Table'!$Q198,'Loading Rates'!$B$1:$L$24,10,FALSE)),"")</f>
        <v/>
      </c>
      <c r="AE198" s="101" t="str">
        <f>IFERROR(MIN(2,IF('BMP P Tracking Table'!$V198="Total Pervious",(-(3630*'BMP P Tracking Table'!$U198+20.691*'BMP P Tracking Table'!$AA198)+SQRT((3630*'BMP P Tracking Table'!$U198+20.691*'BMP P Tracking Table'!$AA198)^2-(4*(996.798*'BMP P Tracking Table'!$AA198)*-'BMP P Tracking Table'!$AB198)))/(2*(996.798*'BMP P Tracking Table'!$AA198)),IF(SUM('BMP P Tracking Table'!$W198:$Z198)=0,'BMP P Tracking Table'!$AB198/(-3630*'BMP P Tracking Table'!$U198),(-(3630*'BMP P Tracking Table'!$U198+20.691*'BMP P Tracking Table'!$Z198-216.711*'BMP P Tracking Table'!$Y198-83.853*'BMP P Tracking Table'!$X198-42.834*'BMP P Tracking Table'!$W198)+SQRT((3630*'BMP P Tracking Table'!$U198+20.691*'BMP P Tracking Table'!$Z198-216.711*'BMP P Tracking Table'!$Y198-83.853*'BMP P Tracking Table'!$X198-42.834*'BMP P Tracking Table'!$W198)^2-(4*(149.919*'BMP P Tracking Table'!$W198+236.676*'BMP P Tracking Table'!$X198+726*'BMP P Tracking Table'!$Y198+996.798*'BMP P Tracking Table'!$Z198)*-'BMP P Tracking Table'!$AB198)))/(2*(149.919*'BMP P Tracking Table'!$W198+236.676*'BMP P Tracking Table'!$X198+726*'BMP P Tracking Table'!$Y198+996.798*'BMP P Tracking Table'!$Z198))))),"")</f>
        <v/>
      </c>
      <c r="AF198" s="101" t="str">
        <f>IFERROR((VLOOKUP(CONCATENATE('BMP P Tracking Table'!$T198," ",'BMP P Tracking Table'!$AC198),'Performance Curves'!$C$1:$L$45,MATCH('BMP P Tracking Table'!$AE198,'Performance Curves'!$E$1:$L$1,1)+2,FALSE)-VLOOKUP(CONCATENATE('BMP P Tracking Table'!$T198," ",'BMP P Tracking Table'!$AC198),'Performance Curves'!$C$1:$L$45,MATCH('BMP P Tracking Table'!$AE198,'Performance Curves'!$E$1:$L$1,1)+1,FALSE)),"")</f>
        <v/>
      </c>
      <c r="AG198" s="101" t="str">
        <f>IFERROR(('BMP P Tracking Table'!$AE198-INDEX('Performance Curves'!$E$1:$L$1,1,MATCH('BMP P Tracking Table'!$AE198,'Performance Curves'!$E$1:$L$1,1)))/(INDEX('Performance Curves'!$E$1:$L$1,1,MATCH('BMP P Tracking Table'!$AE198,'Performance Curves'!$E$1:$L$1,1)+1)-INDEX('Performance Curves'!$E$1:$L$1,1,MATCH('BMP P Tracking Table'!$AE198,'Performance Curves'!$E$1:$L$1,1))),"")</f>
        <v/>
      </c>
      <c r="AH198" s="102" t="str">
        <f>IFERROR(IF('BMP P Tracking Table'!$AE198=2,VLOOKUP(CONCATENATE('BMP P Tracking Table'!$T198," ",'BMP P Tracking Table'!$AC198),'Performance Curves'!$C$1:$L$45,MATCH('BMP P Tracking Table'!$AE198,'Performance Curves'!$E$1:$L$1,1)+1,FALSE),'BMP P Tracking Table'!$AF198*'BMP P Tracking Table'!$AG198+VLOOKUP(CONCATENATE('BMP P Tracking Table'!$T198," ",'BMP P Tracking Table'!$AC198),'Performance Curves'!$C$1:$L$45,MATCH('BMP P Tracking Table'!$AE198,'Performance Curves'!$E$1:$L$1,1)+1,FALSE)),"")</f>
        <v/>
      </c>
      <c r="AI198" s="101" t="str">
        <f>IFERROR('BMP P Tracking Table'!$AH198*'BMP P Tracking Table'!$AD198,"")</f>
        <v/>
      </c>
      <c r="AJ198" s="64"/>
      <c r="AK198" s="96"/>
      <c r="AL198" s="96"/>
      <c r="AM198" s="63"/>
      <c r="AN198" s="99" t="str">
        <f t="shared" si="16"/>
        <v/>
      </c>
      <c r="AO198" s="96"/>
      <c r="AP198" s="96"/>
      <c r="AQ198" s="96"/>
      <c r="AR198" s="96"/>
      <c r="AS198" s="96"/>
      <c r="AT198" s="96"/>
      <c r="AU198" s="96"/>
      <c r="AV198" s="64"/>
      <c r="AW198" s="97"/>
      <c r="AX198" s="97"/>
      <c r="AY198" s="101" t="str">
        <f>IF('BMP P Tracking Table'!$AK198="Yes",IF('BMP P Tracking Table'!$AL198="No",'BMP P Tracking Table'!$U198*VLOOKUP('BMP P Tracking Table'!$Q198,'Loading Rates'!$B$1:$L$24,4,FALSE)+IF('BMP P Tracking Table'!$V198="By HSG",'BMP P Tracking Table'!$W198*VLOOKUP('BMP P Tracking Table'!$Q198,'Loading Rates'!$B$1:$L$24,6,FALSE)+'BMP P Tracking Table'!$X198*VLOOKUP('BMP P Tracking Table'!$Q198,'Loading Rates'!$B$1:$L$24,7,FALSE)+'BMP P Tracking Table'!$Y198*VLOOKUP('BMP P Tracking Table'!$Q198,'Loading Rates'!$B$1:$L$24,8,FALSE)+'BMP P Tracking Table'!$Z198*VLOOKUP('BMP P Tracking Table'!$Q198,'Loading Rates'!$B$1:$L$24,9,FALSE),'BMP P Tracking Table'!$AA198*VLOOKUP('BMP P Tracking Table'!$Q198,'Loading Rates'!$B$1:$L$24,10,FALSE)),'BMP P Tracking Table'!$AO198*VLOOKUP('BMP P Tracking Table'!$Q198,'Loading Rates'!$B$1:$L$24,4,FALSE)+IF('BMP P Tracking Table'!$AP198="By HSG",'BMP P Tracking Table'!$AQ198*VLOOKUP('BMP P Tracking Table'!$Q198,'Loading Rates'!$B$1:$L$24,6,FALSE)+'BMP P Tracking Table'!$AR198*VLOOKUP('BMP P Tracking Table'!$Q198,'Loading Rates'!$B$1:$L$24,7,FALSE)+'BMP P Tracking Table'!$AS198*VLOOKUP('BMP P Tracking Table'!$Q198,'Loading Rates'!$B$1:$L$24,8,FALSE)+'BMP P Tracking Table'!$AT198*VLOOKUP('BMP P Tracking Table'!$Q198,'Loading Rates'!$B$1:$L$24,9,FALSE),'BMP P Tracking Table'!$AU198*VLOOKUP('BMP P Tracking Table'!$Q198,'Loading Rates'!$B$1:$L$24,10,FALSE))),"")</f>
        <v/>
      </c>
      <c r="AZ198" s="101" t="str">
        <f>IFERROR(IF('BMP P Tracking Table'!$AL198="Yes",MIN(2,IF('BMP P Tracking Table'!$AP198="Total Pervious",(-(3630*'BMP P Tracking Table'!$AO198+20.691*'BMP P Tracking Table'!$AU198)+SQRT((3630*'BMP P Tracking Table'!$AO198+20.691*'BMP P Tracking Table'!$AU198)^2-(4*(996.798*'BMP P Tracking Table'!$AU198)*-'BMP P Tracking Table'!$AW198)))/(2*(996.798*'BMP P Tracking Table'!$AU198)),IF(SUM('BMP P Tracking Table'!$AQ198:$AT198)=0,'BMP P Tracking Table'!$AU198/(-3630*'BMP P Tracking Table'!$AO198),(-(3630*'BMP P Tracking Table'!$AO198+20.691*'BMP P Tracking Table'!$AT198-216.711*'BMP P Tracking Table'!$AS198-83.853*'BMP P Tracking Table'!$AR198-42.834*'BMP P Tracking Table'!$AQ198)+SQRT((3630*'BMP P Tracking Table'!$AO198+20.691*'BMP P Tracking Table'!$AT198-216.711*'BMP P Tracking Table'!$AS198-83.853*'BMP P Tracking Table'!$AR198-42.834*'BMP P Tracking Table'!$AQ198)^2-(4*(149.919*'BMP P Tracking Table'!$AQ198+236.676*'BMP P Tracking Table'!$AR198+726*'BMP P Tracking Table'!$AS198+996.798*'BMP P Tracking Table'!$AT198)*-'BMP P Tracking Table'!$AW198)))/(2*(149.919*'BMP P Tracking Table'!$AQ198+236.676*'BMP P Tracking Table'!$AR198+726*'BMP P Tracking Table'!$AS198+996.798*'BMP P Tracking Table'!$AT198))))),MIN(2,IF('BMP P Tracking Table'!$AP198="Total Pervious",(-(3630*'BMP P Tracking Table'!$U198+20.691*'BMP P Tracking Table'!$AA198)+SQRT((3630*'BMP P Tracking Table'!$U198+20.691*'BMP P Tracking Table'!$AA198)^2-(4*(996.798*'BMP P Tracking Table'!$AA198)*-'BMP P Tracking Table'!$AW198)))/(2*(996.798*'BMP P Tracking Table'!$AA198)),IF(SUM('BMP P Tracking Table'!$W198:$Z198)=0,'BMP P Tracking Table'!$AW198/(-3630*'BMP P Tracking Table'!$U198),(-(3630*'BMP P Tracking Table'!$U198+20.691*'BMP P Tracking Table'!$Z198-216.711*'BMP P Tracking Table'!$Y198-83.853*'BMP P Tracking Table'!$X198-42.834*'BMP P Tracking Table'!$W198)+SQRT((3630*'BMP P Tracking Table'!$U198+20.691*'BMP P Tracking Table'!$Z198-216.711*'BMP P Tracking Table'!$Y198-83.853*'BMP P Tracking Table'!$X198-42.834*'BMP P Tracking Table'!$W198)^2-(4*(149.919*'BMP P Tracking Table'!$W198+236.676*'BMP P Tracking Table'!$X198+726*'BMP P Tracking Table'!$Y198+996.798*'BMP P Tracking Table'!$Z198)*-'BMP P Tracking Table'!$AW198)))/(2*(149.919*'BMP P Tracking Table'!$W198+236.676*'BMP P Tracking Table'!$X198+726*'BMP P Tracking Table'!$Y198+996.798*'BMP P Tracking Table'!$Z198)))))),"")</f>
        <v/>
      </c>
      <c r="BA198" s="101" t="str">
        <f>IFERROR((VLOOKUP(CONCATENATE('BMP P Tracking Table'!$AV198," ",'BMP P Tracking Table'!$AX198),'Performance Curves'!$C$1:$L$45,MATCH('BMP P Tracking Table'!$AZ198,'Performance Curves'!$E$1:$L$1,1)+2,FALSE)-VLOOKUP(CONCATENATE('BMP P Tracking Table'!$AV198," ",'BMP P Tracking Table'!$AX198),'Performance Curves'!$C$1:$L$45,MATCH('BMP P Tracking Table'!$AZ198,'Performance Curves'!$E$1:$L$1,1)+1,FALSE)),"")</f>
        <v/>
      </c>
      <c r="BB198" s="101" t="str">
        <f>IFERROR(('BMP P Tracking Table'!$AZ198-INDEX('Performance Curves'!$E$1:$L$1,1,MATCH('BMP P Tracking Table'!$AZ198,'Performance Curves'!$E$1:$L$1,1)))/(INDEX('Performance Curves'!$E$1:$L$1,1,MATCH('BMP P Tracking Table'!$AZ198,'Performance Curves'!$E$1:$L$1,1)+1)-INDEX('Performance Curves'!$E$1:$L$1,1,MATCH('BMP P Tracking Table'!$AZ198,'Performance Curves'!$E$1:$L$1,1))),"")</f>
        <v/>
      </c>
      <c r="BC198" s="102" t="str">
        <f>IFERROR(IF('BMP P Tracking Table'!$AZ198=2,VLOOKUP(CONCATENATE('BMP P Tracking Table'!$AV198," ",'BMP P Tracking Table'!$AX198),'Performance Curves'!$C$1:$L$44,MATCH('BMP P Tracking Table'!$AZ198,'Performance Curves'!$E$1:$L$1,1)+1,FALSE),'BMP P Tracking Table'!$BA198*'BMP P Tracking Table'!$BB198+VLOOKUP(CONCATENATE('BMP P Tracking Table'!$AV198," ",'BMP P Tracking Table'!$AX198),'Performance Curves'!$C$1:$L$44,MATCH('BMP P Tracking Table'!$AZ198,'Performance Curves'!$E$1:$L$1,1)+1,FALSE)),"")</f>
        <v/>
      </c>
      <c r="BD198" s="101" t="str">
        <f>IFERROR('BMP P Tracking Table'!$BC198*'BMP P Tracking Table'!$AY198,"")</f>
        <v/>
      </c>
      <c r="BE198" s="96"/>
      <c r="BF198" s="37">
        <f t="shared" si="17"/>
        <v>0</v>
      </c>
    </row>
    <row r="199" spans="1:58" x14ac:dyDescent="0.3">
      <c r="A199" s="64"/>
      <c r="B199" s="64"/>
      <c r="C199" s="64"/>
      <c r="D199" s="64"/>
      <c r="E199" s="93"/>
      <c r="F199" s="93"/>
      <c r="G199" s="64"/>
      <c r="H199" s="64"/>
      <c r="I199" s="64"/>
      <c r="J199" s="94"/>
      <c r="K199" s="64"/>
      <c r="L199" s="64"/>
      <c r="M199" s="64"/>
      <c r="N199" s="64"/>
      <c r="O199" s="64"/>
      <c r="P199" s="64"/>
      <c r="Q199" s="64" t="str">
        <f>IFERROR(VLOOKUP('BMP P Tracking Table'!$P199,Dropdowns!$C$2:$E$15,3,FALSE),"")</f>
        <v/>
      </c>
      <c r="R199" s="64" t="str">
        <f>IFERROR(VLOOKUP('BMP P Tracking Table'!$Q199,Dropdowns!$P$3:$Q$23,2,FALSE),"")</f>
        <v/>
      </c>
      <c r="S199" s="64"/>
      <c r="T199" s="64"/>
      <c r="U199" s="64"/>
      <c r="V199" s="64"/>
      <c r="W199" s="64"/>
      <c r="X199" s="64"/>
      <c r="Y199" s="64"/>
      <c r="Z199" s="64"/>
      <c r="AA199" s="64"/>
      <c r="AB199" s="95"/>
      <c r="AC199" s="64"/>
      <c r="AD199" s="101" t="str">
        <f>IFERROR('BMP P Tracking Table'!$U199*VLOOKUP('BMP P Tracking Table'!$Q199,'Loading Rates'!$B$1:$L$24,4,FALSE)+IF('BMP P Tracking Table'!$V199="By HSG",'BMP P Tracking Table'!$W199*VLOOKUP('BMP P Tracking Table'!$Q199,'Loading Rates'!$B$1:$L$24,6,FALSE)+'BMP P Tracking Table'!$X199*VLOOKUP('BMP P Tracking Table'!$Q199,'Loading Rates'!$B$1:$L$24,7,FALSE)+'BMP P Tracking Table'!$Y199*VLOOKUP('BMP P Tracking Table'!$Q199,'Loading Rates'!$B$1:$L$24,8,FALSE)+'BMP P Tracking Table'!$Z199*VLOOKUP('BMP P Tracking Table'!$Q199,'Loading Rates'!$B$1:$L$24,9,FALSE),'BMP P Tracking Table'!$AA199*VLOOKUP('BMP P Tracking Table'!$Q199,'Loading Rates'!$B$1:$L$24,10,FALSE)),"")</f>
        <v/>
      </c>
      <c r="AE199" s="101" t="str">
        <f>IFERROR(MIN(2,IF('BMP P Tracking Table'!$V199="Total Pervious",(-(3630*'BMP P Tracking Table'!$U199+20.691*'BMP P Tracking Table'!$AA199)+SQRT((3630*'BMP P Tracking Table'!$U199+20.691*'BMP P Tracking Table'!$AA199)^2-(4*(996.798*'BMP P Tracking Table'!$AA199)*-'BMP P Tracking Table'!$AB199)))/(2*(996.798*'BMP P Tracking Table'!$AA199)),IF(SUM('BMP P Tracking Table'!$W199:$Z199)=0,'BMP P Tracking Table'!$AB199/(-3630*'BMP P Tracking Table'!$U199),(-(3630*'BMP P Tracking Table'!$U199+20.691*'BMP P Tracking Table'!$Z199-216.711*'BMP P Tracking Table'!$Y199-83.853*'BMP P Tracking Table'!$X199-42.834*'BMP P Tracking Table'!$W199)+SQRT((3630*'BMP P Tracking Table'!$U199+20.691*'BMP P Tracking Table'!$Z199-216.711*'BMP P Tracking Table'!$Y199-83.853*'BMP P Tracking Table'!$X199-42.834*'BMP P Tracking Table'!$W199)^2-(4*(149.919*'BMP P Tracking Table'!$W199+236.676*'BMP P Tracking Table'!$X199+726*'BMP P Tracking Table'!$Y199+996.798*'BMP P Tracking Table'!$Z199)*-'BMP P Tracking Table'!$AB199)))/(2*(149.919*'BMP P Tracking Table'!$W199+236.676*'BMP P Tracking Table'!$X199+726*'BMP P Tracking Table'!$Y199+996.798*'BMP P Tracking Table'!$Z199))))),"")</f>
        <v/>
      </c>
      <c r="AF199" s="101" t="str">
        <f>IFERROR((VLOOKUP(CONCATENATE('BMP P Tracking Table'!$T199," ",'BMP P Tracking Table'!$AC199),'Performance Curves'!$C$1:$L$45,MATCH('BMP P Tracking Table'!$AE199,'Performance Curves'!$E$1:$L$1,1)+2,FALSE)-VLOOKUP(CONCATENATE('BMP P Tracking Table'!$T199," ",'BMP P Tracking Table'!$AC199),'Performance Curves'!$C$1:$L$45,MATCH('BMP P Tracking Table'!$AE199,'Performance Curves'!$E$1:$L$1,1)+1,FALSE)),"")</f>
        <v/>
      </c>
      <c r="AG199" s="101" t="str">
        <f>IFERROR(('BMP P Tracking Table'!$AE199-INDEX('Performance Curves'!$E$1:$L$1,1,MATCH('BMP P Tracking Table'!$AE199,'Performance Curves'!$E$1:$L$1,1)))/(INDEX('Performance Curves'!$E$1:$L$1,1,MATCH('BMP P Tracking Table'!$AE199,'Performance Curves'!$E$1:$L$1,1)+1)-INDEX('Performance Curves'!$E$1:$L$1,1,MATCH('BMP P Tracking Table'!$AE199,'Performance Curves'!$E$1:$L$1,1))),"")</f>
        <v/>
      </c>
      <c r="AH199" s="102" t="str">
        <f>IFERROR(IF('BMP P Tracking Table'!$AE199=2,VLOOKUP(CONCATENATE('BMP P Tracking Table'!$T199," ",'BMP P Tracking Table'!$AC199),'Performance Curves'!$C$1:$L$45,MATCH('BMP P Tracking Table'!$AE199,'Performance Curves'!$E$1:$L$1,1)+1,FALSE),'BMP P Tracking Table'!$AF199*'BMP P Tracking Table'!$AG199+VLOOKUP(CONCATENATE('BMP P Tracking Table'!$T199," ",'BMP P Tracking Table'!$AC199),'Performance Curves'!$C$1:$L$45,MATCH('BMP P Tracking Table'!$AE199,'Performance Curves'!$E$1:$L$1,1)+1,FALSE)),"")</f>
        <v/>
      </c>
      <c r="AI199" s="101" t="str">
        <f>IFERROR('BMP P Tracking Table'!$AH199*'BMP P Tracking Table'!$AD199,"")</f>
        <v/>
      </c>
      <c r="AJ199" s="64"/>
      <c r="AK199" s="96"/>
      <c r="AL199" s="96"/>
      <c r="AM199" s="63"/>
      <c r="AN199" s="99" t="str">
        <f t="shared" si="16"/>
        <v/>
      </c>
      <c r="AO199" s="96"/>
      <c r="AP199" s="96"/>
      <c r="AQ199" s="96"/>
      <c r="AR199" s="96"/>
      <c r="AS199" s="96"/>
      <c r="AT199" s="96"/>
      <c r="AU199" s="96"/>
      <c r="AV199" s="64"/>
      <c r="AW199" s="97"/>
      <c r="AX199" s="97"/>
      <c r="AY199" s="101" t="str">
        <f>IF('BMP P Tracking Table'!$AK199="Yes",IF('BMP P Tracking Table'!$AL199="No",'BMP P Tracking Table'!$U199*VLOOKUP('BMP P Tracking Table'!$Q199,'Loading Rates'!$B$1:$L$24,4,FALSE)+IF('BMP P Tracking Table'!$V199="By HSG",'BMP P Tracking Table'!$W199*VLOOKUP('BMP P Tracking Table'!$Q199,'Loading Rates'!$B$1:$L$24,6,FALSE)+'BMP P Tracking Table'!$X199*VLOOKUP('BMP P Tracking Table'!$Q199,'Loading Rates'!$B$1:$L$24,7,FALSE)+'BMP P Tracking Table'!$Y199*VLOOKUP('BMP P Tracking Table'!$Q199,'Loading Rates'!$B$1:$L$24,8,FALSE)+'BMP P Tracking Table'!$Z199*VLOOKUP('BMP P Tracking Table'!$Q199,'Loading Rates'!$B$1:$L$24,9,FALSE),'BMP P Tracking Table'!$AA199*VLOOKUP('BMP P Tracking Table'!$Q199,'Loading Rates'!$B$1:$L$24,10,FALSE)),'BMP P Tracking Table'!$AO199*VLOOKUP('BMP P Tracking Table'!$Q199,'Loading Rates'!$B$1:$L$24,4,FALSE)+IF('BMP P Tracking Table'!$AP199="By HSG",'BMP P Tracking Table'!$AQ199*VLOOKUP('BMP P Tracking Table'!$Q199,'Loading Rates'!$B$1:$L$24,6,FALSE)+'BMP P Tracking Table'!$AR199*VLOOKUP('BMP P Tracking Table'!$Q199,'Loading Rates'!$B$1:$L$24,7,FALSE)+'BMP P Tracking Table'!$AS199*VLOOKUP('BMP P Tracking Table'!$Q199,'Loading Rates'!$B$1:$L$24,8,FALSE)+'BMP P Tracking Table'!$AT199*VLOOKUP('BMP P Tracking Table'!$Q199,'Loading Rates'!$B$1:$L$24,9,FALSE),'BMP P Tracking Table'!$AU199*VLOOKUP('BMP P Tracking Table'!$Q199,'Loading Rates'!$B$1:$L$24,10,FALSE))),"")</f>
        <v/>
      </c>
      <c r="AZ199" s="101" t="str">
        <f>IFERROR(IF('BMP P Tracking Table'!$AL199="Yes",MIN(2,IF('BMP P Tracking Table'!$AP199="Total Pervious",(-(3630*'BMP P Tracking Table'!$AO199+20.691*'BMP P Tracking Table'!$AU199)+SQRT((3630*'BMP P Tracking Table'!$AO199+20.691*'BMP P Tracking Table'!$AU199)^2-(4*(996.798*'BMP P Tracking Table'!$AU199)*-'BMP P Tracking Table'!$AW199)))/(2*(996.798*'BMP P Tracking Table'!$AU199)),IF(SUM('BMP P Tracking Table'!$AQ199:$AT199)=0,'BMP P Tracking Table'!$AU199/(-3630*'BMP P Tracking Table'!$AO199),(-(3630*'BMP P Tracking Table'!$AO199+20.691*'BMP P Tracking Table'!$AT199-216.711*'BMP P Tracking Table'!$AS199-83.853*'BMP P Tracking Table'!$AR199-42.834*'BMP P Tracking Table'!$AQ199)+SQRT((3630*'BMP P Tracking Table'!$AO199+20.691*'BMP P Tracking Table'!$AT199-216.711*'BMP P Tracking Table'!$AS199-83.853*'BMP P Tracking Table'!$AR199-42.834*'BMP P Tracking Table'!$AQ199)^2-(4*(149.919*'BMP P Tracking Table'!$AQ199+236.676*'BMP P Tracking Table'!$AR199+726*'BMP P Tracking Table'!$AS199+996.798*'BMP P Tracking Table'!$AT199)*-'BMP P Tracking Table'!$AW199)))/(2*(149.919*'BMP P Tracking Table'!$AQ199+236.676*'BMP P Tracking Table'!$AR199+726*'BMP P Tracking Table'!$AS199+996.798*'BMP P Tracking Table'!$AT199))))),MIN(2,IF('BMP P Tracking Table'!$AP199="Total Pervious",(-(3630*'BMP P Tracking Table'!$U199+20.691*'BMP P Tracking Table'!$AA199)+SQRT((3630*'BMP P Tracking Table'!$U199+20.691*'BMP P Tracking Table'!$AA199)^2-(4*(996.798*'BMP P Tracking Table'!$AA199)*-'BMP P Tracking Table'!$AW199)))/(2*(996.798*'BMP P Tracking Table'!$AA199)),IF(SUM('BMP P Tracking Table'!$W199:$Z199)=0,'BMP P Tracking Table'!$AW199/(-3630*'BMP P Tracking Table'!$U199),(-(3630*'BMP P Tracking Table'!$U199+20.691*'BMP P Tracking Table'!$Z199-216.711*'BMP P Tracking Table'!$Y199-83.853*'BMP P Tracking Table'!$X199-42.834*'BMP P Tracking Table'!$W199)+SQRT((3630*'BMP P Tracking Table'!$U199+20.691*'BMP P Tracking Table'!$Z199-216.711*'BMP P Tracking Table'!$Y199-83.853*'BMP P Tracking Table'!$X199-42.834*'BMP P Tracking Table'!$W199)^2-(4*(149.919*'BMP P Tracking Table'!$W199+236.676*'BMP P Tracking Table'!$X199+726*'BMP P Tracking Table'!$Y199+996.798*'BMP P Tracking Table'!$Z199)*-'BMP P Tracking Table'!$AW199)))/(2*(149.919*'BMP P Tracking Table'!$W199+236.676*'BMP P Tracking Table'!$X199+726*'BMP P Tracking Table'!$Y199+996.798*'BMP P Tracking Table'!$Z199)))))),"")</f>
        <v/>
      </c>
      <c r="BA199" s="101" t="str">
        <f>IFERROR((VLOOKUP(CONCATENATE('BMP P Tracking Table'!$AV199," ",'BMP P Tracking Table'!$AX199),'Performance Curves'!$C$1:$L$45,MATCH('BMP P Tracking Table'!$AZ199,'Performance Curves'!$E$1:$L$1,1)+2,FALSE)-VLOOKUP(CONCATENATE('BMP P Tracking Table'!$AV199," ",'BMP P Tracking Table'!$AX199),'Performance Curves'!$C$1:$L$45,MATCH('BMP P Tracking Table'!$AZ199,'Performance Curves'!$E$1:$L$1,1)+1,FALSE)),"")</f>
        <v/>
      </c>
      <c r="BB199" s="101" t="str">
        <f>IFERROR(('BMP P Tracking Table'!$AZ199-INDEX('Performance Curves'!$E$1:$L$1,1,MATCH('BMP P Tracking Table'!$AZ199,'Performance Curves'!$E$1:$L$1,1)))/(INDEX('Performance Curves'!$E$1:$L$1,1,MATCH('BMP P Tracking Table'!$AZ199,'Performance Curves'!$E$1:$L$1,1)+1)-INDEX('Performance Curves'!$E$1:$L$1,1,MATCH('BMP P Tracking Table'!$AZ199,'Performance Curves'!$E$1:$L$1,1))),"")</f>
        <v/>
      </c>
      <c r="BC199" s="102" t="str">
        <f>IFERROR(IF('BMP P Tracking Table'!$AZ199=2,VLOOKUP(CONCATENATE('BMP P Tracking Table'!$AV199," ",'BMP P Tracking Table'!$AX199),'Performance Curves'!$C$1:$L$44,MATCH('BMP P Tracking Table'!$AZ199,'Performance Curves'!$E$1:$L$1,1)+1,FALSE),'BMP P Tracking Table'!$BA199*'BMP P Tracking Table'!$BB199+VLOOKUP(CONCATENATE('BMP P Tracking Table'!$AV199," ",'BMP P Tracking Table'!$AX199),'Performance Curves'!$C$1:$L$44,MATCH('BMP P Tracking Table'!$AZ199,'Performance Curves'!$E$1:$L$1,1)+1,FALSE)),"")</f>
        <v/>
      </c>
      <c r="BD199" s="101" t="str">
        <f>IFERROR('BMP P Tracking Table'!$BC199*'BMP P Tracking Table'!$AY199,"")</f>
        <v/>
      </c>
      <c r="BE199" s="96"/>
      <c r="BF199" s="37">
        <f t="shared" si="17"/>
        <v>0</v>
      </c>
    </row>
    <row r="200" spans="1:58" x14ac:dyDescent="0.3">
      <c r="A200" s="64"/>
      <c r="B200" s="64"/>
      <c r="C200" s="64"/>
      <c r="D200" s="64"/>
      <c r="E200" s="93"/>
      <c r="F200" s="93"/>
      <c r="G200" s="64"/>
      <c r="H200" s="64"/>
      <c r="I200" s="64"/>
      <c r="J200" s="94"/>
      <c r="K200" s="64"/>
      <c r="L200" s="64"/>
      <c r="M200" s="64"/>
      <c r="N200" s="64"/>
      <c r="O200" s="64"/>
      <c r="P200" s="64"/>
      <c r="Q200" s="64" t="str">
        <f>IFERROR(VLOOKUP('BMP P Tracking Table'!$P200,Dropdowns!$C$2:$E$15,3,FALSE),"")</f>
        <v/>
      </c>
      <c r="R200" s="64" t="str">
        <f>IFERROR(VLOOKUP('BMP P Tracking Table'!$Q200,Dropdowns!$P$3:$Q$23,2,FALSE),"")</f>
        <v/>
      </c>
      <c r="S200" s="64"/>
      <c r="T200" s="64"/>
      <c r="U200" s="64"/>
      <c r="V200" s="64"/>
      <c r="W200" s="64"/>
      <c r="X200" s="64"/>
      <c r="Y200" s="64"/>
      <c r="Z200" s="64"/>
      <c r="AA200" s="64"/>
      <c r="AB200" s="95"/>
      <c r="AC200" s="64"/>
      <c r="AD200" s="101" t="str">
        <f>IFERROR('BMP P Tracking Table'!$U200*VLOOKUP('BMP P Tracking Table'!$Q200,'Loading Rates'!$B$1:$L$24,4,FALSE)+IF('BMP P Tracking Table'!$V200="By HSG",'BMP P Tracking Table'!$W200*VLOOKUP('BMP P Tracking Table'!$Q200,'Loading Rates'!$B$1:$L$24,6,FALSE)+'BMP P Tracking Table'!$X200*VLOOKUP('BMP P Tracking Table'!$Q200,'Loading Rates'!$B$1:$L$24,7,FALSE)+'BMP P Tracking Table'!$Y200*VLOOKUP('BMP P Tracking Table'!$Q200,'Loading Rates'!$B$1:$L$24,8,FALSE)+'BMP P Tracking Table'!$Z200*VLOOKUP('BMP P Tracking Table'!$Q200,'Loading Rates'!$B$1:$L$24,9,FALSE),'BMP P Tracking Table'!$AA200*VLOOKUP('BMP P Tracking Table'!$Q200,'Loading Rates'!$B$1:$L$24,10,FALSE)),"")</f>
        <v/>
      </c>
      <c r="AE200" s="101" t="str">
        <f>IFERROR(MIN(2,IF('BMP P Tracking Table'!$V200="Total Pervious",(-(3630*'BMP P Tracking Table'!$U200+20.691*'BMP P Tracking Table'!$AA200)+SQRT((3630*'BMP P Tracking Table'!$U200+20.691*'BMP P Tracking Table'!$AA200)^2-(4*(996.798*'BMP P Tracking Table'!$AA200)*-'BMP P Tracking Table'!$AB200)))/(2*(996.798*'BMP P Tracking Table'!$AA200)),IF(SUM('BMP P Tracking Table'!$W200:$Z200)=0,'BMP P Tracking Table'!$AB200/(-3630*'BMP P Tracking Table'!$U200),(-(3630*'BMP P Tracking Table'!$U200+20.691*'BMP P Tracking Table'!$Z200-216.711*'BMP P Tracking Table'!$Y200-83.853*'BMP P Tracking Table'!$X200-42.834*'BMP P Tracking Table'!$W200)+SQRT((3630*'BMP P Tracking Table'!$U200+20.691*'BMP P Tracking Table'!$Z200-216.711*'BMP P Tracking Table'!$Y200-83.853*'BMP P Tracking Table'!$X200-42.834*'BMP P Tracking Table'!$W200)^2-(4*(149.919*'BMP P Tracking Table'!$W200+236.676*'BMP P Tracking Table'!$X200+726*'BMP P Tracking Table'!$Y200+996.798*'BMP P Tracking Table'!$Z200)*-'BMP P Tracking Table'!$AB200)))/(2*(149.919*'BMP P Tracking Table'!$W200+236.676*'BMP P Tracking Table'!$X200+726*'BMP P Tracking Table'!$Y200+996.798*'BMP P Tracking Table'!$Z200))))),"")</f>
        <v/>
      </c>
      <c r="AF200" s="101" t="str">
        <f>IFERROR((VLOOKUP(CONCATENATE('BMP P Tracking Table'!$T200," ",'BMP P Tracking Table'!$AC200),'Performance Curves'!$C$1:$L$45,MATCH('BMP P Tracking Table'!$AE200,'Performance Curves'!$E$1:$L$1,1)+2,FALSE)-VLOOKUP(CONCATENATE('BMP P Tracking Table'!$T200," ",'BMP P Tracking Table'!$AC200),'Performance Curves'!$C$1:$L$45,MATCH('BMP P Tracking Table'!$AE200,'Performance Curves'!$E$1:$L$1,1)+1,FALSE)),"")</f>
        <v/>
      </c>
      <c r="AG200" s="101" t="str">
        <f>IFERROR(('BMP P Tracking Table'!$AE200-INDEX('Performance Curves'!$E$1:$L$1,1,MATCH('BMP P Tracking Table'!$AE200,'Performance Curves'!$E$1:$L$1,1)))/(INDEX('Performance Curves'!$E$1:$L$1,1,MATCH('BMP P Tracking Table'!$AE200,'Performance Curves'!$E$1:$L$1,1)+1)-INDEX('Performance Curves'!$E$1:$L$1,1,MATCH('BMP P Tracking Table'!$AE200,'Performance Curves'!$E$1:$L$1,1))),"")</f>
        <v/>
      </c>
      <c r="AH200" s="102" t="str">
        <f>IFERROR(IF('BMP P Tracking Table'!$AE200=2,VLOOKUP(CONCATENATE('BMP P Tracking Table'!$T200," ",'BMP P Tracking Table'!$AC200),'Performance Curves'!$C$1:$L$45,MATCH('BMP P Tracking Table'!$AE200,'Performance Curves'!$E$1:$L$1,1)+1,FALSE),'BMP P Tracking Table'!$AF200*'BMP P Tracking Table'!$AG200+VLOOKUP(CONCATENATE('BMP P Tracking Table'!$T200," ",'BMP P Tracking Table'!$AC200),'Performance Curves'!$C$1:$L$45,MATCH('BMP P Tracking Table'!$AE200,'Performance Curves'!$E$1:$L$1,1)+1,FALSE)),"")</f>
        <v/>
      </c>
      <c r="AI200" s="101" t="str">
        <f>IFERROR('BMP P Tracking Table'!$AH200*'BMP P Tracking Table'!$AD200,"")</f>
        <v/>
      </c>
      <c r="AJ200" s="64"/>
      <c r="AK200" s="96"/>
      <c r="AL200" s="96"/>
      <c r="AM200" s="63"/>
      <c r="AN200" s="99" t="str">
        <f t="shared" si="16"/>
        <v/>
      </c>
      <c r="AO200" s="96"/>
      <c r="AP200" s="96"/>
      <c r="AQ200" s="96"/>
      <c r="AR200" s="96"/>
      <c r="AS200" s="96"/>
      <c r="AT200" s="96"/>
      <c r="AU200" s="96"/>
      <c r="AV200" s="64"/>
      <c r="AW200" s="97"/>
      <c r="AX200" s="97"/>
      <c r="AY200" s="101" t="str">
        <f>IF('BMP P Tracking Table'!$AK200="Yes",IF('BMP P Tracking Table'!$AL200="No",'BMP P Tracking Table'!$U200*VLOOKUP('BMP P Tracking Table'!$Q200,'Loading Rates'!$B$1:$L$24,4,FALSE)+IF('BMP P Tracking Table'!$V200="By HSG",'BMP P Tracking Table'!$W200*VLOOKUP('BMP P Tracking Table'!$Q200,'Loading Rates'!$B$1:$L$24,6,FALSE)+'BMP P Tracking Table'!$X200*VLOOKUP('BMP P Tracking Table'!$Q200,'Loading Rates'!$B$1:$L$24,7,FALSE)+'BMP P Tracking Table'!$Y200*VLOOKUP('BMP P Tracking Table'!$Q200,'Loading Rates'!$B$1:$L$24,8,FALSE)+'BMP P Tracking Table'!$Z200*VLOOKUP('BMP P Tracking Table'!$Q200,'Loading Rates'!$B$1:$L$24,9,FALSE),'BMP P Tracking Table'!$AA200*VLOOKUP('BMP P Tracking Table'!$Q200,'Loading Rates'!$B$1:$L$24,10,FALSE)),'BMP P Tracking Table'!$AO200*VLOOKUP('BMP P Tracking Table'!$Q200,'Loading Rates'!$B$1:$L$24,4,FALSE)+IF('BMP P Tracking Table'!$AP200="By HSG",'BMP P Tracking Table'!$AQ200*VLOOKUP('BMP P Tracking Table'!$Q200,'Loading Rates'!$B$1:$L$24,6,FALSE)+'BMP P Tracking Table'!$AR200*VLOOKUP('BMP P Tracking Table'!$Q200,'Loading Rates'!$B$1:$L$24,7,FALSE)+'BMP P Tracking Table'!$AS200*VLOOKUP('BMP P Tracking Table'!$Q200,'Loading Rates'!$B$1:$L$24,8,FALSE)+'BMP P Tracking Table'!$AT200*VLOOKUP('BMP P Tracking Table'!$Q200,'Loading Rates'!$B$1:$L$24,9,FALSE),'BMP P Tracking Table'!$AU200*VLOOKUP('BMP P Tracking Table'!$Q200,'Loading Rates'!$B$1:$L$24,10,FALSE))),"")</f>
        <v/>
      </c>
      <c r="AZ200" s="101" t="str">
        <f>IFERROR(IF('BMP P Tracking Table'!$AL200="Yes",MIN(2,IF('BMP P Tracking Table'!$AP200="Total Pervious",(-(3630*'BMP P Tracking Table'!$AO200+20.691*'BMP P Tracking Table'!$AU200)+SQRT((3630*'BMP P Tracking Table'!$AO200+20.691*'BMP P Tracking Table'!$AU200)^2-(4*(996.798*'BMP P Tracking Table'!$AU200)*-'BMP P Tracking Table'!$AW200)))/(2*(996.798*'BMP P Tracking Table'!$AU200)),IF(SUM('BMP P Tracking Table'!$AQ200:$AT200)=0,'BMP P Tracking Table'!$AU200/(-3630*'BMP P Tracking Table'!$AO200),(-(3630*'BMP P Tracking Table'!$AO200+20.691*'BMP P Tracking Table'!$AT200-216.711*'BMP P Tracking Table'!$AS200-83.853*'BMP P Tracking Table'!$AR200-42.834*'BMP P Tracking Table'!$AQ200)+SQRT((3630*'BMP P Tracking Table'!$AO200+20.691*'BMP P Tracking Table'!$AT200-216.711*'BMP P Tracking Table'!$AS200-83.853*'BMP P Tracking Table'!$AR200-42.834*'BMP P Tracking Table'!$AQ200)^2-(4*(149.919*'BMP P Tracking Table'!$AQ200+236.676*'BMP P Tracking Table'!$AR200+726*'BMP P Tracking Table'!$AS200+996.798*'BMP P Tracking Table'!$AT200)*-'BMP P Tracking Table'!$AW200)))/(2*(149.919*'BMP P Tracking Table'!$AQ200+236.676*'BMP P Tracking Table'!$AR200+726*'BMP P Tracking Table'!$AS200+996.798*'BMP P Tracking Table'!$AT200))))),MIN(2,IF('BMP P Tracking Table'!$AP200="Total Pervious",(-(3630*'BMP P Tracking Table'!$U200+20.691*'BMP P Tracking Table'!$AA200)+SQRT((3630*'BMP P Tracking Table'!$U200+20.691*'BMP P Tracking Table'!$AA200)^2-(4*(996.798*'BMP P Tracking Table'!$AA200)*-'BMP P Tracking Table'!$AW200)))/(2*(996.798*'BMP P Tracking Table'!$AA200)),IF(SUM('BMP P Tracking Table'!$W200:$Z200)=0,'BMP P Tracking Table'!$AW200/(-3630*'BMP P Tracking Table'!$U200),(-(3630*'BMP P Tracking Table'!$U200+20.691*'BMP P Tracking Table'!$Z200-216.711*'BMP P Tracking Table'!$Y200-83.853*'BMP P Tracking Table'!$X200-42.834*'BMP P Tracking Table'!$W200)+SQRT((3630*'BMP P Tracking Table'!$U200+20.691*'BMP P Tracking Table'!$Z200-216.711*'BMP P Tracking Table'!$Y200-83.853*'BMP P Tracking Table'!$X200-42.834*'BMP P Tracking Table'!$W200)^2-(4*(149.919*'BMP P Tracking Table'!$W200+236.676*'BMP P Tracking Table'!$X200+726*'BMP P Tracking Table'!$Y200+996.798*'BMP P Tracking Table'!$Z200)*-'BMP P Tracking Table'!$AW200)))/(2*(149.919*'BMP P Tracking Table'!$W200+236.676*'BMP P Tracking Table'!$X200+726*'BMP P Tracking Table'!$Y200+996.798*'BMP P Tracking Table'!$Z200)))))),"")</f>
        <v/>
      </c>
      <c r="BA200" s="101" t="str">
        <f>IFERROR((VLOOKUP(CONCATENATE('BMP P Tracking Table'!$AV200," ",'BMP P Tracking Table'!$AX200),'Performance Curves'!$C$1:$L$45,MATCH('BMP P Tracking Table'!$AZ200,'Performance Curves'!$E$1:$L$1,1)+2,FALSE)-VLOOKUP(CONCATENATE('BMP P Tracking Table'!$AV200," ",'BMP P Tracking Table'!$AX200),'Performance Curves'!$C$1:$L$45,MATCH('BMP P Tracking Table'!$AZ200,'Performance Curves'!$E$1:$L$1,1)+1,FALSE)),"")</f>
        <v/>
      </c>
      <c r="BB200" s="101" t="str">
        <f>IFERROR(('BMP P Tracking Table'!$AZ200-INDEX('Performance Curves'!$E$1:$L$1,1,MATCH('BMP P Tracking Table'!$AZ200,'Performance Curves'!$E$1:$L$1,1)))/(INDEX('Performance Curves'!$E$1:$L$1,1,MATCH('BMP P Tracking Table'!$AZ200,'Performance Curves'!$E$1:$L$1,1)+1)-INDEX('Performance Curves'!$E$1:$L$1,1,MATCH('BMP P Tracking Table'!$AZ200,'Performance Curves'!$E$1:$L$1,1))),"")</f>
        <v/>
      </c>
      <c r="BC200" s="102" t="str">
        <f>IFERROR(IF('BMP P Tracking Table'!$AZ200=2,VLOOKUP(CONCATENATE('BMP P Tracking Table'!$AV200," ",'BMP P Tracking Table'!$AX200),'Performance Curves'!$C$1:$L$44,MATCH('BMP P Tracking Table'!$AZ200,'Performance Curves'!$E$1:$L$1,1)+1,FALSE),'BMP P Tracking Table'!$BA200*'BMP P Tracking Table'!$BB200+VLOOKUP(CONCATENATE('BMP P Tracking Table'!$AV200," ",'BMP P Tracking Table'!$AX200),'Performance Curves'!$C$1:$L$44,MATCH('BMP P Tracking Table'!$AZ200,'Performance Curves'!$E$1:$L$1,1)+1,FALSE)),"")</f>
        <v/>
      </c>
      <c r="BD200" s="101" t="str">
        <f>IFERROR('BMP P Tracking Table'!$BC200*'BMP P Tracking Table'!$AY200,"")</f>
        <v/>
      </c>
      <c r="BE200" s="96"/>
      <c r="BF200" s="37">
        <f t="shared" si="17"/>
        <v>0</v>
      </c>
    </row>
    <row r="201" spans="1:58" x14ac:dyDescent="0.3">
      <c r="A201" s="64"/>
      <c r="B201" s="64"/>
      <c r="C201" s="64"/>
      <c r="D201" s="64"/>
      <c r="E201" s="93"/>
      <c r="F201" s="93"/>
      <c r="G201" s="64"/>
      <c r="H201" s="64"/>
      <c r="I201" s="64"/>
      <c r="J201" s="94"/>
      <c r="K201" s="64"/>
      <c r="L201" s="64"/>
      <c r="M201" s="64"/>
      <c r="N201" s="64"/>
      <c r="O201" s="64"/>
      <c r="P201" s="64"/>
      <c r="Q201" s="64" t="str">
        <f>IFERROR(VLOOKUP('BMP P Tracking Table'!$P201,Dropdowns!$C$2:$E$15,3,FALSE),"")</f>
        <v/>
      </c>
      <c r="R201" s="64" t="str">
        <f>IFERROR(VLOOKUP('BMP P Tracking Table'!$Q201,Dropdowns!$P$3:$Q$23,2,FALSE),"")</f>
        <v/>
      </c>
      <c r="S201" s="64"/>
      <c r="T201" s="64"/>
      <c r="U201" s="64"/>
      <c r="V201" s="64"/>
      <c r="W201" s="64"/>
      <c r="X201" s="64"/>
      <c r="Y201" s="64"/>
      <c r="Z201" s="64"/>
      <c r="AA201" s="64"/>
      <c r="AB201" s="95"/>
      <c r="AC201" s="64"/>
      <c r="AD201" s="101" t="str">
        <f>IFERROR('BMP P Tracking Table'!$U201*VLOOKUP('BMP P Tracking Table'!$Q201,'Loading Rates'!$B$1:$L$24,4,FALSE)+IF('BMP P Tracking Table'!$V201="By HSG",'BMP P Tracking Table'!$W201*VLOOKUP('BMP P Tracking Table'!$Q201,'Loading Rates'!$B$1:$L$24,6,FALSE)+'BMP P Tracking Table'!$X201*VLOOKUP('BMP P Tracking Table'!$Q201,'Loading Rates'!$B$1:$L$24,7,FALSE)+'BMP P Tracking Table'!$Y201*VLOOKUP('BMP P Tracking Table'!$Q201,'Loading Rates'!$B$1:$L$24,8,FALSE)+'BMP P Tracking Table'!$Z201*VLOOKUP('BMP P Tracking Table'!$Q201,'Loading Rates'!$B$1:$L$24,9,FALSE),'BMP P Tracking Table'!$AA201*VLOOKUP('BMP P Tracking Table'!$Q201,'Loading Rates'!$B$1:$L$24,10,FALSE)),"")</f>
        <v/>
      </c>
      <c r="AE201" s="101" t="str">
        <f>IFERROR(MIN(2,IF('BMP P Tracking Table'!$V201="Total Pervious",(-(3630*'BMP P Tracking Table'!$U201+20.691*'BMP P Tracking Table'!$AA201)+SQRT((3630*'BMP P Tracking Table'!$U201+20.691*'BMP P Tracking Table'!$AA201)^2-(4*(996.798*'BMP P Tracking Table'!$AA201)*-'BMP P Tracking Table'!$AB201)))/(2*(996.798*'BMP P Tracking Table'!$AA201)),IF(SUM('BMP P Tracking Table'!$W201:$Z201)=0,'BMP P Tracking Table'!$AB201/(-3630*'BMP P Tracking Table'!$U201),(-(3630*'BMP P Tracking Table'!$U201+20.691*'BMP P Tracking Table'!$Z201-216.711*'BMP P Tracking Table'!$Y201-83.853*'BMP P Tracking Table'!$X201-42.834*'BMP P Tracking Table'!$W201)+SQRT((3630*'BMP P Tracking Table'!$U201+20.691*'BMP P Tracking Table'!$Z201-216.711*'BMP P Tracking Table'!$Y201-83.853*'BMP P Tracking Table'!$X201-42.834*'BMP P Tracking Table'!$W201)^2-(4*(149.919*'BMP P Tracking Table'!$W201+236.676*'BMP P Tracking Table'!$X201+726*'BMP P Tracking Table'!$Y201+996.798*'BMP P Tracking Table'!$Z201)*-'BMP P Tracking Table'!$AB201)))/(2*(149.919*'BMP P Tracking Table'!$W201+236.676*'BMP P Tracking Table'!$X201+726*'BMP P Tracking Table'!$Y201+996.798*'BMP P Tracking Table'!$Z201))))),"")</f>
        <v/>
      </c>
      <c r="AF201" s="101" t="str">
        <f>IFERROR((VLOOKUP(CONCATENATE('BMP P Tracking Table'!$T201," ",'BMP P Tracking Table'!$AC201),'Performance Curves'!$C$1:$L$45,MATCH('BMP P Tracking Table'!$AE201,'Performance Curves'!$E$1:$L$1,1)+2,FALSE)-VLOOKUP(CONCATENATE('BMP P Tracking Table'!$T201," ",'BMP P Tracking Table'!$AC201),'Performance Curves'!$C$1:$L$45,MATCH('BMP P Tracking Table'!$AE201,'Performance Curves'!$E$1:$L$1,1)+1,FALSE)),"")</f>
        <v/>
      </c>
      <c r="AG201" s="101" t="str">
        <f>IFERROR(('BMP P Tracking Table'!$AE201-INDEX('Performance Curves'!$E$1:$L$1,1,MATCH('BMP P Tracking Table'!$AE201,'Performance Curves'!$E$1:$L$1,1)))/(INDEX('Performance Curves'!$E$1:$L$1,1,MATCH('BMP P Tracking Table'!$AE201,'Performance Curves'!$E$1:$L$1,1)+1)-INDEX('Performance Curves'!$E$1:$L$1,1,MATCH('BMP P Tracking Table'!$AE201,'Performance Curves'!$E$1:$L$1,1))),"")</f>
        <v/>
      </c>
      <c r="AH201" s="102" t="str">
        <f>IFERROR(IF('BMP P Tracking Table'!$AE201=2,VLOOKUP(CONCATENATE('BMP P Tracking Table'!$T201," ",'BMP P Tracking Table'!$AC201),'Performance Curves'!$C$1:$L$45,MATCH('BMP P Tracking Table'!$AE201,'Performance Curves'!$E$1:$L$1,1)+1,FALSE),'BMP P Tracking Table'!$AF201*'BMP P Tracking Table'!$AG201+VLOOKUP(CONCATENATE('BMP P Tracking Table'!$T201," ",'BMP P Tracking Table'!$AC201),'Performance Curves'!$C$1:$L$45,MATCH('BMP P Tracking Table'!$AE201,'Performance Curves'!$E$1:$L$1,1)+1,FALSE)),"")</f>
        <v/>
      </c>
      <c r="AI201" s="101" t="str">
        <f>IFERROR('BMP P Tracking Table'!$AH201*'BMP P Tracking Table'!$AD201,"")</f>
        <v/>
      </c>
      <c r="AJ201" s="64"/>
      <c r="AK201" s="96"/>
      <c r="AL201" s="96"/>
      <c r="AM201" s="63"/>
      <c r="AN201" s="99" t="str">
        <f t="shared" si="16"/>
        <v/>
      </c>
      <c r="AO201" s="96"/>
      <c r="AP201" s="96"/>
      <c r="AQ201" s="96"/>
      <c r="AR201" s="96"/>
      <c r="AS201" s="96"/>
      <c r="AT201" s="96"/>
      <c r="AU201" s="96"/>
      <c r="AV201" s="64"/>
      <c r="AW201" s="97"/>
      <c r="AX201" s="97"/>
      <c r="AY201" s="101" t="str">
        <f>IF('BMP P Tracking Table'!$AK201="Yes",IF('BMP P Tracking Table'!$AL201="No",'BMP P Tracking Table'!$U201*VLOOKUP('BMP P Tracking Table'!$Q201,'Loading Rates'!$B$1:$L$24,4,FALSE)+IF('BMP P Tracking Table'!$V201="By HSG",'BMP P Tracking Table'!$W201*VLOOKUP('BMP P Tracking Table'!$Q201,'Loading Rates'!$B$1:$L$24,6,FALSE)+'BMP P Tracking Table'!$X201*VLOOKUP('BMP P Tracking Table'!$Q201,'Loading Rates'!$B$1:$L$24,7,FALSE)+'BMP P Tracking Table'!$Y201*VLOOKUP('BMP P Tracking Table'!$Q201,'Loading Rates'!$B$1:$L$24,8,FALSE)+'BMP P Tracking Table'!$Z201*VLOOKUP('BMP P Tracking Table'!$Q201,'Loading Rates'!$B$1:$L$24,9,FALSE),'BMP P Tracking Table'!$AA201*VLOOKUP('BMP P Tracking Table'!$Q201,'Loading Rates'!$B$1:$L$24,10,FALSE)),'BMP P Tracking Table'!$AO201*VLOOKUP('BMP P Tracking Table'!$Q201,'Loading Rates'!$B$1:$L$24,4,FALSE)+IF('BMP P Tracking Table'!$AP201="By HSG",'BMP P Tracking Table'!$AQ201*VLOOKUP('BMP P Tracking Table'!$Q201,'Loading Rates'!$B$1:$L$24,6,FALSE)+'BMP P Tracking Table'!$AR201*VLOOKUP('BMP P Tracking Table'!$Q201,'Loading Rates'!$B$1:$L$24,7,FALSE)+'BMP P Tracking Table'!$AS201*VLOOKUP('BMP P Tracking Table'!$Q201,'Loading Rates'!$B$1:$L$24,8,FALSE)+'BMP P Tracking Table'!$AT201*VLOOKUP('BMP P Tracking Table'!$Q201,'Loading Rates'!$B$1:$L$24,9,FALSE),'BMP P Tracking Table'!$AU201*VLOOKUP('BMP P Tracking Table'!$Q201,'Loading Rates'!$B$1:$L$24,10,FALSE))),"")</f>
        <v/>
      </c>
      <c r="AZ201" s="101" t="str">
        <f>IFERROR(IF('BMP P Tracking Table'!$AL201="Yes",MIN(2,IF('BMP P Tracking Table'!$AP201="Total Pervious",(-(3630*'BMP P Tracking Table'!$AO201+20.691*'BMP P Tracking Table'!$AU201)+SQRT((3630*'BMP P Tracking Table'!$AO201+20.691*'BMP P Tracking Table'!$AU201)^2-(4*(996.798*'BMP P Tracking Table'!$AU201)*-'BMP P Tracking Table'!$AW201)))/(2*(996.798*'BMP P Tracking Table'!$AU201)),IF(SUM('BMP P Tracking Table'!$AQ201:$AT201)=0,'BMP P Tracking Table'!$AU201/(-3630*'BMP P Tracking Table'!$AO201),(-(3630*'BMP P Tracking Table'!$AO201+20.691*'BMP P Tracking Table'!$AT201-216.711*'BMP P Tracking Table'!$AS201-83.853*'BMP P Tracking Table'!$AR201-42.834*'BMP P Tracking Table'!$AQ201)+SQRT((3630*'BMP P Tracking Table'!$AO201+20.691*'BMP P Tracking Table'!$AT201-216.711*'BMP P Tracking Table'!$AS201-83.853*'BMP P Tracking Table'!$AR201-42.834*'BMP P Tracking Table'!$AQ201)^2-(4*(149.919*'BMP P Tracking Table'!$AQ201+236.676*'BMP P Tracking Table'!$AR201+726*'BMP P Tracking Table'!$AS201+996.798*'BMP P Tracking Table'!$AT201)*-'BMP P Tracking Table'!$AW201)))/(2*(149.919*'BMP P Tracking Table'!$AQ201+236.676*'BMP P Tracking Table'!$AR201+726*'BMP P Tracking Table'!$AS201+996.798*'BMP P Tracking Table'!$AT201))))),MIN(2,IF('BMP P Tracking Table'!$AP201="Total Pervious",(-(3630*'BMP P Tracking Table'!$U201+20.691*'BMP P Tracking Table'!$AA201)+SQRT((3630*'BMP P Tracking Table'!$U201+20.691*'BMP P Tracking Table'!$AA201)^2-(4*(996.798*'BMP P Tracking Table'!$AA201)*-'BMP P Tracking Table'!$AW201)))/(2*(996.798*'BMP P Tracking Table'!$AA201)),IF(SUM('BMP P Tracking Table'!$W201:$Z201)=0,'BMP P Tracking Table'!$AW201/(-3630*'BMP P Tracking Table'!$U201),(-(3630*'BMP P Tracking Table'!$U201+20.691*'BMP P Tracking Table'!$Z201-216.711*'BMP P Tracking Table'!$Y201-83.853*'BMP P Tracking Table'!$X201-42.834*'BMP P Tracking Table'!$W201)+SQRT((3630*'BMP P Tracking Table'!$U201+20.691*'BMP P Tracking Table'!$Z201-216.711*'BMP P Tracking Table'!$Y201-83.853*'BMP P Tracking Table'!$X201-42.834*'BMP P Tracking Table'!$W201)^2-(4*(149.919*'BMP P Tracking Table'!$W201+236.676*'BMP P Tracking Table'!$X201+726*'BMP P Tracking Table'!$Y201+996.798*'BMP P Tracking Table'!$Z201)*-'BMP P Tracking Table'!$AW201)))/(2*(149.919*'BMP P Tracking Table'!$W201+236.676*'BMP P Tracking Table'!$X201+726*'BMP P Tracking Table'!$Y201+996.798*'BMP P Tracking Table'!$Z201)))))),"")</f>
        <v/>
      </c>
      <c r="BA201" s="101" t="str">
        <f>IFERROR((VLOOKUP(CONCATENATE('BMP P Tracking Table'!$AV201," ",'BMP P Tracking Table'!$AX201),'Performance Curves'!$C$1:$L$45,MATCH('BMP P Tracking Table'!$AZ201,'Performance Curves'!$E$1:$L$1,1)+2,FALSE)-VLOOKUP(CONCATENATE('BMP P Tracking Table'!$AV201," ",'BMP P Tracking Table'!$AX201),'Performance Curves'!$C$1:$L$45,MATCH('BMP P Tracking Table'!$AZ201,'Performance Curves'!$E$1:$L$1,1)+1,FALSE)),"")</f>
        <v/>
      </c>
      <c r="BB201" s="101" t="str">
        <f>IFERROR(('BMP P Tracking Table'!$AZ201-INDEX('Performance Curves'!$E$1:$L$1,1,MATCH('BMP P Tracking Table'!$AZ201,'Performance Curves'!$E$1:$L$1,1)))/(INDEX('Performance Curves'!$E$1:$L$1,1,MATCH('BMP P Tracking Table'!$AZ201,'Performance Curves'!$E$1:$L$1,1)+1)-INDEX('Performance Curves'!$E$1:$L$1,1,MATCH('BMP P Tracking Table'!$AZ201,'Performance Curves'!$E$1:$L$1,1))),"")</f>
        <v/>
      </c>
      <c r="BC201" s="102" t="str">
        <f>IFERROR(IF('BMP P Tracking Table'!$AZ201=2,VLOOKUP(CONCATENATE('BMP P Tracking Table'!$AV201," ",'BMP P Tracking Table'!$AX201),'Performance Curves'!$C$1:$L$44,MATCH('BMP P Tracking Table'!$AZ201,'Performance Curves'!$E$1:$L$1,1)+1,FALSE),'BMP P Tracking Table'!$BA201*'BMP P Tracking Table'!$BB201+VLOOKUP(CONCATENATE('BMP P Tracking Table'!$AV201," ",'BMP P Tracking Table'!$AX201),'Performance Curves'!$C$1:$L$44,MATCH('BMP P Tracking Table'!$AZ201,'Performance Curves'!$E$1:$L$1,1)+1,FALSE)),"")</f>
        <v/>
      </c>
      <c r="BD201" s="101" t="str">
        <f>IFERROR('BMP P Tracking Table'!$BC201*'BMP P Tracking Table'!$AY201,"")</f>
        <v/>
      </c>
      <c r="BE201" s="96"/>
      <c r="BF201" s="37">
        <f t="shared" si="17"/>
        <v>0</v>
      </c>
    </row>
    <row r="202" spans="1:58" x14ac:dyDescent="0.3">
      <c r="A202" s="64"/>
      <c r="B202" s="64"/>
      <c r="C202" s="64"/>
      <c r="D202" s="64"/>
      <c r="E202" s="93"/>
      <c r="F202" s="93"/>
      <c r="G202" s="64"/>
      <c r="H202" s="64"/>
      <c r="I202" s="64"/>
      <c r="J202" s="94"/>
      <c r="K202" s="64"/>
      <c r="L202" s="64"/>
      <c r="M202" s="64"/>
      <c r="N202" s="64"/>
      <c r="O202" s="64"/>
      <c r="P202" s="64"/>
      <c r="Q202" s="64" t="str">
        <f>IFERROR(VLOOKUP('BMP P Tracking Table'!$P202,Dropdowns!$C$2:$E$15,3,FALSE),"")</f>
        <v/>
      </c>
      <c r="R202" s="64" t="str">
        <f>IFERROR(VLOOKUP('BMP P Tracking Table'!$Q202,Dropdowns!$P$3:$Q$23,2,FALSE),"")</f>
        <v/>
      </c>
      <c r="S202" s="64"/>
      <c r="T202" s="64"/>
      <c r="U202" s="64"/>
      <c r="V202" s="64"/>
      <c r="W202" s="64"/>
      <c r="X202" s="64"/>
      <c r="Y202" s="64"/>
      <c r="Z202" s="64"/>
      <c r="AA202" s="64"/>
      <c r="AB202" s="95"/>
      <c r="AC202" s="64"/>
      <c r="AD202" s="101" t="str">
        <f>IFERROR('BMP P Tracking Table'!$U202*VLOOKUP('BMP P Tracking Table'!$Q202,'Loading Rates'!$B$1:$L$24,4,FALSE)+IF('BMP P Tracking Table'!$V202="By HSG",'BMP P Tracking Table'!$W202*VLOOKUP('BMP P Tracking Table'!$Q202,'Loading Rates'!$B$1:$L$24,6,FALSE)+'BMP P Tracking Table'!$X202*VLOOKUP('BMP P Tracking Table'!$Q202,'Loading Rates'!$B$1:$L$24,7,FALSE)+'BMP P Tracking Table'!$Y202*VLOOKUP('BMP P Tracking Table'!$Q202,'Loading Rates'!$B$1:$L$24,8,FALSE)+'BMP P Tracking Table'!$Z202*VLOOKUP('BMP P Tracking Table'!$Q202,'Loading Rates'!$B$1:$L$24,9,FALSE),'BMP P Tracking Table'!$AA202*VLOOKUP('BMP P Tracking Table'!$Q202,'Loading Rates'!$B$1:$L$24,10,FALSE)),"")</f>
        <v/>
      </c>
      <c r="AE202" s="101" t="str">
        <f>IFERROR(MIN(2,IF('BMP P Tracking Table'!$V202="Total Pervious",(-(3630*'BMP P Tracking Table'!$U202+20.691*'BMP P Tracking Table'!$AA202)+SQRT((3630*'BMP P Tracking Table'!$U202+20.691*'BMP P Tracking Table'!$AA202)^2-(4*(996.798*'BMP P Tracking Table'!$AA202)*-'BMP P Tracking Table'!$AB202)))/(2*(996.798*'BMP P Tracking Table'!$AA202)),IF(SUM('BMP P Tracking Table'!$W202:$Z202)=0,'BMP P Tracking Table'!$AB202/(-3630*'BMP P Tracking Table'!$U202),(-(3630*'BMP P Tracking Table'!$U202+20.691*'BMP P Tracking Table'!$Z202-216.711*'BMP P Tracking Table'!$Y202-83.853*'BMP P Tracking Table'!$X202-42.834*'BMP P Tracking Table'!$W202)+SQRT((3630*'BMP P Tracking Table'!$U202+20.691*'BMP P Tracking Table'!$Z202-216.711*'BMP P Tracking Table'!$Y202-83.853*'BMP P Tracking Table'!$X202-42.834*'BMP P Tracking Table'!$W202)^2-(4*(149.919*'BMP P Tracking Table'!$W202+236.676*'BMP P Tracking Table'!$X202+726*'BMP P Tracking Table'!$Y202+996.798*'BMP P Tracking Table'!$Z202)*-'BMP P Tracking Table'!$AB202)))/(2*(149.919*'BMP P Tracking Table'!$W202+236.676*'BMP P Tracking Table'!$X202+726*'BMP P Tracking Table'!$Y202+996.798*'BMP P Tracking Table'!$Z202))))),"")</f>
        <v/>
      </c>
      <c r="AF202" s="101" t="str">
        <f>IFERROR((VLOOKUP(CONCATENATE('BMP P Tracking Table'!$T202," ",'BMP P Tracking Table'!$AC202),'Performance Curves'!$C$1:$L$45,MATCH('BMP P Tracking Table'!$AE202,'Performance Curves'!$E$1:$L$1,1)+2,FALSE)-VLOOKUP(CONCATENATE('BMP P Tracking Table'!$T202," ",'BMP P Tracking Table'!$AC202),'Performance Curves'!$C$1:$L$45,MATCH('BMP P Tracking Table'!$AE202,'Performance Curves'!$E$1:$L$1,1)+1,FALSE)),"")</f>
        <v/>
      </c>
      <c r="AG202" s="101" t="str">
        <f>IFERROR(('BMP P Tracking Table'!$AE202-INDEX('Performance Curves'!$E$1:$L$1,1,MATCH('BMP P Tracking Table'!$AE202,'Performance Curves'!$E$1:$L$1,1)))/(INDEX('Performance Curves'!$E$1:$L$1,1,MATCH('BMP P Tracking Table'!$AE202,'Performance Curves'!$E$1:$L$1,1)+1)-INDEX('Performance Curves'!$E$1:$L$1,1,MATCH('BMP P Tracking Table'!$AE202,'Performance Curves'!$E$1:$L$1,1))),"")</f>
        <v/>
      </c>
      <c r="AH202" s="102" t="str">
        <f>IFERROR(IF('BMP P Tracking Table'!$AE202=2,VLOOKUP(CONCATENATE('BMP P Tracking Table'!$T202," ",'BMP P Tracking Table'!$AC202),'Performance Curves'!$C$1:$L$45,MATCH('BMP P Tracking Table'!$AE202,'Performance Curves'!$E$1:$L$1,1)+1,FALSE),'BMP P Tracking Table'!$AF202*'BMP P Tracking Table'!$AG202+VLOOKUP(CONCATENATE('BMP P Tracking Table'!$T202," ",'BMP P Tracking Table'!$AC202),'Performance Curves'!$C$1:$L$45,MATCH('BMP P Tracking Table'!$AE202,'Performance Curves'!$E$1:$L$1,1)+1,FALSE)),"")</f>
        <v/>
      </c>
      <c r="AI202" s="101" t="str">
        <f>IFERROR('BMP P Tracking Table'!$AH202*'BMP P Tracking Table'!$AD202,"")</f>
        <v/>
      </c>
      <c r="AJ202" s="64"/>
      <c r="AK202" s="96"/>
      <c r="AL202" s="96"/>
      <c r="AM202" s="63"/>
      <c r="AN202" s="99" t="str">
        <f t="shared" si="16"/>
        <v/>
      </c>
      <c r="AO202" s="96"/>
      <c r="AP202" s="96"/>
      <c r="AQ202" s="96"/>
      <c r="AR202" s="96"/>
      <c r="AS202" s="96"/>
      <c r="AT202" s="96"/>
      <c r="AU202" s="96"/>
      <c r="AV202" s="64"/>
      <c r="AW202" s="97"/>
      <c r="AX202" s="97"/>
      <c r="AY202" s="101" t="str">
        <f>IF('BMP P Tracking Table'!$AK202="Yes",IF('BMP P Tracking Table'!$AL202="No",'BMP P Tracking Table'!$U202*VLOOKUP('BMP P Tracking Table'!$Q202,'Loading Rates'!$B$1:$L$24,4,FALSE)+IF('BMP P Tracking Table'!$V202="By HSG",'BMP P Tracking Table'!$W202*VLOOKUP('BMP P Tracking Table'!$Q202,'Loading Rates'!$B$1:$L$24,6,FALSE)+'BMP P Tracking Table'!$X202*VLOOKUP('BMP P Tracking Table'!$Q202,'Loading Rates'!$B$1:$L$24,7,FALSE)+'BMP P Tracking Table'!$Y202*VLOOKUP('BMP P Tracking Table'!$Q202,'Loading Rates'!$B$1:$L$24,8,FALSE)+'BMP P Tracking Table'!$Z202*VLOOKUP('BMP P Tracking Table'!$Q202,'Loading Rates'!$B$1:$L$24,9,FALSE),'BMP P Tracking Table'!$AA202*VLOOKUP('BMP P Tracking Table'!$Q202,'Loading Rates'!$B$1:$L$24,10,FALSE)),'BMP P Tracking Table'!$AO202*VLOOKUP('BMP P Tracking Table'!$Q202,'Loading Rates'!$B$1:$L$24,4,FALSE)+IF('BMP P Tracking Table'!$AP202="By HSG",'BMP P Tracking Table'!$AQ202*VLOOKUP('BMP P Tracking Table'!$Q202,'Loading Rates'!$B$1:$L$24,6,FALSE)+'BMP P Tracking Table'!$AR202*VLOOKUP('BMP P Tracking Table'!$Q202,'Loading Rates'!$B$1:$L$24,7,FALSE)+'BMP P Tracking Table'!$AS202*VLOOKUP('BMP P Tracking Table'!$Q202,'Loading Rates'!$B$1:$L$24,8,FALSE)+'BMP P Tracking Table'!$AT202*VLOOKUP('BMP P Tracking Table'!$Q202,'Loading Rates'!$B$1:$L$24,9,FALSE),'BMP P Tracking Table'!$AU202*VLOOKUP('BMP P Tracking Table'!$Q202,'Loading Rates'!$B$1:$L$24,10,FALSE))),"")</f>
        <v/>
      </c>
      <c r="AZ202" s="101" t="str">
        <f>IFERROR(IF('BMP P Tracking Table'!$AL202="Yes",MIN(2,IF('BMP P Tracking Table'!$AP202="Total Pervious",(-(3630*'BMP P Tracking Table'!$AO202+20.691*'BMP P Tracking Table'!$AU202)+SQRT((3630*'BMP P Tracking Table'!$AO202+20.691*'BMP P Tracking Table'!$AU202)^2-(4*(996.798*'BMP P Tracking Table'!$AU202)*-'BMP P Tracking Table'!$AW202)))/(2*(996.798*'BMP P Tracking Table'!$AU202)),IF(SUM('BMP P Tracking Table'!$AQ202:$AT202)=0,'BMP P Tracking Table'!$AU202/(-3630*'BMP P Tracking Table'!$AO202),(-(3630*'BMP P Tracking Table'!$AO202+20.691*'BMP P Tracking Table'!$AT202-216.711*'BMP P Tracking Table'!$AS202-83.853*'BMP P Tracking Table'!$AR202-42.834*'BMP P Tracking Table'!$AQ202)+SQRT((3630*'BMP P Tracking Table'!$AO202+20.691*'BMP P Tracking Table'!$AT202-216.711*'BMP P Tracking Table'!$AS202-83.853*'BMP P Tracking Table'!$AR202-42.834*'BMP P Tracking Table'!$AQ202)^2-(4*(149.919*'BMP P Tracking Table'!$AQ202+236.676*'BMP P Tracking Table'!$AR202+726*'BMP P Tracking Table'!$AS202+996.798*'BMP P Tracking Table'!$AT202)*-'BMP P Tracking Table'!$AW202)))/(2*(149.919*'BMP P Tracking Table'!$AQ202+236.676*'BMP P Tracking Table'!$AR202+726*'BMP P Tracking Table'!$AS202+996.798*'BMP P Tracking Table'!$AT202))))),MIN(2,IF('BMP P Tracking Table'!$AP202="Total Pervious",(-(3630*'BMP P Tracking Table'!$U202+20.691*'BMP P Tracking Table'!$AA202)+SQRT((3630*'BMP P Tracking Table'!$U202+20.691*'BMP P Tracking Table'!$AA202)^2-(4*(996.798*'BMP P Tracking Table'!$AA202)*-'BMP P Tracking Table'!$AW202)))/(2*(996.798*'BMP P Tracking Table'!$AA202)),IF(SUM('BMP P Tracking Table'!$W202:$Z202)=0,'BMP P Tracking Table'!$AW202/(-3630*'BMP P Tracking Table'!$U202),(-(3630*'BMP P Tracking Table'!$U202+20.691*'BMP P Tracking Table'!$Z202-216.711*'BMP P Tracking Table'!$Y202-83.853*'BMP P Tracking Table'!$X202-42.834*'BMP P Tracking Table'!$W202)+SQRT((3630*'BMP P Tracking Table'!$U202+20.691*'BMP P Tracking Table'!$Z202-216.711*'BMP P Tracking Table'!$Y202-83.853*'BMP P Tracking Table'!$X202-42.834*'BMP P Tracking Table'!$W202)^2-(4*(149.919*'BMP P Tracking Table'!$W202+236.676*'BMP P Tracking Table'!$X202+726*'BMP P Tracking Table'!$Y202+996.798*'BMP P Tracking Table'!$Z202)*-'BMP P Tracking Table'!$AW202)))/(2*(149.919*'BMP P Tracking Table'!$W202+236.676*'BMP P Tracking Table'!$X202+726*'BMP P Tracking Table'!$Y202+996.798*'BMP P Tracking Table'!$Z202)))))),"")</f>
        <v/>
      </c>
      <c r="BA202" s="101" t="str">
        <f>IFERROR((VLOOKUP(CONCATENATE('BMP P Tracking Table'!$AV202," ",'BMP P Tracking Table'!$AX202),'Performance Curves'!$C$1:$L$45,MATCH('BMP P Tracking Table'!$AZ202,'Performance Curves'!$E$1:$L$1,1)+2,FALSE)-VLOOKUP(CONCATENATE('BMP P Tracking Table'!$AV202," ",'BMP P Tracking Table'!$AX202),'Performance Curves'!$C$1:$L$45,MATCH('BMP P Tracking Table'!$AZ202,'Performance Curves'!$E$1:$L$1,1)+1,FALSE)),"")</f>
        <v/>
      </c>
      <c r="BB202" s="101" t="str">
        <f>IFERROR(('BMP P Tracking Table'!$AZ202-INDEX('Performance Curves'!$E$1:$L$1,1,MATCH('BMP P Tracking Table'!$AZ202,'Performance Curves'!$E$1:$L$1,1)))/(INDEX('Performance Curves'!$E$1:$L$1,1,MATCH('BMP P Tracking Table'!$AZ202,'Performance Curves'!$E$1:$L$1,1)+1)-INDEX('Performance Curves'!$E$1:$L$1,1,MATCH('BMP P Tracking Table'!$AZ202,'Performance Curves'!$E$1:$L$1,1))),"")</f>
        <v/>
      </c>
      <c r="BC202" s="102" t="str">
        <f>IFERROR(IF('BMP P Tracking Table'!$AZ202=2,VLOOKUP(CONCATENATE('BMP P Tracking Table'!$AV202," ",'BMP P Tracking Table'!$AX202),'Performance Curves'!$C$1:$L$44,MATCH('BMP P Tracking Table'!$AZ202,'Performance Curves'!$E$1:$L$1,1)+1,FALSE),'BMP P Tracking Table'!$BA202*'BMP P Tracking Table'!$BB202+VLOOKUP(CONCATENATE('BMP P Tracking Table'!$AV202," ",'BMP P Tracking Table'!$AX202),'Performance Curves'!$C$1:$L$44,MATCH('BMP P Tracking Table'!$AZ202,'Performance Curves'!$E$1:$L$1,1)+1,FALSE)),"")</f>
        <v/>
      </c>
      <c r="BD202" s="101" t="str">
        <f>IFERROR('BMP P Tracking Table'!$BC202*'BMP P Tracking Table'!$AY202,"")</f>
        <v/>
      </c>
      <c r="BE202" s="96"/>
      <c r="BF202" s="37">
        <f t="shared" si="17"/>
        <v>0</v>
      </c>
    </row>
    <row r="203" spans="1:58" x14ac:dyDescent="0.3">
      <c r="A203" s="64"/>
      <c r="B203" s="64"/>
      <c r="C203" s="64"/>
      <c r="D203" s="64"/>
      <c r="E203" s="93"/>
      <c r="F203" s="93"/>
      <c r="G203" s="64"/>
      <c r="H203" s="64"/>
      <c r="I203" s="64"/>
      <c r="J203" s="94"/>
      <c r="K203" s="64"/>
      <c r="L203" s="64"/>
      <c r="M203" s="64"/>
      <c r="N203" s="64"/>
      <c r="O203" s="64"/>
      <c r="P203" s="64"/>
      <c r="Q203" s="64" t="str">
        <f>IFERROR(VLOOKUP('BMP P Tracking Table'!$P203,Dropdowns!$C$2:$E$15,3,FALSE),"")</f>
        <v/>
      </c>
      <c r="R203" s="64" t="str">
        <f>IFERROR(VLOOKUP('BMP P Tracking Table'!$Q203,Dropdowns!$P$3:$Q$23,2,FALSE),"")</f>
        <v/>
      </c>
      <c r="S203" s="64"/>
      <c r="T203" s="64"/>
      <c r="U203" s="64"/>
      <c r="V203" s="64"/>
      <c r="W203" s="64"/>
      <c r="X203" s="64"/>
      <c r="Y203" s="64"/>
      <c r="Z203" s="64"/>
      <c r="AA203" s="64"/>
      <c r="AB203" s="95"/>
      <c r="AC203" s="64"/>
      <c r="AD203" s="101" t="str">
        <f>IFERROR('BMP P Tracking Table'!$U203*VLOOKUP('BMP P Tracking Table'!$Q203,'Loading Rates'!$B$1:$L$24,4,FALSE)+IF('BMP P Tracking Table'!$V203="By HSG",'BMP P Tracking Table'!$W203*VLOOKUP('BMP P Tracking Table'!$Q203,'Loading Rates'!$B$1:$L$24,6,FALSE)+'BMP P Tracking Table'!$X203*VLOOKUP('BMP P Tracking Table'!$Q203,'Loading Rates'!$B$1:$L$24,7,FALSE)+'BMP P Tracking Table'!$Y203*VLOOKUP('BMP P Tracking Table'!$Q203,'Loading Rates'!$B$1:$L$24,8,FALSE)+'BMP P Tracking Table'!$Z203*VLOOKUP('BMP P Tracking Table'!$Q203,'Loading Rates'!$B$1:$L$24,9,FALSE),'BMP P Tracking Table'!$AA203*VLOOKUP('BMP P Tracking Table'!$Q203,'Loading Rates'!$B$1:$L$24,10,FALSE)),"")</f>
        <v/>
      </c>
      <c r="AE203" s="101" t="str">
        <f>IFERROR(MIN(2,IF('BMP P Tracking Table'!$V203="Total Pervious",(-(3630*'BMP P Tracking Table'!$U203+20.691*'BMP P Tracking Table'!$AA203)+SQRT((3630*'BMP P Tracking Table'!$U203+20.691*'BMP P Tracking Table'!$AA203)^2-(4*(996.798*'BMP P Tracking Table'!$AA203)*-'BMP P Tracking Table'!$AB203)))/(2*(996.798*'BMP P Tracking Table'!$AA203)),IF(SUM('BMP P Tracking Table'!$W203:$Z203)=0,'BMP P Tracking Table'!$AB203/(-3630*'BMP P Tracking Table'!$U203),(-(3630*'BMP P Tracking Table'!$U203+20.691*'BMP P Tracking Table'!$Z203-216.711*'BMP P Tracking Table'!$Y203-83.853*'BMP P Tracking Table'!$X203-42.834*'BMP P Tracking Table'!$W203)+SQRT((3630*'BMP P Tracking Table'!$U203+20.691*'BMP P Tracking Table'!$Z203-216.711*'BMP P Tracking Table'!$Y203-83.853*'BMP P Tracking Table'!$X203-42.834*'BMP P Tracking Table'!$W203)^2-(4*(149.919*'BMP P Tracking Table'!$W203+236.676*'BMP P Tracking Table'!$X203+726*'BMP P Tracking Table'!$Y203+996.798*'BMP P Tracking Table'!$Z203)*-'BMP P Tracking Table'!$AB203)))/(2*(149.919*'BMP P Tracking Table'!$W203+236.676*'BMP P Tracking Table'!$X203+726*'BMP P Tracking Table'!$Y203+996.798*'BMP P Tracking Table'!$Z203))))),"")</f>
        <v/>
      </c>
      <c r="AF203" s="101" t="str">
        <f>IFERROR((VLOOKUP(CONCATENATE('BMP P Tracking Table'!$T203," ",'BMP P Tracking Table'!$AC203),'Performance Curves'!$C$1:$L$45,MATCH('BMP P Tracking Table'!$AE203,'Performance Curves'!$E$1:$L$1,1)+2,FALSE)-VLOOKUP(CONCATENATE('BMP P Tracking Table'!$T203," ",'BMP P Tracking Table'!$AC203),'Performance Curves'!$C$1:$L$45,MATCH('BMP P Tracking Table'!$AE203,'Performance Curves'!$E$1:$L$1,1)+1,FALSE)),"")</f>
        <v/>
      </c>
      <c r="AG203" s="101" t="str">
        <f>IFERROR(('BMP P Tracking Table'!$AE203-INDEX('Performance Curves'!$E$1:$L$1,1,MATCH('BMP P Tracking Table'!$AE203,'Performance Curves'!$E$1:$L$1,1)))/(INDEX('Performance Curves'!$E$1:$L$1,1,MATCH('BMP P Tracking Table'!$AE203,'Performance Curves'!$E$1:$L$1,1)+1)-INDEX('Performance Curves'!$E$1:$L$1,1,MATCH('BMP P Tracking Table'!$AE203,'Performance Curves'!$E$1:$L$1,1))),"")</f>
        <v/>
      </c>
      <c r="AH203" s="102" t="str">
        <f>IFERROR(IF('BMP P Tracking Table'!$AE203=2,VLOOKUP(CONCATENATE('BMP P Tracking Table'!$T203," ",'BMP P Tracking Table'!$AC203),'Performance Curves'!$C$1:$L$45,MATCH('BMP P Tracking Table'!$AE203,'Performance Curves'!$E$1:$L$1,1)+1,FALSE),'BMP P Tracking Table'!$AF203*'BMP P Tracking Table'!$AG203+VLOOKUP(CONCATENATE('BMP P Tracking Table'!$T203," ",'BMP P Tracking Table'!$AC203),'Performance Curves'!$C$1:$L$45,MATCH('BMP P Tracking Table'!$AE203,'Performance Curves'!$E$1:$L$1,1)+1,FALSE)),"")</f>
        <v/>
      </c>
      <c r="AI203" s="101" t="str">
        <f>IFERROR('BMP P Tracking Table'!$AH203*'BMP P Tracking Table'!$AD203,"")</f>
        <v/>
      </c>
      <c r="AJ203" s="64"/>
      <c r="AK203" s="96"/>
      <c r="AL203" s="96"/>
      <c r="AM203" s="63"/>
      <c r="AN203" s="99" t="str">
        <f t="shared" si="16"/>
        <v/>
      </c>
      <c r="AO203" s="96"/>
      <c r="AP203" s="96"/>
      <c r="AQ203" s="96"/>
      <c r="AR203" s="96"/>
      <c r="AS203" s="96"/>
      <c r="AT203" s="96"/>
      <c r="AU203" s="96"/>
      <c r="AV203" s="64"/>
      <c r="AW203" s="97"/>
      <c r="AX203" s="97"/>
      <c r="AY203" s="101" t="str">
        <f>IF('BMP P Tracking Table'!$AK203="Yes",IF('BMP P Tracking Table'!$AL203="No",'BMP P Tracking Table'!$U203*VLOOKUP('BMP P Tracking Table'!$Q203,'Loading Rates'!$B$1:$L$24,4,FALSE)+IF('BMP P Tracking Table'!$V203="By HSG",'BMP P Tracking Table'!$W203*VLOOKUP('BMP P Tracking Table'!$Q203,'Loading Rates'!$B$1:$L$24,6,FALSE)+'BMP P Tracking Table'!$X203*VLOOKUP('BMP P Tracking Table'!$Q203,'Loading Rates'!$B$1:$L$24,7,FALSE)+'BMP P Tracking Table'!$Y203*VLOOKUP('BMP P Tracking Table'!$Q203,'Loading Rates'!$B$1:$L$24,8,FALSE)+'BMP P Tracking Table'!$Z203*VLOOKUP('BMP P Tracking Table'!$Q203,'Loading Rates'!$B$1:$L$24,9,FALSE),'BMP P Tracking Table'!$AA203*VLOOKUP('BMP P Tracking Table'!$Q203,'Loading Rates'!$B$1:$L$24,10,FALSE)),'BMP P Tracking Table'!$AO203*VLOOKUP('BMP P Tracking Table'!$Q203,'Loading Rates'!$B$1:$L$24,4,FALSE)+IF('BMP P Tracking Table'!$AP203="By HSG",'BMP P Tracking Table'!$AQ203*VLOOKUP('BMP P Tracking Table'!$Q203,'Loading Rates'!$B$1:$L$24,6,FALSE)+'BMP P Tracking Table'!$AR203*VLOOKUP('BMP P Tracking Table'!$Q203,'Loading Rates'!$B$1:$L$24,7,FALSE)+'BMP P Tracking Table'!$AS203*VLOOKUP('BMP P Tracking Table'!$Q203,'Loading Rates'!$B$1:$L$24,8,FALSE)+'BMP P Tracking Table'!$AT203*VLOOKUP('BMP P Tracking Table'!$Q203,'Loading Rates'!$B$1:$L$24,9,FALSE),'BMP P Tracking Table'!$AU203*VLOOKUP('BMP P Tracking Table'!$Q203,'Loading Rates'!$B$1:$L$24,10,FALSE))),"")</f>
        <v/>
      </c>
      <c r="AZ203" s="101" t="str">
        <f>IFERROR(IF('BMP P Tracking Table'!$AL203="Yes",MIN(2,IF('BMP P Tracking Table'!$AP203="Total Pervious",(-(3630*'BMP P Tracking Table'!$AO203+20.691*'BMP P Tracking Table'!$AU203)+SQRT((3630*'BMP P Tracking Table'!$AO203+20.691*'BMP P Tracking Table'!$AU203)^2-(4*(996.798*'BMP P Tracking Table'!$AU203)*-'BMP P Tracking Table'!$AW203)))/(2*(996.798*'BMP P Tracking Table'!$AU203)),IF(SUM('BMP P Tracking Table'!$AQ203:$AT203)=0,'BMP P Tracking Table'!$AU203/(-3630*'BMP P Tracking Table'!$AO203),(-(3630*'BMP P Tracking Table'!$AO203+20.691*'BMP P Tracking Table'!$AT203-216.711*'BMP P Tracking Table'!$AS203-83.853*'BMP P Tracking Table'!$AR203-42.834*'BMP P Tracking Table'!$AQ203)+SQRT((3630*'BMP P Tracking Table'!$AO203+20.691*'BMP P Tracking Table'!$AT203-216.711*'BMP P Tracking Table'!$AS203-83.853*'BMP P Tracking Table'!$AR203-42.834*'BMP P Tracking Table'!$AQ203)^2-(4*(149.919*'BMP P Tracking Table'!$AQ203+236.676*'BMP P Tracking Table'!$AR203+726*'BMP P Tracking Table'!$AS203+996.798*'BMP P Tracking Table'!$AT203)*-'BMP P Tracking Table'!$AW203)))/(2*(149.919*'BMP P Tracking Table'!$AQ203+236.676*'BMP P Tracking Table'!$AR203+726*'BMP P Tracking Table'!$AS203+996.798*'BMP P Tracking Table'!$AT203))))),MIN(2,IF('BMP P Tracking Table'!$AP203="Total Pervious",(-(3630*'BMP P Tracking Table'!$U203+20.691*'BMP P Tracking Table'!$AA203)+SQRT((3630*'BMP P Tracking Table'!$U203+20.691*'BMP P Tracking Table'!$AA203)^2-(4*(996.798*'BMP P Tracking Table'!$AA203)*-'BMP P Tracking Table'!$AW203)))/(2*(996.798*'BMP P Tracking Table'!$AA203)),IF(SUM('BMP P Tracking Table'!$W203:$Z203)=0,'BMP P Tracking Table'!$AW203/(-3630*'BMP P Tracking Table'!$U203),(-(3630*'BMP P Tracking Table'!$U203+20.691*'BMP P Tracking Table'!$Z203-216.711*'BMP P Tracking Table'!$Y203-83.853*'BMP P Tracking Table'!$X203-42.834*'BMP P Tracking Table'!$W203)+SQRT((3630*'BMP P Tracking Table'!$U203+20.691*'BMP P Tracking Table'!$Z203-216.711*'BMP P Tracking Table'!$Y203-83.853*'BMP P Tracking Table'!$X203-42.834*'BMP P Tracking Table'!$W203)^2-(4*(149.919*'BMP P Tracking Table'!$W203+236.676*'BMP P Tracking Table'!$X203+726*'BMP P Tracking Table'!$Y203+996.798*'BMP P Tracking Table'!$Z203)*-'BMP P Tracking Table'!$AW203)))/(2*(149.919*'BMP P Tracking Table'!$W203+236.676*'BMP P Tracking Table'!$X203+726*'BMP P Tracking Table'!$Y203+996.798*'BMP P Tracking Table'!$Z203)))))),"")</f>
        <v/>
      </c>
      <c r="BA203" s="101" t="str">
        <f>IFERROR((VLOOKUP(CONCATENATE('BMP P Tracking Table'!$AV203," ",'BMP P Tracking Table'!$AX203),'Performance Curves'!$C$1:$L$45,MATCH('BMP P Tracking Table'!$AZ203,'Performance Curves'!$E$1:$L$1,1)+2,FALSE)-VLOOKUP(CONCATENATE('BMP P Tracking Table'!$AV203," ",'BMP P Tracking Table'!$AX203),'Performance Curves'!$C$1:$L$45,MATCH('BMP P Tracking Table'!$AZ203,'Performance Curves'!$E$1:$L$1,1)+1,FALSE)),"")</f>
        <v/>
      </c>
      <c r="BB203" s="101" t="str">
        <f>IFERROR(('BMP P Tracking Table'!$AZ203-INDEX('Performance Curves'!$E$1:$L$1,1,MATCH('BMP P Tracking Table'!$AZ203,'Performance Curves'!$E$1:$L$1,1)))/(INDEX('Performance Curves'!$E$1:$L$1,1,MATCH('BMP P Tracking Table'!$AZ203,'Performance Curves'!$E$1:$L$1,1)+1)-INDEX('Performance Curves'!$E$1:$L$1,1,MATCH('BMP P Tracking Table'!$AZ203,'Performance Curves'!$E$1:$L$1,1))),"")</f>
        <v/>
      </c>
      <c r="BC203" s="102" t="str">
        <f>IFERROR(IF('BMP P Tracking Table'!$AZ203=2,VLOOKUP(CONCATENATE('BMP P Tracking Table'!$AV203," ",'BMP P Tracking Table'!$AX203),'Performance Curves'!$C$1:$L$44,MATCH('BMP P Tracking Table'!$AZ203,'Performance Curves'!$E$1:$L$1,1)+1,FALSE),'BMP P Tracking Table'!$BA203*'BMP P Tracking Table'!$BB203+VLOOKUP(CONCATENATE('BMP P Tracking Table'!$AV203," ",'BMP P Tracking Table'!$AX203),'Performance Curves'!$C$1:$L$44,MATCH('BMP P Tracking Table'!$AZ203,'Performance Curves'!$E$1:$L$1,1)+1,FALSE)),"")</f>
        <v/>
      </c>
      <c r="BD203" s="101" t="str">
        <f>IFERROR('BMP P Tracking Table'!$BC203*'BMP P Tracking Table'!$AY203,"")</f>
        <v/>
      </c>
      <c r="BE203" s="96"/>
      <c r="BF203" s="37">
        <f t="shared" si="17"/>
        <v>0</v>
      </c>
    </row>
    <row r="204" spans="1:58" x14ac:dyDescent="0.3">
      <c r="A204" s="64"/>
      <c r="B204" s="64"/>
      <c r="C204" s="64"/>
      <c r="D204" s="64"/>
      <c r="E204" s="93"/>
      <c r="F204" s="93"/>
      <c r="G204" s="64"/>
      <c r="H204" s="64"/>
      <c r="I204" s="64"/>
      <c r="J204" s="94"/>
      <c r="K204" s="64"/>
      <c r="L204" s="64"/>
      <c r="M204" s="64"/>
      <c r="N204" s="64"/>
      <c r="O204" s="64"/>
      <c r="P204" s="64"/>
      <c r="Q204" s="64" t="str">
        <f>IFERROR(VLOOKUP('BMP P Tracking Table'!$P204,Dropdowns!$C$2:$E$15,3,FALSE),"")</f>
        <v/>
      </c>
      <c r="R204" s="64" t="str">
        <f>IFERROR(VLOOKUP('BMP P Tracking Table'!$Q204,Dropdowns!$P$3:$Q$23,2,FALSE),"")</f>
        <v/>
      </c>
      <c r="S204" s="64"/>
      <c r="T204" s="64"/>
      <c r="U204" s="64"/>
      <c r="V204" s="64"/>
      <c r="W204" s="64"/>
      <c r="X204" s="64"/>
      <c r="Y204" s="64"/>
      <c r="Z204" s="64"/>
      <c r="AA204" s="64"/>
      <c r="AB204" s="95"/>
      <c r="AC204" s="64"/>
      <c r="AD204" s="101" t="str">
        <f>IFERROR('BMP P Tracking Table'!$U204*VLOOKUP('BMP P Tracking Table'!$Q204,'Loading Rates'!$B$1:$L$24,4,FALSE)+IF('BMP P Tracking Table'!$V204="By HSG",'BMP P Tracking Table'!$W204*VLOOKUP('BMP P Tracking Table'!$Q204,'Loading Rates'!$B$1:$L$24,6,FALSE)+'BMP P Tracking Table'!$X204*VLOOKUP('BMP P Tracking Table'!$Q204,'Loading Rates'!$B$1:$L$24,7,FALSE)+'BMP P Tracking Table'!$Y204*VLOOKUP('BMP P Tracking Table'!$Q204,'Loading Rates'!$B$1:$L$24,8,FALSE)+'BMP P Tracking Table'!$Z204*VLOOKUP('BMP P Tracking Table'!$Q204,'Loading Rates'!$B$1:$L$24,9,FALSE),'BMP P Tracking Table'!$AA204*VLOOKUP('BMP P Tracking Table'!$Q204,'Loading Rates'!$B$1:$L$24,10,FALSE)),"")</f>
        <v/>
      </c>
      <c r="AE204" s="101" t="str">
        <f>IFERROR(MIN(2,IF('BMP P Tracking Table'!$V204="Total Pervious",(-(3630*'BMP P Tracking Table'!$U204+20.691*'BMP P Tracking Table'!$AA204)+SQRT((3630*'BMP P Tracking Table'!$U204+20.691*'BMP P Tracking Table'!$AA204)^2-(4*(996.798*'BMP P Tracking Table'!$AA204)*-'BMP P Tracking Table'!$AB204)))/(2*(996.798*'BMP P Tracking Table'!$AA204)),IF(SUM('BMP P Tracking Table'!$W204:$Z204)=0,'BMP P Tracking Table'!$AB204/(-3630*'BMP P Tracking Table'!$U204),(-(3630*'BMP P Tracking Table'!$U204+20.691*'BMP P Tracking Table'!$Z204-216.711*'BMP P Tracking Table'!$Y204-83.853*'BMP P Tracking Table'!$X204-42.834*'BMP P Tracking Table'!$W204)+SQRT((3630*'BMP P Tracking Table'!$U204+20.691*'BMP P Tracking Table'!$Z204-216.711*'BMP P Tracking Table'!$Y204-83.853*'BMP P Tracking Table'!$X204-42.834*'BMP P Tracking Table'!$W204)^2-(4*(149.919*'BMP P Tracking Table'!$W204+236.676*'BMP P Tracking Table'!$X204+726*'BMP P Tracking Table'!$Y204+996.798*'BMP P Tracking Table'!$Z204)*-'BMP P Tracking Table'!$AB204)))/(2*(149.919*'BMP P Tracking Table'!$W204+236.676*'BMP P Tracking Table'!$X204+726*'BMP P Tracking Table'!$Y204+996.798*'BMP P Tracking Table'!$Z204))))),"")</f>
        <v/>
      </c>
      <c r="AF204" s="101" t="str">
        <f>IFERROR((VLOOKUP(CONCATENATE('BMP P Tracking Table'!$T204," ",'BMP P Tracking Table'!$AC204),'Performance Curves'!$C$1:$L$45,MATCH('BMP P Tracking Table'!$AE204,'Performance Curves'!$E$1:$L$1,1)+2,FALSE)-VLOOKUP(CONCATENATE('BMP P Tracking Table'!$T204," ",'BMP P Tracking Table'!$AC204),'Performance Curves'!$C$1:$L$45,MATCH('BMP P Tracking Table'!$AE204,'Performance Curves'!$E$1:$L$1,1)+1,FALSE)),"")</f>
        <v/>
      </c>
      <c r="AG204" s="101" t="str">
        <f>IFERROR(('BMP P Tracking Table'!$AE204-INDEX('Performance Curves'!$E$1:$L$1,1,MATCH('BMP P Tracking Table'!$AE204,'Performance Curves'!$E$1:$L$1,1)))/(INDEX('Performance Curves'!$E$1:$L$1,1,MATCH('BMP P Tracking Table'!$AE204,'Performance Curves'!$E$1:$L$1,1)+1)-INDEX('Performance Curves'!$E$1:$L$1,1,MATCH('BMP P Tracking Table'!$AE204,'Performance Curves'!$E$1:$L$1,1))),"")</f>
        <v/>
      </c>
      <c r="AH204" s="102" t="str">
        <f>IFERROR(IF('BMP P Tracking Table'!$AE204=2,VLOOKUP(CONCATENATE('BMP P Tracking Table'!$T204," ",'BMP P Tracking Table'!$AC204),'Performance Curves'!$C$1:$L$45,MATCH('BMP P Tracking Table'!$AE204,'Performance Curves'!$E$1:$L$1,1)+1,FALSE),'BMP P Tracking Table'!$AF204*'BMP P Tracking Table'!$AG204+VLOOKUP(CONCATENATE('BMP P Tracking Table'!$T204," ",'BMP P Tracking Table'!$AC204),'Performance Curves'!$C$1:$L$45,MATCH('BMP P Tracking Table'!$AE204,'Performance Curves'!$E$1:$L$1,1)+1,FALSE)),"")</f>
        <v/>
      </c>
      <c r="AI204" s="101" t="str">
        <f>IFERROR('BMP P Tracking Table'!$AH204*'BMP P Tracking Table'!$AD204,"")</f>
        <v/>
      </c>
      <c r="AJ204" s="64"/>
      <c r="AK204" s="96"/>
      <c r="AL204" s="96"/>
      <c r="AM204" s="63"/>
      <c r="AN204" s="99" t="str">
        <f t="shared" si="16"/>
        <v/>
      </c>
      <c r="AO204" s="96"/>
      <c r="AP204" s="96"/>
      <c r="AQ204" s="96"/>
      <c r="AR204" s="96"/>
      <c r="AS204" s="96"/>
      <c r="AT204" s="96"/>
      <c r="AU204" s="96"/>
      <c r="AV204" s="64"/>
      <c r="AW204" s="97"/>
      <c r="AX204" s="97"/>
      <c r="AY204" s="101" t="str">
        <f>IF('BMP P Tracking Table'!$AK204="Yes",IF('BMP P Tracking Table'!$AL204="No",'BMP P Tracking Table'!$U204*VLOOKUP('BMP P Tracking Table'!$Q204,'Loading Rates'!$B$1:$L$24,4,FALSE)+IF('BMP P Tracking Table'!$V204="By HSG",'BMP P Tracking Table'!$W204*VLOOKUP('BMP P Tracking Table'!$Q204,'Loading Rates'!$B$1:$L$24,6,FALSE)+'BMP P Tracking Table'!$X204*VLOOKUP('BMP P Tracking Table'!$Q204,'Loading Rates'!$B$1:$L$24,7,FALSE)+'BMP P Tracking Table'!$Y204*VLOOKUP('BMP P Tracking Table'!$Q204,'Loading Rates'!$B$1:$L$24,8,FALSE)+'BMP P Tracking Table'!$Z204*VLOOKUP('BMP P Tracking Table'!$Q204,'Loading Rates'!$B$1:$L$24,9,FALSE),'BMP P Tracking Table'!$AA204*VLOOKUP('BMP P Tracking Table'!$Q204,'Loading Rates'!$B$1:$L$24,10,FALSE)),'BMP P Tracking Table'!$AO204*VLOOKUP('BMP P Tracking Table'!$Q204,'Loading Rates'!$B$1:$L$24,4,FALSE)+IF('BMP P Tracking Table'!$AP204="By HSG",'BMP P Tracking Table'!$AQ204*VLOOKUP('BMP P Tracking Table'!$Q204,'Loading Rates'!$B$1:$L$24,6,FALSE)+'BMP P Tracking Table'!$AR204*VLOOKUP('BMP P Tracking Table'!$Q204,'Loading Rates'!$B$1:$L$24,7,FALSE)+'BMP P Tracking Table'!$AS204*VLOOKUP('BMP P Tracking Table'!$Q204,'Loading Rates'!$B$1:$L$24,8,FALSE)+'BMP P Tracking Table'!$AT204*VLOOKUP('BMP P Tracking Table'!$Q204,'Loading Rates'!$B$1:$L$24,9,FALSE),'BMP P Tracking Table'!$AU204*VLOOKUP('BMP P Tracking Table'!$Q204,'Loading Rates'!$B$1:$L$24,10,FALSE))),"")</f>
        <v/>
      </c>
      <c r="AZ204" s="101" t="str">
        <f>IFERROR(IF('BMP P Tracking Table'!$AL204="Yes",MIN(2,IF('BMP P Tracking Table'!$AP204="Total Pervious",(-(3630*'BMP P Tracking Table'!$AO204+20.691*'BMP P Tracking Table'!$AU204)+SQRT((3630*'BMP P Tracking Table'!$AO204+20.691*'BMP P Tracking Table'!$AU204)^2-(4*(996.798*'BMP P Tracking Table'!$AU204)*-'BMP P Tracking Table'!$AW204)))/(2*(996.798*'BMP P Tracking Table'!$AU204)),IF(SUM('BMP P Tracking Table'!$AQ204:$AT204)=0,'BMP P Tracking Table'!$AU204/(-3630*'BMP P Tracking Table'!$AO204),(-(3630*'BMP P Tracking Table'!$AO204+20.691*'BMP P Tracking Table'!$AT204-216.711*'BMP P Tracking Table'!$AS204-83.853*'BMP P Tracking Table'!$AR204-42.834*'BMP P Tracking Table'!$AQ204)+SQRT((3630*'BMP P Tracking Table'!$AO204+20.691*'BMP P Tracking Table'!$AT204-216.711*'BMP P Tracking Table'!$AS204-83.853*'BMP P Tracking Table'!$AR204-42.834*'BMP P Tracking Table'!$AQ204)^2-(4*(149.919*'BMP P Tracking Table'!$AQ204+236.676*'BMP P Tracking Table'!$AR204+726*'BMP P Tracking Table'!$AS204+996.798*'BMP P Tracking Table'!$AT204)*-'BMP P Tracking Table'!$AW204)))/(2*(149.919*'BMP P Tracking Table'!$AQ204+236.676*'BMP P Tracking Table'!$AR204+726*'BMP P Tracking Table'!$AS204+996.798*'BMP P Tracking Table'!$AT204))))),MIN(2,IF('BMP P Tracking Table'!$AP204="Total Pervious",(-(3630*'BMP P Tracking Table'!$U204+20.691*'BMP P Tracking Table'!$AA204)+SQRT((3630*'BMP P Tracking Table'!$U204+20.691*'BMP P Tracking Table'!$AA204)^2-(4*(996.798*'BMP P Tracking Table'!$AA204)*-'BMP P Tracking Table'!$AW204)))/(2*(996.798*'BMP P Tracking Table'!$AA204)),IF(SUM('BMP P Tracking Table'!$W204:$Z204)=0,'BMP P Tracking Table'!$AW204/(-3630*'BMP P Tracking Table'!$U204),(-(3630*'BMP P Tracking Table'!$U204+20.691*'BMP P Tracking Table'!$Z204-216.711*'BMP P Tracking Table'!$Y204-83.853*'BMP P Tracking Table'!$X204-42.834*'BMP P Tracking Table'!$W204)+SQRT((3630*'BMP P Tracking Table'!$U204+20.691*'BMP P Tracking Table'!$Z204-216.711*'BMP P Tracking Table'!$Y204-83.853*'BMP P Tracking Table'!$X204-42.834*'BMP P Tracking Table'!$W204)^2-(4*(149.919*'BMP P Tracking Table'!$W204+236.676*'BMP P Tracking Table'!$X204+726*'BMP P Tracking Table'!$Y204+996.798*'BMP P Tracking Table'!$Z204)*-'BMP P Tracking Table'!$AW204)))/(2*(149.919*'BMP P Tracking Table'!$W204+236.676*'BMP P Tracking Table'!$X204+726*'BMP P Tracking Table'!$Y204+996.798*'BMP P Tracking Table'!$Z204)))))),"")</f>
        <v/>
      </c>
      <c r="BA204" s="101" t="str">
        <f>IFERROR((VLOOKUP(CONCATENATE('BMP P Tracking Table'!$AV204," ",'BMP P Tracking Table'!$AX204),'Performance Curves'!$C$1:$L$45,MATCH('BMP P Tracking Table'!$AZ204,'Performance Curves'!$E$1:$L$1,1)+2,FALSE)-VLOOKUP(CONCATENATE('BMP P Tracking Table'!$AV204," ",'BMP P Tracking Table'!$AX204),'Performance Curves'!$C$1:$L$45,MATCH('BMP P Tracking Table'!$AZ204,'Performance Curves'!$E$1:$L$1,1)+1,FALSE)),"")</f>
        <v/>
      </c>
      <c r="BB204" s="101" t="str">
        <f>IFERROR(('BMP P Tracking Table'!$AZ204-INDEX('Performance Curves'!$E$1:$L$1,1,MATCH('BMP P Tracking Table'!$AZ204,'Performance Curves'!$E$1:$L$1,1)))/(INDEX('Performance Curves'!$E$1:$L$1,1,MATCH('BMP P Tracking Table'!$AZ204,'Performance Curves'!$E$1:$L$1,1)+1)-INDEX('Performance Curves'!$E$1:$L$1,1,MATCH('BMP P Tracking Table'!$AZ204,'Performance Curves'!$E$1:$L$1,1))),"")</f>
        <v/>
      </c>
      <c r="BC204" s="102" t="str">
        <f>IFERROR(IF('BMP P Tracking Table'!$AZ204=2,VLOOKUP(CONCATENATE('BMP P Tracking Table'!$AV204," ",'BMP P Tracking Table'!$AX204),'Performance Curves'!$C$1:$L$44,MATCH('BMP P Tracking Table'!$AZ204,'Performance Curves'!$E$1:$L$1,1)+1,FALSE),'BMP P Tracking Table'!$BA204*'BMP P Tracking Table'!$BB204+VLOOKUP(CONCATENATE('BMP P Tracking Table'!$AV204," ",'BMP P Tracking Table'!$AX204),'Performance Curves'!$C$1:$L$44,MATCH('BMP P Tracking Table'!$AZ204,'Performance Curves'!$E$1:$L$1,1)+1,FALSE)),"")</f>
        <v/>
      </c>
      <c r="BD204" s="101" t="str">
        <f>IFERROR('BMP P Tracking Table'!$BC204*'BMP P Tracking Table'!$AY204,"")</f>
        <v/>
      </c>
      <c r="BE204" s="96"/>
      <c r="BF204" s="37">
        <f t="shared" si="17"/>
        <v>0</v>
      </c>
    </row>
    <row r="205" spans="1:58" x14ac:dyDescent="0.3">
      <c r="A205" s="64"/>
      <c r="B205" s="64"/>
      <c r="C205" s="64"/>
      <c r="D205" s="64"/>
      <c r="E205" s="93"/>
      <c r="F205" s="93"/>
      <c r="G205" s="64"/>
      <c r="H205" s="64"/>
      <c r="I205" s="64"/>
      <c r="J205" s="94"/>
      <c r="K205" s="64"/>
      <c r="L205" s="64"/>
      <c r="M205" s="64"/>
      <c r="N205" s="64"/>
      <c r="O205" s="64"/>
      <c r="P205" s="64"/>
      <c r="Q205" s="64" t="str">
        <f>IFERROR(VLOOKUP('BMP P Tracking Table'!$P205,Dropdowns!$C$2:$E$15,3,FALSE),"")</f>
        <v/>
      </c>
      <c r="R205" s="64" t="str">
        <f>IFERROR(VLOOKUP('BMP P Tracking Table'!$Q205,Dropdowns!$P$3:$Q$23,2,FALSE),"")</f>
        <v/>
      </c>
      <c r="S205" s="64"/>
      <c r="T205" s="64"/>
      <c r="U205" s="64"/>
      <c r="V205" s="64"/>
      <c r="W205" s="64"/>
      <c r="X205" s="64"/>
      <c r="Y205" s="64"/>
      <c r="Z205" s="64"/>
      <c r="AA205" s="64"/>
      <c r="AB205" s="95"/>
      <c r="AC205" s="64"/>
      <c r="AD205" s="101" t="str">
        <f>IFERROR('BMP P Tracking Table'!$U205*VLOOKUP('BMP P Tracking Table'!$Q205,'Loading Rates'!$B$1:$L$24,4,FALSE)+IF('BMP P Tracking Table'!$V205="By HSG",'BMP P Tracking Table'!$W205*VLOOKUP('BMP P Tracking Table'!$Q205,'Loading Rates'!$B$1:$L$24,6,FALSE)+'BMP P Tracking Table'!$X205*VLOOKUP('BMP P Tracking Table'!$Q205,'Loading Rates'!$B$1:$L$24,7,FALSE)+'BMP P Tracking Table'!$Y205*VLOOKUP('BMP P Tracking Table'!$Q205,'Loading Rates'!$B$1:$L$24,8,FALSE)+'BMP P Tracking Table'!$Z205*VLOOKUP('BMP P Tracking Table'!$Q205,'Loading Rates'!$B$1:$L$24,9,FALSE),'BMP P Tracking Table'!$AA205*VLOOKUP('BMP P Tracking Table'!$Q205,'Loading Rates'!$B$1:$L$24,10,FALSE)),"")</f>
        <v/>
      </c>
      <c r="AE205" s="101" t="str">
        <f>IFERROR(MIN(2,IF('BMP P Tracking Table'!$V205="Total Pervious",(-(3630*'BMP P Tracking Table'!$U205+20.691*'BMP P Tracking Table'!$AA205)+SQRT((3630*'BMP P Tracking Table'!$U205+20.691*'BMP P Tracking Table'!$AA205)^2-(4*(996.798*'BMP P Tracking Table'!$AA205)*-'BMP P Tracking Table'!$AB205)))/(2*(996.798*'BMP P Tracking Table'!$AA205)),IF(SUM('BMP P Tracking Table'!$W205:$Z205)=0,'BMP P Tracking Table'!$AB205/(-3630*'BMP P Tracking Table'!$U205),(-(3630*'BMP P Tracking Table'!$U205+20.691*'BMP P Tracking Table'!$Z205-216.711*'BMP P Tracking Table'!$Y205-83.853*'BMP P Tracking Table'!$X205-42.834*'BMP P Tracking Table'!$W205)+SQRT((3630*'BMP P Tracking Table'!$U205+20.691*'BMP P Tracking Table'!$Z205-216.711*'BMP P Tracking Table'!$Y205-83.853*'BMP P Tracking Table'!$X205-42.834*'BMP P Tracking Table'!$W205)^2-(4*(149.919*'BMP P Tracking Table'!$W205+236.676*'BMP P Tracking Table'!$X205+726*'BMP P Tracking Table'!$Y205+996.798*'BMP P Tracking Table'!$Z205)*-'BMP P Tracking Table'!$AB205)))/(2*(149.919*'BMP P Tracking Table'!$W205+236.676*'BMP P Tracking Table'!$X205+726*'BMP P Tracking Table'!$Y205+996.798*'BMP P Tracking Table'!$Z205))))),"")</f>
        <v/>
      </c>
      <c r="AF205" s="101" t="str">
        <f>IFERROR((VLOOKUP(CONCATENATE('BMP P Tracking Table'!$T205," ",'BMP P Tracking Table'!$AC205),'Performance Curves'!$C$1:$L$45,MATCH('BMP P Tracking Table'!$AE205,'Performance Curves'!$E$1:$L$1,1)+2,FALSE)-VLOOKUP(CONCATENATE('BMP P Tracking Table'!$T205," ",'BMP P Tracking Table'!$AC205),'Performance Curves'!$C$1:$L$45,MATCH('BMP P Tracking Table'!$AE205,'Performance Curves'!$E$1:$L$1,1)+1,FALSE)),"")</f>
        <v/>
      </c>
      <c r="AG205" s="101" t="str">
        <f>IFERROR(('BMP P Tracking Table'!$AE205-INDEX('Performance Curves'!$E$1:$L$1,1,MATCH('BMP P Tracking Table'!$AE205,'Performance Curves'!$E$1:$L$1,1)))/(INDEX('Performance Curves'!$E$1:$L$1,1,MATCH('BMP P Tracking Table'!$AE205,'Performance Curves'!$E$1:$L$1,1)+1)-INDEX('Performance Curves'!$E$1:$L$1,1,MATCH('BMP P Tracking Table'!$AE205,'Performance Curves'!$E$1:$L$1,1))),"")</f>
        <v/>
      </c>
      <c r="AH205" s="102" t="str">
        <f>IFERROR(IF('BMP P Tracking Table'!$AE205=2,VLOOKUP(CONCATENATE('BMP P Tracking Table'!$T205," ",'BMP P Tracking Table'!$AC205),'Performance Curves'!$C$1:$L$45,MATCH('BMP P Tracking Table'!$AE205,'Performance Curves'!$E$1:$L$1,1)+1,FALSE),'BMP P Tracking Table'!$AF205*'BMP P Tracking Table'!$AG205+VLOOKUP(CONCATENATE('BMP P Tracking Table'!$T205," ",'BMP P Tracking Table'!$AC205),'Performance Curves'!$C$1:$L$45,MATCH('BMP P Tracking Table'!$AE205,'Performance Curves'!$E$1:$L$1,1)+1,FALSE)),"")</f>
        <v/>
      </c>
      <c r="AI205" s="101" t="str">
        <f>IFERROR('BMP P Tracking Table'!$AH205*'BMP P Tracking Table'!$AD205,"")</f>
        <v/>
      </c>
      <c r="AJ205" s="64"/>
      <c r="AK205" s="96"/>
      <c r="AL205" s="96"/>
      <c r="AM205" s="63"/>
      <c r="AN205" s="99" t="str">
        <f t="shared" si="16"/>
        <v/>
      </c>
      <c r="AO205" s="96"/>
      <c r="AP205" s="96"/>
      <c r="AQ205" s="96"/>
      <c r="AR205" s="96"/>
      <c r="AS205" s="96"/>
      <c r="AT205" s="96"/>
      <c r="AU205" s="96"/>
      <c r="AV205" s="64"/>
      <c r="AW205" s="97"/>
      <c r="AX205" s="97"/>
      <c r="AY205" s="101" t="str">
        <f>IF('BMP P Tracking Table'!$AK205="Yes",IF('BMP P Tracking Table'!$AL205="No",'BMP P Tracking Table'!$U205*VLOOKUP('BMP P Tracking Table'!$Q205,'Loading Rates'!$B$1:$L$24,4,FALSE)+IF('BMP P Tracking Table'!$V205="By HSG",'BMP P Tracking Table'!$W205*VLOOKUP('BMP P Tracking Table'!$Q205,'Loading Rates'!$B$1:$L$24,6,FALSE)+'BMP P Tracking Table'!$X205*VLOOKUP('BMP P Tracking Table'!$Q205,'Loading Rates'!$B$1:$L$24,7,FALSE)+'BMP P Tracking Table'!$Y205*VLOOKUP('BMP P Tracking Table'!$Q205,'Loading Rates'!$B$1:$L$24,8,FALSE)+'BMP P Tracking Table'!$Z205*VLOOKUP('BMP P Tracking Table'!$Q205,'Loading Rates'!$B$1:$L$24,9,FALSE),'BMP P Tracking Table'!$AA205*VLOOKUP('BMP P Tracking Table'!$Q205,'Loading Rates'!$B$1:$L$24,10,FALSE)),'BMP P Tracking Table'!$AO205*VLOOKUP('BMP P Tracking Table'!$Q205,'Loading Rates'!$B$1:$L$24,4,FALSE)+IF('BMP P Tracking Table'!$AP205="By HSG",'BMP P Tracking Table'!$AQ205*VLOOKUP('BMP P Tracking Table'!$Q205,'Loading Rates'!$B$1:$L$24,6,FALSE)+'BMP P Tracking Table'!$AR205*VLOOKUP('BMP P Tracking Table'!$Q205,'Loading Rates'!$B$1:$L$24,7,FALSE)+'BMP P Tracking Table'!$AS205*VLOOKUP('BMP P Tracking Table'!$Q205,'Loading Rates'!$B$1:$L$24,8,FALSE)+'BMP P Tracking Table'!$AT205*VLOOKUP('BMP P Tracking Table'!$Q205,'Loading Rates'!$B$1:$L$24,9,FALSE),'BMP P Tracking Table'!$AU205*VLOOKUP('BMP P Tracking Table'!$Q205,'Loading Rates'!$B$1:$L$24,10,FALSE))),"")</f>
        <v/>
      </c>
      <c r="AZ205" s="101" t="str">
        <f>IFERROR(IF('BMP P Tracking Table'!$AL205="Yes",MIN(2,IF('BMP P Tracking Table'!$AP205="Total Pervious",(-(3630*'BMP P Tracking Table'!$AO205+20.691*'BMP P Tracking Table'!$AU205)+SQRT((3630*'BMP P Tracking Table'!$AO205+20.691*'BMP P Tracking Table'!$AU205)^2-(4*(996.798*'BMP P Tracking Table'!$AU205)*-'BMP P Tracking Table'!$AW205)))/(2*(996.798*'BMP P Tracking Table'!$AU205)),IF(SUM('BMP P Tracking Table'!$AQ205:$AT205)=0,'BMP P Tracking Table'!$AU205/(-3630*'BMP P Tracking Table'!$AO205),(-(3630*'BMP P Tracking Table'!$AO205+20.691*'BMP P Tracking Table'!$AT205-216.711*'BMP P Tracking Table'!$AS205-83.853*'BMP P Tracking Table'!$AR205-42.834*'BMP P Tracking Table'!$AQ205)+SQRT((3630*'BMP P Tracking Table'!$AO205+20.691*'BMP P Tracking Table'!$AT205-216.711*'BMP P Tracking Table'!$AS205-83.853*'BMP P Tracking Table'!$AR205-42.834*'BMP P Tracking Table'!$AQ205)^2-(4*(149.919*'BMP P Tracking Table'!$AQ205+236.676*'BMP P Tracking Table'!$AR205+726*'BMP P Tracking Table'!$AS205+996.798*'BMP P Tracking Table'!$AT205)*-'BMP P Tracking Table'!$AW205)))/(2*(149.919*'BMP P Tracking Table'!$AQ205+236.676*'BMP P Tracking Table'!$AR205+726*'BMP P Tracking Table'!$AS205+996.798*'BMP P Tracking Table'!$AT205))))),MIN(2,IF('BMP P Tracking Table'!$AP205="Total Pervious",(-(3630*'BMP P Tracking Table'!$U205+20.691*'BMP P Tracking Table'!$AA205)+SQRT((3630*'BMP P Tracking Table'!$U205+20.691*'BMP P Tracking Table'!$AA205)^2-(4*(996.798*'BMP P Tracking Table'!$AA205)*-'BMP P Tracking Table'!$AW205)))/(2*(996.798*'BMP P Tracking Table'!$AA205)),IF(SUM('BMP P Tracking Table'!$W205:$Z205)=0,'BMP P Tracking Table'!$AW205/(-3630*'BMP P Tracking Table'!$U205),(-(3630*'BMP P Tracking Table'!$U205+20.691*'BMP P Tracking Table'!$Z205-216.711*'BMP P Tracking Table'!$Y205-83.853*'BMP P Tracking Table'!$X205-42.834*'BMP P Tracking Table'!$W205)+SQRT((3630*'BMP P Tracking Table'!$U205+20.691*'BMP P Tracking Table'!$Z205-216.711*'BMP P Tracking Table'!$Y205-83.853*'BMP P Tracking Table'!$X205-42.834*'BMP P Tracking Table'!$W205)^2-(4*(149.919*'BMP P Tracking Table'!$W205+236.676*'BMP P Tracking Table'!$X205+726*'BMP P Tracking Table'!$Y205+996.798*'BMP P Tracking Table'!$Z205)*-'BMP P Tracking Table'!$AW205)))/(2*(149.919*'BMP P Tracking Table'!$W205+236.676*'BMP P Tracking Table'!$X205+726*'BMP P Tracking Table'!$Y205+996.798*'BMP P Tracking Table'!$Z205)))))),"")</f>
        <v/>
      </c>
      <c r="BA205" s="101" t="str">
        <f>IFERROR((VLOOKUP(CONCATENATE('BMP P Tracking Table'!$AV205," ",'BMP P Tracking Table'!$AX205),'Performance Curves'!$C$1:$L$45,MATCH('BMP P Tracking Table'!$AZ205,'Performance Curves'!$E$1:$L$1,1)+2,FALSE)-VLOOKUP(CONCATENATE('BMP P Tracking Table'!$AV205," ",'BMP P Tracking Table'!$AX205),'Performance Curves'!$C$1:$L$45,MATCH('BMP P Tracking Table'!$AZ205,'Performance Curves'!$E$1:$L$1,1)+1,FALSE)),"")</f>
        <v/>
      </c>
      <c r="BB205" s="101" t="str">
        <f>IFERROR(('BMP P Tracking Table'!$AZ205-INDEX('Performance Curves'!$E$1:$L$1,1,MATCH('BMP P Tracking Table'!$AZ205,'Performance Curves'!$E$1:$L$1,1)))/(INDEX('Performance Curves'!$E$1:$L$1,1,MATCH('BMP P Tracking Table'!$AZ205,'Performance Curves'!$E$1:$L$1,1)+1)-INDEX('Performance Curves'!$E$1:$L$1,1,MATCH('BMP P Tracking Table'!$AZ205,'Performance Curves'!$E$1:$L$1,1))),"")</f>
        <v/>
      </c>
      <c r="BC205" s="102" t="str">
        <f>IFERROR(IF('BMP P Tracking Table'!$AZ205=2,VLOOKUP(CONCATENATE('BMP P Tracking Table'!$AV205," ",'BMP P Tracking Table'!$AX205),'Performance Curves'!$C$1:$L$44,MATCH('BMP P Tracking Table'!$AZ205,'Performance Curves'!$E$1:$L$1,1)+1,FALSE),'BMP P Tracking Table'!$BA205*'BMP P Tracking Table'!$BB205+VLOOKUP(CONCATENATE('BMP P Tracking Table'!$AV205," ",'BMP P Tracking Table'!$AX205),'Performance Curves'!$C$1:$L$44,MATCH('BMP P Tracking Table'!$AZ205,'Performance Curves'!$E$1:$L$1,1)+1,FALSE)),"")</f>
        <v/>
      </c>
      <c r="BD205" s="101" t="str">
        <f>IFERROR('BMP P Tracking Table'!$BC205*'BMP P Tracking Table'!$AY205,"")</f>
        <v/>
      </c>
      <c r="BE205" s="96"/>
      <c r="BF205" s="37">
        <f t="shared" si="17"/>
        <v>0</v>
      </c>
    </row>
    <row r="206" spans="1:58" x14ac:dyDescent="0.3">
      <c r="A206" s="64"/>
      <c r="B206" s="64"/>
      <c r="C206" s="64"/>
      <c r="D206" s="64"/>
      <c r="E206" s="93"/>
      <c r="F206" s="93"/>
      <c r="G206" s="64"/>
      <c r="H206" s="64"/>
      <c r="I206" s="64"/>
      <c r="J206" s="94"/>
      <c r="K206" s="64"/>
      <c r="L206" s="64"/>
      <c r="M206" s="64"/>
      <c r="N206" s="64"/>
      <c r="O206" s="64"/>
      <c r="P206" s="64"/>
      <c r="Q206" s="64" t="str">
        <f>IFERROR(VLOOKUP('BMP P Tracking Table'!$P206,Dropdowns!$C$2:$E$15,3,FALSE),"")</f>
        <v/>
      </c>
      <c r="R206" s="64" t="str">
        <f>IFERROR(VLOOKUP('BMP P Tracking Table'!$Q206,Dropdowns!$P$3:$Q$23,2,FALSE),"")</f>
        <v/>
      </c>
      <c r="S206" s="64"/>
      <c r="T206" s="64"/>
      <c r="U206" s="64"/>
      <c r="V206" s="64"/>
      <c r="W206" s="64"/>
      <c r="X206" s="64"/>
      <c r="Y206" s="64"/>
      <c r="Z206" s="64"/>
      <c r="AA206" s="64"/>
      <c r="AB206" s="95"/>
      <c r="AC206" s="64"/>
      <c r="AD206" s="101" t="str">
        <f>IFERROR('BMP P Tracking Table'!$U206*VLOOKUP('BMP P Tracking Table'!$Q206,'Loading Rates'!$B$1:$L$24,4,FALSE)+IF('BMP P Tracking Table'!$V206="By HSG",'BMP P Tracking Table'!$W206*VLOOKUP('BMP P Tracking Table'!$Q206,'Loading Rates'!$B$1:$L$24,6,FALSE)+'BMP P Tracking Table'!$X206*VLOOKUP('BMP P Tracking Table'!$Q206,'Loading Rates'!$B$1:$L$24,7,FALSE)+'BMP P Tracking Table'!$Y206*VLOOKUP('BMP P Tracking Table'!$Q206,'Loading Rates'!$B$1:$L$24,8,FALSE)+'BMP P Tracking Table'!$Z206*VLOOKUP('BMP P Tracking Table'!$Q206,'Loading Rates'!$B$1:$L$24,9,FALSE),'BMP P Tracking Table'!$AA206*VLOOKUP('BMP P Tracking Table'!$Q206,'Loading Rates'!$B$1:$L$24,10,FALSE)),"")</f>
        <v/>
      </c>
      <c r="AE206" s="101" t="str">
        <f>IFERROR(MIN(2,IF('BMP P Tracking Table'!$V206="Total Pervious",(-(3630*'BMP P Tracking Table'!$U206+20.691*'BMP P Tracking Table'!$AA206)+SQRT((3630*'BMP P Tracking Table'!$U206+20.691*'BMP P Tracking Table'!$AA206)^2-(4*(996.798*'BMP P Tracking Table'!$AA206)*-'BMP P Tracking Table'!$AB206)))/(2*(996.798*'BMP P Tracking Table'!$AA206)),IF(SUM('BMP P Tracking Table'!$W206:$Z206)=0,'BMP P Tracking Table'!$AB206/(-3630*'BMP P Tracking Table'!$U206),(-(3630*'BMP P Tracking Table'!$U206+20.691*'BMP P Tracking Table'!$Z206-216.711*'BMP P Tracking Table'!$Y206-83.853*'BMP P Tracking Table'!$X206-42.834*'BMP P Tracking Table'!$W206)+SQRT((3630*'BMP P Tracking Table'!$U206+20.691*'BMP P Tracking Table'!$Z206-216.711*'BMP P Tracking Table'!$Y206-83.853*'BMP P Tracking Table'!$X206-42.834*'BMP P Tracking Table'!$W206)^2-(4*(149.919*'BMP P Tracking Table'!$W206+236.676*'BMP P Tracking Table'!$X206+726*'BMP P Tracking Table'!$Y206+996.798*'BMP P Tracking Table'!$Z206)*-'BMP P Tracking Table'!$AB206)))/(2*(149.919*'BMP P Tracking Table'!$W206+236.676*'BMP P Tracking Table'!$X206+726*'BMP P Tracking Table'!$Y206+996.798*'BMP P Tracking Table'!$Z206))))),"")</f>
        <v/>
      </c>
      <c r="AF206" s="101" t="str">
        <f>IFERROR((VLOOKUP(CONCATENATE('BMP P Tracking Table'!$T206," ",'BMP P Tracking Table'!$AC206),'Performance Curves'!$C$1:$L$45,MATCH('BMP P Tracking Table'!$AE206,'Performance Curves'!$E$1:$L$1,1)+2,FALSE)-VLOOKUP(CONCATENATE('BMP P Tracking Table'!$T206," ",'BMP P Tracking Table'!$AC206),'Performance Curves'!$C$1:$L$45,MATCH('BMP P Tracking Table'!$AE206,'Performance Curves'!$E$1:$L$1,1)+1,FALSE)),"")</f>
        <v/>
      </c>
      <c r="AG206" s="101" t="str">
        <f>IFERROR(('BMP P Tracking Table'!$AE206-INDEX('Performance Curves'!$E$1:$L$1,1,MATCH('BMP P Tracking Table'!$AE206,'Performance Curves'!$E$1:$L$1,1)))/(INDEX('Performance Curves'!$E$1:$L$1,1,MATCH('BMP P Tracking Table'!$AE206,'Performance Curves'!$E$1:$L$1,1)+1)-INDEX('Performance Curves'!$E$1:$L$1,1,MATCH('BMP P Tracking Table'!$AE206,'Performance Curves'!$E$1:$L$1,1))),"")</f>
        <v/>
      </c>
      <c r="AH206" s="102" t="str">
        <f>IFERROR(IF('BMP P Tracking Table'!$AE206=2,VLOOKUP(CONCATENATE('BMP P Tracking Table'!$T206," ",'BMP P Tracking Table'!$AC206),'Performance Curves'!$C$1:$L$45,MATCH('BMP P Tracking Table'!$AE206,'Performance Curves'!$E$1:$L$1,1)+1,FALSE),'BMP P Tracking Table'!$AF206*'BMP P Tracking Table'!$AG206+VLOOKUP(CONCATENATE('BMP P Tracking Table'!$T206," ",'BMP P Tracking Table'!$AC206),'Performance Curves'!$C$1:$L$45,MATCH('BMP P Tracking Table'!$AE206,'Performance Curves'!$E$1:$L$1,1)+1,FALSE)),"")</f>
        <v/>
      </c>
      <c r="AI206" s="101" t="str">
        <f>IFERROR('BMP P Tracking Table'!$AH206*'BMP P Tracking Table'!$AD206,"")</f>
        <v/>
      </c>
      <c r="AJ206" s="64"/>
      <c r="AK206" s="96"/>
      <c r="AL206" s="96"/>
      <c r="AM206" s="63"/>
      <c r="AN206" s="99" t="str">
        <f t="shared" si="16"/>
        <v/>
      </c>
      <c r="AO206" s="96"/>
      <c r="AP206" s="96"/>
      <c r="AQ206" s="96"/>
      <c r="AR206" s="96"/>
      <c r="AS206" s="96"/>
      <c r="AT206" s="96"/>
      <c r="AU206" s="96"/>
      <c r="AV206" s="64"/>
      <c r="AW206" s="97"/>
      <c r="AX206" s="97"/>
      <c r="AY206" s="101" t="str">
        <f>IF('BMP P Tracking Table'!$AK206="Yes",IF('BMP P Tracking Table'!$AL206="No",'BMP P Tracking Table'!$U206*VLOOKUP('BMP P Tracking Table'!$Q206,'Loading Rates'!$B$1:$L$24,4,FALSE)+IF('BMP P Tracking Table'!$V206="By HSG",'BMP P Tracking Table'!$W206*VLOOKUP('BMP P Tracking Table'!$Q206,'Loading Rates'!$B$1:$L$24,6,FALSE)+'BMP P Tracking Table'!$X206*VLOOKUP('BMP P Tracking Table'!$Q206,'Loading Rates'!$B$1:$L$24,7,FALSE)+'BMP P Tracking Table'!$Y206*VLOOKUP('BMP P Tracking Table'!$Q206,'Loading Rates'!$B$1:$L$24,8,FALSE)+'BMP P Tracking Table'!$Z206*VLOOKUP('BMP P Tracking Table'!$Q206,'Loading Rates'!$B$1:$L$24,9,FALSE),'BMP P Tracking Table'!$AA206*VLOOKUP('BMP P Tracking Table'!$Q206,'Loading Rates'!$B$1:$L$24,10,FALSE)),'BMP P Tracking Table'!$AO206*VLOOKUP('BMP P Tracking Table'!$Q206,'Loading Rates'!$B$1:$L$24,4,FALSE)+IF('BMP P Tracking Table'!$AP206="By HSG",'BMP P Tracking Table'!$AQ206*VLOOKUP('BMP P Tracking Table'!$Q206,'Loading Rates'!$B$1:$L$24,6,FALSE)+'BMP P Tracking Table'!$AR206*VLOOKUP('BMP P Tracking Table'!$Q206,'Loading Rates'!$B$1:$L$24,7,FALSE)+'BMP P Tracking Table'!$AS206*VLOOKUP('BMP P Tracking Table'!$Q206,'Loading Rates'!$B$1:$L$24,8,FALSE)+'BMP P Tracking Table'!$AT206*VLOOKUP('BMP P Tracking Table'!$Q206,'Loading Rates'!$B$1:$L$24,9,FALSE),'BMP P Tracking Table'!$AU206*VLOOKUP('BMP P Tracking Table'!$Q206,'Loading Rates'!$B$1:$L$24,10,FALSE))),"")</f>
        <v/>
      </c>
      <c r="AZ206" s="101" t="str">
        <f>IFERROR(IF('BMP P Tracking Table'!$AL206="Yes",MIN(2,IF('BMP P Tracking Table'!$AP206="Total Pervious",(-(3630*'BMP P Tracking Table'!$AO206+20.691*'BMP P Tracking Table'!$AU206)+SQRT((3630*'BMP P Tracking Table'!$AO206+20.691*'BMP P Tracking Table'!$AU206)^2-(4*(996.798*'BMP P Tracking Table'!$AU206)*-'BMP P Tracking Table'!$AW206)))/(2*(996.798*'BMP P Tracking Table'!$AU206)),IF(SUM('BMP P Tracking Table'!$AQ206:$AT206)=0,'BMP P Tracking Table'!$AU206/(-3630*'BMP P Tracking Table'!$AO206),(-(3630*'BMP P Tracking Table'!$AO206+20.691*'BMP P Tracking Table'!$AT206-216.711*'BMP P Tracking Table'!$AS206-83.853*'BMP P Tracking Table'!$AR206-42.834*'BMP P Tracking Table'!$AQ206)+SQRT((3630*'BMP P Tracking Table'!$AO206+20.691*'BMP P Tracking Table'!$AT206-216.711*'BMP P Tracking Table'!$AS206-83.853*'BMP P Tracking Table'!$AR206-42.834*'BMP P Tracking Table'!$AQ206)^2-(4*(149.919*'BMP P Tracking Table'!$AQ206+236.676*'BMP P Tracking Table'!$AR206+726*'BMP P Tracking Table'!$AS206+996.798*'BMP P Tracking Table'!$AT206)*-'BMP P Tracking Table'!$AW206)))/(2*(149.919*'BMP P Tracking Table'!$AQ206+236.676*'BMP P Tracking Table'!$AR206+726*'BMP P Tracking Table'!$AS206+996.798*'BMP P Tracking Table'!$AT206))))),MIN(2,IF('BMP P Tracking Table'!$AP206="Total Pervious",(-(3630*'BMP P Tracking Table'!$U206+20.691*'BMP P Tracking Table'!$AA206)+SQRT((3630*'BMP P Tracking Table'!$U206+20.691*'BMP P Tracking Table'!$AA206)^2-(4*(996.798*'BMP P Tracking Table'!$AA206)*-'BMP P Tracking Table'!$AW206)))/(2*(996.798*'BMP P Tracking Table'!$AA206)),IF(SUM('BMP P Tracking Table'!$W206:$Z206)=0,'BMP P Tracking Table'!$AW206/(-3630*'BMP P Tracking Table'!$U206),(-(3630*'BMP P Tracking Table'!$U206+20.691*'BMP P Tracking Table'!$Z206-216.711*'BMP P Tracking Table'!$Y206-83.853*'BMP P Tracking Table'!$X206-42.834*'BMP P Tracking Table'!$W206)+SQRT((3630*'BMP P Tracking Table'!$U206+20.691*'BMP P Tracking Table'!$Z206-216.711*'BMP P Tracking Table'!$Y206-83.853*'BMP P Tracking Table'!$X206-42.834*'BMP P Tracking Table'!$W206)^2-(4*(149.919*'BMP P Tracking Table'!$W206+236.676*'BMP P Tracking Table'!$X206+726*'BMP P Tracking Table'!$Y206+996.798*'BMP P Tracking Table'!$Z206)*-'BMP P Tracking Table'!$AW206)))/(2*(149.919*'BMP P Tracking Table'!$W206+236.676*'BMP P Tracking Table'!$X206+726*'BMP P Tracking Table'!$Y206+996.798*'BMP P Tracking Table'!$Z206)))))),"")</f>
        <v/>
      </c>
      <c r="BA206" s="101" t="str">
        <f>IFERROR((VLOOKUP(CONCATENATE('BMP P Tracking Table'!$AV206," ",'BMP P Tracking Table'!$AX206),'Performance Curves'!$C$1:$L$45,MATCH('BMP P Tracking Table'!$AZ206,'Performance Curves'!$E$1:$L$1,1)+2,FALSE)-VLOOKUP(CONCATENATE('BMP P Tracking Table'!$AV206," ",'BMP P Tracking Table'!$AX206),'Performance Curves'!$C$1:$L$45,MATCH('BMP P Tracking Table'!$AZ206,'Performance Curves'!$E$1:$L$1,1)+1,FALSE)),"")</f>
        <v/>
      </c>
      <c r="BB206" s="101" t="str">
        <f>IFERROR(('BMP P Tracking Table'!$AZ206-INDEX('Performance Curves'!$E$1:$L$1,1,MATCH('BMP P Tracking Table'!$AZ206,'Performance Curves'!$E$1:$L$1,1)))/(INDEX('Performance Curves'!$E$1:$L$1,1,MATCH('BMP P Tracking Table'!$AZ206,'Performance Curves'!$E$1:$L$1,1)+1)-INDEX('Performance Curves'!$E$1:$L$1,1,MATCH('BMP P Tracking Table'!$AZ206,'Performance Curves'!$E$1:$L$1,1))),"")</f>
        <v/>
      </c>
      <c r="BC206" s="102" t="str">
        <f>IFERROR(IF('BMP P Tracking Table'!$AZ206=2,VLOOKUP(CONCATENATE('BMP P Tracking Table'!$AV206," ",'BMP P Tracking Table'!$AX206),'Performance Curves'!$C$1:$L$44,MATCH('BMP P Tracking Table'!$AZ206,'Performance Curves'!$E$1:$L$1,1)+1,FALSE),'BMP P Tracking Table'!$BA206*'BMP P Tracking Table'!$BB206+VLOOKUP(CONCATENATE('BMP P Tracking Table'!$AV206," ",'BMP P Tracking Table'!$AX206),'Performance Curves'!$C$1:$L$44,MATCH('BMP P Tracking Table'!$AZ206,'Performance Curves'!$E$1:$L$1,1)+1,FALSE)),"")</f>
        <v/>
      </c>
      <c r="BD206" s="101" t="str">
        <f>IFERROR('BMP P Tracking Table'!$BC206*'BMP P Tracking Table'!$AY206,"")</f>
        <v/>
      </c>
      <c r="BE206" s="91"/>
      <c r="BF206" s="37">
        <f t="shared" si="17"/>
        <v>0</v>
      </c>
    </row>
    <row r="207" spans="1:58" x14ac:dyDescent="0.3">
      <c r="A207" s="64"/>
      <c r="B207" s="64"/>
      <c r="C207" s="64"/>
      <c r="D207" s="64"/>
      <c r="E207" s="93"/>
      <c r="F207" s="93"/>
      <c r="G207" s="64"/>
      <c r="H207" s="64"/>
      <c r="I207" s="64"/>
      <c r="J207" s="94"/>
      <c r="K207" s="64"/>
      <c r="L207" s="64"/>
      <c r="M207" s="64"/>
      <c r="N207" s="64"/>
      <c r="O207" s="64"/>
      <c r="P207" s="64"/>
      <c r="Q207" s="64" t="str">
        <f>IFERROR(VLOOKUP('BMP P Tracking Table'!$P207,Dropdowns!$C$2:$E$15,3,FALSE),"")</f>
        <v/>
      </c>
      <c r="R207" s="64" t="str">
        <f>IFERROR(VLOOKUP('BMP P Tracking Table'!$Q207,Dropdowns!$P$3:$Q$23,2,FALSE),"")</f>
        <v/>
      </c>
      <c r="S207" s="64"/>
      <c r="T207" s="64"/>
      <c r="U207" s="64"/>
      <c r="V207" s="64"/>
      <c r="W207" s="64"/>
      <c r="X207" s="64"/>
      <c r="Y207" s="64"/>
      <c r="Z207" s="64"/>
      <c r="AA207" s="64"/>
      <c r="AB207" s="95"/>
      <c r="AC207" s="64"/>
      <c r="AD207" s="101" t="str">
        <f>IFERROR('BMP P Tracking Table'!$U207*VLOOKUP('BMP P Tracking Table'!$Q207,'Loading Rates'!$B$1:$L$24,4,FALSE)+IF('BMP P Tracking Table'!$V207="By HSG",'BMP P Tracking Table'!$W207*VLOOKUP('BMP P Tracking Table'!$Q207,'Loading Rates'!$B$1:$L$24,6,FALSE)+'BMP P Tracking Table'!$X207*VLOOKUP('BMP P Tracking Table'!$Q207,'Loading Rates'!$B$1:$L$24,7,FALSE)+'BMP P Tracking Table'!$Y207*VLOOKUP('BMP P Tracking Table'!$Q207,'Loading Rates'!$B$1:$L$24,8,FALSE)+'BMP P Tracking Table'!$Z207*VLOOKUP('BMP P Tracking Table'!$Q207,'Loading Rates'!$B$1:$L$24,9,FALSE),'BMP P Tracking Table'!$AA207*VLOOKUP('BMP P Tracking Table'!$Q207,'Loading Rates'!$B$1:$L$24,10,FALSE)),"")</f>
        <v/>
      </c>
      <c r="AE207" s="101" t="str">
        <f>IFERROR(MIN(2,IF('BMP P Tracking Table'!$V207="Total Pervious",(-(3630*'BMP P Tracking Table'!$U207+20.691*'BMP P Tracking Table'!$AA207)+SQRT((3630*'BMP P Tracking Table'!$U207+20.691*'BMP P Tracking Table'!$AA207)^2-(4*(996.798*'BMP P Tracking Table'!$AA207)*-'BMP P Tracking Table'!$AB207)))/(2*(996.798*'BMP P Tracking Table'!$AA207)),IF(SUM('BMP P Tracking Table'!$W207:$Z207)=0,'BMP P Tracking Table'!$AB207/(-3630*'BMP P Tracking Table'!$U207),(-(3630*'BMP P Tracking Table'!$U207+20.691*'BMP P Tracking Table'!$Z207-216.711*'BMP P Tracking Table'!$Y207-83.853*'BMP P Tracking Table'!$X207-42.834*'BMP P Tracking Table'!$W207)+SQRT((3630*'BMP P Tracking Table'!$U207+20.691*'BMP P Tracking Table'!$Z207-216.711*'BMP P Tracking Table'!$Y207-83.853*'BMP P Tracking Table'!$X207-42.834*'BMP P Tracking Table'!$W207)^2-(4*(149.919*'BMP P Tracking Table'!$W207+236.676*'BMP P Tracking Table'!$X207+726*'BMP P Tracking Table'!$Y207+996.798*'BMP P Tracking Table'!$Z207)*-'BMP P Tracking Table'!$AB207)))/(2*(149.919*'BMP P Tracking Table'!$W207+236.676*'BMP P Tracking Table'!$X207+726*'BMP P Tracking Table'!$Y207+996.798*'BMP P Tracking Table'!$Z207))))),"")</f>
        <v/>
      </c>
      <c r="AF207" s="101" t="str">
        <f>IFERROR((VLOOKUP(CONCATENATE('BMP P Tracking Table'!$T207," ",'BMP P Tracking Table'!$AC207),'Performance Curves'!$C$1:$L$45,MATCH('BMP P Tracking Table'!$AE207,'Performance Curves'!$E$1:$L$1,1)+2,FALSE)-VLOOKUP(CONCATENATE('BMP P Tracking Table'!$T207," ",'BMP P Tracking Table'!$AC207),'Performance Curves'!$C$1:$L$45,MATCH('BMP P Tracking Table'!$AE207,'Performance Curves'!$E$1:$L$1,1)+1,FALSE)),"")</f>
        <v/>
      </c>
      <c r="AG207" s="101" t="str">
        <f>IFERROR(('BMP P Tracking Table'!$AE207-INDEX('Performance Curves'!$E$1:$L$1,1,MATCH('BMP P Tracking Table'!$AE207,'Performance Curves'!$E$1:$L$1,1)))/(INDEX('Performance Curves'!$E$1:$L$1,1,MATCH('BMP P Tracking Table'!$AE207,'Performance Curves'!$E$1:$L$1,1)+1)-INDEX('Performance Curves'!$E$1:$L$1,1,MATCH('BMP P Tracking Table'!$AE207,'Performance Curves'!$E$1:$L$1,1))),"")</f>
        <v/>
      </c>
      <c r="AH207" s="102" t="str">
        <f>IFERROR(IF('BMP P Tracking Table'!$AE207=2,VLOOKUP(CONCATENATE('BMP P Tracking Table'!$T207," ",'BMP P Tracking Table'!$AC207),'Performance Curves'!$C$1:$L$45,MATCH('BMP P Tracking Table'!$AE207,'Performance Curves'!$E$1:$L$1,1)+1,FALSE),'BMP P Tracking Table'!$AF207*'BMP P Tracking Table'!$AG207+VLOOKUP(CONCATENATE('BMP P Tracking Table'!$T207," ",'BMP P Tracking Table'!$AC207),'Performance Curves'!$C$1:$L$45,MATCH('BMP P Tracking Table'!$AE207,'Performance Curves'!$E$1:$L$1,1)+1,FALSE)),"")</f>
        <v/>
      </c>
      <c r="AI207" s="101" t="str">
        <f>IFERROR('BMP P Tracking Table'!$AH207*'BMP P Tracking Table'!$AD207,"")</f>
        <v/>
      </c>
      <c r="AJ207" s="64"/>
      <c r="AK207" s="96"/>
      <c r="AL207" s="96"/>
      <c r="AM207" s="63"/>
      <c r="AN207" s="99" t="str">
        <f t="shared" si="16"/>
        <v/>
      </c>
      <c r="AO207" s="96"/>
      <c r="AP207" s="96"/>
      <c r="AQ207" s="96"/>
      <c r="AR207" s="96"/>
      <c r="AS207" s="96"/>
      <c r="AT207" s="96"/>
      <c r="AU207" s="96"/>
      <c r="AV207" s="64"/>
      <c r="AW207" s="97"/>
      <c r="AX207" s="97"/>
      <c r="AY207" s="101" t="str">
        <f>IF('BMP P Tracking Table'!$AK207="Yes",IF('BMP P Tracking Table'!$AL207="No",'BMP P Tracking Table'!$U207*VLOOKUP('BMP P Tracking Table'!$Q207,'Loading Rates'!$B$1:$L$24,4,FALSE)+IF('BMP P Tracking Table'!$V207="By HSG",'BMP P Tracking Table'!$W207*VLOOKUP('BMP P Tracking Table'!$Q207,'Loading Rates'!$B$1:$L$24,6,FALSE)+'BMP P Tracking Table'!$X207*VLOOKUP('BMP P Tracking Table'!$Q207,'Loading Rates'!$B$1:$L$24,7,FALSE)+'BMP P Tracking Table'!$Y207*VLOOKUP('BMP P Tracking Table'!$Q207,'Loading Rates'!$B$1:$L$24,8,FALSE)+'BMP P Tracking Table'!$Z207*VLOOKUP('BMP P Tracking Table'!$Q207,'Loading Rates'!$B$1:$L$24,9,FALSE),'BMP P Tracking Table'!$AA207*VLOOKUP('BMP P Tracking Table'!$Q207,'Loading Rates'!$B$1:$L$24,10,FALSE)),'BMP P Tracking Table'!$AO207*VLOOKUP('BMP P Tracking Table'!$Q207,'Loading Rates'!$B$1:$L$24,4,FALSE)+IF('BMP P Tracking Table'!$AP207="By HSG",'BMP P Tracking Table'!$AQ207*VLOOKUP('BMP P Tracking Table'!$Q207,'Loading Rates'!$B$1:$L$24,6,FALSE)+'BMP P Tracking Table'!$AR207*VLOOKUP('BMP P Tracking Table'!$Q207,'Loading Rates'!$B$1:$L$24,7,FALSE)+'BMP P Tracking Table'!$AS207*VLOOKUP('BMP P Tracking Table'!$Q207,'Loading Rates'!$B$1:$L$24,8,FALSE)+'BMP P Tracking Table'!$AT207*VLOOKUP('BMP P Tracking Table'!$Q207,'Loading Rates'!$B$1:$L$24,9,FALSE),'BMP P Tracking Table'!$AU207*VLOOKUP('BMP P Tracking Table'!$Q207,'Loading Rates'!$B$1:$L$24,10,FALSE))),"")</f>
        <v/>
      </c>
      <c r="AZ207" s="101" t="str">
        <f>IFERROR(IF('BMP P Tracking Table'!$AL207="Yes",MIN(2,IF('BMP P Tracking Table'!$AP207="Total Pervious",(-(3630*'BMP P Tracking Table'!$AO207+20.691*'BMP P Tracking Table'!$AU207)+SQRT((3630*'BMP P Tracking Table'!$AO207+20.691*'BMP P Tracking Table'!$AU207)^2-(4*(996.798*'BMP P Tracking Table'!$AU207)*-'BMP P Tracking Table'!$AW207)))/(2*(996.798*'BMP P Tracking Table'!$AU207)),IF(SUM('BMP P Tracking Table'!$AQ207:$AT207)=0,'BMP P Tracking Table'!$AU207/(-3630*'BMP P Tracking Table'!$AO207),(-(3630*'BMP P Tracking Table'!$AO207+20.691*'BMP P Tracking Table'!$AT207-216.711*'BMP P Tracking Table'!$AS207-83.853*'BMP P Tracking Table'!$AR207-42.834*'BMP P Tracking Table'!$AQ207)+SQRT((3630*'BMP P Tracking Table'!$AO207+20.691*'BMP P Tracking Table'!$AT207-216.711*'BMP P Tracking Table'!$AS207-83.853*'BMP P Tracking Table'!$AR207-42.834*'BMP P Tracking Table'!$AQ207)^2-(4*(149.919*'BMP P Tracking Table'!$AQ207+236.676*'BMP P Tracking Table'!$AR207+726*'BMP P Tracking Table'!$AS207+996.798*'BMP P Tracking Table'!$AT207)*-'BMP P Tracking Table'!$AW207)))/(2*(149.919*'BMP P Tracking Table'!$AQ207+236.676*'BMP P Tracking Table'!$AR207+726*'BMP P Tracking Table'!$AS207+996.798*'BMP P Tracking Table'!$AT207))))),MIN(2,IF('BMP P Tracking Table'!$AP207="Total Pervious",(-(3630*'BMP P Tracking Table'!$U207+20.691*'BMP P Tracking Table'!$AA207)+SQRT((3630*'BMP P Tracking Table'!$U207+20.691*'BMP P Tracking Table'!$AA207)^2-(4*(996.798*'BMP P Tracking Table'!$AA207)*-'BMP P Tracking Table'!$AW207)))/(2*(996.798*'BMP P Tracking Table'!$AA207)),IF(SUM('BMP P Tracking Table'!$W207:$Z207)=0,'BMP P Tracking Table'!$AW207/(-3630*'BMP P Tracking Table'!$U207),(-(3630*'BMP P Tracking Table'!$U207+20.691*'BMP P Tracking Table'!$Z207-216.711*'BMP P Tracking Table'!$Y207-83.853*'BMP P Tracking Table'!$X207-42.834*'BMP P Tracking Table'!$W207)+SQRT((3630*'BMP P Tracking Table'!$U207+20.691*'BMP P Tracking Table'!$Z207-216.711*'BMP P Tracking Table'!$Y207-83.853*'BMP P Tracking Table'!$X207-42.834*'BMP P Tracking Table'!$W207)^2-(4*(149.919*'BMP P Tracking Table'!$W207+236.676*'BMP P Tracking Table'!$X207+726*'BMP P Tracking Table'!$Y207+996.798*'BMP P Tracking Table'!$Z207)*-'BMP P Tracking Table'!$AW207)))/(2*(149.919*'BMP P Tracking Table'!$W207+236.676*'BMP P Tracking Table'!$X207+726*'BMP P Tracking Table'!$Y207+996.798*'BMP P Tracking Table'!$Z207)))))),"")</f>
        <v/>
      </c>
      <c r="BA207" s="101" t="str">
        <f>IFERROR((VLOOKUP(CONCATENATE('BMP P Tracking Table'!$AV207," ",'BMP P Tracking Table'!$AX207),'Performance Curves'!$C$1:$L$45,MATCH('BMP P Tracking Table'!$AZ207,'Performance Curves'!$E$1:$L$1,1)+2,FALSE)-VLOOKUP(CONCATENATE('BMP P Tracking Table'!$AV207," ",'BMP P Tracking Table'!$AX207),'Performance Curves'!$C$1:$L$45,MATCH('BMP P Tracking Table'!$AZ207,'Performance Curves'!$E$1:$L$1,1)+1,FALSE)),"")</f>
        <v/>
      </c>
      <c r="BB207" s="101" t="str">
        <f>IFERROR(('BMP P Tracking Table'!$AZ207-INDEX('Performance Curves'!$E$1:$L$1,1,MATCH('BMP P Tracking Table'!$AZ207,'Performance Curves'!$E$1:$L$1,1)))/(INDEX('Performance Curves'!$E$1:$L$1,1,MATCH('BMP P Tracking Table'!$AZ207,'Performance Curves'!$E$1:$L$1,1)+1)-INDEX('Performance Curves'!$E$1:$L$1,1,MATCH('BMP P Tracking Table'!$AZ207,'Performance Curves'!$E$1:$L$1,1))),"")</f>
        <v/>
      </c>
      <c r="BC207" s="102" t="str">
        <f>IFERROR(IF('BMP P Tracking Table'!$AZ207=2,VLOOKUP(CONCATENATE('BMP P Tracking Table'!$AV207," ",'BMP P Tracking Table'!$AX207),'Performance Curves'!$C$1:$L$44,MATCH('BMP P Tracking Table'!$AZ207,'Performance Curves'!$E$1:$L$1,1)+1,FALSE),'BMP P Tracking Table'!$BA207*'BMP P Tracking Table'!$BB207+VLOOKUP(CONCATENATE('BMP P Tracking Table'!$AV207," ",'BMP P Tracking Table'!$AX207),'Performance Curves'!$C$1:$L$44,MATCH('BMP P Tracking Table'!$AZ207,'Performance Curves'!$E$1:$L$1,1)+1,FALSE)),"")</f>
        <v/>
      </c>
      <c r="BD207" s="101" t="str">
        <f>IFERROR('BMP P Tracking Table'!$BC207*'BMP P Tracking Table'!$AY207,"")</f>
        <v/>
      </c>
      <c r="BE207" s="96"/>
      <c r="BF207" s="37">
        <f t="shared" si="17"/>
        <v>0</v>
      </c>
    </row>
    <row r="208" spans="1:58" x14ac:dyDescent="0.3">
      <c r="A208" s="64"/>
      <c r="B208" s="64"/>
      <c r="C208" s="64"/>
      <c r="D208" s="64"/>
      <c r="E208" s="93"/>
      <c r="F208" s="93"/>
      <c r="G208" s="64"/>
      <c r="H208" s="64"/>
      <c r="I208" s="64"/>
      <c r="J208" s="94"/>
      <c r="K208" s="64"/>
      <c r="L208" s="64"/>
      <c r="M208" s="64"/>
      <c r="N208" s="64"/>
      <c r="O208" s="64"/>
      <c r="P208" s="64"/>
      <c r="Q208" s="64" t="str">
        <f>IFERROR(VLOOKUP('BMP P Tracking Table'!$P208,Dropdowns!$C$2:$E$15,3,FALSE),"")</f>
        <v/>
      </c>
      <c r="R208" s="64" t="str">
        <f>IFERROR(VLOOKUP('BMP P Tracking Table'!$Q208,Dropdowns!$P$3:$Q$23,2,FALSE),"")</f>
        <v/>
      </c>
      <c r="S208" s="64"/>
      <c r="T208" s="64"/>
      <c r="U208" s="64"/>
      <c r="V208" s="64"/>
      <c r="W208" s="64"/>
      <c r="X208" s="64"/>
      <c r="Y208" s="64"/>
      <c r="Z208" s="64"/>
      <c r="AA208" s="64"/>
      <c r="AB208" s="95"/>
      <c r="AC208" s="64"/>
      <c r="AD208" s="101" t="str">
        <f>IFERROR('BMP P Tracking Table'!$U208*VLOOKUP('BMP P Tracking Table'!$Q208,'Loading Rates'!$B$1:$L$24,4,FALSE)+IF('BMP P Tracking Table'!$V208="By HSG",'BMP P Tracking Table'!$W208*VLOOKUP('BMP P Tracking Table'!$Q208,'Loading Rates'!$B$1:$L$24,6,FALSE)+'BMP P Tracking Table'!$X208*VLOOKUP('BMP P Tracking Table'!$Q208,'Loading Rates'!$B$1:$L$24,7,FALSE)+'BMP P Tracking Table'!$Y208*VLOOKUP('BMP P Tracking Table'!$Q208,'Loading Rates'!$B$1:$L$24,8,FALSE)+'BMP P Tracking Table'!$Z208*VLOOKUP('BMP P Tracking Table'!$Q208,'Loading Rates'!$B$1:$L$24,9,FALSE),'BMP P Tracking Table'!$AA208*VLOOKUP('BMP P Tracking Table'!$Q208,'Loading Rates'!$B$1:$L$24,10,FALSE)),"")</f>
        <v/>
      </c>
      <c r="AE208" s="101" t="str">
        <f>IFERROR(MIN(2,IF('BMP P Tracking Table'!$V208="Total Pervious",(-(3630*'BMP P Tracking Table'!$U208+20.691*'BMP P Tracking Table'!$AA208)+SQRT((3630*'BMP P Tracking Table'!$U208+20.691*'BMP P Tracking Table'!$AA208)^2-(4*(996.798*'BMP P Tracking Table'!$AA208)*-'BMP P Tracking Table'!$AB208)))/(2*(996.798*'BMP P Tracking Table'!$AA208)),IF(SUM('BMP P Tracking Table'!$W208:$Z208)=0,'BMP P Tracking Table'!$AB208/(-3630*'BMP P Tracking Table'!$U208),(-(3630*'BMP P Tracking Table'!$U208+20.691*'BMP P Tracking Table'!$Z208-216.711*'BMP P Tracking Table'!$Y208-83.853*'BMP P Tracking Table'!$X208-42.834*'BMP P Tracking Table'!$W208)+SQRT((3630*'BMP P Tracking Table'!$U208+20.691*'BMP P Tracking Table'!$Z208-216.711*'BMP P Tracking Table'!$Y208-83.853*'BMP P Tracking Table'!$X208-42.834*'BMP P Tracking Table'!$W208)^2-(4*(149.919*'BMP P Tracking Table'!$W208+236.676*'BMP P Tracking Table'!$X208+726*'BMP P Tracking Table'!$Y208+996.798*'BMP P Tracking Table'!$Z208)*-'BMP P Tracking Table'!$AB208)))/(2*(149.919*'BMP P Tracking Table'!$W208+236.676*'BMP P Tracking Table'!$X208+726*'BMP P Tracking Table'!$Y208+996.798*'BMP P Tracking Table'!$Z208))))),"")</f>
        <v/>
      </c>
      <c r="AF208" s="101" t="str">
        <f>IFERROR((VLOOKUP(CONCATENATE('BMP P Tracking Table'!$T208," ",'BMP P Tracking Table'!$AC208),'Performance Curves'!$C$1:$L$45,MATCH('BMP P Tracking Table'!$AE208,'Performance Curves'!$E$1:$L$1,1)+2,FALSE)-VLOOKUP(CONCATENATE('BMP P Tracking Table'!$T208," ",'BMP P Tracking Table'!$AC208),'Performance Curves'!$C$1:$L$45,MATCH('BMP P Tracking Table'!$AE208,'Performance Curves'!$E$1:$L$1,1)+1,FALSE)),"")</f>
        <v/>
      </c>
      <c r="AG208" s="101" t="str">
        <f>IFERROR(('BMP P Tracking Table'!$AE208-INDEX('Performance Curves'!$E$1:$L$1,1,MATCH('BMP P Tracking Table'!$AE208,'Performance Curves'!$E$1:$L$1,1)))/(INDEX('Performance Curves'!$E$1:$L$1,1,MATCH('BMP P Tracking Table'!$AE208,'Performance Curves'!$E$1:$L$1,1)+1)-INDEX('Performance Curves'!$E$1:$L$1,1,MATCH('BMP P Tracking Table'!$AE208,'Performance Curves'!$E$1:$L$1,1))),"")</f>
        <v/>
      </c>
      <c r="AH208" s="102" t="str">
        <f>IFERROR(IF('BMP P Tracking Table'!$AE208=2,VLOOKUP(CONCATENATE('BMP P Tracking Table'!$T208," ",'BMP P Tracking Table'!$AC208),'Performance Curves'!$C$1:$L$45,MATCH('BMP P Tracking Table'!$AE208,'Performance Curves'!$E$1:$L$1,1)+1,FALSE),'BMP P Tracking Table'!$AF208*'BMP P Tracking Table'!$AG208+VLOOKUP(CONCATENATE('BMP P Tracking Table'!$T208," ",'BMP P Tracking Table'!$AC208),'Performance Curves'!$C$1:$L$45,MATCH('BMP P Tracking Table'!$AE208,'Performance Curves'!$E$1:$L$1,1)+1,FALSE)),"")</f>
        <v/>
      </c>
      <c r="AI208" s="101" t="str">
        <f>IFERROR('BMP P Tracking Table'!$AH208*'BMP P Tracking Table'!$AD208,"")</f>
        <v/>
      </c>
      <c r="AJ208" s="64"/>
      <c r="AK208" s="96"/>
      <c r="AL208" s="96"/>
      <c r="AM208" s="63"/>
      <c r="AN208" s="99" t="str">
        <f t="shared" si="16"/>
        <v/>
      </c>
      <c r="AO208" s="96"/>
      <c r="AP208" s="96"/>
      <c r="AQ208" s="96"/>
      <c r="AR208" s="96"/>
      <c r="AS208" s="96"/>
      <c r="AT208" s="96"/>
      <c r="AU208" s="96"/>
      <c r="AV208" s="64"/>
      <c r="AW208" s="97"/>
      <c r="AX208" s="97"/>
      <c r="AY208" s="101" t="str">
        <f>IF('BMP P Tracking Table'!$AK208="Yes",IF('BMP P Tracking Table'!$AL208="No",'BMP P Tracking Table'!$U208*VLOOKUP('BMP P Tracking Table'!$Q208,'Loading Rates'!$B$1:$L$24,4,FALSE)+IF('BMP P Tracking Table'!$V208="By HSG",'BMP P Tracking Table'!$W208*VLOOKUP('BMP P Tracking Table'!$Q208,'Loading Rates'!$B$1:$L$24,6,FALSE)+'BMP P Tracking Table'!$X208*VLOOKUP('BMP P Tracking Table'!$Q208,'Loading Rates'!$B$1:$L$24,7,FALSE)+'BMP P Tracking Table'!$Y208*VLOOKUP('BMP P Tracking Table'!$Q208,'Loading Rates'!$B$1:$L$24,8,FALSE)+'BMP P Tracking Table'!$Z208*VLOOKUP('BMP P Tracking Table'!$Q208,'Loading Rates'!$B$1:$L$24,9,FALSE),'BMP P Tracking Table'!$AA208*VLOOKUP('BMP P Tracking Table'!$Q208,'Loading Rates'!$B$1:$L$24,10,FALSE)),'BMP P Tracking Table'!$AO208*VLOOKUP('BMP P Tracking Table'!$Q208,'Loading Rates'!$B$1:$L$24,4,FALSE)+IF('BMP P Tracking Table'!$AP208="By HSG",'BMP P Tracking Table'!$AQ208*VLOOKUP('BMP P Tracking Table'!$Q208,'Loading Rates'!$B$1:$L$24,6,FALSE)+'BMP P Tracking Table'!$AR208*VLOOKUP('BMP P Tracking Table'!$Q208,'Loading Rates'!$B$1:$L$24,7,FALSE)+'BMP P Tracking Table'!$AS208*VLOOKUP('BMP P Tracking Table'!$Q208,'Loading Rates'!$B$1:$L$24,8,FALSE)+'BMP P Tracking Table'!$AT208*VLOOKUP('BMP P Tracking Table'!$Q208,'Loading Rates'!$B$1:$L$24,9,FALSE),'BMP P Tracking Table'!$AU208*VLOOKUP('BMP P Tracking Table'!$Q208,'Loading Rates'!$B$1:$L$24,10,FALSE))),"")</f>
        <v/>
      </c>
      <c r="AZ208" s="101" t="str">
        <f>IFERROR(IF('BMP P Tracking Table'!$AL208="Yes",MIN(2,IF('BMP P Tracking Table'!$AP208="Total Pervious",(-(3630*'BMP P Tracking Table'!$AO208+20.691*'BMP P Tracking Table'!$AU208)+SQRT((3630*'BMP P Tracking Table'!$AO208+20.691*'BMP P Tracking Table'!$AU208)^2-(4*(996.798*'BMP P Tracking Table'!$AU208)*-'BMP P Tracking Table'!$AW208)))/(2*(996.798*'BMP P Tracking Table'!$AU208)),IF(SUM('BMP P Tracking Table'!$AQ208:$AT208)=0,'BMP P Tracking Table'!$AU208/(-3630*'BMP P Tracking Table'!$AO208),(-(3630*'BMP P Tracking Table'!$AO208+20.691*'BMP P Tracking Table'!$AT208-216.711*'BMP P Tracking Table'!$AS208-83.853*'BMP P Tracking Table'!$AR208-42.834*'BMP P Tracking Table'!$AQ208)+SQRT((3630*'BMP P Tracking Table'!$AO208+20.691*'BMP P Tracking Table'!$AT208-216.711*'BMP P Tracking Table'!$AS208-83.853*'BMP P Tracking Table'!$AR208-42.834*'BMP P Tracking Table'!$AQ208)^2-(4*(149.919*'BMP P Tracking Table'!$AQ208+236.676*'BMP P Tracking Table'!$AR208+726*'BMP P Tracking Table'!$AS208+996.798*'BMP P Tracking Table'!$AT208)*-'BMP P Tracking Table'!$AW208)))/(2*(149.919*'BMP P Tracking Table'!$AQ208+236.676*'BMP P Tracking Table'!$AR208+726*'BMP P Tracking Table'!$AS208+996.798*'BMP P Tracking Table'!$AT208))))),MIN(2,IF('BMP P Tracking Table'!$AP208="Total Pervious",(-(3630*'BMP P Tracking Table'!$U208+20.691*'BMP P Tracking Table'!$AA208)+SQRT((3630*'BMP P Tracking Table'!$U208+20.691*'BMP P Tracking Table'!$AA208)^2-(4*(996.798*'BMP P Tracking Table'!$AA208)*-'BMP P Tracking Table'!$AW208)))/(2*(996.798*'BMP P Tracking Table'!$AA208)),IF(SUM('BMP P Tracking Table'!$W208:$Z208)=0,'BMP P Tracking Table'!$AW208/(-3630*'BMP P Tracking Table'!$U208),(-(3630*'BMP P Tracking Table'!$U208+20.691*'BMP P Tracking Table'!$Z208-216.711*'BMP P Tracking Table'!$Y208-83.853*'BMP P Tracking Table'!$X208-42.834*'BMP P Tracking Table'!$W208)+SQRT((3630*'BMP P Tracking Table'!$U208+20.691*'BMP P Tracking Table'!$Z208-216.711*'BMP P Tracking Table'!$Y208-83.853*'BMP P Tracking Table'!$X208-42.834*'BMP P Tracking Table'!$W208)^2-(4*(149.919*'BMP P Tracking Table'!$W208+236.676*'BMP P Tracking Table'!$X208+726*'BMP P Tracking Table'!$Y208+996.798*'BMP P Tracking Table'!$Z208)*-'BMP P Tracking Table'!$AW208)))/(2*(149.919*'BMP P Tracking Table'!$W208+236.676*'BMP P Tracking Table'!$X208+726*'BMP P Tracking Table'!$Y208+996.798*'BMP P Tracking Table'!$Z208)))))),"")</f>
        <v/>
      </c>
      <c r="BA208" s="101" t="str">
        <f>IFERROR((VLOOKUP(CONCATENATE('BMP P Tracking Table'!$AV208," ",'BMP P Tracking Table'!$AX208),'Performance Curves'!$C$1:$L$45,MATCH('BMP P Tracking Table'!$AZ208,'Performance Curves'!$E$1:$L$1,1)+2,FALSE)-VLOOKUP(CONCATENATE('BMP P Tracking Table'!$AV208," ",'BMP P Tracking Table'!$AX208),'Performance Curves'!$C$1:$L$45,MATCH('BMP P Tracking Table'!$AZ208,'Performance Curves'!$E$1:$L$1,1)+1,FALSE)),"")</f>
        <v/>
      </c>
      <c r="BB208" s="101" t="str">
        <f>IFERROR(('BMP P Tracking Table'!$AZ208-INDEX('Performance Curves'!$E$1:$L$1,1,MATCH('BMP P Tracking Table'!$AZ208,'Performance Curves'!$E$1:$L$1,1)))/(INDEX('Performance Curves'!$E$1:$L$1,1,MATCH('BMP P Tracking Table'!$AZ208,'Performance Curves'!$E$1:$L$1,1)+1)-INDEX('Performance Curves'!$E$1:$L$1,1,MATCH('BMP P Tracking Table'!$AZ208,'Performance Curves'!$E$1:$L$1,1))),"")</f>
        <v/>
      </c>
      <c r="BC208" s="102" t="str">
        <f>IFERROR(IF('BMP P Tracking Table'!$AZ208=2,VLOOKUP(CONCATENATE('BMP P Tracking Table'!$AV208," ",'BMP P Tracking Table'!$AX208),'Performance Curves'!$C$1:$L$44,MATCH('BMP P Tracking Table'!$AZ208,'Performance Curves'!$E$1:$L$1,1)+1,FALSE),'BMP P Tracking Table'!$BA208*'BMP P Tracking Table'!$BB208+VLOOKUP(CONCATENATE('BMP P Tracking Table'!$AV208," ",'BMP P Tracking Table'!$AX208),'Performance Curves'!$C$1:$L$44,MATCH('BMP P Tracking Table'!$AZ208,'Performance Curves'!$E$1:$L$1,1)+1,FALSE)),"")</f>
        <v/>
      </c>
      <c r="BD208" s="101" t="str">
        <f>IFERROR('BMP P Tracking Table'!$BC208*'BMP P Tracking Table'!$AY208,"")</f>
        <v/>
      </c>
      <c r="BE208" s="96"/>
      <c r="BF208" s="37">
        <f t="shared" si="17"/>
        <v>0</v>
      </c>
    </row>
    <row r="209" spans="1:58" x14ac:dyDescent="0.3">
      <c r="A209" s="64"/>
      <c r="B209" s="64"/>
      <c r="C209" s="64"/>
      <c r="D209" s="64"/>
      <c r="E209" s="93"/>
      <c r="F209" s="93"/>
      <c r="G209" s="64"/>
      <c r="H209" s="64"/>
      <c r="I209" s="64"/>
      <c r="J209" s="94"/>
      <c r="K209" s="64"/>
      <c r="L209" s="64"/>
      <c r="M209" s="64"/>
      <c r="N209" s="64"/>
      <c r="O209" s="64"/>
      <c r="P209" s="64"/>
      <c r="Q209" s="64" t="str">
        <f>IFERROR(VLOOKUP('BMP P Tracking Table'!$P209,Dropdowns!$C$2:$E$15,3,FALSE),"")</f>
        <v/>
      </c>
      <c r="R209" s="64" t="str">
        <f>IFERROR(VLOOKUP('BMP P Tracking Table'!$Q209,Dropdowns!$P$3:$Q$23,2,FALSE),"")</f>
        <v/>
      </c>
      <c r="S209" s="64"/>
      <c r="T209" s="64"/>
      <c r="U209" s="64"/>
      <c r="V209" s="64"/>
      <c r="W209" s="64"/>
      <c r="X209" s="64"/>
      <c r="Y209" s="64"/>
      <c r="Z209" s="64"/>
      <c r="AA209" s="64"/>
      <c r="AB209" s="95"/>
      <c r="AC209" s="64"/>
      <c r="AD209" s="101" t="str">
        <f>IFERROR('BMP P Tracking Table'!$U209*VLOOKUP('BMP P Tracking Table'!$Q209,'Loading Rates'!$B$1:$L$24,4,FALSE)+IF('BMP P Tracking Table'!$V209="By HSG",'BMP P Tracking Table'!$W209*VLOOKUP('BMP P Tracking Table'!$Q209,'Loading Rates'!$B$1:$L$24,6,FALSE)+'BMP P Tracking Table'!$X209*VLOOKUP('BMP P Tracking Table'!$Q209,'Loading Rates'!$B$1:$L$24,7,FALSE)+'BMP P Tracking Table'!$Y209*VLOOKUP('BMP P Tracking Table'!$Q209,'Loading Rates'!$B$1:$L$24,8,FALSE)+'BMP P Tracking Table'!$Z209*VLOOKUP('BMP P Tracking Table'!$Q209,'Loading Rates'!$B$1:$L$24,9,FALSE),'BMP P Tracking Table'!$AA209*VLOOKUP('BMP P Tracking Table'!$Q209,'Loading Rates'!$B$1:$L$24,10,FALSE)),"")</f>
        <v/>
      </c>
      <c r="AE209" s="101" t="str">
        <f>IFERROR(MIN(2,IF('BMP P Tracking Table'!$V209="Total Pervious",(-(3630*'BMP P Tracking Table'!$U209+20.691*'BMP P Tracking Table'!$AA209)+SQRT((3630*'BMP P Tracking Table'!$U209+20.691*'BMP P Tracking Table'!$AA209)^2-(4*(996.798*'BMP P Tracking Table'!$AA209)*-'BMP P Tracking Table'!$AB209)))/(2*(996.798*'BMP P Tracking Table'!$AA209)),IF(SUM('BMP P Tracking Table'!$W209:$Z209)=0,'BMP P Tracking Table'!$AB209/(-3630*'BMP P Tracking Table'!$U209),(-(3630*'BMP P Tracking Table'!$U209+20.691*'BMP P Tracking Table'!$Z209-216.711*'BMP P Tracking Table'!$Y209-83.853*'BMP P Tracking Table'!$X209-42.834*'BMP P Tracking Table'!$W209)+SQRT((3630*'BMP P Tracking Table'!$U209+20.691*'BMP P Tracking Table'!$Z209-216.711*'BMP P Tracking Table'!$Y209-83.853*'BMP P Tracking Table'!$X209-42.834*'BMP P Tracking Table'!$W209)^2-(4*(149.919*'BMP P Tracking Table'!$W209+236.676*'BMP P Tracking Table'!$X209+726*'BMP P Tracking Table'!$Y209+996.798*'BMP P Tracking Table'!$Z209)*-'BMP P Tracking Table'!$AB209)))/(2*(149.919*'BMP P Tracking Table'!$W209+236.676*'BMP P Tracking Table'!$X209+726*'BMP P Tracking Table'!$Y209+996.798*'BMP P Tracking Table'!$Z209))))),"")</f>
        <v/>
      </c>
      <c r="AF209" s="101" t="str">
        <f>IFERROR((VLOOKUP(CONCATENATE('BMP P Tracking Table'!$T209," ",'BMP P Tracking Table'!$AC209),'Performance Curves'!$C$1:$L$45,MATCH('BMP P Tracking Table'!$AE209,'Performance Curves'!$E$1:$L$1,1)+2,FALSE)-VLOOKUP(CONCATENATE('BMP P Tracking Table'!$T209," ",'BMP P Tracking Table'!$AC209),'Performance Curves'!$C$1:$L$45,MATCH('BMP P Tracking Table'!$AE209,'Performance Curves'!$E$1:$L$1,1)+1,FALSE)),"")</f>
        <v/>
      </c>
      <c r="AG209" s="101" t="str">
        <f>IFERROR(('BMP P Tracking Table'!$AE209-INDEX('Performance Curves'!$E$1:$L$1,1,MATCH('BMP P Tracking Table'!$AE209,'Performance Curves'!$E$1:$L$1,1)))/(INDEX('Performance Curves'!$E$1:$L$1,1,MATCH('BMP P Tracking Table'!$AE209,'Performance Curves'!$E$1:$L$1,1)+1)-INDEX('Performance Curves'!$E$1:$L$1,1,MATCH('BMP P Tracking Table'!$AE209,'Performance Curves'!$E$1:$L$1,1))),"")</f>
        <v/>
      </c>
      <c r="AH209" s="102" t="str">
        <f>IFERROR(IF('BMP P Tracking Table'!$AE209=2,VLOOKUP(CONCATENATE('BMP P Tracking Table'!$T209," ",'BMP P Tracking Table'!$AC209),'Performance Curves'!$C$1:$L$45,MATCH('BMP P Tracking Table'!$AE209,'Performance Curves'!$E$1:$L$1,1)+1,FALSE),'BMP P Tracking Table'!$AF209*'BMP P Tracking Table'!$AG209+VLOOKUP(CONCATENATE('BMP P Tracking Table'!$T209," ",'BMP P Tracking Table'!$AC209),'Performance Curves'!$C$1:$L$45,MATCH('BMP P Tracking Table'!$AE209,'Performance Curves'!$E$1:$L$1,1)+1,FALSE)),"")</f>
        <v/>
      </c>
      <c r="AI209" s="101" t="str">
        <f>IFERROR('BMP P Tracking Table'!$AH209*'BMP P Tracking Table'!$AD209,"")</f>
        <v/>
      </c>
      <c r="AJ209" s="64"/>
      <c r="AK209" s="96"/>
      <c r="AL209" s="96"/>
      <c r="AM209" s="63"/>
      <c r="AN209" s="99" t="str">
        <f t="shared" si="16"/>
        <v/>
      </c>
      <c r="AO209" s="96"/>
      <c r="AP209" s="96"/>
      <c r="AQ209" s="96"/>
      <c r="AR209" s="96"/>
      <c r="AS209" s="96"/>
      <c r="AT209" s="96"/>
      <c r="AU209" s="96"/>
      <c r="AV209" s="64"/>
      <c r="AW209" s="97"/>
      <c r="AX209" s="97"/>
      <c r="AY209" s="101" t="str">
        <f>IF('BMP P Tracking Table'!$AK209="Yes",IF('BMP P Tracking Table'!$AL209="No",'BMP P Tracking Table'!$U209*VLOOKUP('BMP P Tracking Table'!$Q209,'Loading Rates'!$B$1:$L$24,4,FALSE)+IF('BMP P Tracking Table'!$V209="By HSG",'BMP P Tracking Table'!$W209*VLOOKUP('BMP P Tracking Table'!$Q209,'Loading Rates'!$B$1:$L$24,6,FALSE)+'BMP P Tracking Table'!$X209*VLOOKUP('BMP P Tracking Table'!$Q209,'Loading Rates'!$B$1:$L$24,7,FALSE)+'BMP P Tracking Table'!$Y209*VLOOKUP('BMP P Tracking Table'!$Q209,'Loading Rates'!$B$1:$L$24,8,FALSE)+'BMP P Tracking Table'!$Z209*VLOOKUP('BMP P Tracking Table'!$Q209,'Loading Rates'!$B$1:$L$24,9,FALSE),'BMP P Tracking Table'!$AA209*VLOOKUP('BMP P Tracking Table'!$Q209,'Loading Rates'!$B$1:$L$24,10,FALSE)),'BMP P Tracking Table'!$AO209*VLOOKUP('BMP P Tracking Table'!$Q209,'Loading Rates'!$B$1:$L$24,4,FALSE)+IF('BMP P Tracking Table'!$AP209="By HSG",'BMP P Tracking Table'!$AQ209*VLOOKUP('BMP P Tracking Table'!$Q209,'Loading Rates'!$B$1:$L$24,6,FALSE)+'BMP P Tracking Table'!$AR209*VLOOKUP('BMP P Tracking Table'!$Q209,'Loading Rates'!$B$1:$L$24,7,FALSE)+'BMP P Tracking Table'!$AS209*VLOOKUP('BMP P Tracking Table'!$Q209,'Loading Rates'!$B$1:$L$24,8,FALSE)+'BMP P Tracking Table'!$AT209*VLOOKUP('BMP P Tracking Table'!$Q209,'Loading Rates'!$B$1:$L$24,9,FALSE),'BMP P Tracking Table'!$AU209*VLOOKUP('BMP P Tracking Table'!$Q209,'Loading Rates'!$B$1:$L$24,10,FALSE))),"")</f>
        <v/>
      </c>
      <c r="AZ209" s="101" t="str">
        <f>IFERROR(IF('BMP P Tracking Table'!$AL209="Yes",MIN(2,IF('BMP P Tracking Table'!$AP209="Total Pervious",(-(3630*'BMP P Tracking Table'!$AO209+20.691*'BMP P Tracking Table'!$AU209)+SQRT((3630*'BMP P Tracking Table'!$AO209+20.691*'BMP P Tracking Table'!$AU209)^2-(4*(996.798*'BMP P Tracking Table'!$AU209)*-'BMP P Tracking Table'!$AW209)))/(2*(996.798*'BMP P Tracking Table'!$AU209)),IF(SUM('BMP P Tracking Table'!$AQ209:$AT209)=0,'BMP P Tracking Table'!$AU209/(-3630*'BMP P Tracking Table'!$AO209),(-(3630*'BMP P Tracking Table'!$AO209+20.691*'BMP P Tracking Table'!$AT209-216.711*'BMP P Tracking Table'!$AS209-83.853*'BMP P Tracking Table'!$AR209-42.834*'BMP P Tracking Table'!$AQ209)+SQRT((3630*'BMP P Tracking Table'!$AO209+20.691*'BMP P Tracking Table'!$AT209-216.711*'BMP P Tracking Table'!$AS209-83.853*'BMP P Tracking Table'!$AR209-42.834*'BMP P Tracking Table'!$AQ209)^2-(4*(149.919*'BMP P Tracking Table'!$AQ209+236.676*'BMP P Tracking Table'!$AR209+726*'BMP P Tracking Table'!$AS209+996.798*'BMP P Tracking Table'!$AT209)*-'BMP P Tracking Table'!$AW209)))/(2*(149.919*'BMP P Tracking Table'!$AQ209+236.676*'BMP P Tracking Table'!$AR209+726*'BMP P Tracking Table'!$AS209+996.798*'BMP P Tracking Table'!$AT209))))),MIN(2,IF('BMP P Tracking Table'!$AP209="Total Pervious",(-(3630*'BMP P Tracking Table'!$U209+20.691*'BMP P Tracking Table'!$AA209)+SQRT((3630*'BMP P Tracking Table'!$U209+20.691*'BMP P Tracking Table'!$AA209)^2-(4*(996.798*'BMP P Tracking Table'!$AA209)*-'BMP P Tracking Table'!$AW209)))/(2*(996.798*'BMP P Tracking Table'!$AA209)),IF(SUM('BMP P Tracking Table'!$W209:$Z209)=0,'BMP P Tracking Table'!$AW209/(-3630*'BMP P Tracking Table'!$U209),(-(3630*'BMP P Tracking Table'!$U209+20.691*'BMP P Tracking Table'!$Z209-216.711*'BMP P Tracking Table'!$Y209-83.853*'BMP P Tracking Table'!$X209-42.834*'BMP P Tracking Table'!$W209)+SQRT((3630*'BMP P Tracking Table'!$U209+20.691*'BMP P Tracking Table'!$Z209-216.711*'BMP P Tracking Table'!$Y209-83.853*'BMP P Tracking Table'!$X209-42.834*'BMP P Tracking Table'!$W209)^2-(4*(149.919*'BMP P Tracking Table'!$W209+236.676*'BMP P Tracking Table'!$X209+726*'BMP P Tracking Table'!$Y209+996.798*'BMP P Tracking Table'!$Z209)*-'BMP P Tracking Table'!$AW209)))/(2*(149.919*'BMP P Tracking Table'!$W209+236.676*'BMP P Tracking Table'!$X209+726*'BMP P Tracking Table'!$Y209+996.798*'BMP P Tracking Table'!$Z209)))))),"")</f>
        <v/>
      </c>
      <c r="BA209" s="101" t="str">
        <f>IFERROR((VLOOKUP(CONCATENATE('BMP P Tracking Table'!$AV209," ",'BMP P Tracking Table'!$AX209),'Performance Curves'!$C$1:$L$45,MATCH('BMP P Tracking Table'!$AZ209,'Performance Curves'!$E$1:$L$1,1)+2,FALSE)-VLOOKUP(CONCATENATE('BMP P Tracking Table'!$AV209," ",'BMP P Tracking Table'!$AX209),'Performance Curves'!$C$1:$L$45,MATCH('BMP P Tracking Table'!$AZ209,'Performance Curves'!$E$1:$L$1,1)+1,FALSE)),"")</f>
        <v/>
      </c>
      <c r="BB209" s="101" t="str">
        <f>IFERROR(('BMP P Tracking Table'!$AZ209-INDEX('Performance Curves'!$E$1:$L$1,1,MATCH('BMP P Tracking Table'!$AZ209,'Performance Curves'!$E$1:$L$1,1)))/(INDEX('Performance Curves'!$E$1:$L$1,1,MATCH('BMP P Tracking Table'!$AZ209,'Performance Curves'!$E$1:$L$1,1)+1)-INDEX('Performance Curves'!$E$1:$L$1,1,MATCH('BMP P Tracking Table'!$AZ209,'Performance Curves'!$E$1:$L$1,1))),"")</f>
        <v/>
      </c>
      <c r="BC209" s="102" t="str">
        <f>IFERROR(IF('BMP P Tracking Table'!$AZ209=2,VLOOKUP(CONCATENATE('BMP P Tracking Table'!$AV209," ",'BMP P Tracking Table'!$AX209),'Performance Curves'!$C$1:$L$44,MATCH('BMP P Tracking Table'!$AZ209,'Performance Curves'!$E$1:$L$1,1)+1,FALSE),'BMP P Tracking Table'!$BA209*'BMP P Tracking Table'!$BB209+VLOOKUP(CONCATENATE('BMP P Tracking Table'!$AV209," ",'BMP P Tracking Table'!$AX209),'Performance Curves'!$C$1:$L$44,MATCH('BMP P Tracking Table'!$AZ209,'Performance Curves'!$E$1:$L$1,1)+1,FALSE)),"")</f>
        <v/>
      </c>
      <c r="BD209" s="101" t="str">
        <f>IFERROR('BMP P Tracking Table'!$BC209*'BMP P Tracking Table'!$AY209,"")</f>
        <v/>
      </c>
      <c r="BE209" s="96"/>
      <c r="BF209" s="37">
        <f t="shared" si="17"/>
        <v>0</v>
      </c>
    </row>
    <row r="210" spans="1:58" x14ac:dyDescent="0.3">
      <c r="A210" s="64"/>
      <c r="B210" s="64"/>
      <c r="C210" s="64"/>
      <c r="D210" s="64"/>
      <c r="E210" s="93"/>
      <c r="F210" s="93"/>
      <c r="G210" s="64"/>
      <c r="H210" s="64"/>
      <c r="I210" s="64"/>
      <c r="J210" s="94"/>
      <c r="K210" s="64"/>
      <c r="L210" s="64"/>
      <c r="M210" s="64"/>
      <c r="N210" s="64"/>
      <c r="O210" s="64"/>
      <c r="P210" s="64"/>
      <c r="Q210" s="64" t="str">
        <f>IFERROR(VLOOKUP('BMP P Tracking Table'!$P210,Dropdowns!$C$2:$E$15,3,FALSE),"")</f>
        <v/>
      </c>
      <c r="R210" s="64" t="str">
        <f>IFERROR(VLOOKUP('BMP P Tracking Table'!$Q210,Dropdowns!$P$3:$Q$23,2,FALSE),"")</f>
        <v/>
      </c>
      <c r="S210" s="64"/>
      <c r="T210" s="64"/>
      <c r="U210" s="64"/>
      <c r="V210" s="64"/>
      <c r="W210" s="64"/>
      <c r="X210" s="64"/>
      <c r="Y210" s="64"/>
      <c r="Z210" s="64"/>
      <c r="AA210" s="64"/>
      <c r="AB210" s="95"/>
      <c r="AC210" s="64"/>
      <c r="AD210" s="101" t="str">
        <f>IFERROR('BMP P Tracking Table'!$U210*VLOOKUP('BMP P Tracking Table'!$Q210,'Loading Rates'!$B$1:$L$24,4,FALSE)+IF('BMP P Tracking Table'!$V210="By HSG",'BMP P Tracking Table'!$W210*VLOOKUP('BMP P Tracking Table'!$Q210,'Loading Rates'!$B$1:$L$24,6,FALSE)+'BMP P Tracking Table'!$X210*VLOOKUP('BMP P Tracking Table'!$Q210,'Loading Rates'!$B$1:$L$24,7,FALSE)+'BMP P Tracking Table'!$Y210*VLOOKUP('BMP P Tracking Table'!$Q210,'Loading Rates'!$B$1:$L$24,8,FALSE)+'BMP P Tracking Table'!$Z210*VLOOKUP('BMP P Tracking Table'!$Q210,'Loading Rates'!$B$1:$L$24,9,FALSE),'BMP P Tracking Table'!$AA210*VLOOKUP('BMP P Tracking Table'!$Q210,'Loading Rates'!$B$1:$L$24,10,FALSE)),"")</f>
        <v/>
      </c>
      <c r="AE210" s="101" t="str">
        <f>IFERROR(MIN(2,IF('BMP P Tracking Table'!$V210="Total Pervious",(-(3630*'BMP P Tracking Table'!$U210+20.691*'BMP P Tracking Table'!$AA210)+SQRT((3630*'BMP P Tracking Table'!$U210+20.691*'BMP P Tracking Table'!$AA210)^2-(4*(996.798*'BMP P Tracking Table'!$AA210)*-'BMP P Tracking Table'!$AB210)))/(2*(996.798*'BMP P Tracking Table'!$AA210)),IF(SUM('BMP P Tracking Table'!$W210:$Z210)=0,'BMP P Tracking Table'!$AB210/(-3630*'BMP P Tracking Table'!$U210),(-(3630*'BMP P Tracking Table'!$U210+20.691*'BMP P Tracking Table'!$Z210-216.711*'BMP P Tracking Table'!$Y210-83.853*'BMP P Tracking Table'!$X210-42.834*'BMP P Tracking Table'!$W210)+SQRT((3630*'BMP P Tracking Table'!$U210+20.691*'BMP P Tracking Table'!$Z210-216.711*'BMP P Tracking Table'!$Y210-83.853*'BMP P Tracking Table'!$X210-42.834*'BMP P Tracking Table'!$W210)^2-(4*(149.919*'BMP P Tracking Table'!$W210+236.676*'BMP P Tracking Table'!$X210+726*'BMP P Tracking Table'!$Y210+996.798*'BMP P Tracking Table'!$Z210)*-'BMP P Tracking Table'!$AB210)))/(2*(149.919*'BMP P Tracking Table'!$W210+236.676*'BMP P Tracking Table'!$X210+726*'BMP P Tracking Table'!$Y210+996.798*'BMP P Tracking Table'!$Z210))))),"")</f>
        <v/>
      </c>
      <c r="AF210" s="101" t="str">
        <f>IFERROR((VLOOKUP(CONCATENATE('BMP P Tracking Table'!$T210," ",'BMP P Tracking Table'!$AC210),'Performance Curves'!$C$1:$L$45,MATCH('BMP P Tracking Table'!$AE210,'Performance Curves'!$E$1:$L$1,1)+2,FALSE)-VLOOKUP(CONCATENATE('BMP P Tracking Table'!$T210," ",'BMP P Tracking Table'!$AC210),'Performance Curves'!$C$1:$L$45,MATCH('BMP P Tracking Table'!$AE210,'Performance Curves'!$E$1:$L$1,1)+1,FALSE)),"")</f>
        <v/>
      </c>
      <c r="AG210" s="101" t="str">
        <f>IFERROR(('BMP P Tracking Table'!$AE210-INDEX('Performance Curves'!$E$1:$L$1,1,MATCH('BMP P Tracking Table'!$AE210,'Performance Curves'!$E$1:$L$1,1)))/(INDEX('Performance Curves'!$E$1:$L$1,1,MATCH('BMP P Tracking Table'!$AE210,'Performance Curves'!$E$1:$L$1,1)+1)-INDEX('Performance Curves'!$E$1:$L$1,1,MATCH('BMP P Tracking Table'!$AE210,'Performance Curves'!$E$1:$L$1,1))),"")</f>
        <v/>
      </c>
      <c r="AH210" s="102" t="str">
        <f>IFERROR(IF('BMP P Tracking Table'!$AE210=2,VLOOKUP(CONCATENATE('BMP P Tracking Table'!$T210," ",'BMP P Tracking Table'!$AC210),'Performance Curves'!$C$1:$L$45,MATCH('BMP P Tracking Table'!$AE210,'Performance Curves'!$E$1:$L$1,1)+1,FALSE),'BMP P Tracking Table'!$AF210*'BMP P Tracking Table'!$AG210+VLOOKUP(CONCATENATE('BMP P Tracking Table'!$T210," ",'BMP P Tracking Table'!$AC210),'Performance Curves'!$C$1:$L$45,MATCH('BMP P Tracking Table'!$AE210,'Performance Curves'!$E$1:$L$1,1)+1,FALSE)),"")</f>
        <v/>
      </c>
      <c r="AI210" s="101" t="str">
        <f>IFERROR('BMP P Tracking Table'!$AH210*'BMP P Tracking Table'!$AD210,"")</f>
        <v/>
      </c>
      <c r="AJ210" s="64"/>
      <c r="AK210" s="96"/>
      <c r="AL210" s="96"/>
      <c r="AM210" s="63"/>
      <c r="AN210" s="99" t="str">
        <f t="shared" si="16"/>
        <v/>
      </c>
      <c r="AO210" s="96"/>
      <c r="AP210" s="96"/>
      <c r="AQ210" s="96"/>
      <c r="AR210" s="96"/>
      <c r="AS210" s="96"/>
      <c r="AT210" s="96"/>
      <c r="AU210" s="96"/>
      <c r="AV210" s="64"/>
      <c r="AW210" s="97"/>
      <c r="AX210" s="97"/>
      <c r="AY210" s="101" t="str">
        <f>IF('BMP P Tracking Table'!$AK210="Yes",IF('BMP P Tracking Table'!$AL210="No",'BMP P Tracking Table'!$U210*VLOOKUP('BMP P Tracking Table'!$Q210,'Loading Rates'!$B$1:$L$24,4,FALSE)+IF('BMP P Tracking Table'!$V210="By HSG",'BMP P Tracking Table'!$W210*VLOOKUP('BMP P Tracking Table'!$Q210,'Loading Rates'!$B$1:$L$24,6,FALSE)+'BMP P Tracking Table'!$X210*VLOOKUP('BMP P Tracking Table'!$Q210,'Loading Rates'!$B$1:$L$24,7,FALSE)+'BMP P Tracking Table'!$Y210*VLOOKUP('BMP P Tracking Table'!$Q210,'Loading Rates'!$B$1:$L$24,8,FALSE)+'BMP P Tracking Table'!$Z210*VLOOKUP('BMP P Tracking Table'!$Q210,'Loading Rates'!$B$1:$L$24,9,FALSE),'BMP P Tracking Table'!$AA210*VLOOKUP('BMP P Tracking Table'!$Q210,'Loading Rates'!$B$1:$L$24,10,FALSE)),'BMP P Tracking Table'!$AO210*VLOOKUP('BMP P Tracking Table'!$Q210,'Loading Rates'!$B$1:$L$24,4,FALSE)+IF('BMP P Tracking Table'!$AP210="By HSG",'BMP P Tracking Table'!$AQ210*VLOOKUP('BMP P Tracking Table'!$Q210,'Loading Rates'!$B$1:$L$24,6,FALSE)+'BMP P Tracking Table'!$AR210*VLOOKUP('BMP P Tracking Table'!$Q210,'Loading Rates'!$B$1:$L$24,7,FALSE)+'BMP P Tracking Table'!$AS210*VLOOKUP('BMP P Tracking Table'!$Q210,'Loading Rates'!$B$1:$L$24,8,FALSE)+'BMP P Tracking Table'!$AT210*VLOOKUP('BMP P Tracking Table'!$Q210,'Loading Rates'!$B$1:$L$24,9,FALSE),'BMP P Tracking Table'!$AU210*VLOOKUP('BMP P Tracking Table'!$Q210,'Loading Rates'!$B$1:$L$24,10,FALSE))),"")</f>
        <v/>
      </c>
      <c r="AZ210" s="101" t="str">
        <f>IFERROR(IF('BMP P Tracking Table'!$AL210="Yes",MIN(2,IF('BMP P Tracking Table'!$AP210="Total Pervious",(-(3630*'BMP P Tracking Table'!$AO210+20.691*'BMP P Tracking Table'!$AU210)+SQRT((3630*'BMP P Tracking Table'!$AO210+20.691*'BMP P Tracking Table'!$AU210)^2-(4*(996.798*'BMP P Tracking Table'!$AU210)*-'BMP P Tracking Table'!$AW210)))/(2*(996.798*'BMP P Tracking Table'!$AU210)),IF(SUM('BMP P Tracking Table'!$AQ210:$AT210)=0,'BMP P Tracking Table'!$AU210/(-3630*'BMP P Tracking Table'!$AO210),(-(3630*'BMP P Tracking Table'!$AO210+20.691*'BMP P Tracking Table'!$AT210-216.711*'BMP P Tracking Table'!$AS210-83.853*'BMP P Tracking Table'!$AR210-42.834*'BMP P Tracking Table'!$AQ210)+SQRT((3630*'BMP P Tracking Table'!$AO210+20.691*'BMP P Tracking Table'!$AT210-216.711*'BMP P Tracking Table'!$AS210-83.853*'BMP P Tracking Table'!$AR210-42.834*'BMP P Tracking Table'!$AQ210)^2-(4*(149.919*'BMP P Tracking Table'!$AQ210+236.676*'BMP P Tracking Table'!$AR210+726*'BMP P Tracking Table'!$AS210+996.798*'BMP P Tracking Table'!$AT210)*-'BMP P Tracking Table'!$AW210)))/(2*(149.919*'BMP P Tracking Table'!$AQ210+236.676*'BMP P Tracking Table'!$AR210+726*'BMP P Tracking Table'!$AS210+996.798*'BMP P Tracking Table'!$AT210))))),MIN(2,IF('BMP P Tracking Table'!$AP210="Total Pervious",(-(3630*'BMP P Tracking Table'!$U210+20.691*'BMP P Tracking Table'!$AA210)+SQRT((3630*'BMP P Tracking Table'!$U210+20.691*'BMP P Tracking Table'!$AA210)^2-(4*(996.798*'BMP P Tracking Table'!$AA210)*-'BMP P Tracking Table'!$AW210)))/(2*(996.798*'BMP P Tracking Table'!$AA210)),IF(SUM('BMP P Tracking Table'!$W210:$Z210)=0,'BMP P Tracking Table'!$AW210/(-3630*'BMP P Tracking Table'!$U210),(-(3630*'BMP P Tracking Table'!$U210+20.691*'BMP P Tracking Table'!$Z210-216.711*'BMP P Tracking Table'!$Y210-83.853*'BMP P Tracking Table'!$X210-42.834*'BMP P Tracking Table'!$W210)+SQRT((3630*'BMP P Tracking Table'!$U210+20.691*'BMP P Tracking Table'!$Z210-216.711*'BMP P Tracking Table'!$Y210-83.853*'BMP P Tracking Table'!$X210-42.834*'BMP P Tracking Table'!$W210)^2-(4*(149.919*'BMP P Tracking Table'!$W210+236.676*'BMP P Tracking Table'!$X210+726*'BMP P Tracking Table'!$Y210+996.798*'BMP P Tracking Table'!$Z210)*-'BMP P Tracking Table'!$AW210)))/(2*(149.919*'BMP P Tracking Table'!$W210+236.676*'BMP P Tracking Table'!$X210+726*'BMP P Tracking Table'!$Y210+996.798*'BMP P Tracking Table'!$Z210)))))),"")</f>
        <v/>
      </c>
      <c r="BA210" s="101" t="str">
        <f>IFERROR((VLOOKUP(CONCATENATE('BMP P Tracking Table'!$AV210," ",'BMP P Tracking Table'!$AX210),'Performance Curves'!$C$1:$L$45,MATCH('BMP P Tracking Table'!$AZ210,'Performance Curves'!$E$1:$L$1,1)+2,FALSE)-VLOOKUP(CONCATENATE('BMP P Tracking Table'!$AV210," ",'BMP P Tracking Table'!$AX210),'Performance Curves'!$C$1:$L$45,MATCH('BMP P Tracking Table'!$AZ210,'Performance Curves'!$E$1:$L$1,1)+1,FALSE)),"")</f>
        <v/>
      </c>
      <c r="BB210" s="101" t="str">
        <f>IFERROR(('BMP P Tracking Table'!$AZ210-INDEX('Performance Curves'!$E$1:$L$1,1,MATCH('BMP P Tracking Table'!$AZ210,'Performance Curves'!$E$1:$L$1,1)))/(INDEX('Performance Curves'!$E$1:$L$1,1,MATCH('BMP P Tracking Table'!$AZ210,'Performance Curves'!$E$1:$L$1,1)+1)-INDEX('Performance Curves'!$E$1:$L$1,1,MATCH('BMP P Tracking Table'!$AZ210,'Performance Curves'!$E$1:$L$1,1))),"")</f>
        <v/>
      </c>
      <c r="BC210" s="102" t="str">
        <f>IFERROR(IF('BMP P Tracking Table'!$AZ210=2,VLOOKUP(CONCATENATE('BMP P Tracking Table'!$AV210," ",'BMP P Tracking Table'!$AX210),'Performance Curves'!$C$1:$L$44,MATCH('BMP P Tracking Table'!$AZ210,'Performance Curves'!$E$1:$L$1,1)+1,FALSE),'BMP P Tracking Table'!$BA210*'BMP P Tracking Table'!$BB210+VLOOKUP(CONCATENATE('BMP P Tracking Table'!$AV210," ",'BMP P Tracking Table'!$AX210),'Performance Curves'!$C$1:$L$44,MATCH('BMP P Tracking Table'!$AZ210,'Performance Curves'!$E$1:$L$1,1)+1,FALSE)),"")</f>
        <v/>
      </c>
      <c r="BD210" s="101" t="str">
        <f>IFERROR('BMP P Tracking Table'!$BC210*'BMP P Tracking Table'!$AY210,"")</f>
        <v/>
      </c>
      <c r="BE210" s="96"/>
      <c r="BF210" s="37">
        <f t="shared" si="17"/>
        <v>0</v>
      </c>
    </row>
    <row r="211" spans="1:58" x14ac:dyDescent="0.3">
      <c r="A211" s="64"/>
      <c r="B211" s="64"/>
      <c r="C211" s="64"/>
      <c r="D211" s="64"/>
      <c r="E211" s="93"/>
      <c r="F211" s="93"/>
      <c r="G211" s="64"/>
      <c r="H211" s="64"/>
      <c r="I211" s="64"/>
      <c r="J211" s="94"/>
      <c r="K211" s="64"/>
      <c r="L211" s="64"/>
      <c r="M211" s="64"/>
      <c r="N211" s="64"/>
      <c r="O211" s="64"/>
      <c r="P211" s="64"/>
      <c r="Q211" s="64" t="str">
        <f>IFERROR(VLOOKUP('BMP P Tracking Table'!$P211,Dropdowns!$C$2:$E$15,3,FALSE),"")</f>
        <v/>
      </c>
      <c r="R211" s="64" t="str">
        <f>IFERROR(VLOOKUP('BMP P Tracking Table'!$Q211,Dropdowns!$P$3:$Q$23,2,FALSE),"")</f>
        <v/>
      </c>
      <c r="S211" s="64"/>
      <c r="T211" s="64"/>
      <c r="U211" s="64"/>
      <c r="V211" s="64"/>
      <c r="W211" s="64"/>
      <c r="X211" s="64"/>
      <c r="Y211" s="64"/>
      <c r="Z211" s="64"/>
      <c r="AA211" s="64"/>
      <c r="AB211" s="95"/>
      <c r="AC211" s="64"/>
      <c r="AD211" s="101" t="str">
        <f>IFERROR('BMP P Tracking Table'!$U211*VLOOKUP('BMP P Tracking Table'!$Q211,'Loading Rates'!$B$1:$L$24,4,FALSE)+IF('BMP P Tracking Table'!$V211="By HSG",'BMP P Tracking Table'!$W211*VLOOKUP('BMP P Tracking Table'!$Q211,'Loading Rates'!$B$1:$L$24,6,FALSE)+'BMP P Tracking Table'!$X211*VLOOKUP('BMP P Tracking Table'!$Q211,'Loading Rates'!$B$1:$L$24,7,FALSE)+'BMP P Tracking Table'!$Y211*VLOOKUP('BMP P Tracking Table'!$Q211,'Loading Rates'!$B$1:$L$24,8,FALSE)+'BMP P Tracking Table'!$Z211*VLOOKUP('BMP P Tracking Table'!$Q211,'Loading Rates'!$B$1:$L$24,9,FALSE),'BMP P Tracking Table'!$AA211*VLOOKUP('BMP P Tracking Table'!$Q211,'Loading Rates'!$B$1:$L$24,10,FALSE)),"")</f>
        <v/>
      </c>
      <c r="AE211" s="101" t="str">
        <f>IFERROR(MIN(2,IF('BMP P Tracking Table'!$V211="Total Pervious",(-(3630*'BMP P Tracking Table'!$U211+20.691*'BMP P Tracking Table'!$AA211)+SQRT((3630*'BMP P Tracking Table'!$U211+20.691*'BMP P Tracking Table'!$AA211)^2-(4*(996.798*'BMP P Tracking Table'!$AA211)*-'BMP P Tracking Table'!$AB211)))/(2*(996.798*'BMP P Tracking Table'!$AA211)),IF(SUM('BMP P Tracking Table'!$W211:$Z211)=0,'BMP P Tracking Table'!$AB211/(-3630*'BMP P Tracking Table'!$U211),(-(3630*'BMP P Tracking Table'!$U211+20.691*'BMP P Tracking Table'!$Z211-216.711*'BMP P Tracking Table'!$Y211-83.853*'BMP P Tracking Table'!$X211-42.834*'BMP P Tracking Table'!$W211)+SQRT((3630*'BMP P Tracking Table'!$U211+20.691*'BMP P Tracking Table'!$Z211-216.711*'BMP P Tracking Table'!$Y211-83.853*'BMP P Tracking Table'!$X211-42.834*'BMP P Tracking Table'!$W211)^2-(4*(149.919*'BMP P Tracking Table'!$W211+236.676*'BMP P Tracking Table'!$X211+726*'BMP P Tracking Table'!$Y211+996.798*'BMP P Tracking Table'!$Z211)*-'BMP P Tracking Table'!$AB211)))/(2*(149.919*'BMP P Tracking Table'!$W211+236.676*'BMP P Tracking Table'!$X211+726*'BMP P Tracking Table'!$Y211+996.798*'BMP P Tracking Table'!$Z211))))),"")</f>
        <v/>
      </c>
      <c r="AF211" s="101" t="str">
        <f>IFERROR((VLOOKUP(CONCATENATE('BMP P Tracking Table'!$T211," ",'BMP P Tracking Table'!$AC211),'Performance Curves'!$C$1:$L$45,MATCH('BMP P Tracking Table'!$AE211,'Performance Curves'!$E$1:$L$1,1)+2,FALSE)-VLOOKUP(CONCATENATE('BMP P Tracking Table'!$T211," ",'BMP P Tracking Table'!$AC211),'Performance Curves'!$C$1:$L$45,MATCH('BMP P Tracking Table'!$AE211,'Performance Curves'!$E$1:$L$1,1)+1,FALSE)),"")</f>
        <v/>
      </c>
      <c r="AG211" s="101" t="str">
        <f>IFERROR(('BMP P Tracking Table'!$AE211-INDEX('Performance Curves'!$E$1:$L$1,1,MATCH('BMP P Tracking Table'!$AE211,'Performance Curves'!$E$1:$L$1,1)))/(INDEX('Performance Curves'!$E$1:$L$1,1,MATCH('BMP P Tracking Table'!$AE211,'Performance Curves'!$E$1:$L$1,1)+1)-INDEX('Performance Curves'!$E$1:$L$1,1,MATCH('BMP P Tracking Table'!$AE211,'Performance Curves'!$E$1:$L$1,1))),"")</f>
        <v/>
      </c>
      <c r="AH211" s="102" t="str">
        <f>IFERROR(IF('BMP P Tracking Table'!$AE211=2,VLOOKUP(CONCATENATE('BMP P Tracking Table'!$T211," ",'BMP P Tracking Table'!$AC211),'Performance Curves'!$C$1:$L$45,MATCH('BMP P Tracking Table'!$AE211,'Performance Curves'!$E$1:$L$1,1)+1,FALSE),'BMP P Tracking Table'!$AF211*'BMP P Tracking Table'!$AG211+VLOOKUP(CONCATENATE('BMP P Tracking Table'!$T211," ",'BMP P Tracking Table'!$AC211),'Performance Curves'!$C$1:$L$45,MATCH('BMP P Tracking Table'!$AE211,'Performance Curves'!$E$1:$L$1,1)+1,FALSE)),"")</f>
        <v/>
      </c>
      <c r="AI211" s="101" t="str">
        <f>IFERROR('BMP P Tracking Table'!$AH211*'BMP P Tracking Table'!$AD211,"")</f>
        <v/>
      </c>
      <c r="AJ211" s="64"/>
      <c r="AK211" s="96"/>
      <c r="AL211" s="96"/>
      <c r="AM211" s="63"/>
      <c r="AN211" s="99" t="str">
        <f t="shared" si="16"/>
        <v/>
      </c>
      <c r="AO211" s="96"/>
      <c r="AP211" s="96"/>
      <c r="AQ211" s="96"/>
      <c r="AR211" s="96"/>
      <c r="AS211" s="96"/>
      <c r="AT211" s="96"/>
      <c r="AU211" s="96"/>
      <c r="AV211" s="64"/>
      <c r="AW211" s="97"/>
      <c r="AX211" s="97"/>
      <c r="AY211" s="101" t="str">
        <f>IF('BMP P Tracking Table'!$AK211="Yes",IF('BMP P Tracking Table'!$AL211="No",'BMP P Tracking Table'!$U211*VLOOKUP('BMP P Tracking Table'!$Q211,'Loading Rates'!$B$1:$L$24,4,FALSE)+IF('BMP P Tracking Table'!$V211="By HSG",'BMP P Tracking Table'!$W211*VLOOKUP('BMP P Tracking Table'!$Q211,'Loading Rates'!$B$1:$L$24,6,FALSE)+'BMP P Tracking Table'!$X211*VLOOKUP('BMP P Tracking Table'!$Q211,'Loading Rates'!$B$1:$L$24,7,FALSE)+'BMP P Tracking Table'!$Y211*VLOOKUP('BMP P Tracking Table'!$Q211,'Loading Rates'!$B$1:$L$24,8,FALSE)+'BMP P Tracking Table'!$Z211*VLOOKUP('BMP P Tracking Table'!$Q211,'Loading Rates'!$B$1:$L$24,9,FALSE),'BMP P Tracking Table'!$AA211*VLOOKUP('BMP P Tracking Table'!$Q211,'Loading Rates'!$B$1:$L$24,10,FALSE)),'BMP P Tracking Table'!$AO211*VLOOKUP('BMP P Tracking Table'!$Q211,'Loading Rates'!$B$1:$L$24,4,FALSE)+IF('BMP P Tracking Table'!$AP211="By HSG",'BMP P Tracking Table'!$AQ211*VLOOKUP('BMP P Tracking Table'!$Q211,'Loading Rates'!$B$1:$L$24,6,FALSE)+'BMP P Tracking Table'!$AR211*VLOOKUP('BMP P Tracking Table'!$Q211,'Loading Rates'!$B$1:$L$24,7,FALSE)+'BMP P Tracking Table'!$AS211*VLOOKUP('BMP P Tracking Table'!$Q211,'Loading Rates'!$B$1:$L$24,8,FALSE)+'BMP P Tracking Table'!$AT211*VLOOKUP('BMP P Tracking Table'!$Q211,'Loading Rates'!$B$1:$L$24,9,FALSE),'BMP P Tracking Table'!$AU211*VLOOKUP('BMP P Tracking Table'!$Q211,'Loading Rates'!$B$1:$L$24,10,FALSE))),"")</f>
        <v/>
      </c>
      <c r="AZ211" s="101" t="str">
        <f>IFERROR(IF('BMP P Tracking Table'!$AL211="Yes",MIN(2,IF('BMP P Tracking Table'!$AP211="Total Pervious",(-(3630*'BMP P Tracking Table'!$AO211+20.691*'BMP P Tracking Table'!$AU211)+SQRT((3630*'BMP P Tracking Table'!$AO211+20.691*'BMP P Tracking Table'!$AU211)^2-(4*(996.798*'BMP P Tracking Table'!$AU211)*-'BMP P Tracking Table'!$AW211)))/(2*(996.798*'BMP P Tracking Table'!$AU211)),IF(SUM('BMP P Tracking Table'!$AQ211:$AT211)=0,'BMP P Tracking Table'!$AU211/(-3630*'BMP P Tracking Table'!$AO211),(-(3630*'BMP P Tracking Table'!$AO211+20.691*'BMP P Tracking Table'!$AT211-216.711*'BMP P Tracking Table'!$AS211-83.853*'BMP P Tracking Table'!$AR211-42.834*'BMP P Tracking Table'!$AQ211)+SQRT((3630*'BMP P Tracking Table'!$AO211+20.691*'BMP P Tracking Table'!$AT211-216.711*'BMP P Tracking Table'!$AS211-83.853*'BMP P Tracking Table'!$AR211-42.834*'BMP P Tracking Table'!$AQ211)^2-(4*(149.919*'BMP P Tracking Table'!$AQ211+236.676*'BMP P Tracking Table'!$AR211+726*'BMP P Tracking Table'!$AS211+996.798*'BMP P Tracking Table'!$AT211)*-'BMP P Tracking Table'!$AW211)))/(2*(149.919*'BMP P Tracking Table'!$AQ211+236.676*'BMP P Tracking Table'!$AR211+726*'BMP P Tracking Table'!$AS211+996.798*'BMP P Tracking Table'!$AT211))))),MIN(2,IF('BMP P Tracking Table'!$AP211="Total Pervious",(-(3630*'BMP P Tracking Table'!$U211+20.691*'BMP P Tracking Table'!$AA211)+SQRT((3630*'BMP P Tracking Table'!$U211+20.691*'BMP P Tracking Table'!$AA211)^2-(4*(996.798*'BMP P Tracking Table'!$AA211)*-'BMP P Tracking Table'!$AW211)))/(2*(996.798*'BMP P Tracking Table'!$AA211)),IF(SUM('BMP P Tracking Table'!$W211:$Z211)=0,'BMP P Tracking Table'!$AW211/(-3630*'BMP P Tracking Table'!$U211),(-(3630*'BMP P Tracking Table'!$U211+20.691*'BMP P Tracking Table'!$Z211-216.711*'BMP P Tracking Table'!$Y211-83.853*'BMP P Tracking Table'!$X211-42.834*'BMP P Tracking Table'!$W211)+SQRT((3630*'BMP P Tracking Table'!$U211+20.691*'BMP P Tracking Table'!$Z211-216.711*'BMP P Tracking Table'!$Y211-83.853*'BMP P Tracking Table'!$X211-42.834*'BMP P Tracking Table'!$W211)^2-(4*(149.919*'BMP P Tracking Table'!$W211+236.676*'BMP P Tracking Table'!$X211+726*'BMP P Tracking Table'!$Y211+996.798*'BMP P Tracking Table'!$Z211)*-'BMP P Tracking Table'!$AW211)))/(2*(149.919*'BMP P Tracking Table'!$W211+236.676*'BMP P Tracking Table'!$X211+726*'BMP P Tracking Table'!$Y211+996.798*'BMP P Tracking Table'!$Z211)))))),"")</f>
        <v/>
      </c>
      <c r="BA211" s="101" t="str">
        <f>IFERROR((VLOOKUP(CONCATENATE('BMP P Tracking Table'!$AV211," ",'BMP P Tracking Table'!$AX211),'Performance Curves'!$C$1:$L$45,MATCH('BMP P Tracking Table'!$AZ211,'Performance Curves'!$E$1:$L$1,1)+2,FALSE)-VLOOKUP(CONCATENATE('BMP P Tracking Table'!$AV211," ",'BMP P Tracking Table'!$AX211),'Performance Curves'!$C$1:$L$45,MATCH('BMP P Tracking Table'!$AZ211,'Performance Curves'!$E$1:$L$1,1)+1,FALSE)),"")</f>
        <v/>
      </c>
      <c r="BB211" s="101" t="str">
        <f>IFERROR(('BMP P Tracking Table'!$AZ211-INDEX('Performance Curves'!$E$1:$L$1,1,MATCH('BMP P Tracking Table'!$AZ211,'Performance Curves'!$E$1:$L$1,1)))/(INDEX('Performance Curves'!$E$1:$L$1,1,MATCH('BMP P Tracking Table'!$AZ211,'Performance Curves'!$E$1:$L$1,1)+1)-INDEX('Performance Curves'!$E$1:$L$1,1,MATCH('BMP P Tracking Table'!$AZ211,'Performance Curves'!$E$1:$L$1,1))),"")</f>
        <v/>
      </c>
      <c r="BC211" s="102" t="str">
        <f>IFERROR(IF('BMP P Tracking Table'!$AZ211=2,VLOOKUP(CONCATENATE('BMP P Tracking Table'!$AV211," ",'BMP P Tracking Table'!$AX211),'Performance Curves'!$C$1:$L$44,MATCH('BMP P Tracking Table'!$AZ211,'Performance Curves'!$E$1:$L$1,1)+1,FALSE),'BMP P Tracking Table'!$BA211*'BMP P Tracking Table'!$BB211+VLOOKUP(CONCATENATE('BMP P Tracking Table'!$AV211," ",'BMP P Tracking Table'!$AX211),'Performance Curves'!$C$1:$L$44,MATCH('BMP P Tracking Table'!$AZ211,'Performance Curves'!$E$1:$L$1,1)+1,FALSE)),"")</f>
        <v/>
      </c>
      <c r="BD211" s="101" t="str">
        <f>IFERROR('BMP P Tracking Table'!$BC211*'BMP P Tracking Table'!$AY211,"")</f>
        <v/>
      </c>
      <c r="BE211" s="96"/>
      <c r="BF211" s="37">
        <f t="shared" si="17"/>
        <v>0</v>
      </c>
    </row>
    <row r="212" spans="1:58" x14ac:dyDescent="0.3">
      <c r="A212" s="64"/>
      <c r="B212" s="64"/>
      <c r="C212" s="64"/>
      <c r="D212" s="64"/>
      <c r="E212" s="93"/>
      <c r="F212" s="93"/>
      <c r="G212" s="64"/>
      <c r="H212" s="64"/>
      <c r="I212" s="64"/>
      <c r="J212" s="94"/>
      <c r="K212" s="64"/>
      <c r="L212" s="64"/>
      <c r="M212" s="64"/>
      <c r="N212" s="64"/>
      <c r="O212" s="64"/>
      <c r="P212" s="64"/>
      <c r="Q212" s="64" t="str">
        <f>IFERROR(VLOOKUP('BMP P Tracking Table'!$P212,Dropdowns!$C$2:$E$15,3,FALSE),"")</f>
        <v/>
      </c>
      <c r="R212" s="64" t="str">
        <f>IFERROR(VLOOKUP('BMP P Tracking Table'!$Q212,Dropdowns!$P$3:$Q$23,2,FALSE),"")</f>
        <v/>
      </c>
      <c r="S212" s="64"/>
      <c r="T212" s="64"/>
      <c r="U212" s="64"/>
      <c r="V212" s="64"/>
      <c r="W212" s="64"/>
      <c r="X212" s="64"/>
      <c r="Y212" s="64"/>
      <c r="Z212" s="64"/>
      <c r="AA212" s="64"/>
      <c r="AB212" s="95"/>
      <c r="AC212" s="64"/>
      <c r="AD212" s="101" t="str">
        <f>IFERROR('BMP P Tracking Table'!$U212*VLOOKUP('BMP P Tracking Table'!$Q212,'Loading Rates'!$B$1:$L$24,4,FALSE)+IF('BMP P Tracking Table'!$V212="By HSG",'BMP P Tracking Table'!$W212*VLOOKUP('BMP P Tracking Table'!$Q212,'Loading Rates'!$B$1:$L$24,6,FALSE)+'BMP P Tracking Table'!$X212*VLOOKUP('BMP P Tracking Table'!$Q212,'Loading Rates'!$B$1:$L$24,7,FALSE)+'BMP P Tracking Table'!$Y212*VLOOKUP('BMP P Tracking Table'!$Q212,'Loading Rates'!$B$1:$L$24,8,FALSE)+'BMP P Tracking Table'!$Z212*VLOOKUP('BMP P Tracking Table'!$Q212,'Loading Rates'!$B$1:$L$24,9,FALSE),'BMP P Tracking Table'!$AA212*VLOOKUP('BMP P Tracking Table'!$Q212,'Loading Rates'!$B$1:$L$24,10,FALSE)),"")</f>
        <v/>
      </c>
      <c r="AE212" s="101" t="str">
        <f>IFERROR(MIN(2,IF('BMP P Tracking Table'!$V212="Total Pervious",(-(3630*'BMP P Tracking Table'!$U212+20.691*'BMP P Tracking Table'!$AA212)+SQRT((3630*'BMP P Tracking Table'!$U212+20.691*'BMP P Tracking Table'!$AA212)^2-(4*(996.798*'BMP P Tracking Table'!$AA212)*-'BMP P Tracking Table'!$AB212)))/(2*(996.798*'BMP P Tracking Table'!$AA212)),IF(SUM('BMP P Tracking Table'!$W212:$Z212)=0,'BMP P Tracking Table'!$AB212/(-3630*'BMP P Tracking Table'!$U212),(-(3630*'BMP P Tracking Table'!$U212+20.691*'BMP P Tracking Table'!$Z212-216.711*'BMP P Tracking Table'!$Y212-83.853*'BMP P Tracking Table'!$X212-42.834*'BMP P Tracking Table'!$W212)+SQRT((3630*'BMP P Tracking Table'!$U212+20.691*'BMP P Tracking Table'!$Z212-216.711*'BMP P Tracking Table'!$Y212-83.853*'BMP P Tracking Table'!$X212-42.834*'BMP P Tracking Table'!$W212)^2-(4*(149.919*'BMP P Tracking Table'!$W212+236.676*'BMP P Tracking Table'!$X212+726*'BMP P Tracking Table'!$Y212+996.798*'BMP P Tracking Table'!$Z212)*-'BMP P Tracking Table'!$AB212)))/(2*(149.919*'BMP P Tracking Table'!$W212+236.676*'BMP P Tracking Table'!$X212+726*'BMP P Tracking Table'!$Y212+996.798*'BMP P Tracking Table'!$Z212))))),"")</f>
        <v/>
      </c>
      <c r="AF212" s="101" t="str">
        <f>IFERROR((VLOOKUP(CONCATENATE('BMP P Tracking Table'!$T212," ",'BMP P Tracking Table'!$AC212),'Performance Curves'!$C$1:$L$45,MATCH('BMP P Tracking Table'!$AE212,'Performance Curves'!$E$1:$L$1,1)+2,FALSE)-VLOOKUP(CONCATENATE('BMP P Tracking Table'!$T212," ",'BMP P Tracking Table'!$AC212),'Performance Curves'!$C$1:$L$45,MATCH('BMP P Tracking Table'!$AE212,'Performance Curves'!$E$1:$L$1,1)+1,FALSE)),"")</f>
        <v/>
      </c>
      <c r="AG212" s="101" t="str">
        <f>IFERROR(('BMP P Tracking Table'!$AE212-INDEX('Performance Curves'!$E$1:$L$1,1,MATCH('BMP P Tracking Table'!$AE212,'Performance Curves'!$E$1:$L$1,1)))/(INDEX('Performance Curves'!$E$1:$L$1,1,MATCH('BMP P Tracking Table'!$AE212,'Performance Curves'!$E$1:$L$1,1)+1)-INDEX('Performance Curves'!$E$1:$L$1,1,MATCH('BMP P Tracking Table'!$AE212,'Performance Curves'!$E$1:$L$1,1))),"")</f>
        <v/>
      </c>
      <c r="AH212" s="102" t="str">
        <f>IFERROR(IF('BMP P Tracking Table'!$AE212=2,VLOOKUP(CONCATENATE('BMP P Tracking Table'!$T212," ",'BMP P Tracking Table'!$AC212),'Performance Curves'!$C$1:$L$45,MATCH('BMP P Tracking Table'!$AE212,'Performance Curves'!$E$1:$L$1,1)+1,FALSE),'BMP P Tracking Table'!$AF212*'BMP P Tracking Table'!$AG212+VLOOKUP(CONCATENATE('BMP P Tracking Table'!$T212," ",'BMP P Tracking Table'!$AC212),'Performance Curves'!$C$1:$L$45,MATCH('BMP P Tracking Table'!$AE212,'Performance Curves'!$E$1:$L$1,1)+1,FALSE)),"")</f>
        <v/>
      </c>
      <c r="AI212" s="101" t="str">
        <f>IFERROR('BMP P Tracking Table'!$AH212*'BMP P Tracking Table'!$AD212,"")</f>
        <v/>
      </c>
      <c r="AJ212" s="64"/>
      <c r="AK212" s="96"/>
      <c r="AL212" s="96"/>
      <c r="AM212" s="63"/>
      <c r="AN212" s="99" t="str">
        <f t="shared" si="16"/>
        <v/>
      </c>
      <c r="AO212" s="96"/>
      <c r="AP212" s="96"/>
      <c r="AQ212" s="96"/>
      <c r="AR212" s="96"/>
      <c r="AS212" s="96"/>
      <c r="AT212" s="96"/>
      <c r="AU212" s="96"/>
      <c r="AV212" s="64"/>
      <c r="AW212" s="97"/>
      <c r="AX212" s="97"/>
      <c r="AY212" s="101" t="str">
        <f>IF('BMP P Tracking Table'!$AK212="Yes",IF('BMP P Tracking Table'!$AL212="No",'BMP P Tracking Table'!$U212*VLOOKUP('BMP P Tracking Table'!$Q212,'Loading Rates'!$B$1:$L$24,4,FALSE)+IF('BMP P Tracking Table'!$V212="By HSG",'BMP P Tracking Table'!$W212*VLOOKUP('BMP P Tracking Table'!$Q212,'Loading Rates'!$B$1:$L$24,6,FALSE)+'BMP P Tracking Table'!$X212*VLOOKUP('BMP P Tracking Table'!$Q212,'Loading Rates'!$B$1:$L$24,7,FALSE)+'BMP P Tracking Table'!$Y212*VLOOKUP('BMP P Tracking Table'!$Q212,'Loading Rates'!$B$1:$L$24,8,FALSE)+'BMP P Tracking Table'!$Z212*VLOOKUP('BMP P Tracking Table'!$Q212,'Loading Rates'!$B$1:$L$24,9,FALSE),'BMP P Tracking Table'!$AA212*VLOOKUP('BMP P Tracking Table'!$Q212,'Loading Rates'!$B$1:$L$24,10,FALSE)),'BMP P Tracking Table'!$AO212*VLOOKUP('BMP P Tracking Table'!$Q212,'Loading Rates'!$B$1:$L$24,4,FALSE)+IF('BMP P Tracking Table'!$AP212="By HSG",'BMP P Tracking Table'!$AQ212*VLOOKUP('BMP P Tracking Table'!$Q212,'Loading Rates'!$B$1:$L$24,6,FALSE)+'BMP P Tracking Table'!$AR212*VLOOKUP('BMP P Tracking Table'!$Q212,'Loading Rates'!$B$1:$L$24,7,FALSE)+'BMP P Tracking Table'!$AS212*VLOOKUP('BMP P Tracking Table'!$Q212,'Loading Rates'!$B$1:$L$24,8,FALSE)+'BMP P Tracking Table'!$AT212*VLOOKUP('BMP P Tracking Table'!$Q212,'Loading Rates'!$B$1:$L$24,9,FALSE),'BMP P Tracking Table'!$AU212*VLOOKUP('BMP P Tracking Table'!$Q212,'Loading Rates'!$B$1:$L$24,10,FALSE))),"")</f>
        <v/>
      </c>
      <c r="AZ212" s="101" t="str">
        <f>IFERROR(IF('BMP P Tracking Table'!$AL212="Yes",MIN(2,IF('BMP P Tracking Table'!$AP212="Total Pervious",(-(3630*'BMP P Tracking Table'!$AO212+20.691*'BMP P Tracking Table'!$AU212)+SQRT((3630*'BMP P Tracking Table'!$AO212+20.691*'BMP P Tracking Table'!$AU212)^2-(4*(996.798*'BMP P Tracking Table'!$AU212)*-'BMP P Tracking Table'!$AW212)))/(2*(996.798*'BMP P Tracking Table'!$AU212)),IF(SUM('BMP P Tracking Table'!$AQ212:$AT212)=0,'BMP P Tracking Table'!$AU212/(-3630*'BMP P Tracking Table'!$AO212),(-(3630*'BMP P Tracking Table'!$AO212+20.691*'BMP P Tracking Table'!$AT212-216.711*'BMP P Tracking Table'!$AS212-83.853*'BMP P Tracking Table'!$AR212-42.834*'BMP P Tracking Table'!$AQ212)+SQRT((3630*'BMP P Tracking Table'!$AO212+20.691*'BMP P Tracking Table'!$AT212-216.711*'BMP P Tracking Table'!$AS212-83.853*'BMP P Tracking Table'!$AR212-42.834*'BMP P Tracking Table'!$AQ212)^2-(4*(149.919*'BMP P Tracking Table'!$AQ212+236.676*'BMP P Tracking Table'!$AR212+726*'BMP P Tracking Table'!$AS212+996.798*'BMP P Tracking Table'!$AT212)*-'BMP P Tracking Table'!$AW212)))/(2*(149.919*'BMP P Tracking Table'!$AQ212+236.676*'BMP P Tracking Table'!$AR212+726*'BMP P Tracking Table'!$AS212+996.798*'BMP P Tracking Table'!$AT212))))),MIN(2,IF('BMP P Tracking Table'!$AP212="Total Pervious",(-(3630*'BMP P Tracking Table'!$U212+20.691*'BMP P Tracking Table'!$AA212)+SQRT((3630*'BMP P Tracking Table'!$U212+20.691*'BMP P Tracking Table'!$AA212)^2-(4*(996.798*'BMP P Tracking Table'!$AA212)*-'BMP P Tracking Table'!$AW212)))/(2*(996.798*'BMP P Tracking Table'!$AA212)),IF(SUM('BMP P Tracking Table'!$W212:$Z212)=0,'BMP P Tracking Table'!$AW212/(-3630*'BMP P Tracking Table'!$U212),(-(3630*'BMP P Tracking Table'!$U212+20.691*'BMP P Tracking Table'!$Z212-216.711*'BMP P Tracking Table'!$Y212-83.853*'BMP P Tracking Table'!$X212-42.834*'BMP P Tracking Table'!$W212)+SQRT((3630*'BMP P Tracking Table'!$U212+20.691*'BMP P Tracking Table'!$Z212-216.711*'BMP P Tracking Table'!$Y212-83.853*'BMP P Tracking Table'!$X212-42.834*'BMP P Tracking Table'!$W212)^2-(4*(149.919*'BMP P Tracking Table'!$W212+236.676*'BMP P Tracking Table'!$X212+726*'BMP P Tracking Table'!$Y212+996.798*'BMP P Tracking Table'!$Z212)*-'BMP P Tracking Table'!$AW212)))/(2*(149.919*'BMP P Tracking Table'!$W212+236.676*'BMP P Tracking Table'!$X212+726*'BMP P Tracking Table'!$Y212+996.798*'BMP P Tracking Table'!$Z212)))))),"")</f>
        <v/>
      </c>
      <c r="BA212" s="101" t="str">
        <f>IFERROR((VLOOKUP(CONCATENATE('BMP P Tracking Table'!$AV212," ",'BMP P Tracking Table'!$AX212),'Performance Curves'!$C$1:$L$45,MATCH('BMP P Tracking Table'!$AZ212,'Performance Curves'!$E$1:$L$1,1)+2,FALSE)-VLOOKUP(CONCATENATE('BMP P Tracking Table'!$AV212," ",'BMP P Tracking Table'!$AX212),'Performance Curves'!$C$1:$L$45,MATCH('BMP P Tracking Table'!$AZ212,'Performance Curves'!$E$1:$L$1,1)+1,FALSE)),"")</f>
        <v/>
      </c>
      <c r="BB212" s="101" t="str">
        <f>IFERROR(('BMP P Tracking Table'!$AZ212-INDEX('Performance Curves'!$E$1:$L$1,1,MATCH('BMP P Tracking Table'!$AZ212,'Performance Curves'!$E$1:$L$1,1)))/(INDEX('Performance Curves'!$E$1:$L$1,1,MATCH('BMP P Tracking Table'!$AZ212,'Performance Curves'!$E$1:$L$1,1)+1)-INDEX('Performance Curves'!$E$1:$L$1,1,MATCH('BMP P Tracking Table'!$AZ212,'Performance Curves'!$E$1:$L$1,1))),"")</f>
        <v/>
      </c>
      <c r="BC212" s="102" t="str">
        <f>IFERROR(IF('BMP P Tracking Table'!$AZ212=2,VLOOKUP(CONCATENATE('BMP P Tracking Table'!$AV212," ",'BMP P Tracking Table'!$AX212),'Performance Curves'!$C$1:$L$44,MATCH('BMP P Tracking Table'!$AZ212,'Performance Curves'!$E$1:$L$1,1)+1,FALSE),'BMP P Tracking Table'!$BA212*'BMP P Tracking Table'!$BB212+VLOOKUP(CONCATENATE('BMP P Tracking Table'!$AV212," ",'BMP P Tracking Table'!$AX212),'Performance Curves'!$C$1:$L$44,MATCH('BMP P Tracking Table'!$AZ212,'Performance Curves'!$E$1:$L$1,1)+1,FALSE)),"")</f>
        <v/>
      </c>
      <c r="BD212" s="101" t="str">
        <f>IFERROR('BMP P Tracking Table'!$BC212*'BMP P Tracking Table'!$AY212,"")</f>
        <v/>
      </c>
      <c r="BE212" s="96"/>
      <c r="BF212" s="37">
        <f t="shared" si="17"/>
        <v>0</v>
      </c>
    </row>
    <row r="213" spans="1:58" x14ac:dyDescent="0.3">
      <c r="A213" s="64"/>
      <c r="B213" s="64"/>
      <c r="C213" s="64"/>
      <c r="D213" s="64"/>
      <c r="E213" s="93"/>
      <c r="F213" s="93"/>
      <c r="G213" s="64"/>
      <c r="H213" s="64"/>
      <c r="I213" s="64"/>
      <c r="J213" s="94"/>
      <c r="K213" s="64"/>
      <c r="L213" s="64"/>
      <c r="M213" s="64"/>
      <c r="N213" s="64"/>
      <c r="O213" s="64"/>
      <c r="P213" s="64"/>
      <c r="Q213" s="64" t="str">
        <f>IFERROR(VLOOKUP('BMP P Tracking Table'!$P213,Dropdowns!$C$2:$E$15,3,FALSE),"")</f>
        <v/>
      </c>
      <c r="R213" s="64" t="str">
        <f>IFERROR(VLOOKUP('BMP P Tracking Table'!$Q213,Dropdowns!$P$3:$Q$23,2,FALSE),"")</f>
        <v/>
      </c>
      <c r="S213" s="64"/>
      <c r="T213" s="64"/>
      <c r="U213" s="64"/>
      <c r="V213" s="64"/>
      <c r="W213" s="64"/>
      <c r="X213" s="64"/>
      <c r="Y213" s="64"/>
      <c r="Z213" s="64"/>
      <c r="AA213" s="64"/>
      <c r="AB213" s="95"/>
      <c r="AC213" s="64"/>
      <c r="AD213" s="101" t="str">
        <f>IFERROR('BMP P Tracking Table'!$U213*VLOOKUP('BMP P Tracking Table'!$Q213,'Loading Rates'!$B$1:$L$24,4,FALSE)+IF('BMP P Tracking Table'!$V213="By HSG",'BMP P Tracking Table'!$W213*VLOOKUP('BMP P Tracking Table'!$Q213,'Loading Rates'!$B$1:$L$24,6,FALSE)+'BMP P Tracking Table'!$X213*VLOOKUP('BMP P Tracking Table'!$Q213,'Loading Rates'!$B$1:$L$24,7,FALSE)+'BMP P Tracking Table'!$Y213*VLOOKUP('BMP P Tracking Table'!$Q213,'Loading Rates'!$B$1:$L$24,8,FALSE)+'BMP P Tracking Table'!$Z213*VLOOKUP('BMP P Tracking Table'!$Q213,'Loading Rates'!$B$1:$L$24,9,FALSE),'BMP P Tracking Table'!$AA213*VLOOKUP('BMP P Tracking Table'!$Q213,'Loading Rates'!$B$1:$L$24,10,FALSE)),"")</f>
        <v/>
      </c>
      <c r="AE213" s="101" t="str">
        <f>IFERROR(MIN(2,IF('BMP P Tracking Table'!$V213="Total Pervious",(-(3630*'BMP P Tracking Table'!$U213+20.691*'BMP P Tracking Table'!$AA213)+SQRT((3630*'BMP P Tracking Table'!$U213+20.691*'BMP P Tracking Table'!$AA213)^2-(4*(996.798*'BMP P Tracking Table'!$AA213)*-'BMP P Tracking Table'!$AB213)))/(2*(996.798*'BMP P Tracking Table'!$AA213)),IF(SUM('BMP P Tracking Table'!$W213:$Z213)=0,'BMP P Tracking Table'!$AB213/(-3630*'BMP P Tracking Table'!$U213),(-(3630*'BMP P Tracking Table'!$U213+20.691*'BMP P Tracking Table'!$Z213-216.711*'BMP P Tracking Table'!$Y213-83.853*'BMP P Tracking Table'!$X213-42.834*'BMP P Tracking Table'!$W213)+SQRT((3630*'BMP P Tracking Table'!$U213+20.691*'BMP P Tracking Table'!$Z213-216.711*'BMP P Tracking Table'!$Y213-83.853*'BMP P Tracking Table'!$X213-42.834*'BMP P Tracking Table'!$W213)^2-(4*(149.919*'BMP P Tracking Table'!$W213+236.676*'BMP P Tracking Table'!$X213+726*'BMP P Tracking Table'!$Y213+996.798*'BMP P Tracking Table'!$Z213)*-'BMP P Tracking Table'!$AB213)))/(2*(149.919*'BMP P Tracking Table'!$W213+236.676*'BMP P Tracking Table'!$X213+726*'BMP P Tracking Table'!$Y213+996.798*'BMP P Tracking Table'!$Z213))))),"")</f>
        <v/>
      </c>
      <c r="AF213" s="101" t="str">
        <f>IFERROR((VLOOKUP(CONCATENATE('BMP P Tracking Table'!$T213," ",'BMP P Tracking Table'!$AC213),'Performance Curves'!$C$1:$L$45,MATCH('BMP P Tracking Table'!$AE213,'Performance Curves'!$E$1:$L$1,1)+2,FALSE)-VLOOKUP(CONCATENATE('BMP P Tracking Table'!$T213," ",'BMP P Tracking Table'!$AC213),'Performance Curves'!$C$1:$L$45,MATCH('BMP P Tracking Table'!$AE213,'Performance Curves'!$E$1:$L$1,1)+1,FALSE)),"")</f>
        <v/>
      </c>
      <c r="AG213" s="101" t="str">
        <f>IFERROR(('BMP P Tracking Table'!$AE213-INDEX('Performance Curves'!$E$1:$L$1,1,MATCH('BMP P Tracking Table'!$AE213,'Performance Curves'!$E$1:$L$1,1)))/(INDEX('Performance Curves'!$E$1:$L$1,1,MATCH('BMP P Tracking Table'!$AE213,'Performance Curves'!$E$1:$L$1,1)+1)-INDEX('Performance Curves'!$E$1:$L$1,1,MATCH('BMP P Tracking Table'!$AE213,'Performance Curves'!$E$1:$L$1,1))),"")</f>
        <v/>
      </c>
      <c r="AH213" s="102" t="str">
        <f>IFERROR(IF('BMP P Tracking Table'!$AE213=2,VLOOKUP(CONCATENATE('BMP P Tracking Table'!$T213," ",'BMP P Tracking Table'!$AC213),'Performance Curves'!$C$1:$L$45,MATCH('BMP P Tracking Table'!$AE213,'Performance Curves'!$E$1:$L$1,1)+1,FALSE),'BMP P Tracking Table'!$AF213*'BMP P Tracking Table'!$AG213+VLOOKUP(CONCATENATE('BMP P Tracking Table'!$T213," ",'BMP P Tracking Table'!$AC213),'Performance Curves'!$C$1:$L$45,MATCH('BMP P Tracking Table'!$AE213,'Performance Curves'!$E$1:$L$1,1)+1,FALSE)),"")</f>
        <v/>
      </c>
      <c r="AI213" s="101" t="str">
        <f>IFERROR('BMP P Tracking Table'!$AH213*'BMP P Tracking Table'!$AD213,"")</f>
        <v/>
      </c>
      <c r="AJ213" s="64"/>
      <c r="AK213" s="96"/>
      <c r="AL213" s="96"/>
      <c r="AM213" s="63"/>
      <c r="AN213" s="99" t="str">
        <f t="shared" si="16"/>
        <v/>
      </c>
      <c r="AO213" s="96"/>
      <c r="AP213" s="96"/>
      <c r="AQ213" s="96"/>
      <c r="AR213" s="96"/>
      <c r="AS213" s="96"/>
      <c r="AT213" s="96"/>
      <c r="AU213" s="96"/>
      <c r="AV213" s="64"/>
      <c r="AW213" s="97"/>
      <c r="AX213" s="97"/>
      <c r="AY213" s="101" t="str">
        <f>IF('BMP P Tracking Table'!$AK213="Yes",IF('BMP P Tracking Table'!$AL213="No",'BMP P Tracking Table'!$U213*VLOOKUP('BMP P Tracking Table'!$Q213,'Loading Rates'!$B$1:$L$24,4,FALSE)+IF('BMP P Tracking Table'!$V213="By HSG",'BMP P Tracking Table'!$W213*VLOOKUP('BMP P Tracking Table'!$Q213,'Loading Rates'!$B$1:$L$24,6,FALSE)+'BMP P Tracking Table'!$X213*VLOOKUP('BMP P Tracking Table'!$Q213,'Loading Rates'!$B$1:$L$24,7,FALSE)+'BMP P Tracking Table'!$Y213*VLOOKUP('BMP P Tracking Table'!$Q213,'Loading Rates'!$B$1:$L$24,8,FALSE)+'BMP P Tracking Table'!$Z213*VLOOKUP('BMP P Tracking Table'!$Q213,'Loading Rates'!$B$1:$L$24,9,FALSE),'BMP P Tracking Table'!$AA213*VLOOKUP('BMP P Tracking Table'!$Q213,'Loading Rates'!$B$1:$L$24,10,FALSE)),'BMP P Tracking Table'!$AO213*VLOOKUP('BMP P Tracking Table'!$Q213,'Loading Rates'!$B$1:$L$24,4,FALSE)+IF('BMP P Tracking Table'!$AP213="By HSG",'BMP P Tracking Table'!$AQ213*VLOOKUP('BMP P Tracking Table'!$Q213,'Loading Rates'!$B$1:$L$24,6,FALSE)+'BMP P Tracking Table'!$AR213*VLOOKUP('BMP P Tracking Table'!$Q213,'Loading Rates'!$B$1:$L$24,7,FALSE)+'BMP P Tracking Table'!$AS213*VLOOKUP('BMP P Tracking Table'!$Q213,'Loading Rates'!$B$1:$L$24,8,FALSE)+'BMP P Tracking Table'!$AT213*VLOOKUP('BMP P Tracking Table'!$Q213,'Loading Rates'!$B$1:$L$24,9,FALSE),'BMP P Tracking Table'!$AU213*VLOOKUP('BMP P Tracking Table'!$Q213,'Loading Rates'!$B$1:$L$24,10,FALSE))),"")</f>
        <v/>
      </c>
      <c r="AZ213" s="101" t="str">
        <f>IFERROR(IF('BMP P Tracking Table'!$AL213="Yes",MIN(2,IF('BMP P Tracking Table'!$AP213="Total Pervious",(-(3630*'BMP P Tracking Table'!$AO213+20.691*'BMP P Tracking Table'!$AU213)+SQRT((3630*'BMP P Tracking Table'!$AO213+20.691*'BMP P Tracking Table'!$AU213)^2-(4*(996.798*'BMP P Tracking Table'!$AU213)*-'BMP P Tracking Table'!$AW213)))/(2*(996.798*'BMP P Tracking Table'!$AU213)),IF(SUM('BMP P Tracking Table'!$AQ213:$AT213)=0,'BMP P Tracking Table'!$AU213/(-3630*'BMP P Tracking Table'!$AO213),(-(3630*'BMP P Tracking Table'!$AO213+20.691*'BMP P Tracking Table'!$AT213-216.711*'BMP P Tracking Table'!$AS213-83.853*'BMP P Tracking Table'!$AR213-42.834*'BMP P Tracking Table'!$AQ213)+SQRT((3630*'BMP P Tracking Table'!$AO213+20.691*'BMP P Tracking Table'!$AT213-216.711*'BMP P Tracking Table'!$AS213-83.853*'BMP P Tracking Table'!$AR213-42.834*'BMP P Tracking Table'!$AQ213)^2-(4*(149.919*'BMP P Tracking Table'!$AQ213+236.676*'BMP P Tracking Table'!$AR213+726*'BMP P Tracking Table'!$AS213+996.798*'BMP P Tracking Table'!$AT213)*-'BMP P Tracking Table'!$AW213)))/(2*(149.919*'BMP P Tracking Table'!$AQ213+236.676*'BMP P Tracking Table'!$AR213+726*'BMP P Tracking Table'!$AS213+996.798*'BMP P Tracking Table'!$AT213))))),MIN(2,IF('BMP P Tracking Table'!$AP213="Total Pervious",(-(3630*'BMP P Tracking Table'!$U213+20.691*'BMP P Tracking Table'!$AA213)+SQRT((3630*'BMP P Tracking Table'!$U213+20.691*'BMP P Tracking Table'!$AA213)^2-(4*(996.798*'BMP P Tracking Table'!$AA213)*-'BMP P Tracking Table'!$AW213)))/(2*(996.798*'BMP P Tracking Table'!$AA213)),IF(SUM('BMP P Tracking Table'!$W213:$Z213)=0,'BMP P Tracking Table'!$AW213/(-3630*'BMP P Tracking Table'!$U213),(-(3630*'BMP P Tracking Table'!$U213+20.691*'BMP P Tracking Table'!$Z213-216.711*'BMP P Tracking Table'!$Y213-83.853*'BMP P Tracking Table'!$X213-42.834*'BMP P Tracking Table'!$W213)+SQRT((3630*'BMP P Tracking Table'!$U213+20.691*'BMP P Tracking Table'!$Z213-216.711*'BMP P Tracking Table'!$Y213-83.853*'BMP P Tracking Table'!$X213-42.834*'BMP P Tracking Table'!$W213)^2-(4*(149.919*'BMP P Tracking Table'!$W213+236.676*'BMP P Tracking Table'!$X213+726*'BMP P Tracking Table'!$Y213+996.798*'BMP P Tracking Table'!$Z213)*-'BMP P Tracking Table'!$AW213)))/(2*(149.919*'BMP P Tracking Table'!$W213+236.676*'BMP P Tracking Table'!$X213+726*'BMP P Tracking Table'!$Y213+996.798*'BMP P Tracking Table'!$Z213)))))),"")</f>
        <v/>
      </c>
      <c r="BA213" s="101" t="str">
        <f>IFERROR((VLOOKUP(CONCATENATE('BMP P Tracking Table'!$AV213," ",'BMP P Tracking Table'!$AX213),'Performance Curves'!$C$1:$L$45,MATCH('BMP P Tracking Table'!$AZ213,'Performance Curves'!$E$1:$L$1,1)+2,FALSE)-VLOOKUP(CONCATENATE('BMP P Tracking Table'!$AV213," ",'BMP P Tracking Table'!$AX213),'Performance Curves'!$C$1:$L$45,MATCH('BMP P Tracking Table'!$AZ213,'Performance Curves'!$E$1:$L$1,1)+1,FALSE)),"")</f>
        <v/>
      </c>
      <c r="BB213" s="101" t="str">
        <f>IFERROR(('BMP P Tracking Table'!$AZ213-INDEX('Performance Curves'!$E$1:$L$1,1,MATCH('BMP P Tracking Table'!$AZ213,'Performance Curves'!$E$1:$L$1,1)))/(INDEX('Performance Curves'!$E$1:$L$1,1,MATCH('BMP P Tracking Table'!$AZ213,'Performance Curves'!$E$1:$L$1,1)+1)-INDEX('Performance Curves'!$E$1:$L$1,1,MATCH('BMP P Tracking Table'!$AZ213,'Performance Curves'!$E$1:$L$1,1))),"")</f>
        <v/>
      </c>
      <c r="BC213" s="102" t="str">
        <f>IFERROR(IF('BMP P Tracking Table'!$AZ213=2,VLOOKUP(CONCATENATE('BMP P Tracking Table'!$AV213," ",'BMP P Tracking Table'!$AX213),'Performance Curves'!$C$1:$L$44,MATCH('BMP P Tracking Table'!$AZ213,'Performance Curves'!$E$1:$L$1,1)+1,FALSE),'BMP P Tracking Table'!$BA213*'BMP P Tracking Table'!$BB213+VLOOKUP(CONCATENATE('BMP P Tracking Table'!$AV213," ",'BMP P Tracking Table'!$AX213),'Performance Curves'!$C$1:$L$44,MATCH('BMP P Tracking Table'!$AZ213,'Performance Curves'!$E$1:$L$1,1)+1,FALSE)),"")</f>
        <v/>
      </c>
      <c r="BD213" s="101" t="str">
        <f>IFERROR('BMP P Tracking Table'!$BC213*'BMP P Tracking Table'!$AY213,"")</f>
        <v/>
      </c>
      <c r="BE213" s="96"/>
      <c r="BF213" s="37">
        <f t="shared" si="17"/>
        <v>0</v>
      </c>
    </row>
    <row r="214" spans="1:58" x14ac:dyDescent="0.3">
      <c r="A214" s="64"/>
      <c r="B214" s="64"/>
      <c r="C214" s="64"/>
      <c r="D214" s="64"/>
      <c r="E214" s="93"/>
      <c r="F214" s="93"/>
      <c r="G214" s="64"/>
      <c r="H214" s="64"/>
      <c r="I214" s="64"/>
      <c r="J214" s="94"/>
      <c r="K214" s="64"/>
      <c r="L214" s="64"/>
      <c r="M214" s="64"/>
      <c r="N214" s="64"/>
      <c r="O214" s="64"/>
      <c r="P214" s="64"/>
      <c r="Q214" s="64" t="str">
        <f>IFERROR(VLOOKUP('BMP P Tracking Table'!$P214,Dropdowns!$C$2:$E$15,3,FALSE),"")</f>
        <v/>
      </c>
      <c r="R214" s="64" t="str">
        <f>IFERROR(VLOOKUP('BMP P Tracking Table'!$Q214,Dropdowns!$P$3:$Q$23,2,FALSE),"")</f>
        <v/>
      </c>
      <c r="S214" s="64"/>
      <c r="T214" s="64"/>
      <c r="U214" s="64"/>
      <c r="V214" s="64"/>
      <c r="W214" s="64"/>
      <c r="X214" s="64"/>
      <c r="Y214" s="64"/>
      <c r="Z214" s="64"/>
      <c r="AA214" s="64"/>
      <c r="AB214" s="95"/>
      <c r="AC214" s="64"/>
      <c r="AD214" s="101" t="str">
        <f>IFERROR('BMP P Tracking Table'!$U214*VLOOKUP('BMP P Tracking Table'!$Q214,'Loading Rates'!$B$1:$L$24,4,FALSE)+IF('BMP P Tracking Table'!$V214="By HSG",'BMP P Tracking Table'!$W214*VLOOKUP('BMP P Tracking Table'!$Q214,'Loading Rates'!$B$1:$L$24,6,FALSE)+'BMP P Tracking Table'!$X214*VLOOKUP('BMP P Tracking Table'!$Q214,'Loading Rates'!$B$1:$L$24,7,FALSE)+'BMP P Tracking Table'!$Y214*VLOOKUP('BMP P Tracking Table'!$Q214,'Loading Rates'!$B$1:$L$24,8,FALSE)+'BMP P Tracking Table'!$Z214*VLOOKUP('BMP P Tracking Table'!$Q214,'Loading Rates'!$B$1:$L$24,9,FALSE),'BMP P Tracking Table'!$AA214*VLOOKUP('BMP P Tracking Table'!$Q214,'Loading Rates'!$B$1:$L$24,10,FALSE)),"")</f>
        <v/>
      </c>
      <c r="AE214" s="101" t="str">
        <f>IFERROR(MIN(2,IF('BMP P Tracking Table'!$V214="Total Pervious",(-(3630*'BMP P Tracking Table'!$U214+20.691*'BMP P Tracking Table'!$AA214)+SQRT((3630*'BMP P Tracking Table'!$U214+20.691*'BMP P Tracking Table'!$AA214)^2-(4*(996.798*'BMP P Tracking Table'!$AA214)*-'BMP P Tracking Table'!$AB214)))/(2*(996.798*'BMP P Tracking Table'!$AA214)),IF(SUM('BMP P Tracking Table'!$W214:$Z214)=0,'BMP P Tracking Table'!$AB214/(-3630*'BMP P Tracking Table'!$U214),(-(3630*'BMP P Tracking Table'!$U214+20.691*'BMP P Tracking Table'!$Z214-216.711*'BMP P Tracking Table'!$Y214-83.853*'BMP P Tracking Table'!$X214-42.834*'BMP P Tracking Table'!$W214)+SQRT((3630*'BMP P Tracking Table'!$U214+20.691*'BMP P Tracking Table'!$Z214-216.711*'BMP P Tracking Table'!$Y214-83.853*'BMP P Tracking Table'!$X214-42.834*'BMP P Tracking Table'!$W214)^2-(4*(149.919*'BMP P Tracking Table'!$W214+236.676*'BMP P Tracking Table'!$X214+726*'BMP P Tracking Table'!$Y214+996.798*'BMP P Tracking Table'!$Z214)*-'BMP P Tracking Table'!$AB214)))/(2*(149.919*'BMP P Tracking Table'!$W214+236.676*'BMP P Tracking Table'!$X214+726*'BMP P Tracking Table'!$Y214+996.798*'BMP P Tracking Table'!$Z214))))),"")</f>
        <v/>
      </c>
      <c r="AF214" s="101" t="str">
        <f>IFERROR((VLOOKUP(CONCATENATE('BMP P Tracking Table'!$T214," ",'BMP P Tracking Table'!$AC214),'Performance Curves'!$C$1:$L$45,MATCH('BMP P Tracking Table'!$AE214,'Performance Curves'!$E$1:$L$1,1)+2,FALSE)-VLOOKUP(CONCATENATE('BMP P Tracking Table'!$T214," ",'BMP P Tracking Table'!$AC214),'Performance Curves'!$C$1:$L$45,MATCH('BMP P Tracking Table'!$AE214,'Performance Curves'!$E$1:$L$1,1)+1,FALSE)),"")</f>
        <v/>
      </c>
      <c r="AG214" s="101" t="str">
        <f>IFERROR(('BMP P Tracking Table'!$AE214-INDEX('Performance Curves'!$E$1:$L$1,1,MATCH('BMP P Tracking Table'!$AE214,'Performance Curves'!$E$1:$L$1,1)))/(INDEX('Performance Curves'!$E$1:$L$1,1,MATCH('BMP P Tracking Table'!$AE214,'Performance Curves'!$E$1:$L$1,1)+1)-INDEX('Performance Curves'!$E$1:$L$1,1,MATCH('BMP P Tracking Table'!$AE214,'Performance Curves'!$E$1:$L$1,1))),"")</f>
        <v/>
      </c>
      <c r="AH214" s="102" t="str">
        <f>IFERROR(IF('BMP P Tracking Table'!$AE214=2,VLOOKUP(CONCATENATE('BMP P Tracking Table'!$T214," ",'BMP P Tracking Table'!$AC214),'Performance Curves'!$C$1:$L$45,MATCH('BMP P Tracking Table'!$AE214,'Performance Curves'!$E$1:$L$1,1)+1,FALSE),'BMP P Tracking Table'!$AF214*'BMP P Tracking Table'!$AG214+VLOOKUP(CONCATENATE('BMP P Tracking Table'!$T214," ",'BMP P Tracking Table'!$AC214),'Performance Curves'!$C$1:$L$45,MATCH('BMP P Tracking Table'!$AE214,'Performance Curves'!$E$1:$L$1,1)+1,FALSE)),"")</f>
        <v/>
      </c>
      <c r="AI214" s="101" t="str">
        <f>IFERROR('BMP P Tracking Table'!$AH214*'BMP P Tracking Table'!$AD214,"")</f>
        <v/>
      </c>
      <c r="AJ214" s="64"/>
      <c r="AK214" s="96"/>
      <c r="AL214" s="96"/>
      <c r="AM214" s="63"/>
      <c r="AN214" s="99" t="str">
        <f t="shared" si="16"/>
        <v/>
      </c>
      <c r="AO214" s="96"/>
      <c r="AP214" s="96"/>
      <c r="AQ214" s="96"/>
      <c r="AR214" s="96"/>
      <c r="AS214" s="96"/>
      <c r="AT214" s="96"/>
      <c r="AU214" s="96"/>
      <c r="AV214" s="64"/>
      <c r="AW214" s="97"/>
      <c r="AX214" s="97"/>
      <c r="AY214" s="101" t="str">
        <f>IF('BMP P Tracking Table'!$AK214="Yes",IF('BMP P Tracking Table'!$AL214="No",'BMP P Tracking Table'!$U214*VLOOKUP('BMP P Tracking Table'!$Q214,'Loading Rates'!$B$1:$L$24,4,FALSE)+IF('BMP P Tracking Table'!$V214="By HSG",'BMP P Tracking Table'!$W214*VLOOKUP('BMP P Tracking Table'!$Q214,'Loading Rates'!$B$1:$L$24,6,FALSE)+'BMP P Tracking Table'!$X214*VLOOKUP('BMP P Tracking Table'!$Q214,'Loading Rates'!$B$1:$L$24,7,FALSE)+'BMP P Tracking Table'!$Y214*VLOOKUP('BMP P Tracking Table'!$Q214,'Loading Rates'!$B$1:$L$24,8,FALSE)+'BMP P Tracking Table'!$Z214*VLOOKUP('BMP P Tracking Table'!$Q214,'Loading Rates'!$B$1:$L$24,9,FALSE),'BMP P Tracking Table'!$AA214*VLOOKUP('BMP P Tracking Table'!$Q214,'Loading Rates'!$B$1:$L$24,10,FALSE)),'BMP P Tracking Table'!$AO214*VLOOKUP('BMP P Tracking Table'!$Q214,'Loading Rates'!$B$1:$L$24,4,FALSE)+IF('BMP P Tracking Table'!$AP214="By HSG",'BMP P Tracking Table'!$AQ214*VLOOKUP('BMP P Tracking Table'!$Q214,'Loading Rates'!$B$1:$L$24,6,FALSE)+'BMP P Tracking Table'!$AR214*VLOOKUP('BMP P Tracking Table'!$Q214,'Loading Rates'!$B$1:$L$24,7,FALSE)+'BMP P Tracking Table'!$AS214*VLOOKUP('BMP P Tracking Table'!$Q214,'Loading Rates'!$B$1:$L$24,8,FALSE)+'BMP P Tracking Table'!$AT214*VLOOKUP('BMP P Tracking Table'!$Q214,'Loading Rates'!$B$1:$L$24,9,FALSE),'BMP P Tracking Table'!$AU214*VLOOKUP('BMP P Tracking Table'!$Q214,'Loading Rates'!$B$1:$L$24,10,FALSE))),"")</f>
        <v/>
      </c>
      <c r="AZ214" s="101" t="str">
        <f>IFERROR(IF('BMP P Tracking Table'!$AL214="Yes",MIN(2,IF('BMP P Tracking Table'!$AP214="Total Pervious",(-(3630*'BMP P Tracking Table'!$AO214+20.691*'BMP P Tracking Table'!$AU214)+SQRT((3630*'BMP P Tracking Table'!$AO214+20.691*'BMP P Tracking Table'!$AU214)^2-(4*(996.798*'BMP P Tracking Table'!$AU214)*-'BMP P Tracking Table'!$AW214)))/(2*(996.798*'BMP P Tracking Table'!$AU214)),IF(SUM('BMP P Tracking Table'!$AQ214:$AT214)=0,'BMP P Tracking Table'!$AU214/(-3630*'BMP P Tracking Table'!$AO214),(-(3630*'BMP P Tracking Table'!$AO214+20.691*'BMP P Tracking Table'!$AT214-216.711*'BMP P Tracking Table'!$AS214-83.853*'BMP P Tracking Table'!$AR214-42.834*'BMP P Tracking Table'!$AQ214)+SQRT((3630*'BMP P Tracking Table'!$AO214+20.691*'BMP P Tracking Table'!$AT214-216.711*'BMP P Tracking Table'!$AS214-83.853*'BMP P Tracking Table'!$AR214-42.834*'BMP P Tracking Table'!$AQ214)^2-(4*(149.919*'BMP P Tracking Table'!$AQ214+236.676*'BMP P Tracking Table'!$AR214+726*'BMP P Tracking Table'!$AS214+996.798*'BMP P Tracking Table'!$AT214)*-'BMP P Tracking Table'!$AW214)))/(2*(149.919*'BMP P Tracking Table'!$AQ214+236.676*'BMP P Tracking Table'!$AR214+726*'BMP P Tracking Table'!$AS214+996.798*'BMP P Tracking Table'!$AT214))))),MIN(2,IF('BMP P Tracking Table'!$AP214="Total Pervious",(-(3630*'BMP P Tracking Table'!$U214+20.691*'BMP P Tracking Table'!$AA214)+SQRT((3630*'BMP P Tracking Table'!$U214+20.691*'BMP P Tracking Table'!$AA214)^2-(4*(996.798*'BMP P Tracking Table'!$AA214)*-'BMP P Tracking Table'!$AW214)))/(2*(996.798*'BMP P Tracking Table'!$AA214)),IF(SUM('BMP P Tracking Table'!$W214:$Z214)=0,'BMP P Tracking Table'!$AW214/(-3630*'BMP P Tracking Table'!$U214),(-(3630*'BMP P Tracking Table'!$U214+20.691*'BMP P Tracking Table'!$Z214-216.711*'BMP P Tracking Table'!$Y214-83.853*'BMP P Tracking Table'!$X214-42.834*'BMP P Tracking Table'!$W214)+SQRT((3630*'BMP P Tracking Table'!$U214+20.691*'BMP P Tracking Table'!$Z214-216.711*'BMP P Tracking Table'!$Y214-83.853*'BMP P Tracking Table'!$X214-42.834*'BMP P Tracking Table'!$W214)^2-(4*(149.919*'BMP P Tracking Table'!$W214+236.676*'BMP P Tracking Table'!$X214+726*'BMP P Tracking Table'!$Y214+996.798*'BMP P Tracking Table'!$Z214)*-'BMP P Tracking Table'!$AW214)))/(2*(149.919*'BMP P Tracking Table'!$W214+236.676*'BMP P Tracking Table'!$X214+726*'BMP P Tracking Table'!$Y214+996.798*'BMP P Tracking Table'!$Z214)))))),"")</f>
        <v/>
      </c>
      <c r="BA214" s="101" t="str">
        <f>IFERROR((VLOOKUP(CONCATENATE('BMP P Tracking Table'!$AV214," ",'BMP P Tracking Table'!$AX214),'Performance Curves'!$C$1:$L$45,MATCH('BMP P Tracking Table'!$AZ214,'Performance Curves'!$E$1:$L$1,1)+2,FALSE)-VLOOKUP(CONCATENATE('BMP P Tracking Table'!$AV214," ",'BMP P Tracking Table'!$AX214),'Performance Curves'!$C$1:$L$45,MATCH('BMP P Tracking Table'!$AZ214,'Performance Curves'!$E$1:$L$1,1)+1,FALSE)),"")</f>
        <v/>
      </c>
      <c r="BB214" s="101" t="str">
        <f>IFERROR(('BMP P Tracking Table'!$AZ214-INDEX('Performance Curves'!$E$1:$L$1,1,MATCH('BMP P Tracking Table'!$AZ214,'Performance Curves'!$E$1:$L$1,1)))/(INDEX('Performance Curves'!$E$1:$L$1,1,MATCH('BMP P Tracking Table'!$AZ214,'Performance Curves'!$E$1:$L$1,1)+1)-INDEX('Performance Curves'!$E$1:$L$1,1,MATCH('BMP P Tracking Table'!$AZ214,'Performance Curves'!$E$1:$L$1,1))),"")</f>
        <v/>
      </c>
      <c r="BC214" s="102" t="str">
        <f>IFERROR(IF('BMP P Tracking Table'!$AZ214=2,VLOOKUP(CONCATENATE('BMP P Tracking Table'!$AV214," ",'BMP P Tracking Table'!$AX214),'Performance Curves'!$C$1:$L$44,MATCH('BMP P Tracking Table'!$AZ214,'Performance Curves'!$E$1:$L$1,1)+1,FALSE),'BMP P Tracking Table'!$BA214*'BMP P Tracking Table'!$BB214+VLOOKUP(CONCATENATE('BMP P Tracking Table'!$AV214," ",'BMP P Tracking Table'!$AX214),'Performance Curves'!$C$1:$L$44,MATCH('BMP P Tracking Table'!$AZ214,'Performance Curves'!$E$1:$L$1,1)+1,FALSE)),"")</f>
        <v/>
      </c>
      <c r="BD214" s="101" t="str">
        <f>IFERROR('BMP P Tracking Table'!$BC214*'BMP P Tracking Table'!$AY214,"")</f>
        <v/>
      </c>
      <c r="BE214" s="96"/>
      <c r="BF214" s="37">
        <f t="shared" si="17"/>
        <v>0</v>
      </c>
    </row>
    <row r="215" spans="1:58" x14ac:dyDescent="0.3">
      <c r="A215" s="64"/>
      <c r="B215" s="64"/>
      <c r="C215" s="64"/>
      <c r="D215" s="64"/>
      <c r="E215" s="93"/>
      <c r="F215" s="93"/>
      <c r="G215" s="64"/>
      <c r="H215" s="64"/>
      <c r="I215" s="64"/>
      <c r="J215" s="94"/>
      <c r="K215" s="64"/>
      <c r="L215" s="64"/>
      <c r="M215" s="64"/>
      <c r="N215" s="64"/>
      <c r="O215" s="64"/>
      <c r="P215" s="64"/>
      <c r="Q215" s="64" t="str">
        <f>IFERROR(VLOOKUP('BMP P Tracking Table'!$P215,Dropdowns!$C$2:$E$15,3,FALSE),"")</f>
        <v/>
      </c>
      <c r="R215" s="64" t="str">
        <f>IFERROR(VLOOKUP('BMP P Tracking Table'!$Q215,Dropdowns!$P$3:$Q$23,2,FALSE),"")</f>
        <v/>
      </c>
      <c r="S215" s="64"/>
      <c r="T215" s="64"/>
      <c r="U215" s="64"/>
      <c r="V215" s="64"/>
      <c r="W215" s="64"/>
      <c r="X215" s="64"/>
      <c r="Y215" s="64"/>
      <c r="Z215" s="64"/>
      <c r="AA215" s="64"/>
      <c r="AB215" s="95"/>
      <c r="AC215" s="64"/>
      <c r="AD215" s="101" t="str">
        <f>IFERROR('BMP P Tracking Table'!$U215*VLOOKUP('BMP P Tracking Table'!$Q215,'Loading Rates'!$B$1:$L$24,4,FALSE)+IF('BMP P Tracking Table'!$V215="By HSG",'BMP P Tracking Table'!$W215*VLOOKUP('BMP P Tracking Table'!$Q215,'Loading Rates'!$B$1:$L$24,6,FALSE)+'BMP P Tracking Table'!$X215*VLOOKUP('BMP P Tracking Table'!$Q215,'Loading Rates'!$B$1:$L$24,7,FALSE)+'BMP P Tracking Table'!$Y215*VLOOKUP('BMP P Tracking Table'!$Q215,'Loading Rates'!$B$1:$L$24,8,FALSE)+'BMP P Tracking Table'!$Z215*VLOOKUP('BMP P Tracking Table'!$Q215,'Loading Rates'!$B$1:$L$24,9,FALSE),'BMP P Tracking Table'!$AA215*VLOOKUP('BMP P Tracking Table'!$Q215,'Loading Rates'!$B$1:$L$24,10,FALSE)),"")</f>
        <v/>
      </c>
      <c r="AE215" s="101" t="str">
        <f>IFERROR(MIN(2,IF('BMP P Tracking Table'!$V215="Total Pervious",(-(3630*'BMP P Tracking Table'!$U215+20.691*'BMP P Tracking Table'!$AA215)+SQRT((3630*'BMP P Tracking Table'!$U215+20.691*'BMP P Tracking Table'!$AA215)^2-(4*(996.798*'BMP P Tracking Table'!$AA215)*-'BMP P Tracking Table'!$AB215)))/(2*(996.798*'BMP P Tracking Table'!$AA215)),IF(SUM('BMP P Tracking Table'!$W215:$Z215)=0,'BMP P Tracking Table'!$AB215/(-3630*'BMP P Tracking Table'!$U215),(-(3630*'BMP P Tracking Table'!$U215+20.691*'BMP P Tracking Table'!$Z215-216.711*'BMP P Tracking Table'!$Y215-83.853*'BMP P Tracking Table'!$X215-42.834*'BMP P Tracking Table'!$W215)+SQRT((3630*'BMP P Tracking Table'!$U215+20.691*'BMP P Tracking Table'!$Z215-216.711*'BMP P Tracking Table'!$Y215-83.853*'BMP P Tracking Table'!$X215-42.834*'BMP P Tracking Table'!$W215)^2-(4*(149.919*'BMP P Tracking Table'!$W215+236.676*'BMP P Tracking Table'!$X215+726*'BMP P Tracking Table'!$Y215+996.798*'BMP P Tracking Table'!$Z215)*-'BMP P Tracking Table'!$AB215)))/(2*(149.919*'BMP P Tracking Table'!$W215+236.676*'BMP P Tracking Table'!$X215+726*'BMP P Tracking Table'!$Y215+996.798*'BMP P Tracking Table'!$Z215))))),"")</f>
        <v/>
      </c>
      <c r="AF215" s="101" t="str">
        <f>IFERROR((VLOOKUP(CONCATENATE('BMP P Tracking Table'!$T215," ",'BMP P Tracking Table'!$AC215),'Performance Curves'!$C$1:$L$45,MATCH('BMP P Tracking Table'!$AE215,'Performance Curves'!$E$1:$L$1,1)+2,FALSE)-VLOOKUP(CONCATENATE('BMP P Tracking Table'!$T215," ",'BMP P Tracking Table'!$AC215),'Performance Curves'!$C$1:$L$45,MATCH('BMP P Tracking Table'!$AE215,'Performance Curves'!$E$1:$L$1,1)+1,FALSE)),"")</f>
        <v/>
      </c>
      <c r="AG215" s="101" t="str">
        <f>IFERROR(('BMP P Tracking Table'!$AE215-INDEX('Performance Curves'!$E$1:$L$1,1,MATCH('BMP P Tracking Table'!$AE215,'Performance Curves'!$E$1:$L$1,1)))/(INDEX('Performance Curves'!$E$1:$L$1,1,MATCH('BMP P Tracking Table'!$AE215,'Performance Curves'!$E$1:$L$1,1)+1)-INDEX('Performance Curves'!$E$1:$L$1,1,MATCH('BMP P Tracking Table'!$AE215,'Performance Curves'!$E$1:$L$1,1))),"")</f>
        <v/>
      </c>
      <c r="AH215" s="102" t="str">
        <f>IFERROR(IF('BMP P Tracking Table'!$AE215=2,VLOOKUP(CONCATENATE('BMP P Tracking Table'!$T215," ",'BMP P Tracking Table'!$AC215),'Performance Curves'!$C$1:$L$45,MATCH('BMP P Tracking Table'!$AE215,'Performance Curves'!$E$1:$L$1,1)+1,FALSE),'BMP P Tracking Table'!$AF215*'BMP P Tracking Table'!$AG215+VLOOKUP(CONCATENATE('BMP P Tracking Table'!$T215," ",'BMP P Tracking Table'!$AC215),'Performance Curves'!$C$1:$L$45,MATCH('BMP P Tracking Table'!$AE215,'Performance Curves'!$E$1:$L$1,1)+1,FALSE)),"")</f>
        <v/>
      </c>
      <c r="AI215" s="101" t="str">
        <f>IFERROR('BMP P Tracking Table'!$AH215*'BMP P Tracking Table'!$AD215,"")</f>
        <v/>
      </c>
      <c r="AJ215" s="64"/>
      <c r="AK215" s="96"/>
      <c r="AL215" s="96"/>
      <c r="AM215" s="63"/>
      <c r="AN215" s="99" t="str">
        <f t="shared" si="16"/>
        <v/>
      </c>
      <c r="AO215" s="96"/>
      <c r="AP215" s="96"/>
      <c r="AQ215" s="96"/>
      <c r="AR215" s="96"/>
      <c r="AS215" s="96"/>
      <c r="AT215" s="96"/>
      <c r="AU215" s="96"/>
      <c r="AV215" s="64"/>
      <c r="AW215" s="97"/>
      <c r="AX215" s="97"/>
      <c r="AY215" s="101" t="str">
        <f>IF('BMP P Tracking Table'!$AK215="Yes",IF('BMP P Tracking Table'!$AL215="No",'BMP P Tracking Table'!$U215*VLOOKUP('BMP P Tracking Table'!$Q215,'Loading Rates'!$B$1:$L$24,4,FALSE)+IF('BMP P Tracking Table'!$V215="By HSG",'BMP P Tracking Table'!$W215*VLOOKUP('BMP P Tracking Table'!$Q215,'Loading Rates'!$B$1:$L$24,6,FALSE)+'BMP P Tracking Table'!$X215*VLOOKUP('BMP P Tracking Table'!$Q215,'Loading Rates'!$B$1:$L$24,7,FALSE)+'BMP P Tracking Table'!$Y215*VLOOKUP('BMP P Tracking Table'!$Q215,'Loading Rates'!$B$1:$L$24,8,FALSE)+'BMP P Tracking Table'!$Z215*VLOOKUP('BMP P Tracking Table'!$Q215,'Loading Rates'!$B$1:$L$24,9,FALSE),'BMP P Tracking Table'!$AA215*VLOOKUP('BMP P Tracking Table'!$Q215,'Loading Rates'!$B$1:$L$24,10,FALSE)),'BMP P Tracking Table'!$AO215*VLOOKUP('BMP P Tracking Table'!$Q215,'Loading Rates'!$B$1:$L$24,4,FALSE)+IF('BMP P Tracking Table'!$AP215="By HSG",'BMP P Tracking Table'!$AQ215*VLOOKUP('BMP P Tracking Table'!$Q215,'Loading Rates'!$B$1:$L$24,6,FALSE)+'BMP P Tracking Table'!$AR215*VLOOKUP('BMP P Tracking Table'!$Q215,'Loading Rates'!$B$1:$L$24,7,FALSE)+'BMP P Tracking Table'!$AS215*VLOOKUP('BMP P Tracking Table'!$Q215,'Loading Rates'!$B$1:$L$24,8,FALSE)+'BMP P Tracking Table'!$AT215*VLOOKUP('BMP P Tracking Table'!$Q215,'Loading Rates'!$B$1:$L$24,9,FALSE),'BMP P Tracking Table'!$AU215*VLOOKUP('BMP P Tracking Table'!$Q215,'Loading Rates'!$B$1:$L$24,10,FALSE))),"")</f>
        <v/>
      </c>
      <c r="AZ215" s="101" t="str">
        <f>IFERROR(IF('BMP P Tracking Table'!$AL215="Yes",MIN(2,IF('BMP P Tracking Table'!$AP215="Total Pervious",(-(3630*'BMP P Tracking Table'!$AO215+20.691*'BMP P Tracking Table'!$AU215)+SQRT((3630*'BMP P Tracking Table'!$AO215+20.691*'BMP P Tracking Table'!$AU215)^2-(4*(996.798*'BMP P Tracking Table'!$AU215)*-'BMP P Tracking Table'!$AW215)))/(2*(996.798*'BMP P Tracking Table'!$AU215)),IF(SUM('BMP P Tracking Table'!$AQ215:$AT215)=0,'BMP P Tracking Table'!$AU215/(-3630*'BMP P Tracking Table'!$AO215),(-(3630*'BMP P Tracking Table'!$AO215+20.691*'BMP P Tracking Table'!$AT215-216.711*'BMP P Tracking Table'!$AS215-83.853*'BMP P Tracking Table'!$AR215-42.834*'BMP P Tracking Table'!$AQ215)+SQRT((3630*'BMP P Tracking Table'!$AO215+20.691*'BMP P Tracking Table'!$AT215-216.711*'BMP P Tracking Table'!$AS215-83.853*'BMP P Tracking Table'!$AR215-42.834*'BMP P Tracking Table'!$AQ215)^2-(4*(149.919*'BMP P Tracking Table'!$AQ215+236.676*'BMP P Tracking Table'!$AR215+726*'BMP P Tracking Table'!$AS215+996.798*'BMP P Tracking Table'!$AT215)*-'BMP P Tracking Table'!$AW215)))/(2*(149.919*'BMP P Tracking Table'!$AQ215+236.676*'BMP P Tracking Table'!$AR215+726*'BMP P Tracking Table'!$AS215+996.798*'BMP P Tracking Table'!$AT215))))),MIN(2,IF('BMP P Tracking Table'!$AP215="Total Pervious",(-(3630*'BMP P Tracking Table'!$U215+20.691*'BMP P Tracking Table'!$AA215)+SQRT((3630*'BMP P Tracking Table'!$U215+20.691*'BMP P Tracking Table'!$AA215)^2-(4*(996.798*'BMP P Tracking Table'!$AA215)*-'BMP P Tracking Table'!$AW215)))/(2*(996.798*'BMP P Tracking Table'!$AA215)),IF(SUM('BMP P Tracking Table'!$W215:$Z215)=0,'BMP P Tracking Table'!$AW215/(-3630*'BMP P Tracking Table'!$U215),(-(3630*'BMP P Tracking Table'!$U215+20.691*'BMP P Tracking Table'!$Z215-216.711*'BMP P Tracking Table'!$Y215-83.853*'BMP P Tracking Table'!$X215-42.834*'BMP P Tracking Table'!$W215)+SQRT((3630*'BMP P Tracking Table'!$U215+20.691*'BMP P Tracking Table'!$Z215-216.711*'BMP P Tracking Table'!$Y215-83.853*'BMP P Tracking Table'!$X215-42.834*'BMP P Tracking Table'!$W215)^2-(4*(149.919*'BMP P Tracking Table'!$W215+236.676*'BMP P Tracking Table'!$X215+726*'BMP P Tracking Table'!$Y215+996.798*'BMP P Tracking Table'!$Z215)*-'BMP P Tracking Table'!$AW215)))/(2*(149.919*'BMP P Tracking Table'!$W215+236.676*'BMP P Tracking Table'!$X215+726*'BMP P Tracking Table'!$Y215+996.798*'BMP P Tracking Table'!$Z215)))))),"")</f>
        <v/>
      </c>
      <c r="BA215" s="101" t="str">
        <f>IFERROR((VLOOKUP(CONCATENATE('BMP P Tracking Table'!$AV215," ",'BMP P Tracking Table'!$AX215),'Performance Curves'!$C$1:$L$45,MATCH('BMP P Tracking Table'!$AZ215,'Performance Curves'!$E$1:$L$1,1)+2,FALSE)-VLOOKUP(CONCATENATE('BMP P Tracking Table'!$AV215," ",'BMP P Tracking Table'!$AX215),'Performance Curves'!$C$1:$L$45,MATCH('BMP P Tracking Table'!$AZ215,'Performance Curves'!$E$1:$L$1,1)+1,FALSE)),"")</f>
        <v/>
      </c>
      <c r="BB215" s="101" t="str">
        <f>IFERROR(('BMP P Tracking Table'!$AZ215-INDEX('Performance Curves'!$E$1:$L$1,1,MATCH('BMP P Tracking Table'!$AZ215,'Performance Curves'!$E$1:$L$1,1)))/(INDEX('Performance Curves'!$E$1:$L$1,1,MATCH('BMP P Tracking Table'!$AZ215,'Performance Curves'!$E$1:$L$1,1)+1)-INDEX('Performance Curves'!$E$1:$L$1,1,MATCH('BMP P Tracking Table'!$AZ215,'Performance Curves'!$E$1:$L$1,1))),"")</f>
        <v/>
      </c>
      <c r="BC215" s="102" t="str">
        <f>IFERROR(IF('BMP P Tracking Table'!$AZ215=2,VLOOKUP(CONCATENATE('BMP P Tracking Table'!$AV215," ",'BMP P Tracking Table'!$AX215),'Performance Curves'!$C$1:$L$44,MATCH('BMP P Tracking Table'!$AZ215,'Performance Curves'!$E$1:$L$1,1)+1,FALSE),'BMP P Tracking Table'!$BA215*'BMP P Tracking Table'!$BB215+VLOOKUP(CONCATENATE('BMP P Tracking Table'!$AV215," ",'BMP P Tracking Table'!$AX215),'Performance Curves'!$C$1:$L$44,MATCH('BMP P Tracking Table'!$AZ215,'Performance Curves'!$E$1:$L$1,1)+1,FALSE)),"")</f>
        <v/>
      </c>
      <c r="BD215" s="101" t="str">
        <f>IFERROR('BMP P Tracking Table'!$BC215*'BMP P Tracking Table'!$AY215,"")</f>
        <v/>
      </c>
      <c r="BE215" s="96"/>
      <c r="BF215" s="37">
        <f t="shared" si="17"/>
        <v>0</v>
      </c>
    </row>
    <row r="216" spans="1:58" x14ac:dyDescent="0.3">
      <c r="A216" s="64"/>
      <c r="B216" s="64"/>
      <c r="C216" s="64"/>
      <c r="D216" s="64"/>
      <c r="E216" s="93"/>
      <c r="F216" s="93"/>
      <c r="G216" s="64"/>
      <c r="H216" s="64"/>
      <c r="I216" s="64"/>
      <c r="J216" s="94"/>
      <c r="K216" s="64"/>
      <c r="L216" s="64"/>
      <c r="M216" s="64"/>
      <c r="N216" s="64"/>
      <c r="O216" s="64"/>
      <c r="P216" s="64"/>
      <c r="Q216" s="64" t="str">
        <f>IFERROR(VLOOKUP('BMP P Tracking Table'!$P216,Dropdowns!$C$2:$E$15,3,FALSE),"")</f>
        <v/>
      </c>
      <c r="R216" s="64" t="str">
        <f>IFERROR(VLOOKUP('BMP P Tracking Table'!$Q216,Dropdowns!$P$3:$Q$23,2,FALSE),"")</f>
        <v/>
      </c>
      <c r="S216" s="64"/>
      <c r="T216" s="64"/>
      <c r="U216" s="64"/>
      <c r="V216" s="64"/>
      <c r="W216" s="64"/>
      <c r="X216" s="64"/>
      <c r="Y216" s="64"/>
      <c r="Z216" s="64"/>
      <c r="AA216" s="64"/>
      <c r="AB216" s="95"/>
      <c r="AC216" s="64"/>
      <c r="AD216" s="101" t="str">
        <f>IFERROR('BMP P Tracking Table'!$U216*VLOOKUP('BMP P Tracking Table'!$Q216,'Loading Rates'!$B$1:$L$24,4,FALSE)+IF('BMP P Tracking Table'!$V216="By HSG",'BMP P Tracking Table'!$W216*VLOOKUP('BMP P Tracking Table'!$Q216,'Loading Rates'!$B$1:$L$24,6,FALSE)+'BMP P Tracking Table'!$X216*VLOOKUP('BMP P Tracking Table'!$Q216,'Loading Rates'!$B$1:$L$24,7,FALSE)+'BMP P Tracking Table'!$Y216*VLOOKUP('BMP P Tracking Table'!$Q216,'Loading Rates'!$B$1:$L$24,8,FALSE)+'BMP P Tracking Table'!$Z216*VLOOKUP('BMP P Tracking Table'!$Q216,'Loading Rates'!$B$1:$L$24,9,FALSE),'BMP P Tracking Table'!$AA216*VLOOKUP('BMP P Tracking Table'!$Q216,'Loading Rates'!$B$1:$L$24,10,FALSE)),"")</f>
        <v/>
      </c>
      <c r="AE216" s="101" t="str">
        <f>IFERROR(MIN(2,IF('BMP P Tracking Table'!$V216="Total Pervious",(-(3630*'BMP P Tracking Table'!$U216+20.691*'BMP P Tracking Table'!$AA216)+SQRT((3630*'BMP P Tracking Table'!$U216+20.691*'BMP P Tracking Table'!$AA216)^2-(4*(996.798*'BMP P Tracking Table'!$AA216)*-'BMP P Tracking Table'!$AB216)))/(2*(996.798*'BMP P Tracking Table'!$AA216)),IF(SUM('BMP P Tracking Table'!$W216:$Z216)=0,'BMP P Tracking Table'!$AB216/(-3630*'BMP P Tracking Table'!$U216),(-(3630*'BMP P Tracking Table'!$U216+20.691*'BMP P Tracking Table'!$Z216-216.711*'BMP P Tracking Table'!$Y216-83.853*'BMP P Tracking Table'!$X216-42.834*'BMP P Tracking Table'!$W216)+SQRT((3630*'BMP P Tracking Table'!$U216+20.691*'BMP P Tracking Table'!$Z216-216.711*'BMP P Tracking Table'!$Y216-83.853*'BMP P Tracking Table'!$X216-42.834*'BMP P Tracking Table'!$W216)^2-(4*(149.919*'BMP P Tracking Table'!$W216+236.676*'BMP P Tracking Table'!$X216+726*'BMP P Tracking Table'!$Y216+996.798*'BMP P Tracking Table'!$Z216)*-'BMP P Tracking Table'!$AB216)))/(2*(149.919*'BMP P Tracking Table'!$W216+236.676*'BMP P Tracking Table'!$X216+726*'BMP P Tracking Table'!$Y216+996.798*'BMP P Tracking Table'!$Z216))))),"")</f>
        <v/>
      </c>
      <c r="AF216" s="101" t="str">
        <f>IFERROR((VLOOKUP(CONCATENATE('BMP P Tracking Table'!$T216," ",'BMP P Tracking Table'!$AC216),'Performance Curves'!$C$1:$L$45,MATCH('BMP P Tracking Table'!$AE216,'Performance Curves'!$E$1:$L$1,1)+2,FALSE)-VLOOKUP(CONCATENATE('BMP P Tracking Table'!$T216," ",'BMP P Tracking Table'!$AC216),'Performance Curves'!$C$1:$L$45,MATCH('BMP P Tracking Table'!$AE216,'Performance Curves'!$E$1:$L$1,1)+1,FALSE)),"")</f>
        <v/>
      </c>
      <c r="AG216" s="101" t="str">
        <f>IFERROR(('BMP P Tracking Table'!$AE216-INDEX('Performance Curves'!$E$1:$L$1,1,MATCH('BMP P Tracking Table'!$AE216,'Performance Curves'!$E$1:$L$1,1)))/(INDEX('Performance Curves'!$E$1:$L$1,1,MATCH('BMP P Tracking Table'!$AE216,'Performance Curves'!$E$1:$L$1,1)+1)-INDEX('Performance Curves'!$E$1:$L$1,1,MATCH('BMP P Tracking Table'!$AE216,'Performance Curves'!$E$1:$L$1,1))),"")</f>
        <v/>
      </c>
      <c r="AH216" s="102" t="str">
        <f>IFERROR(IF('BMP P Tracking Table'!$AE216=2,VLOOKUP(CONCATENATE('BMP P Tracking Table'!$T216," ",'BMP P Tracking Table'!$AC216),'Performance Curves'!$C$1:$L$45,MATCH('BMP P Tracking Table'!$AE216,'Performance Curves'!$E$1:$L$1,1)+1,FALSE),'BMP P Tracking Table'!$AF216*'BMP P Tracking Table'!$AG216+VLOOKUP(CONCATENATE('BMP P Tracking Table'!$T216," ",'BMP P Tracking Table'!$AC216),'Performance Curves'!$C$1:$L$45,MATCH('BMP P Tracking Table'!$AE216,'Performance Curves'!$E$1:$L$1,1)+1,FALSE)),"")</f>
        <v/>
      </c>
      <c r="AI216" s="101" t="str">
        <f>IFERROR('BMP P Tracking Table'!$AH216*'BMP P Tracking Table'!$AD216,"")</f>
        <v/>
      </c>
      <c r="AJ216" s="64"/>
      <c r="AK216" s="96"/>
      <c r="AL216" s="96"/>
      <c r="AM216" s="63"/>
      <c r="AN216" s="99" t="str">
        <f t="shared" si="16"/>
        <v/>
      </c>
      <c r="AO216" s="96"/>
      <c r="AP216" s="96"/>
      <c r="AQ216" s="96"/>
      <c r="AR216" s="96"/>
      <c r="AS216" s="96"/>
      <c r="AT216" s="96"/>
      <c r="AU216" s="96"/>
      <c r="AV216" s="64"/>
      <c r="AW216" s="97"/>
      <c r="AX216" s="97"/>
      <c r="AY216" s="101" t="str">
        <f>IF('BMP P Tracking Table'!$AK216="Yes",IF('BMP P Tracking Table'!$AL216="No",'BMP P Tracking Table'!$U216*VLOOKUP('BMP P Tracking Table'!$Q216,'Loading Rates'!$B$1:$L$24,4,FALSE)+IF('BMP P Tracking Table'!$V216="By HSG",'BMP P Tracking Table'!$W216*VLOOKUP('BMP P Tracking Table'!$Q216,'Loading Rates'!$B$1:$L$24,6,FALSE)+'BMP P Tracking Table'!$X216*VLOOKUP('BMP P Tracking Table'!$Q216,'Loading Rates'!$B$1:$L$24,7,FALSE)+'BMP P Tracking Table'!$Y216*VLOOKUP('BMP P Tracking Table'!$Q216,'Loading Rates'!$B$1:$L$24,8,FALSE)+'BMP P Tracking Table'!$Z216*VLOOKUP('BMP P Tracking Table'!$Q216,'Loading Rates'!$B$1:$L$24,9,FALSE),'BMP P Tracking Table'!$AA216*VLOOKUP('BMP P Tracking Table'!$Q216,'Loading Rates'!$B$1:$L$24,10,FALSE)),'BMP P Tracking Table'!$AO216*VLOOKUP('BMP P Tracking Table'!$Q216,'Loading Rates'!$B$1:$L$24,4,FALSE)+IF('BMP P Tracking Table'!$AP216="By HSG",'BMP P Tracking Table'!$AQ216*VLOOKUP('BMP P Tracking Table'!$Q216,'Loading Rates'!$B$1:$L$24,6,FALSE)+'BMP P Tracking Table'!$AR216*VLOOKUP('BMP P Tracking Table'!$Q216,'Loading Rates'!$B$1:$L$24,7,FALSE)+'BMP P Tracking Table'!$AS216*VLOOKUP('BMP P Tracking Table'!$Q216,'Loading Rates'!$B$1:$L$24,8,FALSE)+'BMP P Tracking Table'!$AT216*VLOOKUP('BMP P Tracking Table'!$Q216,'Loading Rates'!$B$1:$L$24,9,FALSE),'BMP P Tracking Table'!$AU216*VLOOKUP('BMP P Tracking Table'!$Q216,'Loading Rates'!$B$1:$L$24,10,FALSE))),"")</f>
        <v/>
      </c>
      <c r="AZ216" s="101" t="str">
        <f>IFERROR(IF('BMP P Tracking Table'!$AL216="Yes",MIN(2,IF('BMP P Tracking Table'!$AP216="Total Pervious",(-(3630*'BMP P Tracking Table'!$AO216+20.691*'BMP P Tracking Table'!$AU216)+SQRT((3630*'BMP P Tracking Table'!$AO216+20.691*'BMP P Tracking Table'!$AU216)^2-(4*(996.798*'BMP P Tracking Table'!$AU216)*-'BMP P Tracking Table'!$AW216)))/(2*(996.798*'BMP P Tracking Table'!$AU216)),IF(SUM('BMP P Tracking Table'!$AQ216:$AT216)=0,'BMP P Tracking Table'!$AU216/(-3630*'BMP P Tracking Table'!$AO216),(-(3630*'BMP P Tracking Table'!$AO216+20.691*'BMP P Tracking Table'!$AT216-216.711*'BMP P Tracking Table'!$AS216-83.853*'BMP P Tracking Table'!$AR216-42.834*'BMP P Tracking Table'!$AQ216)+SQRT((3630*'BMP P Tracking Table'!$AO216+20.691*'BMP P Tracking Table'!$AT216-216.711*'BMP P Tracking Table'!$AS216-83.853*'BMP P Tracking Table'!$AR216-42.834*'BMP P Tracking Table'!$AQ216)^2-(4*(149.919*'BMP P Tracking Table'!$AQ216+236.676*'BMP P Tracking Table'!$AR216+726*'BMP P Tracking Table'!$AS216+996.798*'BMP P Tracking Table'!$AT216)*-'BMP P Tracking Table'!$AW216)))/(2*(149.919*'BMP P Tracking Table'!$AQ216+236.676*'BMP P Tracking Table'!$AR216+726*'BMP P Tracking Table'!$AS216+996.798*'BMP P Tracking Table'!$AT216))))),MIN(2,IF('BMP P Tracking Table'!$AP216="Total Pervious",(-(3630*'BMP P Tracking Table'!$U216+20.691*'BMP P Tracking Table'!$AA216)+SQRT((3630*'BMP P Tracking Table'!$U216+20.691*'BMP P Tracking Table'!$AA216)^2-(4*(996.798*'BMP P Tracking Table'!$AA216)*-'BMP P Tracking Table'!$AW216)))/(2*(996.798*'BMP P Tracking Table'!$AA216)),IF(SUM('BMP P Tracking Table'!$W216:$Z216)=0,'BMP P Tracking Table'!$AW216/(-3630*'BMP P Tracking Table'!$U216),(-(3630*'BMP P Tracking Table'!$U216+20.691*'BMP P Tracking Table'!$Z216-216.711*'BMP P Tracking Table'!$Y216-83.853*'BMP P Tracking Table'!$X216-42.834*'BMP P Tracking Table'!$W216)+SQRT((3630*'BMP P Tracking Table'!$U216+20.691*'BMP P Tracking Table'!$Z216-216.711*'BMP P Tracking Table'!$Y216-83.853*'BMP P Tracking Table'!$X216-42.834*'BMP P Tracking Table'!$W216)^2-(4*(149.919*'BMP P Tracking Table'!$W216+236.676*'BMP P Tracking Table'!$X216+726*'BMP P Tracking Table'!$Y216+996.798*'BMP P Tracking Table'!$Z216)*-'BMP P Tracking Table'!$AW216)))/(2*(149.919*'BMP P Tracking Table'!$W216+236.676*'BMP P Tracking Table'!$X216+726*'BMP P Tracking Table'!$Y216+996.798*'BMP P Tracking Table'!$Z216)))))),"")</f>
        <v/>
      </c>
      <c r="BA216" s="101" t="str">
        <f>IFERROR((VLOOKUP(CONCATENATE('BMP P Tracking Table'!$AV216," ",'BMP P Tracking Table'!$AX216),'Performance Curves'!$C$1:$L$45,MATCH('BMP P Tracking Table'!$AZ216,'Performance Curves'!$E$1:$L$1,1)+2,FALSE)-VLOOKUP(CONCATENATE('BMP P Tracking Table'!$AV216," ",'BMP P Tracking Table'!$AX216),'Performance Curves'!$C$1:$L$45,MATCH('BMP P Tracking Table'!$AZ216,'Performance Curves'!$E$1:$L$1,1)+1,FALSE)),"")</f>
        <v/>
      </c>
      <c r="BB216" s="101" t="str">
        <f>IFERROR(('BMP P Tracking Table'!$AZ216-INDEX('Performance Curves'!$E$1:$L$1,1,MATCH('BMP P Tracking Table'!$AZ216,'Performance Curves'!$E$1:$L$1,1)))/(INDEX('Performance Curves'!$E$1:$L$1,1,MATCH('BMP P Tracking Table'!$AZ216,'Performance Curves'!$E$1:$L$1,1)+1)-INDEX('Performance Curves'!$E$1:$L$1,1,MATCH('BMP P Tracking Table'!$AZ216,'Performance Curves'!$E$1:$L$1,1))),"")</f>
        <v/>
      </c>
      <c r="BC216" s="102" t="str">
        <f>IFERROR(IF('BMP P Tracking Table'!$AZ216=2,VLOOKUP(CONCATENATE('BMP P Tracking Table'!$AV216," ",'BMP P Tracking Table'!$AX216),'Performance Curves'!$C$1:$L$44,MATCH('BMP P Tracking Table'!$AZ216,'Performance Curves'!$E$1:$L$1,1)+1,FALSE),'BMP P Tracking Table'!$BA216*'BMP P Tracking Table'!$BB216+VLOOKUP(CONCATENATE('BMP P Tracking Table'!$AV216," ",'BMP P Tracking Table'!$AX216),'Performance Curves'!$C$1:$L$44,MATCH('BMP P Tracking Table'!$AZ216,'Performance Curves'!$E$1:$L$1,1)+1,FALSE)),"")</f>
        <v/>
      </c>
      <c r="BD216" s="101" t="str">
        <f>IFERROR('BMP P Tracking Table'!$BC216*'BMP P Tracking Table'!$AY216,"")</f>
        <v/>
      </c>
      <c r="BE216" s="96"/>
      <c r="BF216" s="37">
        <f t="shared" si="17"/>
        <v>0</v>
      </c>
    </row>
    <row r="217" spans="1:58" x14ac:dyDescent="0.3">
      <c r="A217" s="64"/>
      <c r="B217" s="64"/>
      <c r="C217" s="64"/>
      <c r="D217" s="64"/>
      <c r="E217" s="93"/>
      <c r="F217" s="93"/>
      <c r="G217" s="64"/>
      <c r="H217" s="64"/>
      <c r="I217" s="64"/>
      <c r="J217" s="94"/>
      <c r="K217" s="64"/>
      <c r="L217" s="64"/>
      <c r="M217" s="64"/>
      <c r="N217" s="64"/>
      <c r="O217" s="64"/>
      <c r="P217" s="64"/>
      <c r="Q217" s="64" t="str">
        <f>IFERROR(VLOOKUP('BMP P Tracking Table'!$P217,Dropdowns!$C$2:$E$15,3,FALSE),"")</f>
        <v/>
      </c>
      <c r="R217" s="64" t="str">
        <f>IFERROR(VLOOKUP('BMP P Tracking Table'!$Q217,Dropdowns!$P$3:$Q$23,2,FALSE),"")</f>
        <v/>
      </c>
      <c r="S217" s="64"/>
      <c r="T217" s="64"/>
      <c r="U217" s="64"/>
      <c r="V217" s="64"/>
      <c r="W217" s="64"/>
      <c r="X217" s="64"/>
      <c r="Y217" s="64"/>
      <c r="Z217" s="64"/>
      <c r="AA217" s="64"/>
      <c r="AB217" s="95"/>
      <c r="AC217" s="64"/>
      <c r="AD217" s="101" t="str">
        <f>IFERROR('BMP P Tracking Table'!$U217*VLOOKUP('BMP P Tracking Table'!$Q217,'Loading Rates'!$B$1:$L$24,4,FALSE)+IF('BMP P Tracking Table'!$V217="By HSG",'BMP P Tracking Table'!$W217*VLOOKUP('BMP P Tracking Table'!$Q217,'Loading Rates'!$B$1:$L$24,6,FALSE)+'BMP P Tracking Table'!$X217*VLOOKUP('BMP P Tracking Table'!$Q217,'Loading Rates'!$B$1:$L$24,7,FALSE)+'BMP P Tracking Table'!$Y217*VLOOKUP('BMP P Tracking Table'!$Q217,'Loading Rates'!$B$1:$L$24,8,FALSE)+'BMP P Tracking Table'!$Z217*VLOOKUP('BMP P Tracking Table'!$Q217,'Loading Rates'!$B$1:$L$24,9,FALSE),'BMP P Tracking Table'!$AA217*VLOOKUP('BMP P Tracking Table'!$Q217,'Loading Rates'!$B$1:$L$24,10,FALSE)),"")</f>
        <v/>
      </c>
      <c r="AE217" s="101" t="str">
        <f>IFERROR(MIN(2,IF('BMP P Tracking Table'!$V217="Total Pervious",(-(3630*'BMP P Tracking Table'!$U217+20.691*'BMP P Tracking Table'!$AA217)+SQRT((3630*'BMP P Tracking Table'!$U217+20.691*'BMP P Tracking Table'!$AA217)^2-(4*(996.798*'BMP P Tracking Table'!$AA217)*-'BMP P Tracking Table'!$AB217)))/(2*(996.798*'BMP P Tracking Table'!$AA217)),IF(SUM('BMP P Tracking Table'!$W217:$Z217)=0,'BMP P Tracking Table'!$AB217/(-3630*'BMP P Tracking Table'!$U217),(-(3630*'BMP P Tracking Table'!$U217+20.691*'BMP P Tracking Table'!$Z217-216.711*'BMP P Tracking Table'!$Y217-83.853*'BMP P Tracking Table'!$X217-42.834*'BMP P Tracking Table'!$W217)+SQRT((3630*'BMP P Tracking Table'!$U217+20.691*'BMP P Tracking Table'!$Z217-216.711*'BMP P Tracking Table'!$Y217-83.853*'BMP P Tracking Table'!$X217-42.834*'BMP P Tracking Table'!$W217)^2-(4*(149.919*'BMP P Tracking Table'!$W217+236.676*'BMP P Tracking Table'!$X217+726*'BMP P Tracking Table'!$Y217+996.798*'BMP P Tracking Table'!$Z217)*-'BMP P Tracking Table'!$AB217)))/(2*(149.919*'BMP P Tracking Table'!$W217+236.676*'BMP P Tracking Table'!$X217+726*'BMP P Tracking Table'!$Y217+996.798*'BMP P Tracking Table'!$Z217))))),"")</f>
        <v/>
      </c>
      <c r="AF217" s="101" t="str">
        <f>IFERROR((VLOOKUP(CONCATENATE('BMP P Tracking Table'!$T217," ",'BMP P Tracking Table'!$AC217),'Performance Curves'!$C$1:$L$45,MATCH('BMP P Tracking Table'!$AE217,'Performance Curves'!$E$1:$L$1,1)+2,FALSE)-VLOOKUP(CONCATENATE('BMP P Tracking Table'!$T217," ",'BMP P Tracking Table'!$AC217),'Performance Curves'!$C$1:$L$45,MATCH('BMP P Tracking Table'!$AE217,'Performance Curves'!$E$1:$L$1,1)+1,FALSE)),"")</f>
        <v/>
      </c>
      <c r="AG217" s="101" t="str">
        <f>IFERROR(('BMP P Tracking Table'!$AE217-INDEX('Performance Curves'!$E$1:$L$1,1,MATCH('BMP P Tracking Table'!$AE217,'Performance Curves'!$E$1:$L$1,1)))/(INDEX('Performance Curves'!$E$1:$L$1,1,MATCH('BMP P Tracking Table'!$AE217,'Performance Curves'!$E$1:$L$1,1)+1)-INDEX('Performance Curves'!$E$1:$L$1,1,MATCH('BMP P Tracking Table'!$AE217,'Performance Curves'!$E$1:$L$1,1))),"")</f>
        <v/>
      </c>
      <c r="AH217" s="102" t="str">
        <f>IFERROR(IF('BMP P Tracking Table'!$AE217=2,VLOOKUP(CONCATENATE('BMP P Tracking Table'!$T217," ",'BMP P Tracking Table'!$AC217),'Performance Curves'!$C$1:$L$45,MATCH('BMP P Tracking Table'!$AE217,'Performance Curves'!$E$1:$L$1,1)+1,FALSE),'BMP P Tracking Table'!$AF217*'BMP P Tracking Table'!$AG217+VLOOKUP(CONCATENATE('BMP P Tracking Table'!$T217," ",'BMP P Tracking Table'!$AC217),'Performance Curves'!$C$1:$L$45,MATCH('BMP P Tracking Table'!$AE217,'Performance Curves'!$E$1:$L$1,1)+1,FALSE)),"")</f>
        <v/>
      </c>
      <c r="AI217" s="101" t="str">
        <f>IFERROR('BMP P Tracking Table'!$AH217*'BMP P Tracking Table'!$AD217,"")</f>
        <v/>
      </c>
      <c r="AJ217" s="64"/>
      <c r="AK217" s="96"/>
      <c r="AL217" s="96"/>
      <c r="AM217" s="63"/>
      <c r="AN217" s="99" t="str">
        <f t="shared" si="16"/>
        <v/>
      </c>
      <c r="AO217" s="96"/>
      <c r="AP217" s="96"/>
      <c r="AQ217" s="96"/>
      <c r="AR217" s="96"/>
      <c r="AS217" s="96"/>
      <c r="AT217" s="96"/>
      <c r="AU217" s="96"/>
      <c r="AV217" s="64"/>
      <c r="AW217" s="97"/>
      <c r="AX217" s="97"/>
      <c r="AY217" s="101" t="str">
        <f>IF('BMP P Tracking Table'!$AK217="Yes",IF('BMP P Tracking Table'!$AL217="No",'BMP P Tracking Table'!$U217*VLOOKUP('BMP P Tracking Table'!$Q217,'Loading Rates'!$B$1:$L$24,4,FALSE)+IF('BMP P Tracking Table'!$V217="By HSG",'BMP P Tracking Table'!$W217*VLOOKUP('BMP P Tracking Table'!$Q217,'Loading Rates'!$B$1:$L$24,6,FALSE)+'BMP P Tracking Table'!$X217*VLOOKUP('BMP P Tracking Table'!$Q217,'Loading Rates'!$B$1:$L$24,7,FALSE)+'BMP P Tracking Table'!$Y217*VLOOKUP('BMP P Tracking Table'!$Q217,'Loading Rates'!$B$1:$L$24,8,FALSE)+'BMP P Tracking Table'!$Z217*VLOOKUP('BMP P Tracking Table'!$Q217,'Loading Rates'!$B$1:$L$24,9,FALSE),'BMP P Tracking Table'!$AA217*VLOOKUP('BMP P Tracking Table'!$Q217,'Loading Rates'!$B$1:$L$24,10,FALSE)),'BMP P Tracking Table'!$AO217*VLOOKUP('BMP P Tracking Table'!$Q217,'Loading Rates'!$B$1:$L$24,4,FALSE)+IF('BMP P Tracking Table'!$AP217="By HSG",'BMP P Tracking Table'!$AQ217*VLOOKUP('BMP P Tracking Table'!$Q217,'Loading Rates'!$B$1:$L$24,6,FALSE)+'BMP P Tracking Table'!$AR217*VLOOKUP('BMP P Tracking Table'!$Q217,'Loading Rates'!$B$1:$L$24,7,FALSE)+'BMP P Tracking Table'!$AS217*VLOOKUP('BMP P Tracking Table'!$Q217,'Loading Rates'!$B$1:$L$24,8,FALSE)+'BMP P Tracking Table'!$AT217*VLOOKUP('BMP P Tracking Table'!$Q217,'Loading Rates'!$B$1:$L$24,9,FALSE),'BMP P Tracking Table'!$AU217*VLOOKUP('BMP P Tracking Table'!$Q217,'Loading Rates'!$B$1:$L$24,10,FALSE))),"")</f>
        <v/>
      </c>
      <c r="AZ217" s="101" t="str">
        <f>IFERROR(IF('BMP P Tracking Table'!$AL217="Yes",MIN(2,IF('BMP P Tracking Table'!$AP217="Total Pervious",(-(3630*'BMP P Tracking Table'!$AO217+20.691*'BMP P Tracking Table'!$AU217)+SQRT((3630*'BMP P Tracking Table'!$AO217+20.691*'BMP P Tracking Table'!$AU217)^2-(4*(996.798*'BMP P Tracking Table'!$AU217)*-'BMP P Tracking Table'!$AW217)))/(2*(996.798*'BMP P Tracking Table'!$AU217)),IF(SUM('BMP P Tracking Table'!$AQ217:$AT217)=0,'BMP P Tracking Table'!$AU217/(-3630*'BMP P Tracking Table'!$AO217),(-(3630*'BMP P Tracking Table'!$AO217+20.691*'BMP P Tracking Table'!$AT217-216.711*'BMP P Tracking Table'!$AS217-83.853*'BMP P Tracking Table'!$AR217-42.834*'BMP P Tracking Table'!$AQ217)+SQRT((3630*'BMP P Tracking Table'!$AO217+20.691*'BMP P Tracking Table'!$AT217-216.711*'BMP P Tracking Table'!$AS217-83.853*'BMP P Tracking Table'!$AR217-42.834*'BMP P Tracking Table'!$AQ217)^2-(4*(149.919*'BMP P Tracking Table'!$AQ217+236.676*'BMP P Tracking Table'!$AR217+726*'BMP P Tracking Table'!$AS217+996.798*'BMP P Tracking Table'!$AT217)*-'BMP P Tracking Table'!$AW217)))/(2*(149.919*'BMP P Tracking Table'!$AQ217+236.676*'BMP P Tracking Table'!$AR217+726*'BMP P Tracking Table'!$AS217+996.798*'BMP P Tracking Table'!$AT217))))),MIN(2,IF('BMP P Tracking Table'!$AP217="Total Pervious",(-(3630*'BMP P Tracking Table'!$U217+20.691*'BMP P Tracking Table'!$AA217)+SQRT((3630*'BMP P Tracking Table'!$U217+20.691*'BMP P Tracking Table'!$AA217)^2-(4*(996.798*'BMP P Tracking Table'!$AA217)*-'BMP P Tracking Table'!$AW217)))/(2*(996.798*'BMP P Tracking Table'!$AA217)),IF(SUM('BMP P Tracking Table'!$W217:$Z217)=0,'BMP P Tracking Table'!$AW217/(-3630*'BMP P Tracking Table'!$U217),(-(3630*'BMP P Tracking Table'!$U217+20.691*'BMP P Tracking Table'!$Z217-216.711*'BMP P Tracking Table'!$Y217-83.853*'BMP P Tracking Table'!$X217-42.834*'BMP P Tracking Table'!$W217)+SQRT((3630*'BMP P Tracking Table'!$U217+20.691*'BMP P Tracking Table'!$Z217-216.711*'BMP P Tracking Table'!$Y217-83.853*'BMP P Tracking Table'!$X217-42.834*'BMP P Tracking Table'!$W217)^2-(4*(149.919*'BMP P Tracking Table'!$W217+236.676*'BMP P Tracking Table'!$X217+726*'BMP P Tracking Table'!$Y217+996.798*'BMP P Tracking Table'!$Z217)*-'BMP P Tracking Table'!$AW217)))/(2*(149.919*'BMP P Tracking Table'!$W217+236.676*'BMP P Tracking Table'!$X217+726*'BMP P Tracking Table'!$Y217+996.798*'BMP P Tracking Table'!$Z217)))))),"")</f>
        <v/>
      </c>
      <c r="BA217" s="101" t="str">
        <f>IFERROR((VLOOKUP(CONCATENATE('BMP P Tracking Table'!$AV217," ",'BMP P Tracking Table'!$AX217),'Performance Curves'!$C$1:$L$45,MATCH('BMP P Tracking Table'!$AZ217,'Performance Curves'!$E$1:$L$1,1)+2,FALSE)-VLOOKUP(CONCATENATE('BMP P Tracking Table'!$AV217," ",'BMP P Tracking Table'!$AX217),'Performance Curves'!$C$1:$L$45,MATCH('BMP P Tracking Table'!$AZ217,'Performance Curves'!$E$1:$L$1,1)+1,FALSE)),"")</f>
        <v/>
      </c>
      <c r="BB217" s="101" t="str">
        <f>IFERROR(('BMP P Tracking Table'!$AZ217-INDEX('Performance Curves'!$E$1:$L$1,1,MATCH('BMP P Tracking Table'!$AZ217,'Performance Curves'!$E$1:$L$1,1)))/(INDEX('Performance Curves'!$E$1:$L$1,1,MATCH('BMP P Tracking Table'!$AZ217,'Performance Curves'!$E$1:$L$1,1)+1)-INDEX('Performance Curves'!$E$1:$L$1,1,MATCH('BMP P Tracking Table'!$AZ217,'Performance Curves'!$E$1:$L$1,1))),"")</f>
        <v/>
      </c>
      <c r="BC217" s="102" t="str">
        <f>IFERROR(IF('BMP P Tracking Table'!$AZ217=2,VLOOKUP(CONCATENATE('BMP P Tracking Table'!$AV217," ",'BMP P Tracking Table'!$AX217),'Performance Curves'!$C$1:$L$44,MATCH('BMP P Tracking Table'!$AZ217,'Performance Curves'!$E$1:$L$1,1)+1,FALSE),'BMP P Tracking Table'!$BA217*'BMP P Tracking Table'!$BB217+VLOOKUP(CONCATENATE('BMP P Tracking Table'!$AV217," ",'BMP P Tracking Table'!$AX217),'Performance Curves'!$C$1:$L$44,MATCH('BMP P Tracking Table'!$AZ217,'Performance Curves'!$E$1:$L$1,1)+1,FALSE)),"")</f>
        <v/>
      </c>
      <c r="BD217" s="101" t="str">
        <f>IFERROR('BMP P Tracking Table'!$BC217*'BMP P Tracking Table'!$AY217,"")</f>
        <v/>
      </c>
      <c r="BE217" s="96"/>
      <c r="BF217" s="37">
        <f t="shared" si="17"/>
        <v>0</v>
      </c>
    </row>
    <row r="218" spans="1:58" x14ac:dyDescent="0.3">
      <c r="A218" s="64"/>
      <c r="B218" s="64"/>
      <c r="C218" s="64"/>
      <c r="D218" s="64"/>
      <c r="E218" s="93"/>
      <c r="F218" s="93"/>
      <c r="G218" s="64"/>
      <c r="H218" s="64"/>
      <c r="I218" s="64"/>
      <c r="J218" s="94"/>
      <c r="K218" s="64"/>
      <c r="L218" s="64"/>
      <c r="M218" s="64"/>
      <c r="N218" s="64"/>
      <c r="O218" s="64"/>
      <c r="P218" s="64"/>
      <c r="Q218" s="64" t="str">
        <f>IFERROR(VLOOKUP('BMP P Tracking Table'!$P218,Dropdowns!$C$2:$E$15,3,FALSE),"")</f>
        <v/>
      </c>
      <c r="R218" s="64" t="str">
        <f>IFERROR(VLOOKUP('BMP P Tracking Table'!$Q218,Dropdowns!$P$3:$Q$23,2,FALSE),"")</f>
        <v/>
      </c>
      <c r="S218" s="64"/>
      <c r="T218" s="64"/>
      <c r="U218" s="64"/>
      <c r="V218" s="64"/>
      <c r="W218" s="64"/>
      <c r="X218" s="64"/>
      <c r="Y218" s="64"/>
      <c r="Z218" s="64"/>
      <c r="AA218" s="64"/>
      <c r="AB218" s="95"/>
      <c r="AC218" s="64"/>
      <c r="AD218" s="101" t="str">
        <f>IFERROR('BMP P Tracking Table'!$U218*VLOOKUP('BMP P Tracking Table'!$Q218,'Loading Rates'!$B$1:$L$24,4,FALSE)+IF('BMP P Tracking Table'!$V218="By HSG",'BMP P Tracking Table'!$W218*VLOOKUP('BMP P Tracking Table'!$Q218,'Loading Rates'!$B$1:$L$24,6,FALSE)+'BMP P Tracking Table'!$X218*VLOOKUP('BMP P Tracking Table'!$Q218,'Loading Rates'!$B$1:$L$24,7,FALSE)+'BMP P Tracking Table'!$Y218*VLOOKUP('BMP P Tracking Table'!$Q218,'Loading Rates'!$B$1:$L$24,8,FALSE)+'BMP P Tracking Table'!$Z218*VLOOKUP('BMP P Tracking Table'!$Q218,'Loading Rates'!$B$1:$L$24,9,FALSE),'BMP P Tracking Table'!$AA218*VLOOKUP('BMP P Tracking Table'!$Q218,'Loading Rates'!$B$1:$L$24,10,FALSE)),"")</f>
        <v/>
      </c>
      <c r="AE218" s="101" t="str">
        <f>IFERROR(MIN(2,IF('BMP P Tracking Table'!$V218="Total Pervious",(-(3630*'BMP P Tracking Table'!$U218+20.691*'BMP P Tracking Table'!$AA218)+SQRT((3630*'BMP P Tracking Table'!$U218+20.691*'BMP P Tracking Table'!$AA218)^2-(4*(996.798*'BMP P Tracking Table'!$AA218)*-'BMP P Tracking Table'!$AB218)))/(2*(996.798*'BMP P Tracking Table'!$AA218)),IF(SUM('BMP P Tracking Table'!$W218:$Z218)=0,'BMP P Tracking Table'!$AB218/(-3630*'BMP P Tracking Table'!$U218),(-(3630*'BMP P Tracking Table'!$U218+20.691*'BMP P Tracking Table'!$Z218-216.711*'BMP P Tracking Table'!$Y218-83.853*'BMP P Tracking Table'!$X218-42.834*'BMP P Tracking Table'!$W218)+SQRT((3630*'BMP P Tracking Table'!$U218+20.691*'BMP P Tracking Table'!$Z218-216.711*'BMP P Tracking Table'!$Y218-83.853*'BMP P Tracking Table'!$X218-42.834*'BMP P Tracking Table'!$W218)^2-(4*(149.919*'BMP P Tracking Table'!$W218+236.676*'BMP P Tracking Table'!$X218+726*'BMP P Tracking Table'!$Y218+996.798*'BMP P Tracking Table'!$Z218)*-'BMP P Tracking Table'!$AB218)))/(2*(149.919*'BMP P Tracking Table'!$W218+236.676*'BMP P Tracking Table'!$X218+726*'BMP P Tracking Table'!$Y218+996.798*'BMP P Tracking Table'!$Z218))))),"")</f>
        <v/>
      </c>
      <c r="AF218" s="101" t="str">
        <f>IFERROR((VLOOKUP(CONCATENATE('BMP P Tracking Table'!$T218," ",'BMP P Tracking Table'!$AC218),'Performance Curves'!$C$1:$L$45,MATCH('BMP P Tracking Table'!$AE218,'Performance Curves'!$E$1:$L$1,1)+2,FALSE)-VLOOKUP(CONCATENATE('BMP P Tracking Table'!$T218," ",'BMP P Tracking Table'!$AC218),'Performance Curves'!$C$1:$L$45,MATCH('BMP P Tracking Table'!$AE218,'Performance Curves'!$E$1:$L$1,1)+1,FALSE)),"")</f>
        <v/>
      </c>
      <c r="AG218" s="101" t="str">
        <f>IFERROR(('BMP P Tracking Table'!$AE218-INDEX('Performance Curves'!$E$1:$L$1,1,MATCH('BMP P Tracking Table'!$AE218,'Performance Curves'!$E$1:$L$1,1)))/(INDEX('Performance Curves'!$E$1:$L$1,1,MATCH('BMP P Tracking Table'!$AE218,'Performance Curves'!$E$1:$L$1,1)+1)-INDEX('Performance Curves'!$E$1:$L$1,1,MATCH('BMP P Tracking Table'!$AE218,'Performance Curves'!$E$1:$L$1,1))),"")</f>
        <v/>
      </c>
      <c r="AH218" s="102" t="str">
        <f>IFERROR(IF('BMP P Tracking Table'!$AE218=2,VLOOKUP(CONCATENATE('BMP P Tracking Table'!$T218," ",'BMP P Tracking Table'!$AC218),'Performance Curves'!$C$1:$L$45,MATCH('BMP P Tracking Table'!$AE218,'Performance Curves'!$E$1:$L$1,1)+1,FALSE),'BMP P Tracking Table'!$AF218*'BMP P Tracking Table'!$AG218+VLOOKUP(CONCATENATE('BMP P Tracking Table'!$T218," ",'BMP P Tracking Table'!$AC218),'Performance Curves'!$C$1:$L$45,MATCH('BMP P Tracking Table'!$AE218,'Performance Curves'!$E$1:$L$1,1)+1,FALSE)),"")</f>
        <v/>
      </c>
      <c r="AI218" s="101" t="str">
        <f>IFERROR('BMP P Tracking Table'!$AH218*'BMP P Tracking Table'!$AD218,"")</f>
        <v/>
      </c>
      <c r="AJ218" s="64"/>
      <c r="AK218" s="96"/>
      <c r="AL218" s="96"/>
      <c r="AM218" s="63"/>
      <c r="AN218" s="99" t="str">
        <f t="shared" ref="AN218:AN281" si="18">IF(AK218="Yes",IF(BF218&gt;0,IF(ISBLANK(AJ218),AI218,AJ218)-IF(ISBLANK(BE218),BD218,BE218),"Enter Info --&gt;"),IF(ISBLANK(AJ218),AI218,AJ218))</f>
        <v/>
      </c>
      <c r="AO218" s="96"/>
      <c r="AP218" s="96"/>
      <c r="AQ218" s="96"/>
      <c r="AR218" s="96"/>
      <c r="AS218" s="96"/>
      <c r="AT218" s="96"/>
      <c r="AU218" s="96"/>
      <c r="AV218" s="64"/>
      <c r="AW218" s="97"/>
      <c r="AX218" s="97"/>
      <c r="AY218" s="101" t="str">
        <f>IF('BMP P Tracking Table'!$AK218="Yes",IF('BMP P Tracking Table'!$AL218="No",'BMP P Tracking Table'!$U218*VLOOKUP('BMP P Tracking Table'!$Q218,'Loading Rates'!$B$1:$L$24,4,FALSE)+IF('BMP P Tracking Table'!$V218="By HSG",'BMP P Tracking Table'!$W218*VLOOKUP('BMP P Tracking Table'!$Q218,'Loading Rates'!$B$1:$L$24,6,FALSE)+'BMP P Tracking Table'!$X218*VLOOKUP('BMP P Tracking Table'!$Q218,'Loading Rates'!$B$1:$L$24,7,FALSE)+'BMP P Tracking Table'!$Y218*VLOOKUP('BMP P Tracking Table'!$Q218,'Loading Rates'!$B$1:$L$24,8,FALSE)+'BMP P Tracking Table'!$Z218*VLOOKUP('BMP P Tracking Table'!$Q218,'Loading Rates'!$B$1:$L$24,9,FALSE),'BMP P Tracking Table'!$AA218*VLOOKUP('BMP P Tracking Table'!$Q218,'Loading Rates'!$B$1:$L$24,10,FALSE)),'BMP P Tracking Table'!$AO218*VLOOKUP('BMP P Tracking Table'!$Q218,'Loading Rates'!$B$1:$L$24,4,FALSE)+IF('BMP P Tracking Table'!$AP218="By HSG",'BMP P Tracking Table'!$AQ218*VLOOKUP('BMP P Tracking Table'!$Q218,'Loading Rates'!$B$1:$L$24,6,FALSE)+'BMP P Tracking Table'!$AR218*VLOOKUP('BMP P Tracking Table'!$Q218,'Loading Rates'!$B$1:$L$24,7,FALSE)+'BMP P Tracking Table'!$AS218*VLOOKUP('BMP P Tracking Table'!$Q218,'Loading Rates'!$B$1:$L$24,8,FALSE)+'BMP P Tracking Table'!$AT218*VLOOKUP('BMP P Tracking Table'!$Q218,'Loading Rates'!$B$1:$L$24,9,FALSE),'BMP P Tracking Table'!$AU218*VLOOKUP('BMP P Tracking Table'!$Q218,'Loading Rates'!$B$1:$L$24,10,FALSE))),"")</f>
        <v/>
      </c>
      <c r="AZ218" s="101" t="str">
        <f>IFERROR(IF('BMP P Tracking Table'!$AL218="Yes",MIN(2,IF('BMP P Tracking Table'!$AP218="Total Pervious",(-(3630*'BMP P Tracking Table'!$AO218+20.691*'BMP P Tracking Table'!$AU218)+SQRT((3630*'BMP P Tracking Table'!$AO218+20.691*'BMP P Tracking Table'!$AU218)^2-(4*(996.798*'BMP P Tracking Table'!$AU218)*-'BMP P Tracking Table'!$AW218)))/(2*(996.798*'BMP P Tracking Table'!$AU218)),IF(SUM('BMP P Tracking Table'!$AQ218:$AT218)=0,'BMP P Tracking Table'!$AU218/(-3630*'BMP P Tracking Table'!$AO218),(-(3630*'BMP P Tracking Table'!$AO218+20.691*'BMP P Tracking Table'!$AT218-216.711*'BMP P Tracking Table'!$AS218-83.853*'BMP P Tracking Table'!$AR218-42.834*'BMP P Tracking Table'!$AQ218)+SQRT((3630*'BMP P Tracking Table'!$AO218+20.691*'BMP P Tracking Table'!$AT218-216.711*'BMP P Tracking Table'!$AS218-83.853*'BMP P Tracking Table'!$AR218-42.834*'BMP P Tracking Table'!$AQ218)^2-(4*(149.919*'BMP P Tracking Table'!$AQ218+236.676*'BMP P Tracking Table'!$AR218+726*'BMP P Tracking Table'!$AS218+996.798*'BMP P Tracking Table'!$AT218)*-'BMP P Tracking Table'!$AW218)))/(2*(149.919*'BMP P Tracking Table'!$AQ218+236.676*'BMP P Tracking Table'!$AR218+726*'BMP P Tracking Table'!$AS218+996.798*'BMP P Tracking Table'!$AT218))))),MIN(2,IF('BMP P Tracking Table'!$AP218="Total Pervious",(-(3630*'BMP P Tracking Table'!$U218+20.691*'BMP P Tracking Table'!$AA218)+SQRT((3630*'BMP P Tracking Table'!$U218+20.691*'BMP P Tracking Table'!$AA218)^2-(4*(996.798*'BMP P Tracking Table'!$AA218)*-'BMP P Tracking Table'!$AW218)))/(2*(996.798*'BMP P Tracking Table'!$AA218)),IF(SUM('BMP P Tracking Table'!$W218:$Z218)=0,'BMP P Tracking Table'!$AW218/(-3630*'BMP P Tracking Table'!$U218),(-(3630*'BMP P Tracking Table'!$U218+20.691*'BMP P Tracking Table'!$Z218-216.711*'BMP P Tracking Table'!$Y218-83.853*'BMP P Tracking Table'!$X218-42.834*'BMP P Tracking Table'!$W218)+SQRT((3630*'BMP P Tracking Table'!$U218+20.691*'BMP P Tracking Table'!$Z218-216.711*'BMP P Tracking Table'!$Y218-83.853*'BMP P Tracking Table'!$X218-42.834*'BMP P Tracking Table'!$W218)^2-(4*(149.919*'BMP P Tracking Table'!$W218+236.676*'BMP P Tracking Table'!$X218+726*'BMP P Tracking Table'!$Y218+996.798*'BMP P Tracking Table'!$Z218)*-'BMP P Tracking Table'!$AW218)))/(2*(149.919*'BMP P Tracking Table'!$W218+236.676*'BMP P Tracking Table'!$X218+726*'BMP P Tracking Table'!$Y218+996.798*'BMP P Tracking Table'!$Z218)))))),"")</f>
        <v/>
      </c>
      <c r="BA218" s="101" t="str">
        <f>IFERROR((VLOOKUP(CONCATENATE('BMP P Tracking Table'!$AV218," ",'BMP P Tracking Table'!$AX218),'Performance Curves'!$C$1:$L$45,MATCH('BMP P Tracking Table'!$AZ218,'Performance Curves'!$E$1:$L$1,1)+2,FALSE)-VLOOKUP(CONCATENATE('BMP P Tracking Table'!$AV218," ",'BMP P Tracking Table'!$AX218),'Performance Curves'!$C$1:$L$45,MATCH('BMP P Tracking Table'!$AZ218,'Performance Curves'!$E$1:$L$1,1)+1,FALSE)),"")</f>
        <v/>
      </c>
      <c r="BB218" s="101" t="str">
        <f>IFERROR(('BMP P Tracking Table'!$AZ218-INDEX('Performance Curves'!$E$1:$L$1,1,MATCH('BMP P Tracking Table'!$AZ218,'Performance Curves'!$E$1:$L$1,1)))/(INDEX('Performance Curves'!$E$1:$L$1,1,MATCH('BMP P Tracking Table'!$AZ218,'Performance Curves'!$E$1:$L$1,1)+1)-INDEX('Performance Curves'!$E$1:$L$1,1,MATCH('BMP P Tracking Table'!$AZ218,'Performance Curves'!$E$1:$L$1,1))),"")</f>
        <v/>
      </c>
      <c r="BC218" s="102" t="str">
        <f>IFERROR(IF('BMP P Tracking Table'!$AZ218=2,VLOOKUP(CONCATENATE('BMP P Tracking Table'!$AV218," ",'BMP P Tracking Table'!$AX218),'Performance Curves'!$C$1:$L$44,MATCH('BMP P Tracking Table'!$AZ218,'Performance Curves'!$E$1:$L$1,1)+1,FALSE),'BMP P Tracking Table'!$BA218*'BMP P Tracking Table'!$BB218+VLOOKUP(CONCATENATE('BMP P Tracking Table'!$AV218," ",'BMP P Tracking Table'!$AX218),'Performance Curves'!$C$1:$L$44,MATCH('BMP P Tracking Table'!$AZ218,'Performance Curves'!$E$1:$L$1,1)+1,FALSE)),"")</f>
        <v/>
      </c>
      <c r="BD218" s="101" t="str">
        <f>IFERROR('BMP P Tracking Table'!$BC218*'BMP P Tracking Table'!$AY218,"")</f>
        <v/>
      </c>
      <c r="BE218" s="96"/>
      <c r="BF218" s="37">
        <f t="shared" si="17"/>
        <v>0</v>
      </c>
    </row>
    <row r="219" spans="1:58" x14ac:dyDescent="0.3">
      <c r="A219" s="64"/>
      <c r="B219" s="64"/>
      <c r="C219" s="64"/>
      <c r="D219" s="64"/>
      <c r="E219" s="93"/>
      <c r="F219" s="93"/>
      <c r="G219" s="64"/>
      <c r="H219" s="64"/>
      <c r="I219" s="64"/>
      <c r="J219" s="94"/>
      <c r="K219" s="64"/>
      <c r="L219" s="64"/>
      <c r="M219" s="64"/>
      <c r="N219" s="64"/>
      <c r="O219" s="64"/>
      <c r="P219" s="64"/>
      <c r="Q219" s="64" t="str">
        <f>IFERROR(VLOOKUP('BMP P Tracking Table'!$P219,Dropdowns!$C$2:$E$15,3,FALSE),"")</f>
        <v/>
      </c>
      <c r="R219" s="64" t="str">
        <f>IFERROR(VLOOKUP('BMP P Tracking Table'!$Q219,Dropdowns!$P$3:$Q$23,2,FALSE),"")</f>
        <v/>
      </c>
      <c r="S219" s="64"/>
      <c r="T219" s="64"/>
      <c r="U219" s="64"/>
      <c r="V219" s="64"/>
      <c r="W219" s="64"/>
      <c r="X219" s="64"/>
      <c r="Y219" s="64"/>
      <c r="Z219" s="64"/>
      <c r="AA219" s="64"/>
      <c r="AB219" s="95"/>
      <c r="AC219" s="64"/>
      <c r="AD219" s="101" t="str">
        <f>IFERROR('BMP P Tracking Table'!$U219*VLOOKUP('BMP P Tracking Table'!$Q219,'Loading Rates'!$B$1:$L$24,4,FALSE)+IF('BMP P Tracking Table'!$V219="By HSG",'BMP P Tracking Table'!$W219*VLOOKUP('BMP P Tracking Table'!$Q219,'Loading Rates'!$B$1:$L$24,6,FALSE)+'BMP P Tracking Table'!$X219*VLOOKUP('BMP P Tracking Table'!$Q219,'Loading Rates'!$B$1:$L$24,7,FALSE)+'BMP P Tracking Table'!$Y219*VLOOKUP('BMP P Tracking Table'!$Q219,'Loading Rates'!$B$1:$L$24,8,FALSE)+'BMP P Tracking Table'!$Z219*VLOOKUP('BMP P Tracking Table'!$Q219,'Loading Rates'!$B$1:$L$24,9,FALSE),'BMP P Tracking Table'!$AA219*VLOOKUP('BMP P Tracking Table'!$Q219,'Loading Rates'!$B$1:$L$24,10,FALSE)),"")</f>
        <v/>
      </c>
      <c r="AE219" s="101" t="str">
        <f>IFERROR(MIN(2,IF('BMP P Tracking Table'!$V219="Total Pervious",(-(3630*'BMP P Tracking Table'!$U219+20.691*'BMP P Tracking Table'!$AA219)+SQRT((3630*'BMP P Tracking Table'!$U219+20.691*'BMP P Tracking Table'!$AA219)^2-(4*(996.798*'BMP P Tracking Table'!$AA219)*-'BMP P Tracking Table'!$AB219)))/(2*(996.798*'BMP P Tracking Table'!$AA219)),IF(SUM('BMP P Tracking Table'!$W219:$Z219)=0,'BMP P Tracking Table'!$AB219/(-3630*'BMP P Tracking Table'!$U219),(-(3630*'BMP P Tracking Table'!$U219+20.691*'BMP P Tracking Table'!$Z219-216.711*'BMP P Tracking Table'!$Y219-83.853*'BMP P Tracking Table'!$X219-42.834*'BMP P Tracking Table'!$W219)+SQRT((3630*'BMP P Tracking Table'!$U219+20.691*'BMP P Tracking Table'!$Z219-216.711*'BMP P Tracking Table'!$Y219-83.853*'BMP P Tracking Table'!$X219-42.834*'BMP P Tracking Table'!$W219)^2-(4*(149.919*'BMP P Tracking Table'!$W219+236.676*'BMP P Tracking Table'!$X219+726*'BMP P Tracking Table'!$Y219+996.798*'BMP P Tracking Table'!$Z219)*-'BMP P Tracking Table'!$AB219)))/(2*(149.919*'BMP P Tracking Table'!$W219+236.676*'BMP P Tracking Table'!$X219+726*'BMP P Tracking Table'!$Y219+996.798*'BMP P Tracking Table'!$Z219))))),"")</f>
        <v/>
      </c>
      <c r="AF219" s="101" t="str">
        <f>IFERROR((VLOOKUP(CONCATENATE('BMP P Tracking Table'!$T219," ",'BMP P Tracking Table'!$AC219),'Performance Curves'!$C$1:$L$45,MATCH('BMP P Tracking Table'!$AE219,'Performance Curves'!$E$1:$L$1,1)+2,FALSE)-VLOOKUP(CONCATENATE('BMP P Tracking Table'!$T219," ",'BMP P Tracking Table'!$AC219),'Performance Curves'!$C$1:$L$45,MATCH('BMP P Tracking Table'!$AE219,'Performance Curves'!$E$1:$L$1,1)+1,FALSE)),"")</f>
        <v/>
      </c>
      <c r="AG219" s="101" t="str">
        <f>IFERROR(('BMP P Tracking Table'!$AE219-INDEX('Performance Curves'!$E$1:$L$1,1,MATCH('BMP P Tracking Table'!$AE219,'Performance Curves'!$E$1:$L$1,1)))/(INDEX('Performance Curves'!$E$1:$L$1,1,MATCH('BMP P Tracking Table'!$AE219,'Performance Curves'!$E$1:$L$1,1)+1)-INDEX('Performance Curves'!$E$1:$L$1,1,MATCH('BMP P Tracking Table'!$AE219,'Performance Curves'!$E$1:$L$1,1))),"")</f>
        <v/>
      </c>
      <c r="AH219" s="102" t="str">
        <f>IFERROR(IF('BMP P Tracking Table'!$AE219=2,VLOOKUP(CONCATENATE('BMP P Tracking Table'!$T219," ",'BMP P Tracking Table'!$AC219),'Performance Curves'!$C$1:$L$45,MATCH('BMP P Tracking Table'!$AE219,'Performance Curves'!$E$1:$L$1,1)+1,FALSE),'BMP P Tracking Table'!$AF219*'BMP P Tracking Table'!$AG219+VLOOKUP(CONCATENATE('BMP P Tracking Table'!$T219," ",'BMP P Tracking Table'!$AC219),'Performance Curves'!$C$1:$L$45,MATCH('BMP P Tracking Table'!$AE219,'Performance Curves'!$E$1:$L$1,1)+1,FALSE)),"")</f>
        <v/>
      </c>
      <c r="AI219" s="101" t="str">
        <f>IFERROR('BMP P Tracking Table'!$AH219*'BMP P Tracking Table'!$AD219,"")</f>
        <v/>
      </c>
      <c r="AJ219" s="64"/>
      <c r="AK219" s="96"/>
      <c r="AL219" s="96"/>
      <c r="AM219" s="63"/>
      <c r="AN219" s="99" t="str">
        <f t="shared" si="18"/>
        <v/>
      </c>
      <c r="AO219" s="96"/>
      <c r="AP219" s="96"/>
      <c r="AQ219" s="96"/>
      <c r="AR219" s="96"/>
      <c r="AS219" s="96"/>
      <c r="AT219" s="96"/>
      <c r="AU219" s="96"/>
      <c r="AV219" s="64"/>
      <c r="AW219" s="97"/>
      <c r="AX219" s="97"/>
      <c r="AY219" s="101" t="str">
        <f>IF('BMP P Tracking Table'!$AK219="Yes",IF('BMP P Tracking Table'!$AL219="No",'BMP P Tracking Table'!$U219*VLOOKUP('BMP P Tracking Table'!$Q219,'Loading Rates'!$B$1:$L$24,4,FALSE)+IF('BMP P Tracking Table'!$V219="By HSG",'BMP P Tracking Table'!$W219*VLOOKUP('BMP P Tracking Table'!$Q219,'Loading Rates'!$B$1:$L$24,6,FALSE)+'BMP P Tracking Table'!$X219*VLOOKUP('BMP P Tracking Table'!$Q219,'Loading Rates'!$B$1:$L$24,7,FALSE)+'BMP P Tracking Table'!$Y219*VLOOKUP('BMP P Tracking Table'!$Q219,'Loading Rates'!$B$1:$L$24,8,FALSE)+'BMP P Tracking Table'!$Z219*VLOOKUP('BMP P Tracking Table'!$Q219,'Loading Rates'!$B$1:$L$24,9,FALSE),'BMP P Tracking Table'!$AA219*VLOOKUP('BMP P Tracking Table'!$Q219,'Loading Rates'!$B$1:$L$24,10,FALSE)),'BMP P Tracking Table'!$AO219*VLOOKUP('BMP P Tracking Table'!$Q219,'Loading Rates'!$B$1:$L$24,4,FALSE)+IF('BMP P Tracking Table'!$AP219="By HSG",'BMP P Tracking Table'!$AQ219*VLOOKUP('BMP P Tracking Table'!$Q219,'Loading Rates'!$B$1:$L$24,6,FALSE)+'BMP P Tracking Table'!$AR219*VLOOKUP('BMP P Tracking Table'!$Q219,'Loading Rates'!$B$1:$L$24,7,FALSE)+'BMP P Tracking Table'!$AS219*VLOOKUP('BMP P Tracking Table'!$Q219,'Loading Rates'!$B$1:$L$24,8,FALSE)+'BMP P Tracking Table'!$AT219*VLOOKUP('BMP P Tracking Table'!$Q219,'Loading Rates'!$B$1:$L$24,9,FALSE),'BMP P Tracking Table'!$AU219*VLOOKUP('BMP P Tracking Table'!$Q219,'Loading Rates'!$B$1:$L$24,10,FALSE))),"")</f>
        <v/>
      </c>
      <c r="AZ219" s="101" t="str">
        <f>IFERROR(IF('BMP P Tracking Table'!$AL219="Yes",MIN(2,IF('BMP P Tracking Table'!$AP219="Total Pervious",(-(3630*'BMP P Tracking Table'!$AO219+20.691*'BMP P Tracking Table'!$AU219)+SQRT((3630*'BMP P Tracking Table'!$AO219+20.691*'BMP P Tracking Table'!$AU219)^2-(4*(996.798*'BMP P Tracking Table'!$AU219)*-'BMP P Tracking Table'!$AW219)))/(2*(996.798*'BMP P Tracking Table'!$AU219)),IF(SUM('BMP P Tracking Table'!$AQ219:$AT219)=0,'BMP P Tracking Table'!$AU219/(-3630*'BMP P Tracking Table'!$AO219),(-(3630*'BMP P Tracking Table'!$AO219+20.691*'BMP P Tracking Table'!$AT219-216.711*'BMP P Tracking Table'!$AS219-83.853*'BMP P Tracking Table'!$AR219-42.834*'BMP P Tracking Table'!$AQ219)+SQRT((3630*'BMP P Tracking Table'!$AO219+20.691*'BMP P Tracking Table'!$AT219-216.711*'BMP P Tracking Table'!$AS219-83.853*'BMP P Tracking Table'!$AR219-42.834*'BMP P Tracking Table'!$AQ219)^2-(4*(149.919*'BMP P Tracking Table'!$AQ219+236.676*'BMP P Tracking Table'!$AR219+726*'BMP P Tracking Table'!$AS219+996.798*'BMP P Tracking Table'!$AT219)*-'BMP P Tracking Table'!$AW219)))/(2*(149.919*'BMP P Tracking Table'!$AQ219+236.676*'BMP P Tracking Table'!$AR219+726*'BMP P Tracking Table'!$AS219+996.798*'BMP P Tracking Table'!$AT219))))),MIN(2,IF('BMP P Tracking Table'!$AP219="Total Pervious",(-(3630*'BMP P Tracking Table'!$U219+20.691*'BMP P Tracking Table'!$AA219)+SQRT((3630*'BMP P Tracking Table'!$U219+20.691*'BMP P Tracking Table'!$AA219)^2-(4*(996.798*'BMP P Tracking Table'!$AA219)*-'BMP P Tracking Table'!$AW219)))/(2*(996.798*'BMP P Tracking Table'!$AA219)),IF(SUM('BMP P Tracking Table'!$W219:$Z219)=0,'BMP P Tracking Table'!$AW219/(-3630*'BMP P Tracking Table'!$U219),(-(3630*'BMP P Tracking Table'!$U219+20.691*'BMP P Tracking Table'!$Z219-216.711*'BMP P Tracking Table'!$Y219-83.853*'BMP P Tracking Table'!$X219-42.834*'BMP P Tracking Table'!$W219)+SQRT((3630*'BMP P Tracking Table'!$U219+20.691*'BMP P Tracking Table'!$Z219-216.711*'BMP P Tracking Table'!$Y219-83.853*'BMP P Tracking Table'!$X219-42.834*'BMP P Tracking Table'!$W219)^2-(4*(149.919*'BMP P Tracking Table'!$W219+236.676*'BMP P Tracking Table'!$X219+726*'BMP P Tracking Table'!$Y219+996.798*'BMP P Tracking Table'!$Z219)*-'BMP P Tracking Table'!$AW219)))/(2*(149.919*'BMP P Tracking Table'!$W219+236.676*'BMP P Tracking Table'!$X219+726*'BMP P Tracking Table'!$Y219+996.798*'BMP P Tracking Table'!$Z219)))))),"")</f>
        <v/>
      </c>
      <c r="BA219" s="101" t="str">
        <f>IFERROR((VLOOKUP(CONCATENATE('BMP P Tracking Table'!$AV219," ",'BMP P Tracking Table'!$AX219),'Performance Curves'!$C$1:$L$45,MATCH('BMP P Tracking Table'!$AZ219,'Performance Curves'!$E$1:$L$1,1)+2,FALSE)-VLOOKUP(CONCATENATE('BMP P Tracking Table'!$AV219," ",'BMP P Tracking Table'!$AX219),'Performance Curves'!$C$1:$L$45,MATCH('BMP P Tracking Table'!$AZ219,'Performance Curves'!$E$1:$L$1,1)+1,FALSE)),"")</f>
        <v/>
      </c>
      <c r="BB219" s="101" t="str">
        <f>IFERROR(('BMP P Tracking Table'!$AZ219-INDEX('Performance Curves'!$E$1:$L$1,1,MATCH('BMP P Tracking Table'!$AZ219,'Performance Curves'!$E$1:$L$1,1)))/(INDEX('Performance Curves'!$E$1:$L$1,1,MATCH('BMP P Tracking Table'!$AZ219,'Performance Curves'!$E$1:$L$1,1)+1)-INDEX('Performance Curves'!$E$1:$L$1,1,MATCH('BMP P Tracking Table'!$AZ219,'Performance Curves'!$E$1:$L$1,1))),"")</f>
        <v/>
      </c>
      <c r="BC219" s="102" t="str">
        <f>IFERROR(IF('BMP P Tracking Table'!$AZ219=2,VLOOKUP(CONCATENATE('BMP P Tracking Table'!$AV219," ",'BMP P Tracking Table'!$AX219),'Performance Curves'!$C$1:$L$44,MATCH('BMP P Tracking Table'!$AZ219,'Performance Curves'!$E$1:$L$1,1)+1,FALSE),'BMP P Tracking Table'!$BA219*'BMP P Tracking Table'!$BB219+VLOOKUP(CONCATENATE('BMP P Tracking Table'!$AV219," ",'BMP P Tracking Table'!$AX219),'Performance Curves'!$C$1:$L$44,MATCH('BMP P Tracking Table'!$AZ219,'Performance Curves'!$E$1:$L$1,1)+1,FALSE)),"")</f>
        <v/>
      </c>
      <c r="BD219" s="101" t="str">
        <f>IFERROR('BMP P Tracking Table'!$BC219*'BMP P Tracking Table'!$AY219,"")</f>
        <v/>
      </c>
      <c r="BE219" s="96"/>
      <c r="BF219" s="37">
        <f t="shared" si="17"/>
        <v>0</v>
      </c>
    </row>
    <row r="220" spans="1:58" x14ac:dyDescent="0.3">
      <c r="A220" s="64"/>
      <c r="B220" s="64"/>
      <c r="C220" s="64"/>
      <c r="D220" s="64"/>
      <c r="E220" s="93"/>
      <c r="F220" s="93"/>
      <c r="G220" s="64"/>
      <c r="H220" s="64"/>
      <c r="I220" s="64"/>
      <c r="J220" s="94"/>
      <c r="K220" s="64"/>
      <c r="L220" s="64"/>
      <c r="M220" s="64"/>
      <c r="N220" s="64"/>
      <c r="O220" s="64"/>
      <c r="P220" s="64"/>
      <c r="Q220" s="64" t="str">
        <f>IFERROR(VLOOKUP('BMP P Tracking Table'!$P220,Dropdowns!$C$2:$E$15,3,FALSE),"")</f>
        <v/>
      </c>
      <c r="R220" s="64" t="str">
        <f>IFERROR(VLOOKUP('BMP P Tracking Table'!$Q220,Dropdowns!$P$3:$Q$23,2,FALSE),"")</f>
        <v/>
      </c>
      <c r="S220" s="64"/>
      <c r="T220" s="64"/>
      <c r="U220" s="64"/>
      <c r="V220" s="64"/>
      <c r="W220" s="64"/>
      <c r="X220" s="64"/>
      <c r="Y220" s="64"/>
      <c r="Z220" s="64"/>
      <c r="AA220" s="64"/>
      <c r="AB220" s="95"/>
      <c r="AC220" s="64"/>
      <c r="AD220" s="101" t="str">
        <f>IFERROR('BMP P Tracking Table'!$U220*VLOOKUP('BMP P Tracking Table'!$Q220,'Loading Rates'!$B$1:$L$24,4,FALSE)+IF('BMP P Tracking Table'!$V220="By HSG",'BMP P Tracking Table'!$W220*VLOOKUP('BMP P Tracking Table'!$Q220,'Loading Rates'!$B$1:$L$24,6,FALSE)+'BMP P Tracking Table'!$X220*VLOOKUP('BMP P Tracking Table'!$Q220,'Loading Rates'!$B$1:$L$24,7,FALSE)+'BMP P Tracking Table'!$Y220*VLOOKUP('BMP P Tracking Table'!$Q220,'Loading Rates'!$B$1:$L$24,8,FALSE)+'BMP P Tracking Table'!$Z220*VLOOKUP('BMP P Tracking Table'!$Q220,'Loading Rates'!$B$1:$L$24,9,FALSE),'BMP P Tracking Table'!$AA220*VLOOKUP('BMP P Tracking Table'!$Q220,'Loading Rates'!$B$1:$L$24,10,FALSE)),"")</f>
        <v/>
      </c>
      <c r="AE220" s="101" t="str">
        <f>IFERROR(MIN(2,IF('BMP P Tracking Table'!$V220="Total Pervious",(-(3630*'BMP P Tracking Table'!$U220+20.691*'BMP P Tracking Table'!$AA220)+SQRT((3630*'BMP P Tracking Table'!$U220+20.691*'BMP P Tracking Table'!$AA220)^2-(4*(996.798*'BMP P Tracking Table'!$AA220)*-'BMP P Tracking Table'!$AB220)))/(2*(996.798*'BMP P Tracking Table'!$AA220)),IF(SUM('BMP P Tracking Table'!$W220:$Z220)=0,'BMP P Tracking Table'!$AB220/(-3630*'BMP P Tracking Table'!$U220),(-(3630*'BMP P Tracking Table'!$U220+20.691*'BMP P Tracking Table'!$Z220-216.711*'BMP P Tracking Table'!$Y220-83.853*'BMP P Tracking Table'!$X220-42.834*'BMP P Tracking Table'!$W220)+SQRT((3630*'BMP P Tracking Table'!$U220+20.691*'BMP P Tracking Table'!$Z220-216.711*'BMP P Tracking Table'!$Y220-83.853*'BMP P Tracking Table'!$X220-42.834*'BMP P Tracking Table'!$W220)^2-(4*(149.919*'BMP P Tracking Table'!$W220+236.676*'BMP P Tracking Table'!$X220+726*'BMP P Tracking Table'!$Y220+996.798*'BMP P Tracking Table'!$Z220)*-'BMP P Tracking Table'!$AB220)))/(2*(149.919*'BMP P Tracking Table'!$W220+236.676*'BMP P Tracking Table'!$X220+726*'BMP P Tracking Table'!$Y220+996.798*'BMP P Tracking Table'!$Z220))))),"")</f>
        <v/>
      </c>
      <c r="AF220" s="101" t="str">
        <f>IFERROR((VLOOKUP(CONCATENATE('BMP P Tracking Table'!$T220," ",'BMP P Tracking Table'!$AC220),'Performance Curves'!$C$1:$L$45,MATCH('BMP P Tracking Table'!$AE220,'Performance Curves'!$E$1:$L$1,1)+2,FALSE)-VLOOKUP(CONCATENATE('BMP P Tracking Table'!$T220," ",'BMP P Tracking Table'!$AC220),'Performance Curves'!$C$1:$L$45,MATCH('BMP P Tracking Table'!$AE220,'Performance Curves'!$E$1:$L$1,1)+1,FALSE)),"")</f>
        <v/>
      </c>
      <c r="AG220" s="101" t="str">
        <f>IFERROR(('BMP P Tracking Table'!$AE220-INDEX('Performance Curves'!$E$1:$L$1,1,MATCH('BMP P Tracking Table'!$AE220,'Performance Curves'!$E$1:$L$1,1)))/(INDEX('Performance Curves'!$E$1:$L$1,1,MATCH('BMP P Tracking Table'!$AE220,'Performance Curves'!$E$1:$L$1,1)+1)-INDEX('Performance Curves'!$E$1:$L$1,1,MATCH('BMP P Tracking Table'!$AE220,'Performance Curves'!$E$1:$L$1,1))),"")</f>
        <v/>
      </c>
      <c r="AH220" s="102" t="str">
        <f>IFERROR(IF('BMP P Tracking Table'!$AE220=2,VLOOKUP(CONCATENATE('BMP P Tracking Table'!$T220," ",'BMP P Tracking Table'!$AC220),'Performance Curves'!$C$1:$L$45,MATCH('BMP P Tracking Table'!$AE220,'Performance Curves'!$E$1:$L$1,1)+1,FALSE),'BMP P Tracking Table'!$AF220*'BMP P Tracking Table'!$AG220+VLOOKUP(CONCATENATE('BMP P Tracking Table'!$T220," ",'BMP P Tracking Table'!$AC220),'Performance Curves'!$C$1:$L$45,MATCH('BMP P Tracking Table'!$AE220,'Performance Curves'!$E$1:$L$1,1)+1,FALSE)),"")</f>
        <v/>
      </c>
      <c r="AI220" s="101" t="str">
        <f>IFERROR('BMP P Tracking Table'!$AH220*'BMP P Tracking Table'!$AD220,"")</f>
        <v/>
      </c>
      <c r="AJ220" s="64"/>
      <c r="AK220" s="96"/>
      <c r="AL220" s="96"/>
      <c r="AM220" s="63"/>
      <c r="AN220" s="99" t="str">
        <f t="shared" si="18"/>
        <v/>
      </c>
      <c r="AO220" s="96"/>
      <c r="AP220" s="96"/>
      <c r="AQ220" s="96"/>
      <c r="AR220" s="96"/>
      <c r="AS220" s="96"/>
      <c r="AT220" s="96"/>
      <c r="AU220" s="96"/>
      <c r="AV220" s="64"/>
      <c r="AW220" s="97"/>
      <c r="AX220" s="97"/>
      <c r="AY220" s="101" t="str">
        <f>IF('BMP P Tracking Table'!$AK220="Yes",IF('BMP P Tracking Table'!$AL220="No",'BMP P Tracking Table'!$U220*VLOOKUP('BMP P Tracking Table'!$Q220,'Loading Rates'!$B$1:$L$24,4,FALSE)+IF('BMP P Tracking Table'!$V220="By HSG",'BMP P Tracking Table'!$W220*VLOOKUP('BMP P Tracking Table'!$Q220,'Loading Rates'!$B$1:$L$24,6,FALSE)+'BMP P Tracking Table'!$X220*VLOOKUP('BMP P Tracking Table'!$Q220,'Loading Rates'!$B$1:$L$24,7,FALSE)+'BMP P Tracking Table'!$Y220*VLOOKUP('BMP P Tracking Table'!$Q220,'Loading Rates'!$B$1:$L$24,8,FALSE)+'BMP P Tracking Table'!$Z220*VLOOKUP('BMP P Tracking Table'!$Q220,'Loading Rates'!$B$1:$L$24,9,FALSE),'BMP P Tracking Table'!$AA220*VLOOKUP('BMP P Tracking Table'!$Q220,'Loading Rates'!$B$1:$L$24,10,FALSE)),'BMP P Tracking Table'!$AO220*VLOOKUP('BMP P Tracking Table'!$Q220,'Loading Rates'!$B$1:$L$24,4,FALSE)+IF('BMP P Tracking Table'!$AP220="By HSG",'BMP P Tracking Table'!$AQ220*VLOOKUP('BMP P Tracking Table'!$Q220,'Loading Rates'!$B$1:$L$24,6,FALSE)+'BMP P Tracking Table'!$AR220*VLOOKUP('BMP P Tracking Table'!$Q220,'Loading Rates'!$B$1:$L$24,7,FALSE)+'BMP P Tracking Table'!$AS220*VLOOKUP('BMP P Tracking Table'!$Q220,'Loading Rates'!$B$1:$L$24,8,FALSE)+'BMP P Tracking Table'!$AT220*VLOOKUP('BMP P Tracking Table'!$Q220,'Loading Rates'!$B$1:$L$24,9,FALSE),'BMP P Tracking Table'!$AU220*VLOOKUP('BMP P Tracking Table'!$Q220,'Loading Rates'!$B$1:$L$24,10,FALSE))),"")</f>
        <v/>
      </c>
      <c r="AZ220" s="101" t="str">
        <f>IFERROR(IF('BMP P Tracking Table'!$AL220="Yes",MIN(2,IF('BMP P Tracking Table'!$AP220="Total Pervious",(-(3630*'BMP P Tracking Table'!$AO220+20.691*'BMP P Tracking Table'!$AU220)+SQRT((3630*'BMP P Tracking Table'!$AO220+20.691*'BMP P Tracking Table'!$AU220)^2-(4*(996.798*'BMP P Tracking Table'!$AU220)*-'BMP P Tracking Table'!$AW220)))/(2*(996.798*'BMP P Tracking Table'!$AU220)),IF(SUM('BMP P Tracking Table'!$AQ220:$AT220)=0,'BMP P Tracking Table'!$AU220/(-3630*'BMP P Tracking Table'!$AO220),(-(3630*'BMP P Tracking Table'!$AO220+20.691*'BMP P Tracking Table'!$AT220-216.711*'BMP P Tracking Table'!$AS220-83.853*'BMP P Tracking Table'!$AR220-42.834*'BMP P Tracking Table'!$AQ220)+SQRT((3630*'BMP P Tracking Table'!$AO220+20.691*'BMP P Tracking Table'!$AT220-216.711*'BMP P Tracking Table'!$AS220-83.853*'BMP P Tracking Table'!$AR220-42.834*'BMP P Tracking Table'!$AQ220)^2-(4*(149.919*'BMP P Tracking Table'!$AQ220+236.676*'BMP P Tracking Table'!$AR220+726*'BMP P Tracking Table'!$AS220+996.798*'BMP P Tracking Table'!$AT220)*-'BMP P Tracking Table'!$AW220)))/(2*(149.919*'BMP P Tracking Table'!$AQ220+236.676*'BMP P Tracking Table'!$AR220+726*'BMP P Tracking Table'!$AS220+996.798*'BMP P Tracking Table'!$AT220))))),MIN(2,IF('BMP P Tracking Table'!$AP220="Total Pervious",(-(3630*'BMP P Tracking Table'!$U220+20.691*'BMP P Tracking Table'!$AA220)+SQRT((3630*'BMP P Tracking Table'!$U220+20.691*'BMP P Tracking Table'!$AA220)^2-(4*(996.798*'BMP P Tracking Table'!$AA220)*-'BMP P Tracking Table'!$AW220)))/(2*(996.798*'BMP P Tracking Table'!$AA220)),IF(SUM('BMP P Tracking Table'!$W220:$Z220)=0,'BMP P Tracking Table'!$AW220/(-3630*'BMP P Tracking Table'!$U220),(-(3630*'BMP P Tracking Table'!$U220+20.691*'BMP P Tracking Table'!$Z220-216.711*'BMP P Tracking Table'!$Y220-83.853*'BMP P Tracking Table'!$X220-42.834*'BMP P Tracking Table'!$W220)+SQRT((3630*'BMP P Tracking Table'!$U220+20.691*'BMP P Tracking Table'!$Z220-216.711*'BMP P Tracking Table'!$Y220-83.853*'BMP P Tracking Table'!$X220-42.834*'BMP P Tracking Table'!$W220)^2-(4*(149.919*'BMP P Tracking Table'!$W220+236.676*'BMP P Tracking Table'!$X220+726*'BMP P Tracking Table'!$Y220+996.798*'BMP P Tracking Table'!$Z220)*-'BMP P Tracking Table'!$AW220)))/(2*(149.919*'BMP P Tracking Table'!$W220+236.676*'BMP P Tracking Table'!$X220+726*'BMP P Tracking Table'!$Y220+996.798*'BMP P Tracking Table'!$Z220)))))),"")</f>
        <v/>
      </c>
      <c r="BA220" s="101" t="str">
        <f>IFERROR((VLOOKUP(CONCATENATE('BMP P Tracking Table'!$AV220," ",'BMP P Tracking Table'!$AX220),'Performance Curves'!$C$1:$L$45,MATCH('BMP P Tracking Table'!$AZ220,'Performance Curves'!$E$1:$L$1,1)+2,FALSE)-VLOOKUP(CONCATENATE('BMP P Tracking Table'!$AV220," ",'BMP P Tracking Table'!$AX220),'Performance Curves'!$C$1:$L$45,MATCH('BMP P Tracking Table'!$AZ220,'Performance Curves'!$E$1:$L$1,1)+1,FALSE)),"")</f>
        <v/>
      </c>
      <c r="BB220" s="101" t="str">
        <f>IFERROR(('BMP P Tracking Table'!$AZ220-INDEX('Performance Curves'!$E$1:$L$1,1,MATCH('BMP P Tracking Table'!$AZ220,'Performance Curves'!$E$1:$L$1,1)))/(INDEX('Performance Curves'!$E$1:$L$1,1,MATCH('BMP P Tracking Table'!$AZ220,'Performance Curves'!$E$1:$L$1,1)+1)-INDEX('Performance Curves'!$E$1:$L$1,1,MATCH('BMP P Tracking Table'!$AZ220,'Performance Curves'!$E$1:$L$1,1))),"")</f>
        <v/>
      </c>
      <c r="BC220" s="102" t="str">
        <f>IFERROR(IF('BMP P Tracking Table'!$AZ220=2,VLOOKUP(CONCATENATE('BMP P Tracking Table'!$AV220," ",'BMP P Tracking Table'!$AX220),'Performance Curves'!$C$1:$L$44,MATCH('BMP P Tracking Table'!$AZ220,'Performance Curves'!$E$1:$L$1,1)+1,FALSE),'BMP P Tracking Table'!$BA220*'BMP P Tracking Table'!$BB220+VLOOKUP(CONCATENATE('BMP P Tracking Table'!$AV220," ",'BMP P Tracking Table'!$AX220),'Performance Curves'!$C$1:$L$44,MATCH('BMP P Tracking Table'!$AZ220,'Performance Curves'!$E$1:$L$1,1)+1,FALSE)),"")</f>
        <v/>
      </c>
      <c r="BD220" s="101" t="str">
        <f>IFERROR('BMP P Tracking Table'!$BC220*'BMP P Tracking Table'!$AY220,"")</f>
        <v/>
      </c>
      <c r="BE220" s="96"/>
      <c r="BF220" s="37">
        <f t="shared" ref="BF220:BF283" si="19">IFERROR(BD220+BE220,0)</f>
        <v>0</v>
      </c>
    </row>
    <row r="221" spans="1:58" x14ac:dyDescent="0.3">
      <c r="A221" s="64"/>
      <c r="B221" s="64"/>
      <c r="C221" s="64"/>
      <c r="D221" s="64"/>
      <c r="E221" s="93"/>
      <c r="F221" s="93"/>
      <c r="G221" s="64"/>
      <c r="H221" s="64"/>
      <c r="I221" s="64"/>
      <c r="J221" s="94"/>
      <c r="K221" s="64"/>
      <c r="L221" s="64"/>
      <c r="M221" s="64"/>
      <c r="N221" s="64"/>
      <c r="O221" s="64"/>
      <c r="P221" s="64"/>
      <c r="Q221" s="64" t="str">
        <f>IFERROR(VLOOKUP('BMP P Tracking Table'!$P221,Dropdowns!$C$2:$E$15,3,FALSE),"")</f>
        <v/>
      </c>
      <c r="R221" s="64" t="str">
        <f>IFERROR(VLOOKUP('BMP P Tracking Table'!$Q221,Dropdowns!$P$3:$Q$23,2,FALSE),"")</f>
        <v/>
      </c>
      <c r="S221" s="64"/>
      <c r="T221" s="64"/>
      <c r="U221" s="64"/>
      <c r="V221" s="64"/>
      <c r="W221" s="64"/>
      <c r="X221" s="64"/>
      <c r="Y221" s="64"/>
      <c r="Z221" s="64"/>
      <c r="AA221" s="64"/>
      <c r="AB221" s="95"/>
      <c r="AC221" s="64"/>
      <c r="AD221" s="101" t="str">
        <f>IFERROR('BMP P Tracking Table'!$U221*VLOOKUP('BMP P Tracking Table'!$Q221,'Loading Rates'!$B$1:$L$24,4,FALSE)+IF('BMP P Tracking Table'!$V221="By HSG",'BMP P Tracking Table'!$W221*VLOOKUP('BMP P Tracking Table'!$Q221,'Loading Rates'!$B$1:$L$24,6,FALSE)+'BMP P Tracking Table'!$X221*VLOOKUP('BMP P Tracking Table'!$Q221,'Loading Rates'!$B$1:$L$24,7,FALSE)+'BMP P Tracking Table'!$Y221*VLOOKUP('BMP P Tracking Table'!$Q221,'Loading Rates'!$B$1:$L$24,8,FALSE)+'BMP P Tracking Table'!$Z221*VLOOKUP('BMP P Tracking Table'!$Q221,'Loading Rates'!$B$1:$L$24,9,FALSE),'BMP P Tracking Table'!$AA221*VLOOKUP('BMP P Tracking Table'!$Q221,'Loading Rates'!$B$1:$L$24,10,FALSE)),"")</f>
        <v/>
      </c>
      <c r="AE221" s="101" t="str">
        <f>IFERROR(MIN(2,IF('BMP P Tracking Table'!$V221="Total Pervious",(-(3630*'BMP P Tracking Table'!$U221+20.691*'BMP P Tracking Table'!$AA221)+SQRT((3630*'BMP P Tracking Table'!$U221+20.691*'BMP P Tracking Table'!$AA221)^2-(4*(996.798*'BMP P Tracking Table'!$AA221)*-'BMP P Tracking Table'!$AB221)))/(2*(996.798*'BMP P Tracking Table'!$AA221)),IF(SUM('BMP P Tracking Table'!$W221:$Z221)=0,'BMP P Tracking Table'!$AB221/(-3630*'BMP P Tracking Table'!$U221),(-(3630*'BMP P Tracking Table'!$U221+20.691*'BMP P Tracking Table'!$Z221-216.711*'BMP P Tracking Table'!$Y221-83.853*'BMP P Tracking Table'!$X221-42.834*'BMP P Tracking Table'!$W221)+SQRT((3630*'BMP P Tracking Table'!$U221+20.691*'BMP P Tracking Table'!$Z221-216.711*'BMP P Tracking Table'!$Y221-83.853*'BMP P Tracking Table'!$X221-42.834*'BMP P Tracking Table'!$W221)^2-(4*(149.919*'BMP P Tracking Table'!$W221+236.676*'BMP P Tracking Table'!$X221+726*'BMP P Tracking Table'!$Y221+996.798*'BMP P Tracking Table'!$Z221)*-'BMP P Tracking Table'!$AB221)))/(2*(149.919*'BMP P Tracking Table'!$W221+236.676*'BMP P Tracking Table'!$X221+726*'BMP P Tracking Table'!$Y221+996.798*'BMP P Tracking Table'!$Z221))))),"")</f>
        <v/>
      </c>
      <c r="AF221" s="101" t="str">
        <f>IFERROR((VLOOKUP(CONCATENATE('BMP P Tracking Table'!$T221," ",'BMP P Tracking Table'!$AC221),'Performance Curves'!$C$1:$L$45,MATCH('BMP P Tracking Table'!$AE221,'Performance Curves'!$E$1:$L$1,1)+2,FALSE)-VLOOKUP(CONCATENATE('BMP P Tracking Table'!$T221," ",'BMP P Tracking Table'!$AC221),'Performance Curves'!$C$1:$L$45,MATCH('BMP P Tracking Table'!$AE221,'Performance Curves'!$E$1:$L$1,1)+1,FALSE)),"")</f>
        <v/>
      </c>
      <c r="AG221" s="101" t="str">
        <f>IFERROR(('BMP P Tracking Table'!$AE221-INDEX('Performance Curves'!$E$1:$L$1,1,MATCH('BMP P Tracking Table'!$AE221,'Performance Curves'!$E$1:$L$1,1)))/(INDEX('Performance Curves'!$E$1:$L$1,1,MATCH('BMP P Tracking Table'!$AE221,'Performance Curves'!$E$1:$L$1,1)+1)-INDEX('Performance Curves'!$E$1:$L$1,1,MATCH('BMP P Tracking Table'!$AE221,'Performance Curves'!$E$1:$L$1,1))),"")</f>
        <v/>
      </c>
      <c r="AH221" s="102" t="str">
        <f>IFERROR(IF('BMP P Tracking Table'!$AE221=2,VLOOKUP(CONCATENATE('BMP P Tracking Table'!$T221," ",'BMP P Tracking Table'!$AC221),'Performance Curves'!$C$1:$L$45,MATCH('BMP P Tracking Table'!$AE221,'Performance Curves'!$E$1:$L$1,1)+1,FALSE),'BMP P Tracking Table'!$AF221*'BMP P Tracking Table'!$AG221+VLOOKUP(CONCATENATE('BMP P Tracking Table'!$T221," ",'BMP P Tracking Table'!$AC221),'Performance Curves'!$C$1:$L$45,MATCH('BMP P Tracking Table'!$AE221,'Performance Curves'!$E$1:$L$1,1)+1,FALSE)),"")</f>
        <v/>
      </c>
      <c r="AI221" s="101" t="str">
        <f>IFERROR('BMP P Tracking Table'!$AH221*'BMP P Tracking Table'!$AD221,"")</f>
        <v/>
      </c>
      <c r="AJ221" s="64"/>
      <c r="AK221" s="96"/>
      <c r="AL221" s="96"/>
      <c r="AM221" s="63"/>
      <c r="AN221" s="99" t="str">
        <f t="shared" si="18"/>
        <v/>
      </c>
      <c r="AO221" s="96"/>
      <c r="AP221" s="96"/>
      <c r="AQ221" s="96"/>
      <c r="AR221" s="96"/>
      <c r="AS221" s="96"/>
      <c r="AT221" s="96"/>
      <c r="AU221" s="96"/>
      <c r="AV221" s="64"/>
      <c r="AW221" s="97"/>
      <c r="AX221" s="97"/>
      <c r="AY221" s="101" t="str">
        <f>IF('BMP P Tracking Table'!$AK221="Yes",IF('BMP P Tracking Table'!$AL221="No",'BMP P Tracking Table'!$U221*VLOOKUP('BMP P Tracking Table'!$Q221,'Loading Rates'!$B$1:$L$24,4,FALSE)+IF('BMP P Tracking Table'!$V221="By HSG",'BMP P Tracking Table'!$W221*VLOOKUP('BMP P Tracking Table'!$Q221,'Loading Rates'!$B$1:$L$24,6,FALSE)+'BMP P Tracking Table'!$X221*VLOOKUP('BMP P Tracking Table'!$Q221,'Loading Rates'!$B$1:$L$24,7,FALSE)+'BMP P Tracking Table'!$Y221*VLOOKUP('BMP P Tracking Table'!$Q221,'Loading Rates'!$B$1:$L$24,8,FALSE)+'BMP P Tracking Table'!$Z221*VLOOKUP('BMP P Tracking Table'!$Q221,'Loading Rates'!$B$1:$L$24,9,FALSE),'BMP P Tracking Table'!$AA221*VLOOKUP('BMP P Tracking Table'!$Q221,'Loading Rates'!$B$1:$L$24,10,FALSE)),'BMP P Tracking Table'!$AO221*VLOOKUP('BMP P Tracking Table'!$Q221,'Loading Rates'!$B$1:$L$24,4,FALSE)+IF('BMP P Tracking Table'!$AP221="By HSG",'BMP P Tracking Table'!$AQ221*VLOOKUP('BMP P Tracking Table'!$Q221,'Loading Rates'!$B$1:$L$24,6,FALSE)+'BMP P Tracking Table'!$AR221*VLOOKUP('BMP P Tracking Table'!$Q221,'Loading Rates'!$B$1:$L$24,7,FALSE)+'BMP P Tracking Table'!$AS221*VLOOKUP('BMP P Tracking Table'!$Q221,'Loading Rates'!$B$1:$L$24,8,FALSE)+'BMP P Tracking Table'!$AT221*VLOOKUP('BMP P Tracking Table'!$Q221,'Loading Rates'!$B$1:$L$24,9,FALSE),'BMP P Tracking Table'!$AU221*VLOOKUP('BMP P Tracking Table'!$Q221,'Loading Rates'!$B$1:$L$24,10,FALSE))),"")</f>
        <v/>
      </c>
      <c r="AZ221" s="101" t="str">
        <f>IFERROR(IF('BMP P Tracking Table'!$AL221="Yes",MIN(2,IF('BMP P Tracking Table'!$AP221="Total Pervious",(-(3630*'BMP P Tracking Table'!$AO221+20.691*'BMP P Tracking Table'!$AU221)+SQRT((3630*'BMP P Tracking Table'!$AO221+20.691*'BMP P Tracking Table'!$AU221)^2-(4*(996.798*'BMP P Tracking Table'!$AU221)*-'BMP P Tracking Table'!$AW221)))/(2*(996.798*'BMP P Tracking Table'!$AU221)),IF(SUM('BMP P Tracking Table'!$AQ221:$AT221)=0,'BMP P Tracking Table'!$AU221/(-3630*'BMP P Tracking Table'!$AO221),(-(3630*'BMP P Tracking Table'!$AO221+20.691*'BMP P Tracking Table'!$AT221-216.711*'BMP P Tracking Table'!$AS221-83.853*'BMP P Tracking Table'!$AR221-42.834*'BMP P Tracking Table'!$AQ221)+SQRT((3630*'BMP P Tracking Table'!$AO221+20.691*'BMP P Tracking Table'!$AT221-216.711*'BMP P Tracking Table'!$AS221-83.853*'BMP P Tracking Table'!$AR221-42.834*'BMP P Tracking Table'!$AQ221)^2-(4*(149.919*'BMP P Tracking Table'!$AQ221+236.676*'BMP P Tracking Table'!$AR221+726*'BMP P Tracking Table'!$AS221+996.798*'BMP P Tracking Table'!$AT221)*-'BMP P Tracking Table'!$AW221)))/(2*(149.919*'BMP P Tracking Table'!$AQ221+236.676*'BMP P Tracking Table'!$AR221+726*'BMP P Tracking Table'!$AS221+996.798*'BMP P Tracking Table'!$AT221))))),MIN(2,IF('BMP P Tracking Table'!$AP221="Total Pervious",(-(3630*'BMP P Tracking Table'!$U221+20.691*'BMP P Tracking Table'!$AA221)+SQRT((3630*'BMP P Tracking Table'!$U221+20.691*'BMP P Tracking Table'!$AA221)^2-(4*(996.798*'BMP P Tracking Table'!$AA221)*-'BMP P Tracking Table'!$AW221)))/(2*(996.798*'BMP P Tracking Table'!$AA221)),IF(SUM('BMP P Tracking Table'!$W221:$Z221)=0,'BMP P Tracking Table'!$AW221/(-3630*'BMP P Tracking Table'!$U221),(-(3630*'BMP P Tracking Table'!$U221+20.691*'BMP P Tracking Table'!$Z221-216.711*'BMP P Tracking Table'!$Y221-83.853*'BMP P Tracking Table'!$X221-42.834*'BMP P Tracking Table'!$W221)+SQRT((3630*'BMP P Tracking Table'!$U221+20.691*'BMP P Tracking Table'!$Z221-216.711*'BMP P Tracking Table'!$Y221-83.853*'BMP P Tracking Table'!$X221-42.834*'BMP P Tracking Table'!$W221)^2-(4*(149.919*'BMP P Tracking Table'!$W221+236.676*'BMP P Tracking Table'!$X221+726*'BMP P Tracking Table'!$Y221+996.798*'BMP P Tracking Table'!$Z221)*-'BMP P Tracking Table'!$AW221)))/(2*(149.919*'BMP P Tracking Table'!$W221+236.676*'BMP P Tracking Table'!$X221+726*'BMP P Tracking Table'!$Y221+996.798*'BMP P Tracking Table'!$Z221)))))),"")</f>
        <v/>
      </c>
      <c r="BA221" s="101" t="str">
        <f>IFERROR((VLOOKUP(CONCATENATE('BMP P Tracking Table'!$AV221," ",'BMP P Tracking Table'!$AX221),'Performance Curves'!$C$1:$L$45,MATCH('BMP P Tracking Table'!$AZ221,'Performance Curves'!$E$1:$L$1,1)+2,FALSE)-VLOOKUP(CONCATENATE('BMP P Tracking Table'!$AV221," ",'BMP P Tracking Table'!$AX221),'Performance Curves'!$C$1:$L$45,MATCH('BMP P Tracking Table'!$AZ221,'Performance Curves'!$E$1:$L$1,1)+1,FALSE)),"")</f>
        <v/>
      </c>
      <c r="BB221" s="101" t="str">
        <f>IFERROR(('BMP P Tracking Table'!$AZ221-INDEX('Performance Curves'!$E$1:$L$1,1,MATCH('BMP P Tracking Table'!$AZ221,'Performance Curves'!$E$1:$L$1,1)))/(INDEX('Performance Curves'!$E$1:$L$1,1,MATCH('BMP P Tracking Table'!$AZ221,'Performance Curves'!$E$1:$L$1,1)+1)-INDEX('Performance Curves'!$E$1:$L$1,1,MATCH('BMP P Tracking Table'!$AZ221,'Performance Curves'!$E$1:$L$1,1))),"")</f>
        <v/>
      </c>
      <c r="BC221" s="102" t="str">
        <f>IFERROR(IF('BMP P Tracking Table'!$AZ221=2,VLOOKUP(CONCATENATE('BMP P Tracking Table'!$AV221," ",'BMP P Tracking Table'!$AX221),'Performance Curves'!$C$1:$L$44,MATCH('BMP P Tracking Table'!$AZ221,'Performance Curves'!$E$1:$L$1,1)+1,FALSE),'BMP P Tracking Table'!$BA221*'BMP P Tracking Table'!$BB221+VLOOKUP(CONCATENATE('BMP P Tracking Table'!$AV221," ",'BMP P Tracking Table'!$AX221),'Performance Curves'!$C$1:$L$44,MATCH('BMP P Tracking Table'!$AZ221,'Performance Curves'!$E$1:$L$1,1)+1,FALSE)),"")</f>
        <v/>
      </c>
      <c r="BD221" s="101" t="str">
        <f>IFERROR('BMP P Tracking Table'!$BC221*'BMP P Tracking Table'!$AY221,"")</f>
        <v/>
      </c>
      <c r="BE221" s="91"/>
      <c r="BF221" s="37">
        <f t="shared" si="19"/>
        <v>0</v>
      </c>
    </row>
    <row r="222" spans="1:58" x14ac:dyDescent="0.3">
      <c r="A222" s="64"/>
      <c r="B222" s="64"/>
      <c r="C222" s="64"/>
      <c r="D222" s="64"/>
      <c r="E222" s="93"/>
      <c r="F222" s="93"/>
      <c r="G222" s="64"/>
      <c r="H222" s="64"/>
      <c r="I222" s="64"/>
      <c r="J222" s="94"/>
      <c r="K222" s="64"/>
      <c r="L222" s="64"/>
      <c r="M222" s="64"/>
      <c r="N222" s="64"/>
      <c r="O222" s="64"/>
      <c r="P222" s="64"/>
      <c r="Q222" s="64" t="str">
        <f>IFERROR(VLOOKUP('BMP P Tracking Table'!$P222,Dropdowns!$C$2:$E$15,3,FALSE),"")</f>
        <v/>
      </c>
      <c r="R222" s="64" t="str">
        <f>IFERROR(VLOOKUP('BMP P Tracking Table'!$Q222,Dropdowns!$P$3:$Q$23,2,FALSE),"")</f>
        <v/>
      </c>
      <c r="S222" s="64"/>
      <c r="T222" s="64"/>
      <c r="U222" s="64"/>
      <c r="V222" s="64"/>
      <c r="W222" s="64"/>
      <c r="X222" s="64"/>
      <c r="Y222" s="64"/>
      <c r="Z222" s="64"/>
      <c r="AA222" s="64"/>
      <c r="AB222" s="95"/>
      <c r="AC222" s="64"/>
      <c r="AD222" s="101" t="str">
        <f>IFERROR('BMP P Tracking Table'!$U222*VLOOKUP('BMP P Tracking Table'!$Q222,'Loading Rates'!$B$1:$L$24,4,FALSE)+IF('BMP P Tracking Table'!$V222="By HSG",'BMP P Tracking Table'!$W222*VLOOKUP('BMP P Tracking Table'!$Q222,'Loading Rates'!$B$1:$L$24,6,FALSE)+'BMP P Tracking Table'!$X222*VLOOKUP('BMP P Tracking Table'!$Q222,'Loading Rates'!$B$1:$L$24,7,FALSE)+'BMP P Tracking Table'!$Y222*VLOOKUP('BMP P Tracking Table'!$Q222,'Loading Rates'!$B$1:$L$24,8,FALSE)+'BMP P Tracking Table'!$Z222*VLOOKUP('BMP P Tracking Table'!$Q222,'Loading Rates'!$B$1:$L$24,9,FALSE),'BMP P Tracking Table'!$AA222*VLOOKUP('BMP P Tracking Table'!$Q222,'Loading Rates'!$B$1:$L$24,10,FALSE)),"")</f>
        <v/>
      </c>
      <c r="AE222" s="101" t="str">
        <f>IFERROR(MIN(2,IF('BMP P Tracking Table'!$V222="Total Pervious",(-(3630*'BMP P Tracking Table'!$U222+20.691*'BMP P Tracking Table'!$AA222)+SQRT((3630*'BMP P Tracking Table'!$U222+20.691*'BMP P Tracking Table'!$AA222)^2-(4*(996.798*'BMP P Tracking Table'!$AA222)*-'BMP P Tracking Table'!$AB222)))/(2*(996.798*'BMP P Tracking Table'!$AA222)),IF(SUM('BMP P Tracking Table'!$W222:$Z222)=0,'BMP P Tracking Table'!$AB222/(-3630*'BMP P Tracking Table'!$U222),(-(3630*'BMP P Tracking Table'!$U222+20.691*'BMP P Tracking Table'!$Z222-216.711*'BMP P Tracking Table'!$Y222-83.853*'BMP P Tracking Table'!$X222-42.834*'BMP P Tracking Table'!$W222)+SQRT((3630*'BMP P Tracking Table'!$U222+20.691*'BMP P Tracking Table'!$Z222-216.711*'BMP P Tracking Table'!$Y222-83.853*'BMP P Tracking Table'!$X222-42.834*'BMP P Tracking Table'!$W222)^2-(4*(149.919*'BMP P Tracking Table'!$W222+236.676*'BMP P Tracking Table'!$X222+726*'BMP P Tracking Table'!$Y222+996.798*'BMP P Tracking Table'!$Z222)*-'BMP P Tracking Table'!$AB222)))/(2*(149.919*'BMP P Tracking Table'!$W222+236.676*'BMP P Tracking Table'!$X222+726*'BMP P Tracking Table'!$Y222+996.798*'BMP P Tracking Table'!$Z222))))),"")</f>
        <v/>
      </c>
      <c r="AF222" s="101" t="str">
        <f>IFERROR((VLOOKUP(CONCATENATE('BMP P Tracking Table'!$T222," ",'BMP P Tracking Table'!$AC222),'Performance Curves'!$C$1:$L$45,MATCH('BMP P Tracking Table'!$AE222,'Performance Curves'!$E$1:$L$1,1)+2,FALSE)-VLOOKUP(CONCATENATE('BMP P Tracking Table'!$T222," ",'BMP P Tracking Table'!$AC222),'Performance Curves'!$C$1:$L$45,MATCH('BMP P Tracking Table'!$AE222,'Performance Curves'!$E$1:$L$1,1)+1,FALSE)),"")</f>
        <v/>
      </c>
      <c r="AG222" s="101" t="str">
        <f>IFERROR(('BMP P Tracking Table'!$AE222-INDEX('Performance Curves'!$E$1:$L$1,1,MATCH('BMP P Tracking Table'!$AE222,'Performance Curves'!$E$1:$L$1,1)))/(INDEX('Performance Curves'!$E$1:$L$1,1,MATCH('BMP P Tracking Table'!$AE222,'Performance Curves'!$E$1:$L$1,1)+1)-INDEX('Performance Curves'!$E$1:$L$1,1,MATCH('BMP P Tracking Table'!$AE222,'Performance Curves'!$E$1:$L$1,1))),"")</f>
        <v/>
      </c>
      <c r="AH222" s="102" t="str">
        <f>IFERROR(IF('BMP P Tracking Table'!$AE222=2,VLOOKUP(CONCATENATE('BMP P Tracking Table'!$T222," ",'BMP P Tracking Table'!$AC222),'Performance Curves'!$C$1:$L$45,MATCH('BMP P Tracking Table'!$AE222,'Performance Curves'!$E$1:$L$1,1)+1,FALSE),'BMP P Tracking Table'!$AF222*'BMP P Tracking Table'!$AG222+VLOOKUP(CONCATENATE('BMP P Tracking Table'!$T222," ",'BMP P Tracking Table'!$AC222),'Performance Curves'!$C$1:$L$45,MATCH('BMP P Tracking Table'!$AE222,'Performance Curves'!$E$1:$L$1,1)+1,FALSE)),"")</f>
        <v/>
      </c>
      <c r="AI222" s="101" t="str">
        <f>IFERROR('BMP P Tracking Table'!$AH222*'BMP P Tracking Table'!$AD222,"")</f>
        <v/>
      </c>
      <c r="AJ222" s="64"/>
      <c r="AK222" s="96"/>
      <c r="AL222" s="96"/>
      <c r="AM222" s="63"/>
      <c r="AN222" s="99" t="str">
        <f t="shared" si="18"/>
        <v/>
      </c>
      <c r="AO222" s="96"/>
      <c r="AP222" s="96"/>
      <c r="AQ222" s="96"/>
      <c r="AR222" s="96"/>
      <c r="AS222" s="96"/>
      <c r="AT222" s="96"/>
      <c r="AU222" s="96"/>
      <c r="AV222" s="64"/>
      <c r="AW222" s="97"/>
      <c r="AX222" s="97"/>
      <c r="AY222" s="101" t="str">
        <f>IF('BMP P Tracking Table'!$AK222="Yes",IF('BMP P Tracking Table'!$AL222="No",'BMP P Tracking Table'!$U222*VLOOKUP('BMP P Tracking Table'!$Q222,'Loading Rates'!$B$1:$L$24,4,FALSE)+IF('BMP P Tracking Table'!$V222="By HSG",'BMP P Tracking Table'!$W222*VLOOKUP('BMP P Tracking Table'!$Q222,'Loading Rates'!$B$1:$L$24,6,FALSE)+'BMP P Tracking Table'!$X222*VLOOKUP('BMP P Tracking Table'!$Q222,'Loading Rates'!$B$1:$L$24,7,FALSE)+'BMP P Tracking Table'!$Y222*VLOOKUP('BMP P Tracking Table'!$Q222,'Loading Rates'!$B$1:$L$24,8,FALSE)+'BMP P Tracking Table'!$Z222*VLOOKUP('BMP P Tracking Table'!$Q222,'Loading Rates'!$B$1:$L$24,9,FALSE),'BMP P Tracking Table'!$AA222*VLOOKUP('BMP P Tracking Table'!$Q222,'Loading Rates'!$B$1:$L$24,10,FALSE)),'BMP P Tracking Table'!$AO222*VLOOKUP('BMP P Tracking Table'!$Q222,'Loading Rates'!$B$1:$L$24,4,FALSE)+IF('BMP P Tracking Table'!$AP222="By HSG",'BMP P Tracking Table'!$AQ222*VLOOKUP('BMP P Tracking Table'!$Q222,'Loading Rates'!$B$1:$L$24,6,FALSE)+'BMP P Tracking Table'!$AR222*VLOOKUP('BMP P Tracking Table'!$Q222,'Loading Rates'!$B$1:$L$24,7,FALSE)+'BMP P Tracking Table'!$AS222*VLOOKUP('BMP P Tracking Table'!$Q222,'Loading Rates'!$B$1:$L$24,8,FALSE)+'BMP P Tracking Table'!$AT222*VLOOKUP('BMP P Tracking Table'!$Q222,'Loading Rates'!$B$1:$L$24,9,FALSE),'BMP P Tracking Table'!$AU222*VLOOKUP('BMP P Tracking Table'!$Q222,'Loading Rates'!$B$1:$L$24,10,FALSE))),"")</f>
        <v/>
      </c>
      <c r="AZ222" s="101" t="str">
        <f>IFERROR(IF('BMP P Tracking Table'!$AL222="Yes",MIN(2,IF('BMP P Tracking Table'!$AP222="Total Pervious",(-(3630*'BMP P Tracking Table'!$AO222+20.691*'BMP P Tracking Table'!$AU222)+SQRT((3630*'BMP P Tracking Table'!$AO222+20.691*'BMP P Tracking Table'!$AU222)^2-(4*(996.798*'BMP P Tracking Table'!$AU222)*-'BMP P Tracking Table'!$AW222)))/(2*(996.798*'BMP P Tracking Table'!$AU222)),IF(SUM('BMP P Tracking Table'!$AQ222:$AT222)=0,'BMP P Tracking Table'!$AU222/(-3630*'BMP P Tracking Table'!$AO222),(-(3630*'BMP P Tracking Table'!$AO222+20.691*'BMP P Tracking Table'!$AT222-216.711*'BMP P Tracking Table'!$AS222-83.853*'BMP P Tracking Table'!$AR222-42.834*'BMP P Tracking Table'!$AQ222)+SQRT((3630*'BMP P Tracking Table'!$AO222+20.691*'BMP P Tracking Table'!$AT222-216.711*'BMP P Tracking Table'!$AS222-83.853*'BMP P Tracking Table'!$AR222-42.834*'BMP P Tracking Table'!$AQ222)^2-(4*(149.919*'BMP P Tracking Table'!$AQ222+236.676*'BMP P Tracking Table'!$AR222+726*'BMP P Tracking Table'!$AS222+996.798*'BMP P Tracking Table'!$AT222)*-'BMP P Tracking Table'!$AW222)))/(2*(149.919*'BMP P Tracking Table'!$AQ222+236.676*'BMP P Tracking Table'!$AR222+726*'BMP P Tracking Table'!$AS222+996.798*'BMP P Tracking Table'!$AT222))))),MIN(2,IF('BMP P Tracking Table'!$AP222="Total Pervious",(-(3630*'BMP P Tracking Table'!$U222+20.691*'BMP P Tracking Table'!$AA222)+SQRT((3630*'BMP P Tracking Table'!$U222+20.691*'BMP P Tracking Table'!$AA222)^2-(4*(996.798*'BMP P Tracking Table'!$AA222)*-'BMP P Tracking Table'!$AW222)))/(2*(996.798*'BMP P Tracking Table'!$AA222)),IF(SUM('BMP P Tracking Table'!$W222:$Z222)=0,'BMP P Tracking Table'!$AW222/(-3630*'BMP P Tracking Table'!$U222),(-(3630*'BMP P Tracking Table'!$U222+20.691*'BMP P Tracking Table'!$Z222-216.711*'BMP P Tracking Table'!$Y222-83.853*'BMP P Tracking Table'!$X222-42.834*'BMP P Tracking Table'!$W222)+SQRT((3630*'BMP P Tracking Table'!$U222+20.691*'BMP P Tracking Table'!$Z222-216.711*'BMP P Tracking Table'!$Y222-83.853*'BMP P Tracking Table'!$X222-42.834*'BMP P Tracking Table'!$W222)^2-(4*(149.919*'BMP P Tracking Table'!$W222+236.676*'BMP P Tracking Table'!$X222+726*'BMP P Tracking Table'!$Y222+996.798*'BMP P Tracking Table'!$Z222)*-'BMP P Tracking Table'!$AW222)))/(2*(149.919*'BMP P Tracking Table'!$W222+236.676*'BMP P Tracking Table'!$X222+726*'BMP P Tracking Table'!$Y222+996.798*'BMP P Tracking Table'!$Z222)))))),"")</f>
        <v/>
      </c>
      <c r="BA222" s="101" t="str">
        <f>IFERROR((VLOOKUP(CONCATENATE('BMP P Tracking Table'!$AV222," ",'BMP P Tracking Table'!$AX222),'Performance Curves'!$C$1:$L$45,MATCH('BMP P Tracking Table'!$AZ222,'Performance Curves'!$E$1:$L$1,1)+2,FALSE)-VLOOKUP(CONCATENATE('BMP P Tracking Table'!$AV222," ",'BMP P Tracking Table'!$AX222),'Performance Curves'!$C$1:$L$45,MATCH('BMP P Tracking Table'!$AZ222,'Performance Curves'!$E$1:$L$1,1)+1,FALSE)),"")</f>
        <v/>
      </c>
      <c r="BB222" s="101" t="str">
        <f>IFERROR(('BMP P Tracking Table'!$AZ222-INDEX('Performance Curves'!$E$1:$L$1,1,MATCH('BMP P Tracking Table'!$AZ222,'Performance Curves'!$E$1:$L$1,1)))/(INDEX('Performance Curves'!$E$1:$L$1,1,MATCH('BMP P Tracking Table'!$AZ222,'Performance Curves'!$E$1:$L$1,1)+1)-INDEX('Performance Curves'!$E$1:$L$1,1,MATCH('BMP P Tracking Table'!$AZ222,'Performance Curves'!$E$1:$L$1,1))),"")</f>
        <v/>
      </c>
      <c r="BC222" s="102" t="str">
        <f>IFERROR(IF('BMP P Tracking Table'!$AZ222=2,VLOOKUP(CONCATENATE('BMP P Tracking Table'!$AV222," ",'BMP P Tracking Table'!$AX222),'Performance Curves'!$C$1:$L$44,MATCH('BMP P Tracking Table'!$AZ222,'Performance Curves'!$E$1:$L$1,1)+1,FALSE),'BMP P Tracking Table'!$BA222*'BMP P Tracking Table'!$BB222+VLOOKUP(CONCATENATE('BMP P Tracking Table'!$AV222," ",'BMP P Tracking Table'!$AX222),'Performance Curves'!$C$1:$L$44,MATCH('BMP P Tracking Table'!$AZ222,'Performance Curves'!$E$1:$L$1,1)+1,FALSE)),"")</f>
        <v/>
      </c>
      <c r="BD222" s="101" t="str">
        <f>IFERROR('BMP P Tracking Table'!$BC222*'BMP P Tracking Table'!$AY222,"")</f>
        <v/>
      </c>
      <c r="BE222" s="96"/>
      <c r="BF222" s="37">
        <f t="shared" si="19"/>
        <v>0</v>
      </c>
    </row>
    <row r="223" spans="1:58" x14ac:dyDescent="0.3">
      <c r="A223" s="64"/>
      <c r="B223" s="64"/>
      <c r="C223" s="64"/>
      <c r="D223" s="64"/>
      <c r="E223" s="93"/>
      <c r="F223" s="93"/>
      <c r="G223" s="64"/>
      <c r="H223" s="64"/>
      <c r="I223" s="64"/>
      <c r="J223" s="94"/>
      <c r="K223" s="64"/>
      <c r="L223" s="64"/>
      <c r="M223" s="64"/>
      <c r="N223" s="64"/>
      <c r="O223" s="64"/>
      <c r="P223" s="64"/>
      <c r="Q223" s="64" t="str">
        <f>IFERROR(VLOOKUP('BMP P Tracking Table'!$P223,Dropdowns!$C$2:$E$15,3,FALSE),"")</f>
        <v/>
      </c>
      <c r="R223" s="64" t="str">
        <f>IFERROR(VLOOKUP('BMP P Tracking Table'!$Q223,Dropdowns!$P$3:$Q$23,2,FALSE),"")</f>
        <v/>
      </c>
      <c r="S223" s="64"/>
      <c r="T223" s="64"/>
      <c r="U223" s="64"/>
      <c r="V223" s="64"/>
      <c r="W223" s="64"/>
      <c r="X223" s="64"/>
      <c r="Y223" s="64"/>
      <c r="Z223" s="64"/>
      <c r="AA223" s="64"/>
      <c r="AB223" s="95"/>
      <c r="AC223" s="64"/>
      <c r="AD223" s="101" t="str">
        <f>IFERROR('BMP P Tracking Table'!$U223*VLOOKUP('BMP P Tracking Table'!$Q223,'Loading Rates'!$B$1:$L$24,4,FALSE)+IF('BMP P Tracking Table'!$V223="By HSG",'BMP P Tracking Table'!$W223*VLOOKUP('BMP P Tracking Table'!$Q223,'Loading Rates'!$B$1:$L$24,6,FALSE)+'BMP P Tracking Table'!$X223*VLOOKUP('BMP P Tracking Table'!$Q223,'Loading Rates'!$B$1:$L$24,7,FALSE)+'BMP P Tracking Table'!$Y223*VLOOKUP('BMP P Tracking Table'!$Q223,'Loading Rates'!$B$1:$L$24,8,FALSE)+'BMP P Tracking Table'!$Z223*VLOOKUP('BMP P Tracking Table'!$Q223,'Loading Rates'!$B$1:$L$24,9,FALSE),'BMP P Tracking Table'!$AA223*VLOOKUP('BMP P Tracking Table'!$Q223,'Loading Rates'!$B$1:$L$24,10,FALSE)),"")</f>
        <v/>
      </c>
      <c r="AE223" s="101" t="str">
        <f>IFERROR(MIN(2,IF('BMP P Tracking Table'!$V223="Total Pervious",(-(3630*'BMP P Tracking Table'!$U223+20.691*'BMP P Tracking Table'!$AA223)+SQRT((3630*'BMP P Tracking Table'!$U223+20.691*'BMP P Tracking Table'!$AA223)^2-(4*(996.798*'BMP P Tracking Table'!$AA223)*-'BMP P Tracking Table'!$AB223)))/(2*(996.798*'BMP P Tracking Table'!$AA223)),IF(SUM('BMP P Tracking Table'!$W223:$Z223)=0,'BMP P Tracking Table'!$AB223/(-3630*'BMP P Tracking Table'!$U223),(-(3630*'BMP P Tracking Table'!$U223+20.691*'BMP P Tracking Table'!$Z223-216.711*'BMP P Tracking Table'!$Y223-83.853*'BMP P Tracking Table'!$X223-42.834*'BMP P Tracking Table'!$W223)+SQRT((3630*'BMP P Tracking Table'!$U223+20.691*'BMP P Tracking Table'!$Z223-216.711*'BMP P Tracking Table'!$Y223-83.853*'BMP P Tracking Table'!$X223-42.834*'BMP P Tracking Table'!$W223)^2-(4*(149.919*'BMP P Tracking Table'!$W223+236.676*'BMP P Tracking Table'!$X223+726*'BMP P Tracking Table'!$Y223+996.798*'BMP P Tracking Table'!$Z223)*-'BMP P Tracking Table'!$AB223)))/(2*(149.919*'BMP P Tracking Table'!$W223+236.676*'BMP P Tracking Table'!$X223+726*'BMP P Tracking Table'!$Y223+996.798*'BMP P Tracking Table'!$Z223))))),"")</f>
        <v/>
      </c>
      <c r="AF223" s="101" t="str">
        <f>IFERROR((VLOOKUP(CONCATENATE('BMP P Tracking Table'!$T223," ",'BMP P Tracking Table'!$AC223),'Performance Curves'!$C$1:$L$45,MATCH('BMP P Tracking Table'!$AE223,'Performance Curves'!$E$1:$L$1,1)+2,FALSE)-VLOOKUP(CONCATENATE('BMP P Tracking Table'!$T223," ",'BMP P Tracking Table'!$AC223),'Performance Curves'!$C$1:$L$45,MATCH('BMP P Tracking Table'!$AE223,'Performance Curves'!$E$1:$L$1,1)+1,FALSE)),"")</f>
        <v/>
      </c>
      <c r="AG223" s="101" t="str">
        <f>IFERROR(('BMP P Tracking Table'!$AE223-INDEX('Performance Curves'!$E$1:$L$1,1,MATCH('BMP P Tracking Table'!$AE223,'Performance Curves'!$E$1:$L$1,1)))/(INDEX('Performance Curves'!$E$1:$L$1,1,MATCH('BMP P Tracking Table'!$AE223,'Performance Curves'!$E$1:$L$1,1)+1)-INDEX('Performance Curves'!$E$1:$L$1,1,MATCH('BMP P Tracking Table'!$AE223,'Performance Curves'!$E$1:$L$1,1))),"")</f>
        <v/>
      </c>
      <c r="AH223" s="102" t="str">
        <f>IFERROR(IF('BMP P Tracking Table'!$AE223=2,VLOOKUP(CONCATENATE('BMP P Tracking Table'!$T223," ",'BMP P Tracking Table'!$AC223),'Performance Curves'!$C$1:$L$45,MATCH('BMP P Tracking Table'!$AE223,'Performance Curves'!$E$1:$L$1,1)+1,FALSE),'BMP P Tracking Table'!$AF223*'BMP P Tracking Table'!$AG223+VLOOKUP(CONCATENATE('BMP P Tracking Table'!$T223," ",'BMP P Tracking Table'!$AC223),'Performance Curves'!$C$1:$L$45,MATCH('BMP P Tracking Table'!$AE223,'Performance Curves'!$E$1:$L$1,1)+1,FALSE)),"")</f>
        <v/>
      </c>
      <c r="AI223" s="101" t="str">
        <f>IFERROR('BMP P Tracking Table'!$AH223*'BMP P Tracking Table'!$AD223,"")</f>
        <v/>
      </c>
      <c r="AJ223" s="64"/>
      <c r="AK223" s="96"/>
      <c r="AL223" s="96"/>
      <c r="AM223" s="63"/>
      <c r="AN223" s="99" t="str">
        <f t="shared" si="18"/>
        <v/>
      </c>
      <c r="AO223" s="96"/>
      <c r="AP223" s="96"/>
      <c r="AQ223" s="96"/>
      <c r="AR223" s="96"/>
      <c r="AS223" s="96"/>
      <c r="AT223" s="96"/>
      <c r="AU223" s="96"/>
      <c r="AV223" s="64"/>
      <c r="AW223" s="97"/>
      <c r="AX223" s="97"/>
      <c r="AY223" s="101" t="str">
        <f>IF('BMP P Tracking Table'!$AK223="Yes",IF('BMP P Tracking Table'!$AL223="No",'BMP P Tracking Table'!$U223*VLOOKUP('BMP P Tracking Table'!$Q223,'Loading Rates'!$B$1:$L$24,4,FALSE)+IF('BMP P Tracking Table'!$V223="By HSG",'BMP P Tracking Table'!$W223*VLOOKUP('BMP P Tracking Table'!$Q223,'Loading Rates'!$B$1:$L$24,6,FALSE)+'BMP P Tracking Table'!$X223*VLOOKUP('BMP P Tracking Table'!$Q223,'Loading Rates'!$B$1:$L$24,7,FALSE)+'BMP P Tracking Table'!$Y223*VLOOKUP('BMP P Tracking Table'!$Q223,'Loading Rates'!$B$1:$L$24,8,FALSE)+'BMP P Tracking Table'!$Z223*VLOOKUP('BMP P Tracking Table'!$Q223,'Loading Rates'!$B$1:$L$24,9,FALSE),'BMP P Tracking Table'!$AA223*VLOOKUP('BMP P Tracking Table'!$Q223,'Loading Rates'!$B$1:$L$24,10,FALSE)),'BMP P Tracking Table'!$AO223*VLOOKUP('BMP P Tracking Table'!$Q223,'Loading Rates'!$B$1:$L$24,4,FALSE)+IF('BMP P Tracking Table'!$AP223="By HSG",'BMP P Tracking Table'!$AQ223*VLOOKUP('BMP P Tracking Table'!$Q223,'Loading Rates'!$B$1:$L$24,6,FALSE)+'BMP P Tracking Table'!$AR223*VLOOKUP('BMP P Tracking Table'!$Q223,'Loading Rates'!$B$1:$L$24,7,FALSE)+'BMP P Tracking Table'!$AS223*VLOOKUP('BMP P Tracking Table'!$Q223,'Loading Rates'!$B$1:$L$24,8,FALSE)+'BMP P Tracking Table'!$AT223*VLOOKUP('BMP P Tracking Table'!$Q223,'Loading Rates'!$B$1:$L$24,9,FALSE),'BMP P Tracking Table'!$AU223*VLOOKUP('BMP P Tracking Table'!$Q223,'Loading Rates'!$B$1:$L$24,10,FALSE))),"")</f>
        <v/>
      </c>
      <c r="AZ223" s="101" t="str">
        <f>IFERROR(IF('BMP P Tracking Table'!$AL223="Yes",MIN(2,IF('BMP P Tracking Table'!$AP223="Total Pervious",(-(3630*'BMP P Tracking Table'!$AO223+20.691*'BMP P Tracking Table'!$AU223)+SQRT((3630*'BMP P Tracking Table'!$AO223+20.691*'BMP P Tracking Table'!$AU223)^2-(4*(996.798*'BMP P Tracking Table'!$AU223)*-'BMP P Tracking Table'!$AW223)))/(2*(996.798*'BMP P Tracking Table'!$AU223)),IF(SUM('BMP P Tracking Table'!$AQ223:$AT223)=0,'BMP P Tracking Table'!$AU223/(-3630*'BMP P Tracking Table'!$AO223),(-(3630*'BMP P Tracking Table'!$AO223+20.691*'BMP P Tracking Table'!$AT223-216.711*'BMP P Tracking Table'!$AS223-83.853*'BMP P Tracking Table'!$AR223-42.834*'BMP P Tracking Table'!$AQ223)+SQRT((3630*'BMP P Tracking Table'!$AO223+20.691*'BMP P Tracking Table'!$AT223-216.711*'BMP P Tracking Table'!$AS223-83.853*'BMP P Tracking Table'!$AR223-42.834*'BMP P Tracking Table'!$AQ223)^2-(4*(149.919*'BMP P Tracking Table'!$AQ223+236.676*'BMP P Tracking Table'!$AR223+726*'BMP P Tracking Table'!$AS223+996.798*'BMP P Tracking Table'!$AT223)*-'BMP P Tracking Table'!$AW223)))/(2*(149.919*'BMP P Tracking Table'!$AQ223+236.676*'BMP P Tracking Table'!$AR223+726*'BMP P Tracking Table'!$AS223+996.798*'BMP P Tracking Table'!$AT223))))),MIN(2,IF('BMP P Tracking Table'!$AP223="Total Pervious",(-(3630*'BMP P Tracking Table'!$U223+20.691*'BMP P Tracking Table'!$AA223)+SQRT((3630*'BMP P Tracking Table'!$U223+20.691*'BMP P Tracking Table'!$AA223)^2-(4*(996.798*'BMP P Tracking Table'!$AA223)*-'BMP P Tracking Table'!$AW223)))/(2*(996.798*'BMP P Tracking Table'!$AA223)),IF(SUM('BMP P Tracking Table'!$W223:$Z223)=0,'BMP P Tracking Table'!$AW223/(-3630*'BMP P Tracking Table'!$U223),(-(3630*'BMP P Tracking Table'!$U223+20.691*'BMP P Tracking Table'!$Z223-216.711*'BMP P Tracking Table'!$Y223-83.853*'BMP P Tracking Table'!$X223-42.834*'BMP P Tracking Table'!$W223)+SQRT((3630*'BMP P Tracking Table'!$U223+20.691*'BMP P Tracking Table'!$Z223-216.711*'BMP P Tracking Table'!$Y223-83.853*'BMP P Tracking Table'!$X223-42.834*'BMP P Tracking Table'!$W223)^2-(4*(149.919*'BMP P Tracking Table'!$W223+236.676*'BMP P Tracking Table'!$X223+726*'BMP P Tracking Table'!$Y223+996.798*'BMP P Tracking Table'!$Z223)*-'BMP P Tracking Table'!$AW223)))/(2*(149.919*'BMP P Tracking Table'!$W223+236.676*'BMP P Tracking Table'!$X223+726*'BMP P Tracking Table'!$Y223+996.798*'BMP P Tracking Table'!$Z223)))))),"")</f>
        <v/>
      </c>
      <c r="BA223" s="101" t="str">
        <f>IFERROR((VLOOKUP(CONCATENATE('BMP P Tracking Table'!$AV223," ",'BMP P Tracking Table'!$AX223),'Performance Curves'!$C$1:$L$45,MATCH('BMP P Tracking Table'!$AZ223,'Performance Curves'!$E$1:$L$1,1)+2,FALSE)-VLOOKUP(CONCATENATE('BMP P Tracking Table'!$AV223," ",'BMP P Tracking Table'!$AX223),'Performance Curves'!$C$1:$L$45,MATCH('BMP P Tracking Table'!$AZ223,'Performance Curves'!$E$1:$L$1,1)+1,FALSE)),"")</f>
        <v/>
      </c>
      <c r="BB223" s="101" t="str">
        <f>IFERROR(('BMP P Tracking Table'!$AZ223-INDEX('Performance Curves'!$E$1:$L$1,1,MATCH('BMP P Tracking Table'!$AZ223,'Performance Curves'!$E$1:$L$1,1)))/(INDEX('Performance Curves'!$E$1:$L$1,1,MATCH('BMP P Tracking Table'!$AZ223,'Performance Curves'!$E$1:$L$1,1)+1)-INDEX('Performance Curves'!$E$1:$L$1,1,MATCH('BMP P Tracking Table'!$AZ223,'Performance Curves'!$E$1:$L$1,1))),"")</f>
        <v/>
      </c>
      <c r="BC223" s="102" t="str">
        <f>IFERROR(IF('BMP P Tracking Table'!$AZ223=2,VLOOKUP(CONCATENATE('BMP P Tracking Table'!$AV223," ",'BMP P Tracking Table'!$AX223),'Performance Curves'!$C$1:$L$44,MATCH('BMP P Tracking Table'!$AZ223,'Performance Curves'!$E$1:$L$1,1)+1,FALSE),'BMP P Tracking Table'!$BA223*'BMP P Tracking Table'!$BB223+VLOOKUP(CONCATENATE('BMP P Tracking Table'!$AV223," ",'BMP P Tracking Table'!$AX223),'Performance Curves'!$C$1:$L$44,MATCH('BMP P Tracking Table'!$AZ223,'Performance Curves'!$E$1:$L$1,1)+1,FALSE)),"")</f>
        <v/>
      </c>
      <c r="BD223" s="101" t="str">
        <f>IFERROR('BMP P Tracking Table'!$BC223*'BMP P Tracking Table'!$AY223,"")</f>
        <v/>
      </c>
      <c r="BE223" s="96"/>
      <c r="BF223" s="37">
        <f t="shared" si="19"/>
        <v>0</v>
      </c>
    </row>
    <row r="224" spans="1:58" x14ac:dyDescent="0.3">
      <c r="A224" s="64"/>
      <c r="B224" s="64"/>
      <c r="C224" s="64"/>
      <c r="D224" s="64"/>
      <c r="E224" s="93"/>
      <c r="F224" s="93"/>
      <c r="G224" s="64"/>
      <c r="H224" s="64"/>
      <c r="I224" s="64"/>
      <c r="J224" s="94"/>
      <c r="K224" s="64"/>
      <c r="L224" s="64"/>
      <c r="M224" s="64"/>
      <c r="N224" s="64"/>
      <c r="O224" s="64"/>
      <c r="P224" s="64"/>
      <c r="Q224" s="64" t="str">
        <f>IFERROR(VLOOKUP('BMP P Tracking Table'!$P224,Dropdowns!$C$2:$E$15,3,FALSE),"")</f>
        <v/>
      </c>
      <c r="R224" s="64" t="str">
        <f>IFERROR(VLOOKUP('BMP P Tracking Table'!$Q224,Dropdowns!$P$3:$Q$23,2,FALSE),"")</f>
        <v/>
      </c>
      <c r="S224" s="64"/>
      <c r="T224" s="64"/>
      <c r="U224" s="64"/>
      <c r="V224" s="64"/>
      <c r="W224" s="64"/>
      <c r="X224" s="64"/>
      <c r="Y224" s="64"/>
      <c r="Z224" s="64"/>
      <c r="AA224" s="64"/>
      <c r="AB224" s="95"/>
      <c r="AC224" s="64"/>
      <c r="AD224" s="101" t="str">
        <f>IFERROR('BMP P Tracking Table'!$U224*VLOOKUP('BMP P Tracking Table'!$Q224,'Loading Rates'!$B$1:$L$24,4,FALSE)+IF('BMP P Tracking Table'!$V224="By HSG",'BMP P Tracking Table'!$W224*VLOOKUP('BMP P Tracking Table'!$Q224,'Loading Rates'!$B$1:$L$24,6,FALSE)+'BMP P Tracking Table'!$X224*VLOOKUP('BMP P Tracking Table'!$Q224,'Loading Rates'!$B$1:$L$24,7,FALSE)+'BMP P Tracking Table'!$Y224*VLOOKUP('BMP P Tracking Table'!$Q224,'Loading Rates'!$B$1:$L$24,8,FALSE)+'BMP P Tracking Table'!$Z224*VLOOKUP('BMP P Tracking Table'!$Q224,'Loading Rates'!$B$1:$L$24,9,FALSE),'BMP P Tracking Table'!$AA224*VLOOKUP('BMP P Tracking Table'!$Q224,'Loading Rates'!$B$1:$L$24,10,FALSE)),"")</f>
        <v/>
      </c>
      <c r="AE224" s="101" t="str">
        <f>IFERROR(MIN(2,IF('BMP P Tracking Table'!$V224="Total Pervious",(-(3630*'BMP P Tracking Table'!$U224+20.691*'BMP P Tracking Table'!$AA224)+SQRT((3630*'BMP P Tracking Table'!$U224+20.691*'BMP P Tracking Table'!$AA224)^2-(4*(996.798*'BMP P Tracking Table'!$AA224)*-'BMP P Tracking Table'!$AB224)))/(2*(996.798*'BMP P Tracking Table'!$AA224)),IF(SUM('BMP P Tracking Table'!$W224:$Z224)=0,'BMP P Tracking Table'!$AB224/(-3630*'BMP P Tracking Table'!$U224),(-(3630*'BMP P Tracking Table'!$U224+20.691*'BMP P Tracking Table'!$Z224-216.711*'BMP P Tracking Table'!$Y224-83.853*'BMP P Tracking Table'!$X224-42.834*'BMP P Tracking Table'!$W224)+SQRT((3630*'BMP P Tracking Table'!$U224+20.691*'BMP P Tracking Table'!$Z224-216.711*'BMP P Tracking Table'!$Y224-83.853*'BMP P Tracking Table'!$X224-42.834*'BMP P Tracking Table'!$W224)^2-(4*(149.919*'BMP P Tracking Table'!$W224+236.676*'BMP P Tracking Table'!$X224+726*'BMP P Tracking Table'!$Y224+996.798*'BMP P Tracking Table'!$Z224)*-'BMP P Tracking Table'!$AB224)))/(2*(149.919*'BMP P Tracking Table'!$W224+236.676*'BMP P Tracking Table'!$X224+726*'BMP P Tracking Table'!$Y224+996.798*'BMP P Tracking Table'!$Z224))))),"")</f>
        <v/>
      </c>
      <c r="AF224" s="101" t="str">
        <f>IFERROR((VLOOKUP(CONCATENATE('BMP P Tracking Table'!$T224," ",'BMP P Tracking Table'!$AC224),'Performance Curves'!$C$1:$L$45,MATCH('BMP P Tracking Table'!$AE224,'Performance Curves'!$E$1:$L$1,1)+2,FALSE)-VLOOKUP(CONCATENATE('BMP P Tracking Table'!$T224," ",'BMP P Tracking Table'!$AC224),'Performance Curves'!$C$1:$L$45,MATCH('BMP P Tracking Table'!$AE224,'Performance Curves'!$E$1:$L$1,1)+1,FALSE)),"")</f>
        <v/>
      </c>
      <c r="AG224" s="101" t="str">
        <f>IFERROR(('BMP P Tracking Table'!$AE224-INDEX('Performance Curves'!$E$1:$L$1,1,MATCH('BMP P Tracking Table'!$AE224,'Performance Curves'!$E$1:$L$1,1)))/(INDEX('Performance Curves'!$E$1:$L$1,1,MATCH('BMP P Tracking Table'!$AE224,'Performance Curves'!$E$1:$L$1,1)+1)-INDEX('Performance Curves'!$E$1:$L$1,1,MATCH('BMP P Tracking Table'!$AE224,'Performance Curves'!$E$1:$L$1,1))),"")</f>
        <v/>
      </c>
      <c r="AH224" s="102" t="str">
        <f>IFERROR(IF('BMP P Tracking Table'!$AE224=2,VLOOKUP(CONCATENATE('BMP P Tracking Table'!$T224," ",'BMP P Tracking Table'!$AC224),'Performance Curves'!$C$1:$L$45,MATCH('BMP P Tracking Table'!$AE224,'Performance Curves'!$E$1:$L$1,1)+1,FALSE),'BMP P Tracking Table'!$AF224*'BMP P Tracking Table'!$AG224+VLOOKUP(CONCATENATE('BMP P Tracking Table'!$T224," ",'BMP P Tracking Table'!$AC224),'Performance Curves'!$C$1:$L$45,MATCH('BMP P Tracking Table'!$AE224,'Performance Curves'!$E$1:$L$1,1)+1,FALSE)),"")</f>
        <v/>
      </c>
      <c r="AI224" s="101" t="str">
        <f>IFERROR('BMP P Tracking Table'!$AH224*'BMP P Tracking Table'!$AD224,"")</f>
        <v/>
      </c>
      <c r="AJ224" s="64"/>
      <c r="AK224" s="96"/>
      <c r="AL224" s="96"/>
      <c r="AM224" s="63"/>
      <c r="AN224" s="99" t="str">
        <f t="shared" si="18"/>
        <v/>
      </c>
      <c r="AO224" s="96"/>
      <c r="AP224" s="96"/>
      <c r="AQ224" s="96"/>
      <c r="AR224" s="96"/>
      <c r="AS224" s="96"/>
      <c r="AT224" s="96"/>
      <c r="AU224" s="96"/>
      <c r="AV224" s="64"/>
      <c r="AW224" s="97"/>
      <c r="AX224" s="97"/>
      <c r="AY224" s="101" t="str">
        <f>IF('BMP P Tracking Table'!$AK224="Yes",IF('BMP P Tracking Table'!$AL224="No",'BMP P Tracking Table'!$U224*VLOOKUP('BMP P Tracking Table'!$Q224,'Loading Rates'!$B$1:$L$24,4,FALSE)+IF('BMP P Tracking Table'!$V224="By HSG",'BMP P Tracking Table'!$W224*VLOOKUP('BMP P Tracking Table'!$Q224,'Loading Rates'!$B$1:$L$24,6,FALSE)+'BMP P Tracking Table'!$X224*VLOOKUP('BMP P Tracking Table'!$Q224,'Loading Rates'!$B$1:$L$24,7,FALSE)+'BMP P Tracking Table'!$Y224*VLOOKUP('BMP P Tracking Table'!$Q224,'Loading Rates'!$B$1:$L$24,8,FALSE)+'BMP P Tracking Table'!$Z224*VLOOKUP('BMP P Tracking Table'!$Q224,'Loading Rates'!$B$1:$L$24,9,FALSE),'BMP P Tracking Table'!$AA224*VLOOKUP('BMP P Tracking Table'!$Q224,'Loading Rates'!$B$1:$L$24,10,FALSE)),'BMP P Tracking Table'!$AO224*VLOOKUP('BMP P Tracking Table'!$Q224,'Loading Rates'!$B$1:$L$24,4,FALSE)+IF('BMP P Tracking Table'!$AP224="By HSG",'BMP P Tracking Table'!$AQ224*VLOOKUP('BMP P Tracking Table'!$Q224,'Loading Rates'!$B$1:$L$24,6,FALSE)+'BMP P Tracking Table'!$AR224*VLOOKUP('BMP P Tracking Table'!$Q224,'Loading Rates'!$B$1:$L$24,7,FALSE)+'BMP P Tracking Table'!$AS224*VLOOKUP('BMP P Tracking Table'!$Q224,'Loading Rates'!$B$1:$L$24,8,FALSE)+'BMP P Tracking Table'!$AT224*VLOOKUP('BMP P Tracking Table'!$Q224,'Loading Rates'!$B$1:$L$24,9,FALSE),'BMP P Tracking Table'!$AU224*VLOOKUP('BMP P Tracking Table'!$Q224,'Loading Rates'!$B$1:$L$24,10,FALSE))),"")</f>
        <v/>
      </c>
      <c r="AZ224" s="101" t="str">
        <f>IFERROR(IF('BMP P Tracking Table'!$AL224="Yes",MIN(2,IF('BMP P Tracking Table'!$AP224="Total Pervious",(-(3630*'BMP P Tracking Table'!$AO224+20.691*'BMP P Tracking Table'!$AU224)+SQRT((3630*'BMP P Tracking Table'!$AO224+20.691*'BMP P Tracking Table'!$AU224)^2-(4*(996.798*'BMP P Tracking Table'!$AU224)*-'BMP P Tracking Table'!$AW224)))/(2*(996.798*'BMP P Tracking Table'!$AU224)),IF(SUM('BMP P Tracking Table'!$AQ224:$AT224)=0,'BMP P Tracking Table'!$AU224/(-3630*'BMP P Tracking Table'!$AO224),(-(3630*'BMP P Tracking Table'!$AO224+20.691*'BMP P Tracking Table'!$AT224-216.711*'BMP P Tracking Table'!$AS224-83.853*'BMP P Tracking Table'!$AR224-42.834*'BMP P Tracking Table'!$AQ224)+SQRT((3630*'BMP P Tracking Table'!$AO224+20.691*'BMP P Tracking Table'!$AT224-216.711*'BMP P Tracking Table'!$AS224-83.853*'BMP P Tracking Table'!$AR224-42.834*'BMP P Tracking Table'!$AQ224)^2-(4*(149.919*'BMP P Tracking Table'!$AQ224+236.676*'BMP P Tracking Table'!$AR224+726*'BMP P Tracking Table'!$AS224+996.798*'BMP P Tracking Table'!$AT224)*-'BMP P Tracking Table'!$AW224)))/(2*(149.919*'BMP P Tracking Table'!$AQ224+236.676*'BMP P Tracking Table'!$AR224+726*'BMP P Tracking Table'!$AS224+996.798*'BMP P Tracking Table'!$AT224))))),MIN(2,IF('BMP P Tracking Table'!$AP224="Total Pervious",(-(3630*'BMP P Tracking Table'!$U224+20.691*'BMP P Tracking Table'!$AA224)+SQRT((3630*'BMP P Tracking Table'!$U224+20.691*'BMP P Tracking Table'!$AA224)^2-(4*(996.798*'BMP P Tracking Table'!$AA224)*-'BMP P Tracking Table'!$AW224)))/(2*(996.798*'BMP P Tracking Table'!$AA224)),IF(SUM('BMP P Tracking Table'!$W224:$Z224)=0,'BMP P Tracking Table'!$AW224/(-3630*'BMP P Tracking Table'!$U224),(-(3630*'BMP P Tracking Table'!$U224+20.691*'BMP P Tracking Table'!$Z224-216.711*'BMP P Tracking Table'!$Y224-83.853*'BMP P Tracking Table'!$X224-42.834*'BMP P Tracking Table'!$W224)+SQRT((3630*'BMP P Tracking Table'!$U224+20.691*'BMP P Tracking Table'!$Z224-216.711*'BMP P Tracking Table'!$Y224-83.853*'BMP P Tracking Table'!$X224-42.834*'BMP P Tracking Table'!$W224)^2-(4*(149.919*'BMP P Tracking Table'!$W224+236.676*'BMP P Tracking Table'!$X224+726*'BMP P Tracking Table'!$Y224+996.798*'BMP P Tracking Table'!$Z224)*-'BMP P Tracking Table'!$AW224)))/(2*(149.919*'BMP P Tracking Table'!$W224+236.676*'BMP P Tracking Table'!$X224+726*'BMP P Tracking Table'!$Y224+996.798*'BMP P Tracking Table'!$Z224)))))),"")</f>
        <v/>
      </c>
      <c r="BA224" s="101" t="str">
        <f>IFERROR((VLOOKUP(CONCATENATE('BMP P Tracking Table'!$AV224," ",'BMP P Tracking Table'!$AX224),'Performance Curves'!$C$1:$L$45,MATCH('BMP P Tracking Table'!$AZ224,'Performance Curves'!$E$1:$L$1,1)+2,FALSE)-VLOOKUP(CONCATENATE('BMP P Tracking Table'!$AV224," ",'BMP P Tracking Table'!$AX224),'Performance Curves'!$C$1:$L$45,MATCH('BMP P Tracking Table'!$AZ224,'Performance Curves'!$E$1:$L$1,1)+1,FALSE)),"")</f>
        <v/>
      </c>
      <c r="BB224" s="101" t="str">
        <f>IFERROR(('BMP P Tracking Table'!$AZ224-INDEX('Performance Curves'!$E$1:$L$1,1,MATCH('BMP P Tracking Table'!$AZ224,'Performance Curves'!$E$1:$L$1,1)))/(INDEX('Performance Curves'!$E$1:$L$1,1,MATCH('BMP P Tracking Table'!$AZ224,'Performance Curves'!$E$1:$L$1,1)+1)-INDEX('Performance Curves'!$E$1:$L$1,1,MATCH('BMP P Tracking Table'!$AZ224,'Performance Curves'!$E$1:$L$1,1))),"")</f>
        <v/>
      </c>
      <c r="BC224" s="102" t="str">
        <f>IFERROR(IF('BMP P Tracking Table'!$AZ224=2,VLOOKUP(CONCATENATE('BMP P Tracking Table'!$AV224," ",'BMP P Tracking Table'!$AX224),'Performance Curves'!$C$1:$L$44,MATCH('BMP P Tracking Table'!$AZ224,'Performance Curves'!$E$1:$L$1,1)+1,FALSE),'BMP P Tracking Table'!$BA224*'BMP P Tracking Table'!$BB224+VLOOKUP(CONCATENATE('BMP P Tracking Table'!$AV224," ",'BMP P Tracking Table'!$AX224),'Performance Curves'!$C$1:$L$44,MATCH('BMP P Tracking Table'!$AZ224,'Performance Curves'!$E$1:$L$1,1)+1,FALSE)),"")</f>
        <v/>
      </c>
      <c r="BD224" s="101" t="str">
        <f>IFERROR('BMP P Tracking Table'!$BC224*'BMP P Tracking Table'!$AY224,"")</f>
        <v/>
      </c>
      <c r="BE224" s="96"/>
      <c r="BF224" s="37">
        <f t="shared" si="19"/>
        <v>0</v>
      </c>
    </row>
    <row r="225" spans="1:58" x14ac:dyDescent="0.3">
      <c r="A225" s="64"/>
      <c r="B225" s="64"/>
      <c r="C225" s="64"/>
      <c r="D225" s="64"/>
      <c r="E225" s="93"/>
      <c r="F225" s="93"/>
      <c r="G225" s="64"/>
      <c r="H225" s="64"/>
      <c r="I225" s="64"/>
      <c r="J225" s="94"/>
      <c r="K225" s="64"/>
      <c r="L225" s="64"/>
      <c r="M225" s="64"/>
      <c r="N225" s="64"/>
      <c r="O225" s="64"/>
      <c r="P225" s="64"/>
      <c r="Q225" s="64" t="str">
        <f>IFERROR(VLOOKUP('BMP P Tracking Table'!$P225,Dropdowns!$C$2:$E$15,3,FALSE),"")</f>
        <v/>
      </c>
      <c r="R225" s="64" t="str">
        <f>IFERROR(VLOOKUP('BMP P Tracking Table'!$Q225,Dropdowns!$P$3:$Q$23,2,FALSE),"")</f>
        <v/>
      </c>
      <c r="S225" s="64"/>
      <c r="T225" s="64"/>
      <c r="U225" s="64"/>
      <c r="V225" s="64"/>
      <c r="W225" s="64"/>
      <c r="X225" s="64"/>
      <c r="Y225" s="64"/>
      <c r="Z225" s="64"/>
      <c r="AA225" s="64"/>
      <c r="AB225" s="95"/>
      <c r="AC225" s="64"/>
      <c r="AD225" s="101" t="str">
        <f>IFERROR('BMP P Tracking Table'!$U225*VLOOKUP('BMP P Tracking Table'!$Q225,'Loading Rates'!$B$1:$L$24,4,FALSE)+IF('BMP P Tracking Table'!$V225="By HSG",'BMP P Tracking Table'!$W225*VLOOKUP('BMP P Tracking Table'!$Q225,'Loading Rates'!$B$1:$L$24,6,FALSE)+'BMP P Tracking Table'!$X225*VLOOKUP('BMP P Tracking Table'!$Q225,'Loading Rates'!$B$1:$L$24,7,FALSE)+'BMP P Tracking Table'!$Y225*VLOOKUP('BMP P Tracking Table'!$Q225,'Loading Rates'!$B$1:$L$24,8,FALSE)+'BMP P Tracking Table'!$Z225*VLOOKUP('BMP P Tracking Table'!$Q225,'Loading Rates'!$B$1:$L$24,9,FALSE),'BMP P Tracking Table'!$AA225*VLOOKUP('BMP P Tracking Table'!$Q225,'Loading Rates'!$B$1:$L$24,10,FALSE)),"")</f>
        <v/>
      </c>
      <c r="AE225" s="101" t="str">
        <f>IFERROR(MIN(2,IF('BMP P Tracking Table'!$V225="Total Pervious",(-(3630*'BMP P Tracking Table'!$U225+20.691*'BMP P Tracking Table'!$AA225)+SQRT((3630*'BMP P Tracking Table'!$U225+20.691*'BMP P Tracking Table'!$AA225)^2-(4*(996.798*'BMP P Tracking Table'!$AA225)*-'BMP P Tracking Table'!$AB225)))/(2*(996.798*'BMP P Tracking Table'!$AA225)),IF(SUM('BMP P Tracking Table'!$W225:$Z225)=0,'BMP P Tracking Table'!$AB225/(-3630*'BMP P Tracking Table'!$U225),(-(3630*'BMP P Tracking Table'!$U225+20.691*'BMP P Tracking Table'!$Z225-216.711*'BMP P Tracking Table'!$Y225-83.853*'BMP P Tracking Table'!$X225-42.834*'BMP P Tracking Table'!$W225)+SQRT((3630*'BMP P Tracking Table'!$U225+20.691*'BMP P Tracking Table'!$Z225-216.711*'BMP P Tracking Table'!$Y225-83.853*'BMP P Tracking Table'!$X225-42.834*'BMP P Tracking Table'!$W225)^2-(4*(149.919*'BMP P Tracking Table'!$W225+236.676*'BMP P Tracking Table'!$X225+726*'BMP P Tracking Table'!$Y225+996.798*'BMP P Tracking Table'!$Z225)*-'BMP P Tracking Table'!$AB225)))/(2*(149.919*'BMP P Tracking Table'!$W225+236.676*'BMP P Tracking Table'!$X225+726*'BMP P Tracking Table'!$Y225+996.798*'BMP P Tracking Table'!$Z225))))),"")</f>
        <v/>
      </c>
      <c r="AF225" s="101" t="str">
        <f>IFERROR((VLOOKUP(CONCATENATE('BMP P Tracking Table'!$T225," ",'BMP P Tracking Table'!$AC225),'Performance Curves'!$C$1:$L$45,MATCH('BMP P Tracking Table'!$AE225,'Performance Curves'!$E$1:$L$1,1)+2,FALSE)-VLOOKUP(CONCATENATE('BMP P Tracking Table'!$T225," ",'BMP P Tracking Table'!$AC225),'Performance Curves'!$C$1:$L$45,MATCH('BMP P Tracking Table'!$AE225,'Performance Curves'!$E$1:$L$1,1)+1,FALSE)),"")</f>
        <v/>
      </c>
      <c r="AG225" s="101" t="str">
        <f>IFERROR(('BMP P Tracking Table'!$AE225-INDEX('Performance Curves'!$E$1:$L$1,1,MATCH('BMP P Tracking Table'!$AE225,'Performance Curves'!$E$1:$L$1,1)))/(INDEX('Performance Curves'!$E$1:$L$1,1,MATCH('BMP P Tracking Table'!$AE225,'Performance Curves'!$E$1:$L$1,1)+1)-INDEX('Performance Curves'!$E$1:$L$1,1,MATCH('BMP P Tracking Table'!$AE225,'Performance Curves'!$E$1:$L$1,1))),"")</f>
        <v/>
      </c>
      <c r="AH225" s="102" t="str">
        <f>IFERROR(IF('BMP P Tracking Table'!$AE225=2,VLOOKUP(CONCATENATE('BMP P Tracking Table'!$T225," ",'BMP P Tracking Table'!$AC225),'Performance Curves'!$C$1:$L$45,MATCH('BMP P Tracking Table'!$AE225,'Performance Curves'!$E$1:$L$1,1)+1,FALSE),'BMP P Tracking Table'!$AF225*'BMP P Tracking Table'!$AG225+VLOOKUP(CONCATENATE('BMP P Tracking Table'!$T225," ",'BMP P Tracking Table'!$AC225),'Performance Curves'!$C$1:$L$45,MATCH('BMP P Tracking Table'!$AE225,'Performance Curves'!$E$1:$L$1,1)+1,FALSE)),"")</f>
        <v/>
      </c>
      <c r="AI225" s="101" t="str">
        <f>IFERROR('BMP P Tracking Table'!$AH225*'BMP P Tracking Table'!$AD225,"")</f>
        <v/>
      </c>
      <c r="AJ225" s="64"/>
      <c r="AK225" s="96"/>
      <c r="AL225" s="96"/>
      <c r="AM225" s="63"/>
      <c r="AN225" s="99" t="str">
        <f t="shared" si="18"/>
        <v/>
      </c>
      <c r="AO225" s="96"/>
      <c r="AP225" s="96"/>
      <c r="AQ225" s="96"/>
      <c r="AR225" s="96"/>
      <c r="AS225" s="96"/>
      <c r="AT225" s="96"/>
      <c r="AU225" s="96"/>
      <c r="AV225" s="64"/>
      <c r="AW225" s="97"/>
      <c r="AX225" s="97"/>
      <c r="AY225" s="101" t="str">
        <f>IF('BMP P Tracking Table'!$AK225="Yes",IF('BMP P Tracking Table'!$AL225="No",'BMP P Tracking Table'!$U225*VLOOKUP('BMP P Tracking Table'!$Q225,'Loading Rates'!$B$1:$L$24,4,FALSE)+IF('BMP P Tracking Table'!$V225="By HSG",'BMP P Tracking Table'!$W225*VLOOKUP('BMP P Tracking Table'!$Q225,'Loading Rates'!$B$1:$L$24,6,FALSE)+'BMP P Tracking Table'!$X225*VLOOKUP('BMP P Tracking Table'!$Q225,'Loading Rates'!$B$1:$L$24,7,FALSE)+'BMP P Tracking Table'!$Y225*VLOOKUP('BMP P Tracking Table'!$Q225,'Loading Rates'!$B$1:$L$24,8,FALSE)+'BMP P Tracking Table'!$Z225*VLOOKUP('BMP P Tracking Table'!$Q225,'Loading Rates'!$B$1:$L$24,9,FALSE),'BMP P Tracking Table'!$AA225*VLOOKUP('BMP P Tracking Table'!$Q225,'Loading Rates'!$B$1:$L$24,10,FALSE)),'BMP P Tracking Table'!$AO225*VLOOKUP('BMP P Tracking Table'!$Q225,'Loading Rates'!$B$1:$L$24,4,FALSE)+IF('BMP P Tracking Table'!$AP225="By HSG",'BMP P Tracking Table'!$AQ225*VLOOKUP('BMP P Tracking Table'!$Q225,'Loading Rates'!$B$1:$L$24,6,FALSE)+'BMP P Tracking Table'!$AR225*VLOOKUP('BMP P Tracking Table'!$Q225,'Loading Rates'!$B$1:$L$24,7,FALSE)+'BMP P Tracking Table'!$AS225*VLOOKUP('BMP P Tracking Table'!$Q225,'Loading Rates'!$B$1:$L$24,8,FALSE)+'BMP P Tracking Table'!$AT225*VLOOKUP('BMP P Tracking Table'!$Q225,'Loading Rates'!$B$1:$L$24,9,FALSE),'BMP P Tracking Table'!$AU225*VLOOKUP('BMP P Tracking Table'!$Q225,'Loading Rates'!$B$1:$L$24,10,FALSE))),"")</f>
        <v/>
      </c>
      <c r="AZ225" s="101" t="str">
        <f>IFERROR(IF('BMP P Tracking Table'!$AL225="Yes",MIN(2,IF('BMP P Tracking Table'!$AP225="Total Pervious",(-(3630*'BMP P Tracking Table'!$AO225+20.691*'BMP P Tracking Table'!$AU225)+SQRT((3630*'BMP P Tracking Table'!$AO225+20.691*'BMP P Tracking Table'!$AU225)^2-(4*(996.798*'BMP P Tracking Table'!$AU225)*-'BMP P Tracking Table'!$AW225)))/(2*(996.798*'BMP P Tracking Table'!$AU225)),IF(SUM('BMP P Tracking Table'!$AQ225:$AT225)=0,'BMP P Tracking Table'!$AU225/(-3630*'BMP P Tracking Table'!$AO225),(-(3630*'BMP P Tracking Table'!$AO225+20.691*'BMP P Tracking Table'!$AT225-216.711*'BMP P Tracking Table'!$AS225-83.853*'BMP P Tracking Table'!$AR225-42.834*'BMP P Tracking Table'!$AQ225)+SQRT((3630*'BMP P Tracking Table'!$AO225+20.691*'BMP P Tracking Table'!$AT225-216.711*'BMP P Tracking Table'!$AS225-83.853*'BMP P Tracking Table'!$AR225-42.834*'BMP P Tracking Table'!$AQ225)^2-(4*(149.919*'BMP P Tracking Table'!$AQ225+236.676*'BMP P Tracking Table'!$AR225+726*'BMP P Tracking Table'!$AS225+996.798*'BMP P Tracking Table'!$AT225)*-'BMP P Tracking Table'!$AW225)))/(2*(149.919*'BMP P Tracking Table'!$AQ225+236.676*'BMP P Tracking Table'!$AR225+726*'BMP P Tracking Table'!$AS225+996.798*'BMP P Tracking Table'!$AT225))))),MIN(2,IF('BMP P Tracking Table'!$AP225="Total Pervious",(-(3630*'BMP P Tracking Table'!$U225+20.691*'BMP P Tracking Table'!$AA225)+SQRT((3630*'BMP P Tracking Table'!$U225+20.691*'BMP P Tracking Table'!$AA225)^2-(4*(996.798*'BMP P Tracking Table'!$AA225)*-'BMP P Tracking Table'!$AW225)))/(2*(996.798*'BMP P Tracking Table'!$AA225)),IF(SUM('BMP P Tracking Table'!$W225:$Z225)=0,'BMP P Tracking Table'!$AW225/(-3630*'BMP P Tracking Table'!$U225),(-(3630*'BMP P Tracking Table'!$U225+20.691*'BMP P Tracking Table'!$Z225-216.711*'BMP P Tracking Table'!$Y225-83.853*'BMP P Tracking Table'!$X225-42.834*'BMP P Tracking Table'!$W225)+SQRT((3630*'BMP P Tracking Table'!$U225+20.691*'BMP P Tracking Table'!$Z225-216.711*'BMP P Tracking Table'!$Y225-83.853*'BMP P Tracking Table'!$X225-42.834*'BMP P Tracking Table'!$W225)^2-(4*(149.919*'BMP P Tracking Table'!$W225+236.676*'BMP P Tracking Table'!$X225+726*'BMP P Tracking Table'!$Y225+996.798*'BMP P Tracking Table'!$Z225)*-'BMP P Tracking Table'!$AW225)))/(2*(149.919*'BMP P Tracking Table'!$W225+236.676*'BMP P Tracking Table'!$X225+726*'BMP P Tracking Table'!$Y225+996.798*'BMP P Tracking Table'!$Z225)))))),"")</f>
        <v/>
      </c>
      <c r="BA225" s="101" t="str">
        <f>IFERROR((VLOOKUP(CONCATENATE('BMP P Tracking Table'!$AV225," ",'BMP P Tracking Table'!$AX225),'Performance Curves'!$C$1:$L$45,MATCH('BMP P Tracking Table'!$AZ225,'Performance Curves'!$E$1:$L$1,1)+2,FALSE)-VLOOKUP(CONCATENATE('BMP P Tracking Table'!$AV225," ",'BMP P Tracking Table'!$AX225),'Performance Curves'!$C$1:$L$45,MATCH('BMP P Tracking Table'!$AZ225,'Performance Curves'!$E$1:$L$1,1)+1,FALSE)),"")</f>
        <v/>
      </c>
      <c r="BB225" s="101" t="str">
        <f>IFERROR(('BMP P Tracking Table'!$AZ225-INDEX('Performance Curves'!$E$1:$L$1,1,MATCH('BMP P Tracking Table'!$AZ225,'Performance Curves'!$E$1:$L$1,1)))/(INDEX('Performance Curves'!$E$1:$L$1,1,MATCH('BMP P Tracking Table'!$AZ225,'Performance Curves'!$E$1:$L$1,1)+1)-INDEX('Performance Curves'!$E$1:$L$1,1,MATCH('BMP P Tracking Table'!$AZ225,'Performance Curves'!$E$1:$L$1,1))),"")</f>
        <v/>
      </c>
      <c r="BC225" s="102" t="str">
        <f>IFERROR(IF('BMP P Tracking Table'!$AZ225=2,VLOOKUP(CONCATENATE('BMP P Tracking Table'!$AV225," ",'BMP P Tracking Table'!$AX225),'Performance Curves'!$C$1:$L$44,MATCH('BMP P Tracking Table'!$AZ225,'Performance Curves'!$E$1:$L$1,1)+1,FALSE),'BMP P Tracking Table'!$BA225*'BMP P Tracking Table'!$BB225+VLOOKUP(CONCATENATE('BMP P Tracking Table'!$AV225," ",'BMP P Tracking Table'!$AX225),'Performance Curves'!$C$1:$L$44,MATCH('BMP P Tracking Table'!$AZ225,'Performance Curves'!$E$1:$L$1,1)+1,FALSE)),"")</f>
        <v/>
      </c>
      <c r="BD225" s="101" t="str">
        <f>IFERROR('BMP P Tracking Table'!$BC225*'BMP P Tracking Table'!$AY225,"")</f>
        <v/>
      </c>
      <c r="BE225" s="96"/>
      <c r="BF225" s="37">
        <f t="shared" si="19"/>
        <v>0</v>
      </c>
    </row>
    <row r="226" spans="1:58" x14ac:dyDescent="0.3">
      <c r="A226" s="64"/>
      <c r="B226" s="64"/>
      <c r="C226" s="64"/>
      <c r="D226" s="64"/>
      <c r="E226" s="93"/>
      <c r="F226" s="93"/>
      <c r="G226" s="64"/>
      <c r="H226" s="64"/>
      <c r="I226" s="64"/>
      <c r="J226" s="94"/>
      <c r="K226" s="64"/>
      <c r="L226" s="64"/>
      <c r="M226" s="64"/>
      <c r="N226" s="64"/>
      <c r="O226" s="64"/>
      <c r="P226" s="64"/>
      <c r="Q226" s="64" t="str">
        <f>IFERROR(VLOOKUP('BMP P Tracking Table'!$P226,Dropdowns!$C$2:$E$15,3,FALSE),"")</f>
        <v/>
      </c>
      <c r="R226" s="64" t="str">
        <f>IFERROR(VLOOKUP('BMP P Tracking Table'!$Q226,Dropdowns!$P$3:$Q$23,2,FALSE),"")</f>
        <v/>
      </c>
      <c r="S226" s="64"/>
      <c r="T226" s="64"/>
      <c r="U226" s="64"/>
      <c r="V226" s="64"/>
      <c r="W226" s="64"/>
      <c r="X226" s="64"/>
      <c r="Y226" s="64"/>
      <c r="Z226" s="64"/>
      <c r="AA226" s="64"/>
      <c r="AB226" s="95"/>
      <c r="AC226" s="64"/>
      <c r="AD226" s="101" t="str">
        <f>IFERROR('BMP P Tracking Table'!$U226*VLOOKUP('BMP P Tracking Table'!$Q226,'Loading Rates'!$B$1:$L$24,4,FALSE)+IF('BMP P Tracking Table'!$V226="By HSG",'BMP P Tracking Table'!$W226*VLOOKUP('BMP P Tracking Table'!$Q226,'Loading Rates'!$B$1:$L$24,6,FALSE)+'BMP P Tracking Table'!$X226*VLOOKUP('BMP P Tracking Table'!$Q226,'Loading Rates'!$B$1:$L$24,7,FALSE)+'BMP P Tracking Table'!$Y226*VLOOKUP('BMP P Tracking Table'!$Q226,'Loading Rates'!$B$1:$L$24,8,FALSE)+'BMP P Tracking Table'!$Z226*VLOOKUP('BMP P Tracking Table'!$Q226,'Loading Rates'!$B$1:$L$24,9,FALSE),'BMP P Tracking Table'!$AA226*VLOOKUP('BMP P Tracking Table'!$Q226,'Loading Rates'!$B$1:$L$24,10,FALSE)),"")</f>
        <v/>
      </c>
      <c r="AE226" s="101" t="str">
        <f>IFERROR(MIN(2,IF('BMP P Tracking Table'!$V226="Total Pervious",(-(3630*'BMP P Tracking Table'!$U226+20.691*'BMP P Tracking Table'!$AA226)+SQRT((3630*'BMP P Tracking Table'!$U226+20.691*'BMP P Tracking Table'!$AA226)^2-(4*(996.798*'BMP P Tracking Table'!$AA226)*-'BMP P Tracking Table'!$AB226)))/(2*(996.798*'BMP P Tracking Table'!$AA226)),IF(SUM('BMP P Tracking Table'!$W226:$Z226)=0,'BMP P Tracking Table'!$AB226/(-3630*'BMP P Tracking Table'!$U226),(-(3630*'BMP P Tracking Table'!$U226+20.691*'BMP P Tracking Table'!$Z226-216.711*'BMP P Tracking Table'!$Y226-83.853*'BMP P Tracking Table'!$X226-42.834*'BMP P Tracking Table'!$W226)+SQRT((3630*'BMP P Tracking Table'!$U226+20.691*'BMP P Tracking Table'!$Z226-216.711*'BMP P Tracking Table'!$Y226-83.853*'BMP P Tracking Table'!$X226-42.834*'BMP P Tracking Table'!$W226)^2-(4*(149.919*'BMP P Tracking Table'!$W226+236.676*'BMP P Tracking Table'!$X226+726*'BMP P Tracking Table'!$Y226+996.798*'BMP P Tracking Table'!$Z226)*-'BMP P Tracking Table'!$AB226)))/(2*(149.919*'BMP P Tracking Table'!$W226+236.676*'BMP P Tracking Table'!$X226+726*'BMP P Tracking Table'!$Y226+996.798*'BMP P Tracking Table'!$Z226))))),"")</f>
        <v/>
      </c>
      <c r="AF226" s="101" t="str">
        <f>IFERROR((VLOOKUP(CONCATENATE('BMP P Tracking Table'!$T226," ",'BMP P Tracking Table'!$AC226),'Performance Curves'!$C$1:$L$45,MATCH('BMP P Tracking Table'!$AE226,'Performance Curves'!$E$1:$L$1,1)+2,FALSE)-VLOOKUP(CONCATENATE('BMP P Tracking Table'!$T226," ",'BMP P Tracking Table'!$AC226),'Performance Curves'!$C$1:$L$45,MATCH('BMP P Tracking Table'!$AE226,'Performance Curves'!$E$1:$L$1,1)+1,FALSE)),"")</f>
        <v/>
      </c>
      <c r="AG226" s="101" t="str">
        <f>IFERROR(('BMP P Tracking Table'!$AE226-INDEX('Performance Curves'!$E$1:$L$1,1,MATCH('BMP P Tracking Table'!$AE226,'Performance Curves'!$E$1:$L$1,1)))/(INDEX('Performance Curves'!$E$1:$L$1,1,MATCH('BMP P Tracking Table'!$AE226,'Performance Curves'!$E$1:$L$1,1)+1)-INDEX('Performance Curves'!$E$1:$L$1,1,MATCH('BMP P Tracking Table'!$AE226,'Performance Curves'!$E$1:$L$1,1))),"")</f>
        <v/>
      </c>
      <c r="AH226" s="102" t="str">
        <f>IFERROR(IF('BMP P Tracking Table'!$AE226=2,VLOOKUP(CONCATENATE('BMP P Tracking Table'!$T226," ",'BMP P Tracking Table'!$AC226),'Performance Curves'!$C$1:$L$45,MATCH('BMP P Tracking Table'!$AE226,'Performance Curves'!$E$1:$L$1,1)+1,FALSE),'BMP P Tracking Table'!$AF226*'BMP P Tracking Table'!$AG226+VLOOKUP(CONCATENATE('BMP P Tracking Table'!$T226," ",'BMP P Tracking Table'!$AC226),'Performance Curves'!$C$1:$L$45,MATCH('BMP P Tracking Table'!$AE226,'Performance Curves'!$E$1:$L$1,1)+1,FALSE)),"")</f>
        <v/>
      </c>
      <c r="AI226" s="101" t="str">
        <f>IFERROR('BMP P Tracking Table'!$AH226*'BMP P Tracking Table'!$AD226,"")</f>
        <v/>
      </c>
      <c r="AJ226" s="64"/>
      <c r="AK226" s="96"/>
      <c r="AL226" s="96"/>
      <c r="AM226" s="63"/>
      <c r="AN226" s="99" t="str">
        <f t="shared" si="18"/>
        <v/>
      </c>
      <c r="AO226" s="96"/>
      <c r="AP226" s="96"/>
      <c r="AQ226" s="96"/>
      <c r="AR226" s="96"/>
      <c r="AS226" s="96"/>
      <c r="AT226" s="96"/>
      <c r="AU226" s="96"/>
      <c r="AV226" s="64"/>
      <c r="AW226" s="97"/>
      <c r="AX226" s="97"/>
      <c r="AY226" s="101" t="str">
        <f>IF('BMP P Tracking Table'!$AK226="Yes",IF('BMP P Tracking Table'!$AL226="No",'BMP P Tracking Table'!$U226*VLOOKUP('BMP P Tracking Table'!$Q226,'Loading Rates'!$B$1:$L$24,4,FALSE)+IF('BMP P Tracking Table'!$V226="By HSG",'BMP P Tracking Table'!$W226*VLOOKUP('BMP P Tracking Table'!$Q226,'Loading Rates'!$B$1:$L$24,6,FALSE)+'BMP P Tracking Table'!$X226*VLOOKUP('BMP P Tracking Table'!$Q226,'Loading Rates'!$B$1:$L$24,7,FALSE)+'BMP P Tracking Table'!$Y226*VLOOKUP('BMP P Tracking Table'!$Q226,'Loading Rates'!$B$1:$L$24,8,FALSE)+'BMP P Tracking Table'!$Z226*VLOOKUP('BMP P Tracking Table'!$Q226,'Loading Rates'!$B$1:$L$24,9,FALSE),'BMP P Tracking Table'!$AA226*VLOOKUP('BMP P Tracking Table'!$Q226,'Loading Rates'!$B$1:$L$24,10,FALSE)),'BMP P Tracking Table'!$AO226*VLOOKUP('BMP P Tracking Table'!$Q226,'Loading Rates'!$B$1:$L$24,4,FALSE)+IF('BMP P Tracking Table'!$AP226="By HSG",'BMP P Tracking Table'!$AQ226*VLOOKUP('BMP P Tracking Table'!$Q226,'Loading Rates'!$B$1:$L$24,6,FALSE)+'BMP P Tracking Table'!$AR226*VLOOKUP('BMP P Tracking Table'!$Q226,'Loading Rates'!$B$1:$L$24,7,FALSE)+'BMP P Tracking Table'!$AS226*VLOOKUP('BMP P Tracking Table'!$Q226,'Loading Rates'!$B$1:$L$24,8,FALSE)+'BMP P Tracking Table'!$AT226*VLOOKUP('BMP P Tracking Table'!$Q226,'Loading Rates'!$B$1:$L$24,9,FALSE),'BMP P Tracking Table'!$AU226*VLOOKUP('BMP P Tracking Table'!$Q226,'Loading Rates'!$B$1:$L$24,10,FALSE))),"")</f>
        <v/>
      </c>
      <c r="AZ226" s="101" t="str">
        <f>IFERROR(IF('BMP P Tracking Table'!$AL226="Yes",MIN(2,IF('BMP P Tracking Table'!$AP226="Total Pervious",(-(3630*'BMP P Tracking Table'!$AO226+20.691*'BMP P Tracking Table'!$AU226)+SQRT((3630*'BMP P Tracking Table'!$AO226+20.691*'BMP P Tracking Table'!$AU226)^2-(4*(996.798*'BMP P Tracking Table'!$AU226)*-'BMP P Tracking Table'!$AW226)))/(2*(996.798*'BMP P Tracking Table'!$AU226)),IF(SUM('BMP P Tracking Table'!$AQ226:$AT226)=0,'BMP P Tracking Table'!$AU226/(-3630*'BMP P Tracking Table'!$AO226),(-(3630*'BMP P Tracking Table'!$AO226+20.691*'BMP P Tracking Table'!$AT226-216.711*'BMP P Tracking Table'!$AS226-83.853*'BMP P Tracking Table'!$AR226-42.834*'BMP P Tracking Table'!$AQ226)+SQRT((3630*'BMP P Tracking Table'!$AO226+20.691*'BMP P Tracking Table'!$AT226-216.711*'BMP P Tracking Table'!$AS226-83.853*'BMP P Tracking Table'!$AR226-42.834*'BMP P Tracking Table'!$AQ226)^2-(4*(149.919*'BMP P Tracking Table'!$AQ226+236.676*'BMP P Tracking Table'!$AR226+726*'BMP P Tracking Table'!$AS226+996.798*'BMP P Tracking Table'!$AT226)*-'BMP P Tracking Table'!$AW226)))/(2*(149.919*'BMP P Tracking Table'!$AQ226+236.676*'BMP P Tracking Table'!$AR226+726*'BMP P Tracking Table'!$AS226+996.798*'BMP P Tracking Table'!$AT226))))),MIN(2,IF('BMP P Tracking Table'!$AP226="Total Pervious",(-(3630*'BMP P Tracking Table'!$U226+20.691*'BMP P Tracking Table'!$AA226)+SQRT((3630*'BMP P Tracking Table'!$U226+20.691*'BMP P Tracking Table'!$AA226)^2-(4*(996.798*'BMP P Tracking Table'!$AA226)*-'BMP P Tracking Table'!$AW226)))/(2*(996.798*'BMP P Tracking Table'!$AA226)),IF(SUM('BMP P Tracking Table'!$W226:$Z226)=0,'BMP P Tracking Table'!$AW226/(-3630*'BMP P Tracking Table'!$U226),(-(3630*'BMP P Tracking Table'!$U226+20.691*'BMP P Tracking Table'!$Z226-216.711*'BMP P Tracking Table'!$Y226-83.853*'BMP P Tracking Table'!$X226-42.834*'BMP P Tracking Table'!$W226)+SQRT((3630*'BMP P Tracking Table'!$U226+20.691*'BMP P Tracking Table'!$Z226-216.711*'BMP P Tracking Table'!$Y226-83.853*'BMP P Tracking Table'!$X226-42.834*'BMP P Tracking Table'!$W226)^2-(4*(149.919*'BMP P Tracking Table'!$W226+236.676*'BMP P Tracking Table'!$X226+726*'BMP P Tracking Table'!$Y226+996.798*'BMP P Tracking Table'!$Z226)*-'BMP P Tracking Table'!$AW226)))/(2*(149.919*'BMP P Tracking Table'!$W226+236.676*'BMP P Tracking Table'!$X226+726*'BMP P Tracking Table'!$Y226+996.798*'BMP P Tracking Table'!$Z226)))))),"")</f>
        <v/>
      </c>
      <c r="BA226" s="101" t="str">
        <f>IFERROR((VLOOKUP(CONCATENATE('BMP P Tracking Table'!$AV226," ",'BMP P Tracking Table'!$AX226),'Performance Curves'!$C$1:$L$45,MATCH('BMP P Tracking Table'!$AZ226,'Performance Curves'!$E$1:$L$1,1)+2,FALSE)-VLOOKUP(CONCATENATE('BMP P Tracking Table'!$AV226," ",'BMP P Tracking Table'!$AX226),'Performance Curves'!$C$1:$L$45,MATCH('BMP P Tracking Table'!$AZ226,'Performance Curves'!$E$1:$L$1,1)+1,FALSE)),"")</f>
        <v/>
      </c>
      <c r="BB226" s="101" t="str">
        <f>IFERROR(('BMP P Tracking Table'!$AZ226-INDEX('Performance Curves'!$E$1:$L$1,1,MATCH('BMP P Tracking Table'!$AZ226,'Performance Curves'!$E$1:$L$1,1)))/(INDEX('Performance Curves'!$E$1:$L$1,1,MATCH('BMP P Tracking Table'!$AZ226,'Performance Curves'!$E$1:$L$1,1)+1)-INDEX('Performance Curves'!$E$1:$L$1,1,MATCH('BMP P Tracking Table'!$AZ226,'Performance Curves'!$E$1:$L$1,1))),"")</f>
        <v/>
      </c>
      <c r="BC226" s="102" t="str">
        <f>IFERROR(IF('BMP P Tracking Table'!$AZ226=2,VLOOKUP(CONCATENATE('BMP P Tracking Table'!$AV226," ",'BMP P Tracking Table'!$AX226),'Performance Curves'!$C$1:$L$44,MATCH('BMP P Tracking Table'!$AZ226,'Performance Curves'!$E$1:$L$1,1)+1,FALSE),'BMP P Tracking Table'!$BA226*'BMP P Tracking Table'!$BB226+VLOOKUP(CONCATENATE('BMP P Tracking Table'!$AV226," ",'BMP P Tracking Table'!$AX226),'Performance Curves'!$C$1:$L$44,MATCH('BMP P Tracking Table'!$AZ226,'Performance Curves'!$E$1:$L$1,1)+1,FALSE)),"")</f>
        <v/>
      </c>
      <c r="BD226" s="101" t="str">
        <f>IFERROR('BMP P Tracking Table'!$BC226*'BMP P Tracking Table'!$AY226,"")</f>
        <v/>
      </c>
      <c r="BE226" s="96"/>
      <c r="BF226" s="37">
        <f t="shared" si="19"/>
        <v>0</v>
      </c>
    </row>
    <row r="227" spans="1:58" x14ac:dyDescent="0.3">
      <c r="A227" s="64"/>
      <c r="B227" s="64"/>
      <c r="C227" s="64"/>
      <c r="D227" s="64"/>
      <c r="E227" s="93"/>
      <c r="F227" s="93"/>
      <c r="G227" s="64"/>
      <c r="H227" s="64"/>
      <c r="I227" s="64"/>
      <c r="J227" s="94"/>
      <c r="K227" s="64"/>
      <c r="L227" s="64"/>
      <c r="M227" s="64"/>
      <c r="N227" s="64"/>
      <c r="O227" s="64"/>
      <c r="P227" s="64"/>
      <c r="Q227" s="64" t="str">
        <f>IFERROR(VLOOKUP('BMP P Tracking Table'!$P227,Dropdowns!$C$2:$E$15,3,FALSE),"")</f>
        <v/>
      </c>
      <c r="R227" s="64" t="str">
        <f>IFERROR(VLOOKUP('BMP P Tracking Table'!$Q227,Dropdowns!$P$3:$Q$23,2,FALSE),"")</f>
        <v/>
      </c>
      <c r="S227" s="64"/>
      <c r="T227" s="64"/>
      <c r="U227" s="64"/>
      <c r="V227" s="64"/>
      <c r="W227" s="64"/>
      <c r="X227" s="64"/>
      <c r="Y227" s="64"/>
      <c r="Z227" s="64"/>
      <c r="AA227" s="64"/>
      <c r="AB227" s="95"/>
      <c r="AC227" s="64"/>
      <c r="AD227" s="101" t="str">
        <f>IFERROR('BMP P Tracking Table'!$U227*VLOOKUP('BMP P Tracking Table'!$Q227,'Loading Rates'!$B$1:$L$24,4,FALSE)+IF('BMP P Tracking Table'!$V227="By HSG",'BMP P Tracking Table'!$W227*VLOOKUP('BMP P Tracking Table'!$Q227,'Loading Rates'!$B$1:$L$24,6,FALSE)+'BMP P Tracking Table'!$X227*VLOOKUP('BMP P Tracking Table'!$Q227,'Loading Rates'!$B$1:$L$24,7,FALSE)+'BMP P Tracking Table'!$Y227*VLOOKUP('BMP P Tracking Table'!$Q227,'Loading Rates'!$B$1:$L$24,8,FALSE)+'BMP P Tracking Table'!$Z227*VLOOKUP('BMP P Tracking Table'!$Q227,'Loading Rates'!$B$1:$L$24,9,FALSE),'BMP P Tracking Table'!$AA227*VLOOKUP('BMP P Tracking Table'!$Q227,'Loading Rates'!$B$1:$L$24,10,FALSE)),"")</f>
        <v/>
      </c>
      <c r="AE227" s="101" t="str">
        <f>IFERROR(MIN(2,IF('BMP P Tracking Table'!$V227="Total Pervious",(-(3630*'BMP P Tracking Table'!$U227+20.691*'BMP P Tracking Table'!$AA227)+SQRT((3630*'BMP P Tracking Table'!$U227+20.691*'BMP P Tracking Table'!$AA227)^2-(4*(996.798*'BMP P Tracking Table'!$AA227)*-'BMP P Tracking Table'!$AB227)))/(2*(996.798*'BMP P Tracking Table'!$AA227)),IF(SUM('BMP P Tracking Table'!$W227:$Z227)=0,'BMP P Tracking Table'!$AB227/(-3630*'BMP P Tracking Table'!$U227),(-(3630*'BMP P Tracking Table'!$U227+20.691*'BMP P Tracking Table'!$Z227-216.711*'BMP P Tracking Table'!$Y227-83.853*'BMP P Tracking Table'!$X227-42.834*'BMP P Tracking Table'!$W227)+SQRT((3630*'BMP P Tracking Table'!$U227+20.691*'BMP P Tracking Table'!$Z227-216.711*'BMP P Tracking Table'!$Y227-83.853*'BMP P Tracking Table'!$X227-42.834*'BMP P Tracking Table'!$W227)^2-(4*(149.919*'BMP P Tracking Table'!$W227+236.676*'BMP P Tracking Table'!$X227+726*'BMP P Tracking Table'!$Y227+996.798*'BMP P Tracking Table'!$Z227)*-'BMP P Tracking Table'!$AB227)))/(2*(149.919*'BMP P Tracking Table'!$W227+236.676*'BMP P Tracking Table'!$X227+726*'BMP P Tracking Table'!$Y227+996.798*'BMP P Tracking Table'!$Z227))))),"")</f>
        <v/>
      </c>
      <c r="AF227" s="101" t="str">
        <f>IFERROR((VLOOKUP(CONCATENATE('BMP P Tracking Table'!$T227," ",'BMP P Tracking Table'!$AC227),'Performance Curves'!$C$1:$L$45,MATCH('BMP P Tracking Table'!$AE227,'Performance Curves'!$E$1:$L$1,1)+2,FALSE)-VLOOKUP(CONCATENATE('BMP P Tracking Table'!$T227," ",'BMP P Tracking Table'!$AC227),'Performance Curves'!$C$1:$L$45,MATCH('BMP P Tracking Table'!$AE227,'Performance Curves'!$E$1:$L$1,1)+1,FALSE)),"")</f>
        <v/>
      </c>
      <c r="AG227" s="101" t="str">
        <f>IFERROR(('BMP P Tracking Table'!$AE227-INDEX('Performance Curves'!$E$1:$L$1,1,MATCH('BMP P Tracking Table'!$AE227,'Performance Curves'!$E$1:$L$1,1)))/(INDEX('Performance Curves'!$E$1:$L$1,1,MATCH('BMP P Tracking Table'!$AE227,'Performance Curves'!$E$1:$L$1,1)+1)-INDEX('Performance Curves'!$E$1:$L$1,1,MATCH('BMP P Tracking Table'!$AE227,'Performance Curves'!$E$1:$L$1,1))),"")</f>
        <v/>
      </c>
      <c r="AH227" s="102" t="str">
        <f>IFERROR(IF('BMP P Tracking Table'!$AE227=2,VLOOKUP(CONCATENATE('BMP P Tracking Table'!$T227," ",'BMP P Tracking Table'!$AC227),'Performance Curves'!$C$1:$L$45,MATCH('BMP P Tracking Table'!$AE227,'Performance Curves'!$E$1:$L$1,1)+1,FALSE),'BMP P Tracking Table'!$AF227*'BMP P Tracking Table'!$AG227+VLOOKUP(CONCATENATE('BMP P Tracking Table'!$T227," ",'BMP P Tracking Table'!$AC227),'Performance Curves'!$C$1:$L$45,MATCH('BMP P Tracking Table'!$AE227,'Performance Curves'!$E$1:$L$1,1)+1,FALSE)),"")</f>
        <v/>
      </c>
      <c r="AI227" s="101" t="str">
        <f>IFERROR('BMP P Tracking Table'!$AH227*'BMP P Tracking Table'!$AD227,"")</f>
        <v/>
      </c>
      <c r="AJ227" s="64"/>
      <c r="AK227" s="96"/>
      <c r="AL227" s="96"/>
      <c r="AM227" s="63"/>
      <c r="AN227" s="99" t="str">
        <f t="shared" si="18"/>
        <v/>
      </c>
      <c r="AO227" s="96"/>
      <c r="AP227" s="96"/>
      <c r="AQ227" s="96"/>
      <c r="AR227" s="96"/>
      <c r="AS227" s="96"/>
      <c r="AT227" s="96"/>
      <c r="AU227" s="96"/>
      <c r="AV227" s="64"/>
      <c r="AW227" s="97"/>
      <c r="AX227" s="97"/>
      <c r="AY227" s="101" t="str">
        <f>IF('BMP P Tracking Table'!$AK227="Yes",IF('BMP P Tracking Table'!$AL227="No",'BMP P Tracking Table'!$U227*VLOOKUP('BMP P Tracking Table'!$Q227,'Loading Rates'!$B$1:$L$24,4,FALSE)+IF('BMP P Tracking Table'!$V227="By HSG",'BMP P Tracking Table'!$W227*VLOOKUP('BMP P Tracking Table'!$Q227,'Loading Rates'!$B$1:$L$24,6,FALSE)+'BMP P Tracking Table'!$X227*VLOOKUP('BMP P Tracking Table'!$Q227,'Loading Rates'!$B$1:$L$24,7,FALSE)+'BMP P Tracking Table'!$Y227*VLOOKUP('BMP P Tracking Table'!$Q227,'Loading Rates'!$B$1:$L$24,8,FALSE)+'BMP P Tracking Table'!$Z227*VLOOKUP('BMP P Tracking Table'!$Q227,'Loading Rates'!$B$1:$L$24,9,FALSE),'BMP P Tracking Table'!$AA227*VLOOKUP('BMP P Tracking Table'!$Q227,'Loading Rates'!$B$1:$L$24,10,FALSE)),'BMP P Tracking Table'!$AO227*VLOOKUP('BMP P Tracking Table'!$Q227,'Loading Rates'!$B$1:$L$24,4,FALSE)+IF('BMP P Tracking Table'!$AP227="By HSG",'BMP P Tracking Table'!$AQ227*VLOOKUP('BMP P Tracking Table'!$Q227,'Loading Rates'!$B$1:$L$24,6,FALSE)+'BMP P Tracking Table'!$AR227*VLOOKUP('BMP P Tracking Table'!$Q227,'Loading Rates'!$B$1:$L$24,7,FALSE)+'BMP P Tracking Table'!$AS227*VLOOKUP('BMP P Tracking Table'!$Q227,'Loading Rates'!$B$1:$L$24,8,FALSE)+'BMP P Tracking Table'!$AT227*VLOOKUP('BMP P Tracking Table'!$Q227,'Loading Rates'!$B$1:$L$24,9,FALSE),'BMP P Tracking Table'!$AU227*VLOOKUP('BMP P Tracking Table'!$Q227,'Loading Rates'!$B$1:$L$24,10,FALSE))),"")</f>
        <v/>
      </c>
      <c r="AZ227" s="101" t="str">
        <f>IFERROR(IF('BMP P Tracking Table'!$AL227="Yes",MIN(2,IF('BMP P Tracking Table'!$AP227="Total Pervious",(-(3630*'BMP P Tracking Table'!$AO227+20.691*'BMP P Tracking Table'!$AU227)+SQRT((3630*'BMP P Tracking Table'!$AO227+20.691*'BMP P Tracking Table'!$AU227)^2-(4*(996.798*'BMP P Tracking Table'!$AU227)*-'BMP P Tracking Table'!$AW227)))/(2*(996.798*'BMP P Tracking Table'!$AU227)),IF(SUM('BMP P Tracking Table'!$AQ227:$AT227)=0,'BMP P Tracking Table'!$AU227/(-3630*'BMP P Tracking Table'!$AO227),(-(3630*'BMP P Tracking Table'!$AO227+20.691*'BMP P Tracking Table'!$AT227-216.711*'BMP P Tracking Table'!$AS227-83.853*'BMP P Tracking Table'!$AR227-42.834*'BMP P Tracking Table'!$AQ227)+SQRT((3630*'BMP P Tracking Table'!$AO227+20.691*'BMP P Tracking Table'!$AT227-216.711*'BMP P Tracking Table'!$AS227-83.853*'BMP P Tracking Table'!$AR227-42.834*'BMP P Tracking Table'!$AQ227)^2-(4*(149.919*'BMP P Tracking Table'!$AQ227+236.676*'BMP P Tracking Table'!$AR227+726*'BMP P Tracking Table'!$AS227+996.798*'BMP P Tracking Table'!$AT227)*-'BMP P Tracking Table'!$AW227)))/(2*(149.919*'BMP P Tracking Table'!$AQ227+236.676*'BMP P Tracking Table'!$AR227+726*'BMP P Tracking Table'!$AS227+996.798*'BMP P Tracking Table'!$AT227))))),MIN(2,IF('BMP P Tracking Table'!$AP227="Total Pervious",(-(3630*'BMP P Tracking Table'!$U227+20.691*'BMP P Tracking Table'!$AA227)+SQRT((3630*'BMP P Tracking Table'!$U227+20.691*'BMP P Tracking Table'!$AA227)^2-(4*(996.798*'BMP P Tracking Table'!$AA227)*-'BMP P Tracking Table'!$AW227)))/(2*(996.798*'BMP P Tracking Table'!$AA227)),IF(SUM('BMP P Tracking Table'!$W227:$Z227)=0,'BMP P Tracking Table'!$AW227/(-3630*'BMP P Tracking Table'!$U227),(-(3630*'BMP P Tracking Table'!$U227+20.691*'BMP P Tracking Table'!$Z227-216.711*'BMP P Tracking Table'!$Y227-83.853*'BMP P Tracking Table'!$X227-42.834*'BMP P Tracking Table'!$W227)+SQRT((3630*'BMP P Tracking Table'!$U227+20.691*'BMP P Tracking Table'!$Z227-216.711*'BMP P Tracking Table'!$Y227-83.853*'BMP P Tracking Table'!$X227-42.834*'BMP P Tracking Table'!$W227)^2-(4*(149.919*'BMP P Tracking Table'!$W227+236.676*'BMP P Tracking Table'!$X227+726*'BMP P Tracking Table'!$Y227+996.798*'BMP P Tracking Table'!$Z227)*-'BMP P Tracking Table'!$AW227)))/(2*(149.919*'BMP P Tracking Table'!$W227+236.676*'BMP P Tracking Table'!$X227+726*'BMP P Tracking Table'!$Y227+996.798*'BMP P Tracking Table'!$Z227)))))),"")</f>
        <v/>
      </c>
      <c r="BA227" s="101" t="str">
        <f>IFERROR((VLOOKUP(CONCATENATE('BMP P Tracking Table'!$AV227," ",'BMP P Tracking Table'!$AX227),'Performance Curves'!$C$1:$L$45,MATCH('BMP P Tracking Table'!$AZ227,'Performance Curves'!$E$1:$L$1,1)+2,FALSE)-VLOOKUP(CONCATENATE('BMP P Tracking Table'!$AV227," ",'BMP P Tracking Table'!$AX227),'Performance Curves'!$C$1:$L$45,MATCH('BMP P Tracking Table'!$AZ227,'Performance Curves'!$E$1:$L$1,1)+1,FALSE)),"")</f>
        <v/>
      </c>
      <c r="BB227" s="101" t="str">
        <f>IFERROR(('BMP P Tracking Table'!$AZ227-INDEX('Performance Curves'!$E$1:$L$1,1,MATCH('BMP P Tracking Table'!$AZ227,'Performance Curves'!$E$1:$L$1,1)))/(INDEX('Performance Curves'!$E$1:$L$1,1,MATCH('BMP P Tracking Table'!$AZ227,'Performance Curves'!$E$1:$L$1,1)+1)-INDEX('Performance Curves'!$E$1:$L$1,1,MATCH('BMP P Tracking Table'!$AZ227,'Performance Curves'!$E$1:$L$1,1))),"")</f>
        <v/>
      </c>
      <c r="BC227" s="102" t="str">
        <f>IFERROR(IF('BMP P Tracking Table'!$AZ227=2,VLOOKUP(CONCATENATE('BMP P Tracking Table'!$AV227," ",'BMP P Tracking Table'!$AX227),'Performance Curves'!$C$1:$L$44,MATCH('BMP P Tracking Table'!$AZ227,'Performance Curves'!$E$1:$L$1,1)+1,FALSE),'BMP P Tracking Table'!$BA227*'BMP P Tracking Table'!$BB227+VLOOKUP(CONCATENATE('BMP P Tracking Table'!$AV227," ",'BMP P Tracking Table'!$AX227),'Performance Curves'!$C$1:$L$44,MATCH('BMP P Tracking Table'!$AZ227,'Performance Curves'!$E$1:$L$1,1)+1,FALSE)),"")</f>
        <v/>
      </c>
      <c r="BD227" s="101" t="str">
        <f>IFERROR('BMP P Tracking Table'!$BC227*'BMP P Tracking Table'!$AY227,"")</f>
        <v/>
      </c>
      <c r="BE227" s="96"/>
      <c r="BF227" s="37">
        <f t="shared" si="19"/>
        <v>0</v>
      </c>
    </row>
    <row r="228" spans="1:58" x14ac:dyDescent="0.3">
      <c r="A228" s="64"/>
      <c r="B228" s="64"/>
      <c r="C228" s="64"/>
      <c r="D228" s="64"/>
      <c r="E228" s="93"/>
      <c r="F228" s="93"/>
      <c r="G228" s="64"/>
      <c r="H228" s="64"/>
      <c r="I228" s="64"/>
      <c r="J228" s="94"/>
      <c r="K228" s="64"/>
      <c r="L228" s="64"/>
      <c r="M228" s="64"/>
      <c r="N228" s="64"/>
      <c r="O228" s="64"/>
      <c r="P228" s="64"/>
      <c r="Q228" s="64" t="str">
        <f>IFERROR(VLOOKUP('BMP P Tracking Table'!$P228,Dropdowns!$C$2:$E$15,3,FALSE),"")</f>
        <v/>
      </c>
      <c r="R228" s="64" t="str">
        <f>IFERROR(VLOOKUP('BMP P Tracking Table'!$Q228,Dropdowns!$P$3:$Q$23,2,FALSE),"")</f>
        <v/>
      </c>
      <c r="S228" s="64"/>
      <c r="T228" s="64"/>
      <c r="U228" s="64"/>
      <c r="V228" s="64"/>
      <c r="W228" s="64"/>
      <c r="X228" s="64"/>
      <c r="Y228" s="64"/>
      <c r="Z228" s="64"/>
      <c r="AA228" s="64"/>
      <c r="AB228" s="95"/>
      <c r="AC228" s="64"/>
      <c r="AD228" s="101" t="str">
        <f>IFERROR('BMP P Tracking Table'!$U228*VLOOKUP('BMP P Tracking Table'!$Q228,'Loading Rates'!$B$1:$L$24,4,FALSE)+IF('BMP P Tracking Table'!$V228="By HSG",'BMP P Tracking Table'!$W228*VLOOKUP('BMP P Tracking Table'!$Q228,'Loading Rates'!$B$1:$L$24,6,FALSE)+'BMP P Tracking Table'!$X228*VLOOKUP('BMP P Tracking Table'!$Q228,'Loading Rates'!$B$1:$L$24,7,FALSE)+'BMP P Tracking Table'!$Y228*VLOOKUP('BMP P Tracking Table'!$Q228,'Loading Rates'!$B$1:$L$24,8,FALSE)+'BMP P Tracking Table'!$Z228*VLOOKUP('BMP P Tracking Table'!$Q228,'Loading Rates'!$B$1:$L$24,9,FALSE),'BMP P Tracking Table'!$AA228*VLOOKUP('BMP P Tracking Table'!$Q228,'Loading Rates'!$B$1:$L$24,10,FALSE)),"")</f>
        <v/>
      </c>
      <c r="AE228" s="101" t="str">
        <f>IFERROR(MIN(2,IF('BMP P Tracking Table'!$V228="Total Pervious",(-(3630*'BMP P Tracking Table'!$U228+20.691*'BMP P Tracking Table'!$AA228)+SQRT((3630*'BMP P Tracking Table'!$U228+20.691*'BMP P Tracking Table'!$AA228)^2-(4*(996.798*'BMP P Tracking Table'!$AA228)*-'BMP P Tracking Table'!$AB228)))/(2*(996.798*'BMP P Tracking Table'!$AA228)),IF(SUM('BMP P Tracking Table'!$W228:$Z228)=0,'BMP P Tracking Table'!$AB228/(-3630*'BMP P Tracking Table'!$U228),(-(3630*'BMP P Tracking Table'!$U228+20.691*'BMP P Tracking Table'!$Z228-216.711*'BMP P Tracking Table'!$Y228-83.853*'BMP P Tracking Table'!$X228-42.834*'BMP P Tracking Table'!$W228)+SQRT((3630*'BMP P Tracking Table'!$U228+20.691*'BMP P Tracking Table'!$Z228-216.711*'BMP P Tracking Table'!$Y228-83.853*'BMP P Tracking Table'!$X228-42.834*'BMP P Tracking Table'!$W228)^2-(4*(149.919*'BMP P Tracking Table'!$W228+236.676*'BMP P Tracking Table'!$X228+726*'BMP P Tracking Table'!$Y228+996.798*'BMP P Tracking Table'!$Z228)*-'BMP P Tracking Table'!$AB228)))/(2*(149.919*'BMP P Tracking Table'!$W228+236.676*'BMP P Tracking Table'!$X228+726*'BMP P Tracking Table'!$Y228+996.798*'BMP P Tracking Table'!$Z228))))),"")</f>
        <v/>
      </c>
      <c r="AF228" s="101" t="str">
        <f>IFERROR((VLOOKUP(CONCATENATE('BMP P Tracking Table'!$T228," ",'BMP P Tracking Table'!$AC228),'Performance Curves'!$C$1:$L$45,MATCH('BMP P Tracking Table'!$AE228,'Performance Curves'!$E$1:$L$1,1)+2,FALSE)-VLOOKUP(CONCATENATE('BMP P Tracking Table'!$T228," ",'BMP P Tracking Table'!$AC228),'Performance Curves'!$C$1:$L$45,MATCH('BMP P Tracking Table'!$AE228,'Performance Curves'!$E$1:$L$1,1)+1,FALSE)),"")</f>
        <v/>
      </c>
      <c r="AG228" s="101" t="str">
        <f>IFERROR(('BMP P Tracking Table'!$AE228-INDEX('Performance Curves'!$E$1:$L$1,1,MATCH('BMP P Tracking Table'!$AE228,'Performance Curves'!$E$1:$L$1,1)))/(INDEX('Performance Curves'!$E$1:$L$1,1,MATCH('BMP P Tracking Table'!$AE228,'Performance Curves'!$E$1:$L$1,1)+1)-INDEX('Performance Curves'!$E$1:$L$1,1,MATCH('BMP P Tracking Table'!$AE228,'Performance Curves'!$E$1:$L$1,1))),"")</f>
        <v/>
      </c>
      <c r="AH228" s="102" t="str">
        <f>IFERROR(IF('BMP P Tracking Table'!$AE228=2,VLOOKUP(CONCATENATE('BMP P Tracking Table'!$T228," ",'BMP P Tracking Table'!$AC228),'Performance Curves'!$C$1:$L$45,MATCH('BMP P Tracking Table'!$AE228,'Performance Curves'!$E$1:$L$1,1)+1,FALSE),'BMP P Tracking Table'!$AF228*'BMP P Tracking Table'!$AG228+VLOOKUP(CONCATENATE('BMP P Tracking Table'!$T228," ",'BMP P Tracking Table'!$AC228),'Performance Curves'!$C$1:$L$45,MATCH('BMP P Tracking Table'!$AE228,'Performance Curves'!$E$1:$L$1,1)+1,FALSE)),"")</f>
        <v/>
      </c>
      <c r="AI228" s="101" t="str">
        <f>IFERROR('BMP P Tracking Table'!$AH228*'BMP P Tracking Table'!$AD228,"")</f>
        <v/>
      </c>
      <c r="AJ228" s="64"/>
      <c r="AK228" s="96"/>
      <c r="AL228" s="96"/>
      <c r="AM228" s="63"/>
      <c r="AN228" s="99" t="str">
        <f t="shared" si="18"/>
        <v/>
      </c>
      <c r="AO228" s="96"/>
      <c r="AP228" s="96"/>
      <c r="AQ228" s="96"/>
      <c r="AR228" s="96"/>
      <c r="AS228" s="96"/>
      <c r="AT228" s="96"/>
      <c r="AU228" s="96"/>
      <c r="AV228" s="64"/>
      <c r="AW228" s="97"/>
      <c r="AX228" s="97"/>
      <c r="AY228" s="101" t="str">
        <f>IF('BMP P Tracking Table'!$AK228="Yes",IF('BMP P Tracking Table'!$AL228="No",'BMP P Tracking Table'!$U228*VLOOKUP('BMP P Tracking Table'!$Q228,'Loading Rates'!$B$1:$L$24,4,FALSE)+IF('BMP P Tracking Table'!$V228="By HSG",'BMP P Tracking Table'!$W228*VLOOKUP('BMP P Tracking Table'!$Q228,'Loading Rates'!$B$1:$L$24,6,FALSE)+'BMP P Tracking Table'!$X228*VLOOKUP('BMP P Tracking Table'!$Q228,'Loading Rates'!$B$1:$L$24,7,FALSE)+'BMP P Tracking Table'!$Y228*VLOOKUP('BMP P Tracking Table'!$Q228,'Loading Rates'!$B$1:$L$24,8,FALSE)+'BMP P Tracking Table'!$Z228*VLOOKUP('BMP P Tracking Table'!$Q228,'Loading Rates'!$B$1:$L$24,9,FALSE),'BMP P Tracking Table'!$AA228*VLOOKUP('BMP P Tracking Table'!$Q228,'Loading Rates'!$B$1:$L$24,10,FALSE)),'BMP P Tracking Table'!$AO228*VLOOKUP('BMP P Tracking Table'!$Q228,'Loading Rates'!$B$1:$L$24,4,FALSE)+IF('BMP P Tracking Table'!$AP228="By HSG",'BMP P Tracking Table'!$AQ228*VLOOKUP('BMP P Tracking Table'!$Q228,'Loading Rates'!$B$1:$L$24,6,FALSE)+'BMP P Tracking Table'!$AR228*VLOOKUP('BMP P Tracking Table'!$Q228,'Loading Rates'!$B$1:$L$24,7,FALSE)+'BMP P Tracking Table'!$AS228*VLOOKUP('BMP P Tracking Table'!$Q228,'Loading Rates'!$B$1:$L$24,8,FALSE)+'BMP P Tracking Table'!$AT228*VLOOKUP('BMP P Tracking Table'!$Q228,'Loading Rates'!$B$1:$L$24,9,FALSE),'BMP P Tracking Table'!$AU228*VLOOKUP('BMP P Tracking Table'!$Q228,'Loading Rates'!$B$1:$L$24,10,FALSE))),"")</f>
        <v/>
      </c>
      <c r="AZ228" s="101" t="str">
        <f>IFERROR(IF('BMP P Tracking Table'!$AL228="Yes",MIN(2,IF('BMP P Tracking Table'!$AP228="Total Pervious",(-(3630*'BMP P Tracking Table'!$AO228+20.691*'BMP P Tracking Table'!$AU228)+SQRT((3630*'BMP P Tracking Table'!$AO228+20.691*'BMP P Tracking Table'!$AU228)^2-(4*(996.798*'BMP P Tracking Table'!$AU228)*-'BMP P Tracking Table'!$AW228)))/(2*(996.798*'BMP P Tracking Table'!$AU228)),IF(SUM('BMP P Tracking Table'!$AQ228:$AT228)=0,'BMP P Tracking Table'!$AU228/(-3630*'BMP P Tracking Table'!$AO228),(-(3630*'BMP P Tracking Table'!$AO228+20.691*'BMP P Tracking Table'!$AT228-216.711*'BMP P Tracking Table'!$AS228-83.853*'BMP P Tracking Table'!$AR228-42.834*'BMP P Tracking Table'!$AQ228)+SQRT((3630*'BMP P Tracking Table'!$AO228+20.691*'BMP P Tracking Table'!$AT228-216.711*'BMP P Tracking Table'!$AS228-83.853*'BMP P Tracking Table'!$AR228-42.834*'BMP P Tracking Table'!$AQ228)^2-(4*(149.919*'BMP P Tracking Table'!$AQ228+236.676*'BMP P Tracking Table'!$AR228+726*'BMP P Tracking Table'!$AS228+996.798*'BMP P Tracking Table'!$AT228)*-'BMP P Tracking Table'!$AW228)))/(2*(149.919*'BMP P Tracking Table'!$AQ228+236.676*'BMP P Tracking Table'!$AR228+726*'BMP P Tracking Table'!$AS228+996.798*'BMP P Tracking Table'!$AT228))))),MIN(2,IF('BMP P Tracking Table'!$AP228="Total Pervious",(-(3630*'BMP P Tracking Table'!$U228+20.691*'BMP P Tracking Table'!$AA228)+SQRT((3630*'BMP P Tracking Table'!$U228+20.691*'BMP P Tracking Table'!$AA228)^2-(4*(996.798*'BMP P Tracking Table'!$AA228)*-'BMP P Tracking Table'!$AW228)))/(2*(996.798*'BMP P Tracking Table'!$AA228)),IF(SUM('BMP P Tracking Table'!$W228:$Z228)=0,'BMP P Tracking Table'!$AW228/(-3630*'BMP P Tracking Table'!$U228),(-(3630*'BMP P Tracking Table'!$U228+20.691*'BMP P Tracking Table'!$Z228-216.711*'BMP P Tracking Table'!$Y228-83.853*'BMP P Tracking Table'!$X228-42.834*'BMP P Tracking Table'!$W228)+SQRT((3630*'BMP P Tracking Table'!$U228+20.691*'BMP P Tracking Table'!$Z228-216.711*'BMP P Tracking Table'!$Y228-83.853*'BMP P Tracking Table'!$X228-42.834*'BMP P Tracking Table'!$W228)^2-(4*(149.919*'BMP P Tracking Table'!$W228+236.676*'BMP P Tracking Table'!$X228+726*'BMP P Tracking Table'!$Y228+996.798*'BMP P Tracking Table'!$Z228)*-'BMP P Tracking Table'!$AW228)))/(2*(149.919*'BMP P Tracking Table'!$W228+236.676*'BMP P Tracking Table'!$X228+726*'BMP P Tracking Table'!$Y228+996.798*'BMP P Tracking Table'!$Z228)))))),"")</f>
        <v/>
      </c>
      <c r="BA228" s="101" t="str">
        <f>IFERROR((VLOOKUP(CONCATENATE('BMP P Tracking Table'!$AV228," ",'BMP P Tracking Table'!$AX228),'Performance Curves'!$C$1:$L$45,MATCH('BMP P Tracking Table'!$AZ228,'Performance Curves'!$E$1:$L$1,1)+2,FALSE)-VLOOKUP(CONCATENATE('BMP P Tracking Table'!$AV228," ",'BMP P Tracking Table'!$AX228),'Performance Curves'!$C$1:$L$45,MATCH('BMP P Tracking Table'!$AZ228,'Performance Curves'!$E$1:$L$1,1)+1,FALSE)),"")</f>
        <v/>
      </c>
      <c r="BB228" s="101" t="str">
        <f>IFERROR(('BMP P Tracking Table'!$AZ228-INDEX('Performance Curves'!$E$1:$L$1,1,MATCH('BMP P Tracking Table'!$AZ228,'Performance Curves'!$E$1:$L$1,1)))/(INDEX('Performance Curves'!$E$1:$L$1,1,MATCH('BMP P Tracking Table'!$AZ228,'Performance Curves'!$E$1:$L$1,1)+1)-INDEX('Performance Curves'!$E$1:$L$1,1,MATCH('BMP P Tracking Table'!$AZ228,'Performance Curves'!$E$1:$L$1,1))),"")</f>
        <v/>
      </c>
      <c r="BC228" s="102" t="str">
        <f>IFERROR(IF('BMP P Tracking Table'!$AZ228=2,VLOOKUP(CONCATENATE('BMP P Tracking Table'!$AV228," ",'BMP P Tracking Table'!$AX228),'Performance Curves'!$C$1:$L$44,MATCH('BMP P Tracking Table'!$AZ228,'Performance Curves'!$E$1:$L$1,1)+1,FALSE),'BMP P Tracking Table'!$BA228*'BMP P Tracking Table'!$BB228+VLOOKUP(CONCATENATE('BMP P Tracking Table'!$AV228," ",'BMP P Tracking Table'!$AX228),'Performance Curves'!$C$1:$L$44,MATCH('BMP P Tracking Table'!$AZ228,'Performance Curves'!$E$1:$L$1,1)+1,FALSE)),"")</f>
        <v/>
      </c>
      <c r="BD228" s="101" t="str">
        <f>IFERROR('BMP P Tracking Table'!$BC228*'BMP P Tracking Table'!$AY228,"")</f>
        <v/>
      </c>
      <c r="BE228" s="96"/>
      <c r="BF228" s="37">
        <f t="shared" si="19"/>
        <v>0</v>
      </c>
    </row>
    <row r="229" spans="1:58" x14ac:dyDescent="0.3">
      <c r="A229" s="64"/>
      <c r="B229" s="64"/>
      <c r="C229" s="64"/>
      <c r="D229" s="64"/>
      <c r="E229" s="93"/>
      <c r="F229" s="93"/>
      <c r="G229" s="64"/>
      <c r="H229" s="64"/>
      <c r="I229" s="64"/>
      <c r="J229" s="94"/>
      <c r="K229" s="64"/>
      <c r="L229" s="64"/>
      <c r="M229" s="64"/>
      <c r="N229" s="64"/>
      <c r="O229" s="64"/>
      <c r="P229" s="64"/>
      <c r="Q229" s="64" t="str">
        <f>IFERROR(VLOOKUP('BMP P Tracking Table'!$P229,Dropdowns!$C$2:$E$15,3,FALSE),"")</f>
        <v/>
      </c>
      <c r="R229" s="64" t="str">
        <f>IFERROR(VLOOKUP('BMP P Tracking Table'!$Q229,Dropdowns!$P$3:$Q$23,2,FALSE),"")</f>
        <v/>
      </c>
      <c r="S229" s="64"/>
      <c r="T229" s="64"/>
      <c r="U229" s="64"/>
      <c r="V229" s="64"/>
      <c r="W229" s="64"/>
      <c r="X229" s="64"/>
      <c r="Y229" s="64"/>
      <c r="Z229" s="64"/>
      <c r="AA229" s="64"/>
      <c r="AB229" s="95"/>
      <c r="AC229" s="64"/>
      <c r="AD229" s="101" t="str">
        <f>IFERROR('BMP P Tracking Table'!$U229*VLOOKUP('BMP P Tracking Table'!$Q229,'Loading Rates'!$B$1:$L$24,4,FALSE)+IF('BMP P Tracking Table'!$V229="By HSG",'BMP P Tracking Table'!$W229*VLOOKUP('BMP P Tracking Table'!$Q229,'Loading Rates'!$B$1:$L$24,6,FALSE)+'BMP P Tracking Table'!$X229*VLOOKUP('BMP P Tracking Table'!$Q229,'Loading Rates'!$B$1:$L$24,7,FALSE)+'BMP P Tracking Table'!$Y229*VLOOKUP('BMP P Tracking Table'!$Q229,'Loading Rates'!$B$1:$L$24,8,FALSE)+'BMP P Tracking Table'!$Z229*VLOOKUP('BMP P Tracking Table'!$Q229,'Loading Rates'!$B$1:$L$24,9,FALSE),'BMP P Tracking Table'!$AA229*VLOOKUP('BMP P Tracking Table'!$Q229,'Loading Rates'!$B$1:$L$24,10,FALSE)),"")</f>
        <v/>
      </c>
      <c r="AE229" s="101" t="str">
        <f>IFERROR(MIN(2,IF('BMP P Tracking Table'!$V229="Total Pervious",(-(3630*'BMP P Tracking Table'!$U229+20.691*'BMP P Tracking Table'!$AA229)+SQRT((3630*'BMP P Tracking Table'!$U229+20.691*'BMP P Tracking Table'!$AA229)^2-(4*(996.798*'BMP P Tracking Table'!$AA229)*-'BMP P Tracking Table'!$AB229)))/(2*(996.798*'BMP P Tracking Table'!$AA229)),IF(SUM('BMP P Tracking Table'!$W229:$Z229)=0,'BMP P Tracking Table'!$AB229/(-3630*'BMP P Tracking Table'!$U229),(-(3630*'BMP P Tracking Table'!$U229+20.691*'BMP P Tracking Table'!$Z229-216.711*'BMP P Tracking Table'!$Y229-83.853*'BMP P Tracking Table'!$X229-42.834*'BMP P Tracking Table'!$W229)+SQRT((3630*'BMP P Tracking Table'!$U229+20.691*'BMP P Tracking Table'!$Z229-216.711*'BMP P Tracking Table'!$Y229-83.853*'BMP P Tracking Table'!$X229-42.834*'BMP P Tracking Table'!$W229)^2-(4*(149.919*'BMP P Tracking Table'!$W229+236.676*'BMP P Tracking Table'!$X229+726*'BMP P Tracking Table'!$Y229+996.798*'BMP P Tracking Table'!$Z229)*-'BMP P Tracking Table'!$AB229)))/(2*(149.919*'BMP P Tracking Table'!$W229+236.676*'BMP P Tracking Table'!$X229+726*'BMP P Tracking Table'!$Y229+996.798*'BMP P Tracking Table'!$Z229))))),"")</f>
        <v/>
      </c>
      <c r="AF229" s="101" t="str">
        <f>IFERROR((VLOOKUP(CONCATENATE('BMP P Tracking Table'!$T229," ",'BMP P Tracking Table'!$AC229),'Performance Curves'!$C$1:$L$45,MATCH('BMP P Tracking Table'!$AE229,'Performance Curves'!$E$1:$L$1,1)+2,FALSE)-VLOOKUP(CONCATENATE('BMP P Tracking Table'!$T229," ",'BMP P Tracking Table'!$AC229),'Performance Curves'!$C$1:$L$45,MATCH('BMP P Tracking Table'!$AE229,'Performance Curves'!$E$1:$L$1,1)+1,FALSE)),"")</f>
        <v/>
      </c>
      <c r="AG229" s="101" t="str">
        <f>IFERROR(('BMP P Tracking Table'!$AE229-INDEX('Performance Curves'!$E$1:$L$1,1,MATCH('BMP P Tracking Table'!$AE229,'Performance Curves'!$E$1:$L$1,1)))/(INDEX('Performance Curves'!$E$1:$L$1,1,MATCH('BMP P Tracking Table'!$AE229,'Performance Curves'!$E$1:$L$1,1)+1)-INDEX('Performance Curves'!$E$1:$L$1,1,MATCH('BMP P Tracking Table'!$AE229,'Performance Curves'!$E$1:$L$1,1))),"")</f>
        <v/>
      </c>
      <c r="AH229" s="102" t="str">
        <f>IFERROR(IF('BMP P Tracking Table'!$AE229=2,VLOOKUP(CONCATENATE('BMP P Tracking Table'!$T229," ",'BMP P Tracking Table'!$AC229),'Performance Curves'!$C$1:$L$45,MATCH('BMP P Tracking Table'!$AE229,'Performance Curves'!$E$1:$L$1,1)+1,FALSE),'BMP P Tracking Table'!$AF229*'BMP P Tracking Table'!$AG229+VLOOKUP(CONCATENATE('BMP P Tracking Table'!$T229," ",'BMP P Tracking Table'!$AC229),'Performance Curves'!$C$1:$L$45,MATCH('BMP P Tracking Table'!$AE229,'Performance Curves'!$E$1:$L$1,1)+1,FALSE)),"")</f>
        <v/>
      </c>
      <c r="AI229" s="101" t="str">
        <f>IFERROR('BMP P Tracking Table'!$AH229*'BMP P Tracking Table'!$AD229,"")</f>
        <v/>
      </c>
      <c r="AJ229" s="64"/>
      <c r="AK229" s="96"/>
      <c r="AL229" s="96"/>
      <c r="AM229" s="63"/>
      <c r="AN229" s="99" t="str">
        <f t="shared" si="18"/>
        <v/>
      </c>
      <c r="AO229" s="96"/>
      <c r="AP229" s="96"/>
      <c r="AQ229" s="96"/>
      <c r="AR229" s="96"/>
      <c r="AS229" s="96"/>
      <c r="AT229" s="96"/>
      <c r="AU229" s="96"/>
      <c r="AV229" s="64"/>
      <c r="AW229" s="97"/>
      <c r="AX229" s="97"/>
      <c r="AY229" s="101" t="str">
        <f>IF('BMP P Tracking Table'!$AK229="Yes",IF('BMP P Tracking Table'!$AL229="No",'BMP P Tracking Table'!$U229*VLOOKUP('BMP P Tracking Table'!$Q229,'Loading Rates'!$B$1:$L$24,4,FALSE)+IF('BMP P Tracking Table'!$V229="By HSG",'BMP P Tracking Table'!$W229*VLOOKUP('BMP P Tracking Table'!$Q229,'Loading Rates'!$B$1:$L$24,6,FALSE)+'BMP P Tracking Table'!$X229*VLOOKUP('BMP P Tracking Table'!$Q229,'Loading Rates'!$B$1:$L$24,7,FALSE)+'BMP P Tracking Table'!$Y229*VLOOKUP('BMP P Tracking Table'!$Q229,'Loading Rates'!$B$1:$L$24,8,FALSE)+'BMP P Tracking Table'!$Z229*VLOOKUP('BMP P Tracking Table'!$Q229,'Loading Rates'!$B$1:$L$24,9,FALSE),'BMP P Tracking Table'!$AA229*VLOOKUP('BMP P Tracking Table'!$Q229,'Loading Rates'!$B$1:$L$24,10,FALSE)),'BMP P Tracking Table'!$AO229*VLOOKUP('BMP P Tracking Table'!$Q229,'Loading Rates'!$B$1:$L$24,4,FALSE)+IF('BMP P Tracking Table'!$AP229="By HSG",'BMP P Tracking Table'!$AQ229*VLOOKUP('BMP P Tracking Table'!$Q229,'Loading Rates'!$B$1:$L$24,6,FALSE)+'BMP P Tracking Table'!$AR229*VLOOKUP('BMP P Tracking Table'!$Q229,'Loading Rates'!$B$1:$L$24,7,FALSE)+'BMP P Tracking Table'!$AS229*VLOOKUP('BMP P Tracking Table'!$Q229,'Loading Rates'!$B$1:$L$24,8,FALSE)+'BMP P Tracking Table'!$AT229*VLOOKUP('BMP P Tracking Table'!$Q229,'Loading Rates'!$B$1:$L$24,9,FALSE),'BMP P Tracking Table'!$AU229*VLOOKUP('BMP P Tracking Table'!$Q229,'Loading Rates'!$B$1:$L$24,10,FALSE))),"")</f>
        <v/>
      </c>
      <c r="AZ229" s="101" t="str">
        <f>IFERROR(IF('BMP P Tracking Table'!$AL229="Yes",MIN(2,IF('BMP P Tracking Table'!$AP229="Total Pervious",(-(3630*'BMP P Tracking Table'!$AO229+20.691*'BMP P Tracking Table'!$AU229)+SQRT((3630*'BMP P Tracking Table'!$AO229+20.691*'BMP P Tracking Table'!$AU229)^2-(4*(996.798*'BMP P Tracking Table'!$AU229)*-'BMP P Tracking Table'!$AW229)))/(2*(996.798*'BMP P Tracking Table'!$AU229)),IF(SUM('BMP P Tracking Table'!$AQ229:$AT229)=0,'BMP P Tracking Table'!$AU229/(-3630*'BMP P Tracking Table'!$AO229),(-(3630*'BMP P Tracking Table'!$AO229+20.691*'BMP P Tracking Table'!$AT229-216.711*'BMP P Tracking Table'!$AS229-83.853*'BMP P Tracking Table'!$AR229-42.834*'BMP P Tracking Table'!$AQ229)+SQRT((3630*'BMP P Tracking Table'!$AO229+20.691*'BMP P Tracking Table'!$AT229-216.711*'BMP P Tracking Table'!$AS229-83.853*'BMP P Tracking Table'!$AR229-42.834*'BMP P Tracking Table'!$AQ229)^2-(4*(149.919*'BMP P Tracking Table'!$AQ229+236.676*'BMP P Tracking Table'!$AR229+726*'BMP P Tracking Table'!$AS229+996.798*'BMP P Tracking Table'!$AT229)*-'BMP P Tracking Table'!$AW229)))/(2*(149.919*'BMP P Tracking Table'!$AQ229+236.676*'BMP P Tracking Table'!$AR229+726*'BMP P Tracking Table'!$AS229+996.798*'BMP P Tracking Table'!$AT229))))),MIN(2,IF('BMP P Tracking Table'!$AP229="Total Pervious",(-(3630*'BMP P Tracking Table'!$U229+20.691*'BMP P Tracking Table'!$AA229)+SQRT((3630*'BMP P Tracking Table'!$U229+20.691*'BMP P Tracking Table'!$AA229)^2-(4*(996.798*'BMP P Tracking Table'!$AA229)*-'BMP P Tracking Table'!$AW229)))/(2*(996.798*'BMP P Tracking Table'!$AA229)),IF(SUM('BMP P Tracking Table'!$W229:$Z229)=0,'BMP P Tracking Table'!$AW229/(-3630*'BMP P Tracking Table'!$U229),(-(3630*'BMP P Tracking Table'!$U229+20.691*'BMP P Tracking Table'!$Z229-216.711*'BMP P Tracking Table'!$Y229-83.853*'BMP P Tracking Table'!$X229-42.834*'BMP P Tracking Table'!$W229)+SQRT((3630*'BMP P Tracking Table'!$U229+20.691*'BMP P Tracking Table'!$Z229-216.711*'BMP P Tracking Table'!$Y229-83.853*'BMP P Tracking Table'!$X229-42.834*'BMP P Tracking Table'!$W229)^2-(4*(149.919*'BMP P Tracking Table'!$W229+236.676*'BMP P Tracking Table'!$X229+726*'BMP P Tracking Table'!$Y229+996.798*'BMP P Tracking Table'!$Z229)*-'BMP P Tracking Table'!$AW229)))/(2*(149.919*'BMP P Tracking Table'!$W229+236.676*'BMP P Tracking Table'!$X229+726*'BMP P Tracking Table'!$Y229+996.798*'BMP P Tracking Table'!$Z229)))))),"")</f>
        <v/>
      </c>
      <c r="BA229" s="101" t="str">
        <f>IFERROR((VLOOKUP(CONCATENATE('BMP P Tracking Table'!$AV229," ",'BMP P Tracking Table'!$AX229),'Performance Curves'!$C$1:$L$45,MATCH('BMP P Tracking Table'!$AZ229,'Performance Curves'!$E$1:$L$1,1)+2,FALSE)-VLOOKUP(CONCATENATE('BMP P Tracking Table'!$AV229," ",'BMP P Tracking Table'!$AX229),'Performance Curves'!$C$1:$L$45,MATCH('BMP P Tracking Table'!$AZ229,'Performance Curves'!$E$1:$L$1,1)+1,FALSE)),"")</f>
        <v/>
      </c>
      <c r="BB229" s="101" t="str">
        <f>IFERROR(('BMP P Tracking Table'!$AZ229-INDEX('Performance Curves'!$E$1:$L$1,1,MATCH('BMP P Tracking Table'!$AZ229,'Performance Curves'!$E$1:$L$1,1)))/(INDEX('Performance Curves'!$E$1:$L$1,1,MATCH('BMP P Tracking Table'!$AZ229,'Performance Curves'!$E$1:$L$1,1)+1)-INDEX('Performance Curves'!$E$1:$L$1,1,MATCH('BMP P Tracking Table'!$AZ229,'Performance Curves'!$E$1:$L$1,1))),"")</f>
        <v/>
      </c>
      <c r="BC229" s="102" t="str">
        <f>IFERROR(IF('BMP P Tracking Table'!$AZ229=2,VLOOKUP(CONCATENATE('BMP P Tracking Table'!$AV229," ",'BMP P Tracking Table'!$AX229),'Performance Curves'!$C$1:$L$44,MATCH('BMP P Tracking Table'!$AZ229,'Performance Curves'!$E$1:$L$1,1)+1,FALSE),'BMP P Tracking Table'!$BA229*'BMP P Tracking Table'!$BB229+VLOOKUP(CONCATENATE('BMP P Tracking Table'!$AV229," ",'BMP P Tracking Table'!$AX229),'Performance Curves'!$C$1:$L$44,MATCH('BMP P Tracking Table'!$AZ229,'Performance Curves'!$E$1:$L$1,1)+1,FALSE)),"")</f>
        <v/>
      </c>
      <c r="BD229" s="101" t="str">
        <f>IFERROR('BMP P Tracking Table'!$BC229*'BMP P Tracking Table'!$AY229,"")</f>
        <v/>
      </c>
      <c r="BE229" s="96"/>
      <c r="BF229" s="37">
        <f t="shared" si="19"/>
        <v>0</v>
      </c>
    </row>
    <row r="230" spans="1:58" x14ac:dyDescent="0.3">
      <c r="A230" s="64"/>
      <c r="B230" s="64"/>
      <c r="C230" s="64"/>
      <c r="D230" s="64"/>
      <c r="E230" s="93"/>
      <c r="F230" s="93"/>
      <c r="G230" s="64"/>
      <c r="H230" s="64"/>
      <c r="I230" s="64"/>
      <c r="J230" s="94"/>
      <c r="K230" s="64"/>
      <c r="L230" s="64"/>
      <c r="M230" s="64"/>
      <c r="N230" s="64"/>
      <c r="O230" s="64"/>
      <c r="P230" s="64"/>
      <c r="Q230" s="64" t="str">
        <f>IFERROR(VLOOKUP('BMP P Tracking Table'!$P230,Dropdowns!$C$2:$E$15,3,FALSE),"")</f>
        <v/>
      </c>
      <c r="R230" s="64" t="str">
        <f>IFERROR(VLOOKUP('BMP P Tracking Table'!$Q230,Dropdowns!$P$3:$Q$23,2,FALSE),"")</f>
        <v/>
      </c>
      <c r="S230" s="64"/>
      <c r="T230" s="64"/>
      <c r="U230" s="64"/>
      <c r="V230" s="64"/>
      <c r="W230" s="64"/>
      <c r="X230" s="64"/>
      <c r="Y230" s="64"/>
      <c r="Z230" s="64"/>
      <c r="AA230" s="64"/>
      <c r="AB230" s="95"/>
      <c r="AC230" s="64"/>
      <c r="AD230" s="101" t="str">
        <f>IFERROR('BMP P Tracking Table'!$U230*VLOOKUP('BMP P Tracking Table'!$Q230,'Loading Rates'!$B$1:$L$24,4,FALSE)+IF('BMP P Tracking Table'!$V230="By HSG",'BMP P Tracking Table'!$W230*VLOOKUP('BMP P Tracking Table'!$Q230,'Loading Rates'!$B$1:$L$24,6,FALSE)+'BMP P Tracking Table'!$X230*VLOOKUP('BMP P Tracking Table'!$Q230,'Loading Rates'!$B$1:$L$24,7,FALSE)+'BMP P Tracking Table'!$Y230*VLOOKUP('BMP P Tracking Table'!$Q230,'Loading Rates'!$B$1:$L$24,8,FALSE)+'BMP P Tracking Table'!$Z230*VLOOKUP('BMP P Tracking Table'!$Q230,'Loading Rates'!$B$1:$L$24,9,FALSE),'BMP P Tracking Table'!$AA230*VLOOKUP('BMP P Tracking Table'!$Q230,'Loading Rates'!$B$1:$L$24,10,FALSE)),"")</f>
        <v/>
      </c>
      <c r="AE230" s="101" t="str">
        <f>IFERROR(MIN(2,IF('BMP P Tracking Table'!$V230="Total Pervious",(-(3630*'BMP P Tracking Table'!$U230+20.691*'BMP P Tracking Table'!$AA230)+SQRT((3630*'BMP P Tracking Table'!$U230+20.691*'BMP P Tracking Table'!$AA230)^2-(4*(996.798*'BMP P Tracking Table'!$AA230)*-'BMP P Tracking Table'!$AB230)))/(2*(996.798*'BMP P Tracking Table'!$AA230)),IF(SUM('BMP P Tracking Table'!$W230:$Z230)=0,'BMP P Tracking Table'!$AB230/(-3630*'BMP P Tracking Table'!$U230),(-(3630*'BMP P Tracking Table'!$U230+20.691*'BMP P Tracking Table'!$Z230-216.711*'BMP P Tracking Table'!$Y230-83.853*'BMP P Tracking Table'!$X230-42.834*'BMP P Tracking Table'!$W230)+SQRT((3630*'BMP P Tracking Table'!$U230+20.691*'BMP P Tracking Table'!$Z230-216.711*'BMP P Tracking Table'!$Y230-83.853*'BMP P Tracking Table'!$X230-42.834*'BMP P Tracking Table'!$W230)^2-(4*(149.919*'BMP P Tracking Table'!$W230+236.676*'BMP P Tracking Table'!$X230+726*'BMP P Tracking Table'!$Y230+996.798*'BMP P Tracking Table'!$Z230)*-'BMP P Tracking Table'!$AB230)))/(2*(149.919*'BMP P Tracking Table'!$W230+236.676*'BMP P Tracking Table'!$X230+726*'BMP P Tracking Table'!$Y230+996.798*'BMP P Tracking Table'!$Z230))))),"")</f>
        <v/>
      </c>
      <c r="AF230" s="101" t="str">
        <f>IFERROR((VLOOKUP(CONCATENATE('BMP P Tracking Table'!$T230," ",'BMP P Tracking Table'!$AC230),'Performance Curves'!$C$1:$L$45,MATCH('BMP P Tracking Table'!$AE230,'Performance Curves'!$E$1:$L$1,1)+2,FALSE)-VLOOKUP(CONCATENATE('BMP P Tracking Table'!$T230," ",'BMP P Tracking Table'!$AC230),'Performance Curves'!$C$1:$L$45,MATCH('BMP P Tracking Table'!$AE230,'Performance Curves'!$E$1:$L$1,1)+1,FALSE)),"")</f>
        <v/>
      </c>
      <c r="AG230" s="101" t="str">
        <f>IFERROR(('BMP P Tracking Table'!$AE230-INDEX('Performance Curves'!$E$1:$L$1,1,MATCH('BMP P Tracking Table'!$AE230,'Performance Curves'!$E$1:$L$1,1)))/(INDEX('Performance Curves'!$E$1:$L$1,1,MATCH('BMP P Tracking Table'!$AE230,'Performance Curves'!$E$1:$L$1,1)+1)-INDEX('Performance Curves'!$E$1:$L$1,1,MATCH('BMP P Tracking Table'!$AE230,'Performance Curves'!$E$1:$L$1,1))),"")</f>
        <v/>
      </c>
      <c r="AH230" s="102" t="str">
        <f>IFERROR(IF('BMP P Tracking Table'!$AE230=2,VLOOKUP(CONCATENATE('BMP P Tracking Table'!$T230," ",'BMP P Tracking Table'!$AC230),'Performance Curves'!$C$1:$L$45,MATCH('BMP P Tracking Table'!$AE230,'Performance Curves'!$E$1:$L$1,1)+1,FALSE),'BMP P Tracking Table'!$AF230*'BMP P Tracking Table'!$AG230+VLOOKUP(CONCATENATE('BMP P Tracking Table'!$T230," ",'BMP P Tracking Table'!$AC230),'Performance Curves'!$C$1:$L$45,MATCH('BMP P Tracking Table'!$AE230,'Performance Curves'!$E$1:$L$1,1)+1,FALSE)),"")</f>
        <v/>
      </c>
      <c r="AI230" s="101" t="str">
        <f>IFERROR('BMP P Tracking Table'!$AH230*'BMP P Tracking Table'!$AD230,"")</f>
        <v/>
      </c>
      <c r="AJ230" s="64"/>
      <c r="AK230" s="96"/>
      <c r="AL230" s="96"/>
      <c r="AM230" s="63"/>
      <c r="AN230" s="99" t="str">
        <f t="shared" si="18"/>
        <v/>
      </c>
      <c r="AO230" s="96"/>
      <c r="AP230" s="96"/>
      <c r="AQ230" s="96"/>
      <c r="AR230" s="96"/>
      <c r="AS230" s="96"/>
      <c r="AT230" s="96"/>
      <c r="AU230" s="96"/>
      <c r="AV230" s="64"/>
      <c r="AW230" s="97"/>
      <c r="AX230" s="97"/>
      <c r="AY230" s="101" t="str">
        <f>IF('BMP P Tracking Table'!$AK230="Yes",IF('BMP P Tracking Table'!$AL230="No",'BMP P Tracking Table'!$U230*VLOOKUP('BMP P Tracking Table'!$Q230,'Loading Rates'!$B$1:$L$24,4,FALSE)+IF('BMP P Tracking Table'!$V230="By HSG",'BMP P Tracking Table'!$W230*VLOOKUP('BMP P Tracking Table'!$Q230,'Loading Rates'!$B$1:$L$24,6,FALSE)+'BMP P Tracking Table'!$X230*VLOOKUP('BMP P Tracking Table'!$Q230,'Loading Rates'!$B$1:$L$24,7,FALSE)+'BMP P Tracking Table'!$Y230*VLOOKUP('BMP P Tracking Table'!$Q230,'Loading Rates'!$B$1:$L$24,8,FALSE)+'BMP P Tracking Table'!$Z230*VLOOKUP('BMP P Tracking Table'!$Q230,'Loading Rates'!$B$1:$L$24,9,FALSE),'BMP P Tracking Table'!$AA230*VLOOKUP('BMP P Tracking Table'!$Q230,'Loading Rates'!$B$1:$L$24,10,FALSE)),'BMP P Tracking Table'!$AO230*VLOOKUP('BMP P Tracking Table'!$Q230,'Loading Rates'!$B$1:$L$24,4,FALSE)+IF('BMP P Tracking Table'!$AP230="By HSG",'BMP P Tracking Table'!$AQ230*VLOOKUP('BMP P Tracking Table'!$Q230,'Loading Rates'!$B$1:$L$24,6,FALSE)+'BMP P Tracking Table'!$AR230*VLOOKUP('BMP P Tracking Table'!$Q230,'Loading Rates'!$B$1:$L$24,7,FALSE)+'BMP P Tracking Table'!$AS230*VLOOKUP('BMP P Tracking Table'!$Q230,'Loading Rates'!$B$1:$L$24,8,FALSE)+'BMP P Tracking Table'!$AT230*VLOOKUP('BMP P Tracking Table'!$Q230,'Loading Rates'!$B$1:$L$24,9,FALSE),'BMP P Tracking Table'!$AU230*VLOOKUP('BMP P Tracking Table'!$Q230,'Loading Rates'!$B$1:$L$24,10,FALSE))),"")</f>
        <v/>
      </c>
      <c r="AZ230" s="101" t="str">
        <f>IFERROR(IF('BMP P Tracking Table'!$AL230="Yes",MIN(2,IF('BMP P Tracking Table'!$AP230="Total Pervious",(-(3630*'BMP P Tracking Table'!$AO230+20.691*'BMP P Tracking Table'!$AU230)+SQRT((3630*'BMP P Tracking Table'!$AO230+20.691*'BMP P Tracking Table'!$AU230)^2-(4*(996.798*'BMP P Tracking Table'!$AU230)*-'BMP P Tracking Table'!$AW230)))/(2*(996.798*'BMP P Tracking Table'!$AU230)),IF(SUM('BMP P Tracking Table'!$AQ230:$AT230)=0,'BMP P Tracking Table'!$AU230/(-3630*'BMP P Tracking Table'!$AO230),(-(3630*'BMP P Tracking Table'!$AO230+20.691*'BMP P Tracking Table'!$AT230-216.711*'BMP P Tracking Table'!$AS230-83.853*'BMP P Tracking Table'!$AR230-42.834*'BMP P Tracking Table'!$AQ230)+SQRT((3630*'BMP P Tracking Table'!$AO230+20.691*'BMP P Tracking Table'!$AT230-216.711*'BMP P Tracking Table'!$AS230-83.853*'BMP P Tracking Table'!$AR230-42.834*'BMP P Tracking Table'!$AQ230)^2-(4*(149.919*'BMP P Tracking Table'!$AQ230+236.676*'BMP P Tracking Table'!$AR230+726*'BMP P Tracking Table'!$AS230+996.798*'BMP P Tracking Table'!$AT230)*-'BMP P Tracking Table'!$AW230)))/(2*(149.919*'BMP P Tracking Table'!$AQ230+236.676*'BMP P Tracking Table'!$AR230+726*'BMP P Tracking Table'!$AS230+996.798*'BMP P Tracking Table'!$AT230))))),MIN(2,IF('BMP P Tracking Table'!$AP230="Total Pervious",(-(3630*'BMP P Tracking Table'!$U230+20.691*'BMP P Tracking Table'!$AA230)+SQRT((3630*'BMP P Tracking Table'!$U230+20.691*'BMP P Tracking Table'!$AA230)^2-(4*(996.798*'BMP P Tracking Table'!$AA230)*-'BMP P Tracking Table'!$AW230)))/(2*(996.798*'BMP P Tracking Table'!$AA230)),IF(SUM('BMP P Tracking Table'!$W230:$Z230)=0,'BMP P Tracking Table'!$AW230/(-3630*'BMP P Tracking Table'!$U230),(-(3630*'BMP P Tracking Table'!$U230+20.691*'BMP P Tracking Table'!$Z230-216.711*'BMP P Tracking Table'!$Y230-83.853*'BMP P Tracking Table'!$X230-42.834*'BMP P Tracking Table'!$W230)+SQRT((3630*'BMP P Tracking Table'!$U230+20.691*'BMP P Tracking Table'!$Z230-216.711*'BMP P Tracking Table'!$Y230-83.853*'BMP P Tracking Table'!$X230-42.834*'BMP P Tracking Table'!$W230)^2-(4*(149.919*'BMP P Tracking Table'!$W230+236.676*'BMP P Tracking Table'!$X230+726*'BMP P Tracking Table'!$Y230+996.798*'BMP P Tracking Table'!$Z230)*-'BMP P Tracking Table'!$AW230)))/(2*(149.919*'BMP P Tracking Table'!$W230+236.676*'BMP P Tracking Table'!$X230+726*'BMP P Tracking Table'!$Y230+996.798*'BMP P Tracking Table'!$Z230)))))),"")</f>
        <v/>
      </c>
      <c r="BA230" s="101" t="str">
        <f>IFERROR((VLOOKUP(CONCATENATE('BMP P Tracking Table'!$AV230," ",'BMP P Tracking Table'!$AX230),'Performance Curves'!$C$1:$L$45,MATCH('BMP P Tracking Table'!$AZ230,'Performance Curves'!$E$1:$L$1,1)+2,FALSE)-VLOOKUP(CONCATENATE('BMP P Tracking Table'!$AV230," ",'BMP P Tracking Table'!$AX230),'Performance Curves'!$C$1:$L$45,MATCH('BMP P Tracking Table'!$AZ230,'Performance Curves'!$E$1:$L$1,1)+1,FALSE)),"")</f>
        <v/>
      </c>
      <c r="BB230" s="101" t="str">
        <f>IFERROR(('BMP P Tracking Table'!$AZ230-INDEX('Performance Curves'!$E$1:$L$1,1,MATCH('BMP P Tracking Table'!$AZ230,'Performance Curves'!$E$1:$L$1,1)))/(INDEX('Performance Curves'!$E$1:$L$1,1,MATCH('BMP P Tracking Table'!$AZ230,'Performance Curves'!$E$1:$L$1,1)+1)-INDEX('Performance Curves'!$E$1:$L$1,1,MATCH('BMP P Tracking Table'!$AZ230,'Performance Curves'!$E$1:$L$1,1))),"")</f>
        <v/>
      </c>
      <c r="BC230" s="102" t="str">
        <f>IFERROR(IF('BMP P Tracking Table'!$AZ230=2,VLOOKUP(CONCATENATE('BMP P Tracking Table'!$AV230," ",'BMP P Tracking Table'!$AX230),'Performance Curves'!$C$1:$L$44,MATCH('BMP P Tracking Table'!$AZ230,'Performance Curves'!$E$1:$L$1,1)+1,FALSE),'BMP P Tracking Table'!$BA230*'BMP P Tracking Table'!$BB230+VLOOKUP(CONCATENATE('BMP P Tracking Table'!$AV230," ",'BMP P Tracking Table'!$AX230),'Performance Curves'!$C$1:$L$44,MATCH('BMP P Tracking Table'!$AZ230,'Performance Curves'!$E$1:$L$1,1)+1,FALSE)),"")</f>
        <v/>
      </c>
      <c r="BD230" s="101" t="str">
        <f>IFERROR('BMP P Tracking Table'!$BC230*'BMP P Tracking Table'!$AY230,"")</f>
        <v/>
      </c>
      <c r="BE230" s="96"/>
      <c r="BF230" s="37">
        <f t="shared" si="19"/>
        <v>0</v>
      </c>
    </row>
    <row r="231" spans="1:58" x14ac:dyDescent="0.3">
      <c r="A231" s="64"/>
      <c r="B231" s="64"/>
      <c r="C231" s="64"/>
      <c r="D231" s="64"/>
      <c r="E231" s="93"/>
      <c r="F231" s="93"/>
      <c r="G231" s="64"/>
      <c r="H231" s="64"/>
      <c r="I231" s="64"/>
      <c r="J231" s="94"/>
      <c r="K231" s="64"/>
      <c r="L231" s="64"/>
      <c r="M231" s="64"/>
      <c r="N231" s="64"/>
      <c r="O231" s="64"/>
      <c r="P231" s="64"/>
      <c r="Q231" s="64" t="str">
        <f>IFERROR(VLOOKUP('BMP P Tracking Table'!$P231,Dropdowns!$C$2:$E$15,3,FALSE),"")</f>
        <v/>
      </c>
      <c r="R231" s="64" t="str">
        <f>IFERROR(VLOOKUP('BMP P Tracking Table'!$Q231,Dropdowns!$P$3:$Q$23,2,FALSE),"")</f>
        <v/>
      </c>
      <c r="S231" s="64"/>
      <c r="T231" s="64"/>
      <c r="U231" s="64"/>
      <c r="V231" s="64"/>
      <c r="W231" s="64"/>
      <c r="X231" s="64"/>
      <c r="Y231" s="64"/>
      <c r="Z231" s="64"/>
      <c r="AA231" s="64"/>
      <c r="AB231" s="95"/>
      <c r="AC231" s="64"/>
      <c r="AD231" s="101" t="str">
        <f>IFERROR('BMP P Tracking Table'!$U231*VLOOKUP('BMP P Tracking Table'!$Q231,'Loading Rates'!$B$1:$L$24,4,FALSE)+IF('BMP P Tracking Table'!$V231="By HSG",'BMP P Tracking Table'!$W231*VLOOKUP('BMP P Tracking Table'!$Q231,'Loading Rates'!$B$1:$L$24,6,FALSE)+'BMP P Tracking Table'!$X231*VLOOKUP('BMP P Tracking Table'!$Q231,'Loading Rates'!$B$1:$L$24,7,FALSE)+'BMP P Tracking Table'!$Y231*VLOOKUP('BMP P Tracking Table'!$Q231,'Loading Rates'!$B$1:$L$24,8,FALSE)+'BMP P Tracking Table'!$Z231*VLOOKUP('BMP P Tracking Table'!$Q231,'Loading Rates'!$B$1:$L$24,9,FALSE),'BMP P Tracking Table'!$AA231*VLOOKUP('BMP P Tracking Table'!$Q231,'Loading Rates'!$B$1:$L$24,10,FALSE)),"")</f>
        <v/>
      </c>
      <c r="AE231" s="101" t="str">
        <f>IFERROR(MIN(2,IF('BMP P Tracking Table'!$V231="Total Pervious",(-(3630*'BMP P Tracking Table'!$U231+20.691*'BMP P Tracking Table'!$AA231)+SQRT((3630*'BMP P Tracking Table'!$U231+20.691*'BMP P Tracking Table'!$AA231)^2-(4*(996.798*'BMP P Tracking Table'!$AA231)*-'BMP P Tracking Table'!$AB231)))/(2*(996.798*'BMP P Tracking Table'!$AA231)),IF(SUM('BMP P Tracking Table'!$W231:$Z231)=0,'BMP P Tracking Table'!$AB231/(-3630*'BMP P Tracking Table'!$U231),(-(3630*'BMP P Tracking Table'!$U231+20.691*'BMP P Tracking Table'!$Z231-216.711*'BMP P Tracking Table'!$Y231-83.853*'BMP P Tracking Table'!$X231-42.834*'BMP P Tracking Table'!$W231)+SQRT((3630*'BMP P Tracking Table'!$U231+20.691*'BMP P Tracking Table'!$Z231-216.711*'BMP P Tracking Table'!$Y231-83.853*'BMP P Tracking Table'!$X231-42.834*'BMP P Tracking Table'!$W231)^2-(4*(149.919*'BMP P Tracking Table'!$W231+236.676*'BMP P Tracking Table'!$X231+726*'BMP P Tracking Table'!$Y231+996.798*'BMP P Tracking Table'!$Z231)*-'BMP P Tracking Table'!$AB231)))/(2*(149.919*'BMP P Tracking Table'!$W231+236.676*'BMP P Tracking Table'!$X231+726*'BMP P Tracking Table'!$Y231+996.798*'BMP P Tracking Table'!$Z231))))),"")</f>
        <v/>
      </c>
      <c r="AF231" s="101" t="str">
        <f>IFERROR((VLOOKUP(CONCATENATE('BMP P Tracking Table'!$T231," ",'BMP P Tracking Table'!$AC231),'Performance Curves'!$C$1:$L$45,MATCH('BMP P Tracking Table'!$AE231,'Performance Curves'!$E$1:$L$1,1)+2,FALSE)-VLOOKUP(CONCATENATE('BMP P Tracking Table'!$T231," ",'BMP P Tracking Table'!$AC231),'Performance Curves'!$C$1:$L$45,MATCH('BMP P Tracking Table'!$AE231,'Performance Curves'!$E$1:$L$1,1)+1,FALSE)),"")</f>
        <v/>
      </c>
      <c r="AG231" s="101" t="str">
        <f>IFERROR(('BMP P Tracking Table'!$AE231-INDEX('Performance Curves'!$E$1:$L$1,1,MATCH('BMP P Tracking Table'!$AE231,'Performance Curves'!$E$1:$L$1,1)))/(INDEX('Performance Curves'!$E$1:$L$1,1,MATCH('BMP P Tracking Table'!$AE231,'Performance Curves'!$E$1:$L$1,1)+1)-INDEX('Performance Curves'!$E$1:$L$1,1,MATCH('BMP P Tracking Table'!$AE231,'Performance Curves'!$E$1:$L$1,1))),"")</f>
        <v/>
      </c>
      <c r="AH231" s="102" t="str">
        <f>IFERROR(IF('BMP P Tracking Table'!$AE231=2,VLOOKUP(CONCATENATE('BMP P Tracking Table'!$T231," ",'BMP P Tracking Table'!$AC231),'Performance Curves'!$C$1:$L$45,MATCH('BMP P Tracking Table'!$AE231,'Performance Curves'!$E$1:$L$1,1)+1,FALSE),'BMP P Tracking Table'!$AF231*'BMP P Tracking Table'!$AG231+VLOOKUP(CONCATENATE('BMP P Tracking Table'!$T231," ",'BMP P Tracking Table'!$AC231),'Performance Curves'!$C$1:$L$45,MATCH('BMP P Tracking Table'!$AE231,'Performance Curves'!$E$1:$L$1,1)+1,FALSE)),"")</f>
        <v/>
      </c>
      <c r="AI231" s="101" t="str">
        <f>IFERROR('BMP P Tracking Table'!$AH231*'BMP P Tracking Table'!$AD231,"")</f>
        <v/>
      </c>
      <c r="AJ231" s="64"/>
      <c r="AK231" s="96"/>
      <c r="AL231" s="96"/>
      <c r="AM231" s="63"/>
      <c r="AN231" s="99" t="str">
        <f t="shared" si="18"/>
        <v/>
      </c>
      <c r="AO231" s="96"/>
      <c r="AP231" s="96"/>
      <c r="AQ231" s="96"/>
      <c r="AR231" s="96"/>
      <c r="AS231" s="96"/>
      <c r="AT231" s="96"/>
      <c r="AU231" s="96"/>
      <c r="AV231" s="64"/>
      <c r="AW231" s="97"/>
      <c r="AX231" s="97"/>
      <c r="AY231" s="101" t="str">
        <f>IF('BMP P Tracking Table'!$AK231="Yes",IF('BMP P Tracking Table'!$AL231="No",'BMP P Tracking Table'!$U231*VLOOKUP('BMP P Tracking Table'!$Q231,'Loading Rates'!$B$1:$L$24,4,FALSE)+IF('BMP P Tracking Table'!$V231="By HSG",'BMP P Tracking Table'!$W231*VLOOKUP('BMP P Tracking Table'!$Q231,'Loading Rates'!$B$1:$L$24,6,FALSE)+'BMP P Tracking Table'!$X231*VLOOKUP('BMP P Tracking Table'!$Q231,'Loading Rates'!$B$1:$L$24,7,FALSE)+'BMP P Tracking Table'!$Y231*VLOOKUP('BMP P Tracking Table'!$Q231,'Loading Rates'!$B$1:$L$24,8,FALSE)+'BMP P Tracking Table'!$Z231*VLOOKUP('BMP P Tracking Table'!$Q231,'Loading Rates'!$B$1:$L$24,9,FALSE),'BMP P Tracking Table'!$AA231*VLOOKUP('BMP P Tracking Table'!$Q231,'Loading Rates'!$B$1:$L$24,10,FALSE)),'BMP P Tracking Table'!$AO231*VLOOKUP('BMP P Tracking Table'!$Q231,'Loading Rates'!$B$1:$L$24,4,FALSE)+IF('BMP P Tracking Table'!$AP231="By HSG",'BMP P Tracking Table'!$AQ231*VLOOKUP('BMP P Tracking Table'!$Q231,'Loading Rates'!$B$1:$L$24,6,FALSE)+'BMP P Tracking Table'!$AR231*VLOOKUP('BMP P Tracking Table'!$Q231,'Loading Rates'!$B$1:$L$24,7,FALSE)+'BMP P Tracking Table'!$AS231*VLOOKUP('BMP P Tracking Table'!$Q231,'Loading Rates'!$B$1:$L$24,8,FALSE)+'BMP P Tracking Table'!$AT231*VLOOKUP('BMP P Tracking Table'!$Q231,'Loading Rates'!$B$1:$L$24,9,FALSE),'BMP P Tracking Table'!$AU231*VLOOKUP('BMP P Tracking Table'!$Q231,'Loading Rates'!$B$1:$L$24,10,FALSE))),"")</f>
        <v/>
      </c>
      <c r="AZ231" s="101" t="str">
        <f>IFERROR(IF('BMP P Tracking Table'!$AL231="Yes",MIN(2,IF('BMP P Tracking Table'!$AP231="Total Pervious",(-(3630*'BMP P Tracking Table'!$AO231+20.691*'BMP P Tracking Table'!$AU231)+SQRT((3630*'BMP P Tracking Table'!$AO231+20.691*'BMP P Tracking Table'!$AU231)^2-(4*(996.798*'BMP P Tracking Table'!$AU231)*-'BMP P Tracking Table'!$AW231)))/(2*(996.798*'BMP P Tracking Table'!$AU231)),IF(SUM('BMP P Tracking Table'!$AQ231:$AT231)=0,'BMP P Tracking Table'!$AU231/(-3630*'BMP P Tracking Table'!$AO231),(-(3630*'BMP P Tracking Table'!$AO231+20.691*'BMP P Tracking Table'!$AT231-216.711*'BMP P Tracking Table'!$AS231-83.853*'BMP P Tracking Table'!$AR231-42.834*'BMP P Tracking Table'!$AQ231)+SQRT((3630*'BMP P Tracking Table'!$AO231+20.691*'BMP P Tracking Table'!$AT231-216.711*'BMP P Tracking Table'!$AS231-83.853*'BMP P Tracking Table'!$AR231-42.834*'BMP P Tracking Table'!$AQ231)^2-(4*(149.919*'BMP P Tracking Table'!$AQ231+236.676*'BMP P Tracking Table'!$AR231+726*'BMP P Tracking Table'!$AS231+996.798*'BMP P Tracking Table'!$AT231)*-'BMP P Tracking Table'!$AW231)))/(2*(149.919*'BMP P Tracking Table'!$AQ231+236.676*'BMP P Tracking Table'!$AR231+726*'BMP P Tracking Table'!$AS231+996.798*'BMP P Tracking Table'!$AT231))))),MIN(2,IF('BMP P Tracking Table'!$AP231="Total Pervious",(-(3630*'BMP P Tracking Table'!$U231+20.691*'BMP P Tracking Table'!$AA231)+SQRT((3630*'BMP P Tracking Table'!$U231+20.691*'BMP P Tracking Table'!$AA231)^2-(4*(996.798*'BMP P Tracking Table'!$AA231)*-'BMP P Tracking Table'!$AW231)))/(2*(996.798*'BMP P Tracking Table'!$AA231)),IF(SUM('BMP P Tracking Table'!$W231:$Z231)=0,'BMP P Tracking Table'!$AW231/(-3630*'BMP P Tracking Table'!$U231),(-(3630*'BMP P Tracking Table'!$U231+20.691*'BMP P Tracking Table'!$Z231-216.711*'BMP P Tracking Table'!$Y231-83.853*'BMP P Tracking Table'!$X231-42.834*'BMP P Tracking Table'!$W231)+SQRT((3630*'BMP P Tracking Table'!$U231+20.691*'BMP P Tracking Table'!$Z231-216.711*'BMP P Tracking Table'!$Y231-83.853*'BMP P Tracking Table'!$X231-42.834*'BMP P Tracking Table'!$W231)^2-(4*(149.919*'BMP P Tracking Table'!$W231+236.676*'BMP P Tracking Table'!$X231+726*'BMP P Tracking Table'!$Y231+996.798*'BMP P Tracking Table'!$Z231)*-'BMP P Tracking Table'!$AW231)))/(2*(149.919*'BMP P Tracking Table'!$W231+236.676*'BMP P Tracking Table'!$X231+726*'BMP P Tracking Table'!$Y231+996.798*'BMP P Tracking Table'!$Z231)))))),"")</f>
        <v/>
      </c>
      <c r="BA231" s="101" t="str">
        <f>IFERROR((VLOOKUP(CONCATENATE('BMP P Tracking Table'!$AV231," ",'BMP P Tracking Table'!$AX231),'Performance Curves'!$C$1:$L$45,MATCH('BMP P Tracking Table'!$AZ231,'Performance Curves'!$E$1:$L$1,1)+2,FALSE)-VLOOKUP(CONCATENATE('BMP P Tracking Table'!$AV231," ",'BMP P Tracking Table'!$AX231),'Performance Curves'!$C$1:$L$45,MATCH('BMP P Tracking Table'!$AZ231,'Performance Curves'!$E$1:$L$1,1)+1,FALSE)),"")</f>
        <v/>
      </c>
      <c r="BB231" s="101" t="str">
        <f>IFERROR(('BMP P Tracking Table'!$AZ231-INDEX('Performance Curves'!$E$1:$L$1,1,MATCH('BMP P Tracking Table'!$AZ231,'Performance Curves'!$E$1:$L$1,1)))/(INDEX('Performance Curves'!$E$1:$L$1,1,MATCH('BMP P Tracking Table'!$AZ231,'Performance Curves'!$E$1:$L$1,1)+1)-INDEX('Performance Curves'!$E$1:$L$1,1,MATCH('BMP P Tracking Table'!$AZ231,'Performance Curves'!$E$1:$L$1,1))),"")</f>
        <v/>
      </c>
      <c r="BC231" s="102" t="str">
        <f>IFERROR(IF('BMP P Tracking Table'!$AZ231=2,VLOOKUP(CONCATENATE('BMP P Tracking Table'!$AV231," ",'BMP P Tracking Table'!$AX231),'Performance Curves'!$C$1:$L$44,MATCH('BMP P Tracking Table'!$AZ231,'Performance Curves'!$E$1:$L$1,1)+1,FALSE),'BMP P Tracking Table'!$BA231*'BMP P Tracking Table'!$BB231+VLOOKUP(CONCATENATE('BMP P Tracking Table'!$AV231," ",'BMP P Tracking Table'!$AX231),'Performance Curves'!$C$1:$L$44,MATCH('BMP P Tracking Table'!$AZ231,'Performance Curves'!$E$1:$L$1,1)+1,FALSE)),"")</f>
        <v/>
      </c>
      <c r="BD231" s="101" t="str">
        <f>IFERROR('BMP P Tracking Table'!$BC231*'BMP P Tracking Table'!$AY231,"")</f>
        <v/>
      </c>
      <c r="BE231" s="96"/>
      <c r="BF231" s="37">
        <f t="shared" si="19"/>
        <v>0</v>
      </c>
    </row>
    <row r="232" spans="1:58" x14ac:dyDescent="0.3">
      <c r="A232" s="64"/>
      <c r="B232" s="64"/>
      <c r="C232" s="64"/>
      <c r="D232" s="64"/>
      <c r="E232" s="93"/>
      <c r="F232" s="93"/>
      <c r="G232" s="64"/>
      <c r="H232" s="64"/>
      <c r="I232" s="64"/>
      <c r="J232" s="94"/>
      <c r="K232" s="64"/>
      <c r="L232" s="64"/>
      <c r="M232" s="64"/>
      <c r="N232" s="64"/>
      <c r="O232" s="64"/>
      <c r="P232" s="64"/>
      <c r="Q232" s="64" t="str">
        <f>IFERROR(VLOOKUP('BMP P Tracking Table'!$P232,Dropdowns!$C$2:$E$15,3,FALSE),"")</f>
        <v/>
      </c>
      <c r="R232" s="64" t="str">
        <f>IFERROR(VLOOKUP('BMP P Tracking Table'!$Q232,Dropdowns!$P$3:$Q$23,2,FALSE),"")</f>
        <v/>
      </c>
      <c r="S232" s="64"/>
      <c r="T232" s="64"/>
      <c r="U232" s="64"/>
      <c r="V232" s="64"/>
      <c r="W232" s="64"/>
      <c r="X232" s="64"/>
      <c r="Y232" s="64"/>
      <c r="Z232" s="64"/>
      <c r="AA232" s="64"/>
      <c r="AB232" s="95"/>
      <c r="AC232" s="64"/>
      <c r="AD232" s="101" t="str">
        <f>IFERROR('BMP P Tracking Table'!$U232*VLOOKUP('BMP P Tracking Table'!$Q232,'Loading Rates'!$B$1:$L$24,4,FALSE)+IF('BMP P Tracking Table'!$V232="By HSG",'BMP P Tracking Table'!$W232*VLOOKUP('BMP P Tracking Table'!$Q232,'Loading Rates'!$B$1:$L$24,6,FALSE)+'BMP P Tracking Table'!$X232*VLOOKUP('BMP P Tracking Table'!$Q232,'Loading Rates'!$B$1:$L$24,7,FALSE)+'BMP P Tracking Table'!$Y232*VLOOKUP('BMP P Tracking Table'!$Q232,'Loading Rates'!$B$1:$L$24,8,FALSE)+'BMP P Tracking Table'!$Z232*VLOOKUP('BMP P Tracking Table'!$Q232,'Loading Rates'!$B$1:$L$24,9,FALSE),'BMP P Tracking Table'!$AA232*VLOOKUP('BMP P Tracking Table'!$Q232,'Loading Rates'!$B$1:$L$24,10,FALSE)),"")</f>
        <v/>
      </c>
      <c r="AE232" s="101" t="str">
        <f>IFERROR(MIN(2,IF('BMP P Tracking Table'!$V232="Total Pervious",(-(3630*'BMP P Tracking Table'!$U232+20.691*'BMP P Tracking Table'!$AA232)+SQRT((3630*'BMP P Tracking Table'!$U232+20.691*'BMP P Tracking Table'!$AA232)^2-(4*(996.798*'BMP P Tracking Table'!$AA232)*-'BMP P Tracking Table'!$AB232)))/(2*(996.798*'BMP P Tracking Table'!$AA232)),IF(SUM('BMP P Tracking Table'!$W232:$Z232)=0,'BMP P Tracking Table'!$AB232/(-3630*'BMP P Tracking Table'!$U232),(-(3630*'BMP P Tracking Table'!$U232+20.691*'BMP P Tracking Table'!$Z232-216.711*'BMP P Tracking Table'!$Y232-83.853*'BMP P Tracking Table'!$X232-42.834*'BMP P Tracking Table'!$W232)+SQRT((3630*'BMP P Tracking Table'!$U232+20.691*'BMP P Tracking Table'!$Z232-216.711*'BMP P Tracking Table'!$Y232-83.853*'BMP P Tracking Table'!$X232-42.834*'BMP P Tracking Table'!$W232)^2-(4*(149.919*'BMP P Tracking Table'!$W232+236.676*'BMP P Tracking Table'!$X232+726*'BMP P Tracking Table'!$Y232+996.798*'BMP P Tracking Table'!$Z232)*-'BMP P Tracking Table'!$AB232)))/(2*(149.919*'BMP P Tracking Table'!$W232+236.676*'BMP P Tracking Table'!$X232+726*'BMP P Tracking Table'!$Y232+996.798*'BMP P Tracking Table'!$Z232))))),"")</f>
        <v/>
      </c>
      <c r="AF232" s="101" t="str">
        <f>IFERROR((VLOOKUP(CONCATENATE('BMP P Tracking Table'!$T232," ",'BMP P Tracking Table'!$AC232),'Performance Curves'!$C$1:$L$45,MATCH('BMP P Tracking Table'!$AE232,'Performance Curves'!$E$1:$L$1,1)+2,FALSE)-VLOOKUP(CONCATENATE('BMP P Tracking Table'!$T232," ",'BMP P Tracking Table'!$AC232),'Performance Curves'!$C$1:$L$45,MATCH('BMP P Tracking Table'!$AE232,'Performance Curves'!$E$1:$L$1,1)+1,FALSE)),"")</f>
        <v/>
      </c>
      <c r="AG232" s="101" t="str">
        <f>IFERROR(('BMP P Tracking Table'!$AE232-INDEX('Performance Curves'!$E$1:$L$1,1,MATCH('BMP P Tracking Table'!$AE232,'Performance Curves'!$E$1:$L$1,1)))/(INDEX('Performance Curves'!$E$1:$L$1,1,MATCH('BMP P Tracking Table'!$AE232,'Performance Curves'!$E$1:$L$1,1)+1)-INDEX('Performance Curves'!$E$1:$L$1,1,MATCH('BMP P Tracking Table'!$AE232,'Performance Curves'!$E$1:$L$1,1))),"")</f>
        <v/>
      </c>
      <c r="AH232" s="102" t="str">
        <f>IFERROR(IF('BMP P Tracking Table'!$AE232=2,VLOOKUP(CONCATENATE('BMP P Tracking Table'!$T232," ",'BMP P Tracking Table'!$AC232),'Performance Curves'!$C$1:$L$45,MATCH('BMP P Tracking Table'!$AE232,'Performance Curves'!$E$1:$L$1,1)+1,FALSE),'BMP P Tracking Table'!$AF232*'BMP P Tracking Table'!$AG232+VLOOKUP(CONCATENATE('BMP P Tracking Table'!$T232," ",'BMP P Tracking Table'!$AC232),'Performance Curves'!$C$1:$L$45,MATCH('BMP P Tracking Table'!$AE232,'Performance Curves'!$E$1:$L$1,1)+1,FALSE)),"")</f>
        <v/>
      </c>
      <c r="AI232" s="101" t="str">
        <f>IFERROR('BMP P Tracking Table'!$AH232*'BMP P Tracking Table'!$AD232,"")</f>
        <v/>
      </c>
      <c r="AJ232" s="64"/>
      <c r="AK232" s="96"/>
      <c r="AL232" s="96"/>
      <c r="AM232" s="63"/>
      <c r="AN232" s="99" t="str">
        <f t="shared" si="18"/>
        <v/>
      </c>
      <c r="AO232" s="96"/>
      <c r="AP232" s="96"/>
      <c r="AQ232" s="96"/>
      <c r="AR232" s="96"/>
      <c r="AS232" s="96"/>
      <c r="AT232" s="96"/>
      <c r="AU232" s="96"/>
      <c r="AV232" s="64"/>
      <c r="AW232" s="97"/>
      <c r="AX232" s="97"/>
      <c r="AY232" s="101" t="str">
        <f>IF('BMP P Tracking Table'!$AK232="Yes",IF('BMP P Tracking Table'!$AL232="No",'BMP P Tracking Table'!$U232*VLOOKUP('BMP P Tracking Table'!$Q232,'Loading Rates'!$B$1:$L$24,4,FALSE)+IF('BMP P Tracking Table'!$V232="By HSG",'BMP P Tracking Table'!$W232*VLOOKUP('BMP P Tracking Table'!$Q232,'Loading Rates'!$B$1:$L$24,6,FALSE)+'BMP P Tracking Table'!$X232*VLOOKUP('BMP P Tracking Table'!$Q232,'Loading Rates'!$B$1:$L$24,7,FALSE)+'BMP P Tracking Table'!$Y232*VLOOKUP('BMP P Tracking Table'!$Q232,'Loading Rates'!$B$1:$L$24,8,FALSE)+'BMP P Tracking Table'!$Z232*VLOOKUP('BMP P Tracking Table'!$Q232,'Loading Rates'!$B$1:$L$24,9,FALSE),'BMP P Tracking Table'!$AA232*VLOOKUP('BMP P Tracking Table'!$Q232,'Loading Rates'!$B$1:$L$24,10,FALSE)),'BMP P Tracking Table'!$AO232*VLOOKUP('BMP P Tracking Table'!$Q232,'Loading Rates'!$B$1:$L$24,4,FALSE)+IF('BMP P Tracking Table'!$AP232="By HSG",'BMP P Tracking Table'!$AQ232*VLOOKUP('BMP P Tracking Table'!$Q232,'Loading Rates'!$B$1:$L$24,6,FALSE)+'BMP P Tracking Table'!$AR232*VLOOKUP('BMP P Tracking Table'!$Q232,'Loading Rates'!$B$1:$L$24,7,FALSE)+'BMP P Tracking Table'!$AS232*VLOOKUP('BMP P Tracking Table'!$Q232,'Loading Rates'!$B$1:$L$24,8,FALSE)+'BMP P Tracking Table'!$AT232*VLOOKUP('BMP P Tracking Table'!$Q232,'Loading Rates'!$B$1:$L$24,9,FALSE),'BMP P Tracking Table'!$AU232*VLOOKUP('BMP P Tracking Table'!$Q232,'Loading Rates'!$B$1:$L$24,10,FALSE))),"")</f>
        <v/>
      </c>
      <c r="AZ232" s="101" t="str">
        <f>IFERROR(IF('BMP P Tracking Table'!$AL232="Yes",MIN(2,IF('BMP P Tracking Table'!$AP232="Total Pervious",(-(3630*'BMP P Tracking Table'!$AO232+20.691*'BMP P Tracking Table'!$AU232)+SQRT((3630*'BMP P Tracking Table'!$AO232+20.691*'BMP P Tracking Table'!$AU232)^2-(4*(996.798*'BMP P Tracking Table'!$AU232)*-'BMP P Tracking Table'!$AW232)))/(2*(996.798*'BMP P Tracking Table'!$AU232)),IF(SUM('BMP P Tracking Table'!$AQ232:$AT232)=0,'BMP P Tracking Table'!$AU232/(-3630*'BMP P Tracking Table'!$AO232),(-(3630*'BMP P Tracking Table'!$AO232+20.691*'BMP P Tracking Table'!$AT232-216.711*'BMP P Tracking Table'!$AS232-83.853*'BMP P Tracking Table'!$AR232-42.834*'BMP P Tracking Table'!$AQ232)+SQRT((3630*'BMP P Tracking Table'!$AO232+20.691*'BMP P Tracking Table'!$AT232-216.711*'BMP P Tracking Table'!$AS232-83.853*'BMP P Tracking Table'!$AR232-42.834*'BMP P Tracking Table'!$AQ232)^2-(4*(149.919*'BMP P Tracking Table'!$AQ232+236.676*'BMP P Tracking Table'!$AR232+726*'BMP P Tracking Table'!$AS232+996.798*'BMP P Tracking Table'!$AT232)*-'BMP P Tracking Table'!$AW232)))/(2*(149.919*'BMP P Tracking Table'!$AQ232+236.676*'BMP P Tracking Table'!$AR232+726*'BMP P Tracking Table'!$AS232+996.798*'BMP P Tracking Table'!$AT232))))),MIN(2,IF('BMP P Tracking Table'!$AP232="Total Pervious",(-(3630*'BMP P Tracking Table'!$U232+20.691*'BMP P Tracking Table'!$AA232)+SQRT((3630*'BMP P Tracking Table'!$U232+20.691*'BMP P Tracking Table'!$AA232)^2-(4*(996.798*'BMP P Tracking Table'!$AA232)*-'BMP P Tracking Table'!$AW232)))/(2*(996.798*'BMP P Tracking Table'!$AA232)),IF(SUM('BMP P Tracking Table'!$W232:$Z232)=0,'BMP P Tracking Table'!$AW232/(-3630*'BMP P Tracking Table'!$U232),(-(3630*'BMP P Tracking Table'!$U232+20.691*'BMP P Tracking Table'!$Z232-216.711*'BMP P Tracking Table'!$Y232-83.853*'BMP P Tracking Table'!$X232-42.834*'BMP P Tracking Table'!$W232)+SQRT((3630*'BMP P Tracking Table'!$U232+20.691*'BMP P Tracking Table'!$Z232-216.711*'BMP P Tracking Table'!$Y232-83.853*'BMP P Tracking Table'!$X232-42.834*'BMP P Tracking Table'!$W232)^2-(4*(149.919*'BMP P Tracking Table'!$W232+236.676*'BMP P Tracking Table'!$X232+726*'BMP P Tracking Table'!$Y232+996.798*'BMP P Tracking Table'!$Z232)*-'BMP P Tracking Table'!$AW232)))/(2*(149.919*'BMP P Tracking Table'!$W232+236.676*'BMP P Tracking Table'!$X232+726*'BMP P Tracking Table'!$Y232+996.798*'BMP P Tracking Table'!$Z232)))))),"")</f>
        <v/>
      </c>
      <c r="BA232" s="101" t="str">
        <f>IFERROR((VLOOKUP(CONCATENATE('BMP P Tracking Table'!$AV232," ",'BMP P Tracking Table'!$AX232),'Performance Curves'!$C$1:$L$45,MATCH('BMP P Tracking Table'!$AZ232,'Performance Curves'!$E$1:$L$1,1)+2,FALSE)-VLOOKUP(CONCATENATE('BMP P Tracking Table'!$AV232," ",'BMP P Tracking Table'!$AX232),'Performance Curves'!$C$1:$L$45,MATCH('BMP P Tracking Table'!$AZ232,'Performance Curves'!$E$1:$L$1,1)+1,FALSE)),"")</f>
        <v/>
      </c>
      <c r="BB232" s="101" t="str">
        <f>IFERROR(('BMP P Tracking Table'!$AZ232-INDEX('Performance Curves'!$E$1:$L$1,1,MATCH('BMP P Tracking Table'!$AZ232,'Performance Curves'!$E$1:$L$1,1)))/(INDEX('Performance Curves'!$E$1:$L$1,1,MATCH('BMP P Tracking Table'!$AZ232,'Performance Curves'!$E$1:$L$1,1)+1)-INDEX('Performance Curves'!$E$1:$L$1,1,MATCH('BMP P Tracking Table'!$AZ232,'Performance Curves'!$E$1:$L$1,1))),"")</f>
        <v/>
      </c>
      <c r="BC232" s="102" t="str">
        <f>IFERROR(IF('BMP P Tracking Table'!$AZ232=2,VLOOKUP(CONCATENATE('BMP P Tracking Table'!$AV232," ",'BMP P Tracking Table'!$AX232),'Performance Curves'!$C$1:$L$44,MATCH('BMP P Tracking Table'!$AZ232,'Performance Curves'!$E$1:$L$1,1)+1,FALSE),'BMP P Tracking Table'!$BA232*'BMP P Tracking Table'!$BB232+VLOOKUP(CONCATENATE('BMP P Tracking Table'!$AV232," ",'BMP P Tracking Table'!$AX232),'Performance Curves'!$C$1:$L$44,MATCH('BMP P Tracking Table'!$AZ232,'Performance Curves'!$E$1:$L$1,1)+1,FALSE)),"")</f>
        <v/>
      </c>
      <c r="BD232" s="101" t="str">
        <f>IFERROR('BMP P Tracking Table'!$BC232*'BMP P Tracking Table'!$AY232,"")</f>
        <v/>
      </c>
      <c r="BE232" s="96"/>
      <c r="BF232" s="37">
        <f t="shared" si="19"/>
        <v>0</v>
      </c>
    </row>
    <row r="233" spans="1:58" x14ac:dyDescent="0.3">
      <c r="A233" s="64"/>
      <c r="B233" s="64"/>
      <c r="C233" s="64"/>
      <c r="D233" s="64"/>
      <c r="E233" s="93"/>
      <c r="F233" s="93"/>
      <c r="G233" s="64"/>
      <c r="H233" s="64"/>
      <c r="I233" s="64"/>
      <c r="J233" s="94"/>
      <c r="K233" s="64"/>
      <c r="L233" s="64"/>
      <c r="M233" s="64"/>
      <c r="N233" s="64"/>
      <c r="O233" s="64"/>
      <c r="P233" s="64"/>
      <c r="Q233" s="64" t="str">
        <f>IFERROR(VLOOKUP('BMP P Tracking Table'!$P233,Dropdowns!$C$2:$E$15,3,FALSE),"")</f>
        <v/>
      </c>
      <c r="R233" s="64" t="str">
        <f>IFERROR(VLOOKUP('BMP P Tracking Table'!$Q233,Dropdowns!$P$3:$Q$23,2,FALSE),"")</f>
        <v/>
      </c>
      <c r="S233" s="64"/>
      <c r="T233" s="64"/>
      <c r="U233" s="64"/>
      <c r="V233" s="64"/>
      <c r="W233" s="64"/>
      <c r="X233" s="64"/>
      <c r="Y233" s="64"/>
      <c r="Z233" s="64"/>
      <c r="AA233" s="64"/>
      <c r="AB233" s="95"/>
      <c r="AC233" s="64"/>
      <c r="AD233" s="101" t="str">
        <f>IFERROR('BMP P Tracking Table'!$U233*VLOOKUP('BMP P Tracking Table'!$Q233,'Loading Rates'!$B$1:$L$24,4,FALSE)+IF('BMP P Tracking Table'!$V233="By HSG",'BMP P Tracking Table'!$W233*VLOOKUP('BMP P Tracking Table'!$Q233,'Loading Rates'!$B$1:$L$24,6,FALSE)+'BMP P Tracking Table'!$X233*VLOOKUP('BMP P Tracking Table'!$Q233,'Loading Rates'!$B$1:$L$24,7,FALSE)+'BMP P Tracking Table'!$Y233*VLOOKUP('BMP P Tracking Table'!$Q233,'Loading Rates'!$B$1:$L$24,8,FALSE)+'BMP P Tracking Table'!$Z233*VLOOKUP('BMP P Tracking Table'!$Q233,'Loading Rates'!$B$1:$L$24,9,FALSE),'BMP P Tracking Table'!$AA233*VLOOKUP('BMP P Tracking Table'!$Q233,'Loading Rates'!$B$1:$L$24,10,FALSE)),"")</f>
        <v/>
      </c>
      <c r="AE233" s="101" t="str">
        <f>IFERROR(MIN(2,IF('BMP P Tracking Table'!$V233="Total Pervious",(-(3630*'BMP P Tracking Table'!$U233+20.691*'BMP P Tracking Table'!$AA233)+SQRT((3630*'BMP P Tracking Table'!$U233+20.691*'BMP P Tracking Table'!$AA233)^2-(4*(996.798*'BMP P Tracking Table'!$AA233)*-'BMP P Tracking Table'!$AB233)))/(2*(996.798*'BMP P Tracking Table'!$AA233)),IF(SUM('BMP P Tracking Table'!$W233:$Z233)=0,'BMP P Tracking Table'!$AB233/(-3630*'BMP P Tracking Table'!$U233),(-(3630*'BMP P Tracking Table'!$U233+20.691*'BMP P Tracking Table'!$Z233-216.711*'BMP P Tracking Table'!$Y233-83.853*'BMP P Tracking Table'!$X233-42.834*'BMP P Tracking Table'!$W233)+SQRT((3630*'BMP P Tracking Table'!$U233+20.691*'BMP P Tracking Table'!$Z233-216.711*'BMP P Tracking Table'!$Y233-83.853*'BMP P Tracking Table'!$X233-42.834*'BMP P Tracking Table'!$W233)^2-(4*(149.919*'BMP P Tracking Table'!$W233+236.676*'BMP P Tracking Table'!$X233+726*'BMP P Tracking Table'!$Y233+996.798*'BMP P Tracking Table'!$Z233)*-'BMP P Tracking Table'!$AB233)))/(2*(149.919*'BMP P Tracking Table'!$W233+236.676*'BMP P Tracking Table'!$X233+726*'BMP P Tracking Table'!$Y233+996.798*'BMP P Tracking Table'!$Z233))))),"")</f>
        <v/>
      </c>
      <c r="AF233" s="101" t="str">
        <f>IFERROR((VLOOKUP(CONCATENATE('BMP P Tracking Table'!$T233," ",'BMP P Tracking Table'!$AC233),'Performance Curves'!$C$1:$L$45,MATCH('BMP P Tracking Table'!$AE233,'Performance Curves'!$E$1:$L$1,1)+2,FALSE)-VLOOKUP(CONCATENATE('BMP P Tracking Table'!$T233," ",'BMP P Tracking Table'!$AC233),'Performance Curves'!$C$1:$L$45,MATCH('BMP P Tracking Table'!$AE233,'Performance Curves'!$E$1:$L$1,1)+1,FALSE)),"")</f>
        <v/>
      </c>
      <c r="AG233" s="101" t="str">
        <f>IFERROR(('BMP P Tracking Table'!$AE233-INDEX('Performance Curves'!$E$1:$L$1,1,MATCH('BMP P Tracking Table'!$AE233,'Performance Curves'!$E$1:$L$1,1)))/(INDEX('Performance Curves'!$E$1:$L$1,1,MATCH('BMP P Tracking Table'!$AE233,'Performance Curves'!$E$1:$L$1,1)+1)-INDEX('Performance Curves'!$E$1:$L$1,1,MATCH('BMP P Tracking Table'!$AE233,'Performance Curves'!$E$1:$L$1,1))),"")</f>
        <v/>
      </c>
      <c r="AH233" s="102" t="str">
        <f>IFERROR(IF('BMP P Tracking Table'!$AE233=2,VLOOKUP(CONCATENATE('BMP P Tracking Table'!$T233," ",'BMP P Tracking Table'!$AC233),'Performance Curves'!$C$1:$L$45,MATCH('BMP P Tracking Table'!$AE233,'Performance Curves'!$E$1:$L$1,1)+1,FALSE),'BMP P Tracking Table'!$AF233*'BMP P Tracking Table'!$AG233+VLOOKUP(CONCATENATE('BMP P Tracking Table'!$T233," ",'BMP P Tracking Table'!$AC233),'Performance Curves'!$C$1:$L$45,MATCH('BMP P Tracking Table'!$AE233,'Performance Curves'!$E$1:$L$1,1)+1,FALSE)),"")</f>
        <v/>
      </c>
      <c r="AI233" s="101" t="str">
        <f>IFERROR('BMP P Tracking Table'!$AH233*'BMP P Tracking Table'!$AD233,"")</f>
        <v/>
      </c>
      <c r="AJ233" s="64"/>
      <c r="AK233" s="96"/>
      <c r="AL233" s="96"/>
      <c r="AM233" s="63"/>
      <c r="AN233" s="99" t="str">
        <f t="shared" si="18"/>
        <v/>
      </c>
      <c r="AO233" s="96"/>
      <c r="AP233" s="96"/>
      <c r="AQ233" s="96"/>
      <c r="AR233" s="96"/>
      <c r="AS233" s="96"/>
      <c r="AT233" s="96"/>
      <c r="AU233" s="96"/>
      <c r="AV233" s="64"/>
      <c r="AW233" s="97"/>
      <c r="AX233" s="97"/>
      <c r="AY233" s="101" t="str">
        <f>IF('BMP P Tracking Table'!$AK233="Yes",IF('BMP P Tracking Table'!$AL233="No",'BMP P Tracking Table'!$U233*VLOOKUP('BMP P Tracking Table'!$Q233,'Loading Rates'!$B$1:$L$24,4,FALSE)+IF('BMP P Tracking Table'!$V233="By HSG",'BMP P Tracking Table'!$W233*VLOOKUP('BMP P Tracking Table'!$Q233,'Loading Rates'!$B$1:$L$24,6,FALSE)+'BMP P Tracking Table'!$X233*VLOOKUP('BMP P Tracking Table'!$Q233,'Loading Rates'!$B$1:$L$24,7,FALSE)+'BMP P Tracking Table'!$Y233*VLOOKUP('BMP P Tracking Table'!$Q233,'Loading Rates'!$B$1:$L$24,8,FALSE)+'BMP P Tracking Table'!$Z233*VLOOKUP('BMP P Tracking Table'!$Q233,'Loading Rates'!$B$1:$L$24,9,FALSE),'BMP P Tracking Table'!$AA233*VLOOKUP('BMP P Tracking Table'!$Q233,'Loading Rates'!$B$1:$L$24,10,FALSE)),'BMP P Tracking Table'!$AO233*VLOOKUP('BMP P Tracking Table'!$Q233,'Loading Rates'!$B$1:$L$24,4,FALSE)+IF('BMP P Tracking Table'!$AP233="By HSG",'BMP P Tracking Table'!$AQ233*VLOOKUP('BMP P Tracking Table'!$Q233,'Loading Rates'!$B$1:$L$24,6,FALSE)+'BMP P Tracking Table'!$AR233*VLOOKUP('BMP P Tracking Table'!$Q233,'Loading Rates'!$B$1:$L$24,7,FALSE)+'BMP P Tracking Table'!$AS233*VLOOKUP('BMP P Tracking Table'!$Q233,'Loading Rates'!$B$1:$L$24,8,FALSE)+'BMP P Tracking Table'!$AT233*VLOOKUP('BMP P Tracking Table'!$Q233,'Loading Rates'!$B$1:$L$24,9,FALSE),'BMP P Tracking Table'!$AU233*VLOOKUP('BMP P Tracking Table'!$Q233,'Loading Rates'!$B$1:$L$24,10,FALSE))),"")</f>
        <v/>
      </c>
      <c r="AZ233" s="101" t="str">
        <f>IFERROR(IF('BMP P Tracking Table'!$AL233="Yes",MIN(2,IF('BMP P Tracking Table'!$AP233="Total Pervious",(-(3630*'BMP P Tracking Table'!$AO233+20.691*'BMP P Tracking Table'!$AU233)+SQRT((3630*'BMP P Tracking Table'!$AO233+20.691*'BMP P Tracking Table'!$AU233)^2-(4*(996.798*'BMP P Tracking Table'!$AU233)*-'BMP P Tracking Table'!$AW233)))/(2*(996.798*'BMP P Tracking Table'!$AU233)),IF(SUM('BMP P Tracking Table'!$AQ233:$AT233)=0,'BMP P Tracking Table'!$AU233/(-3630*'BMP P Tracking Table'!$AO233),(-(3630*'BMP P Tracking Table'!$AO233+20.691*'BMP P Tracking Table'!$AT233-216.711*'BMP P Tracking Table'!$AS233-83.853*'BMP P Tracking Table'!$AR233-42.834*'BMP P Tracking Table'!$AQ233)+SQRT((3630*'BMP P Tracking Table'!$AO233+20.691*'BMP P Tracking Table'!$AT233-216.711*'BMP P Tracking Table'!$AS233-83.853*'BMP P Tracking Table'!$AR233-42.834*'BMP P Tracking Table'!$AQ233)^2-(4*(149.919*'BMP P Tracking Table'!$AQ233+236.676*'BMP P Tracking Table'!$AR233+726*'BMP P Tracking Table'!$AS233+996.798*'BMP P Tracking Table'!$AT233)*-'BMP P Tracking Table'!$AW233)))/(2*(149.919*'BMP P Tracking Table'!$AQ233+236.676*'BMP P Tracking Table'!$AR233+726*'BMP P Tracking Table'!$AS233+996.798*'BMP P Tracking Table'!$AT233))))),MIN(2,IF('BMP P Tracking Table'!$AP233="Total Pervious",(-(3630*'BMP P Tracking Table'!$U233+20.691*'BMP P Tracking Table'!$AA233)+SQRT((3630*'BMP P Tracking Table'!$U233+20.691*'BMP P Tracking Table'!$AA233)^2-(4*(996.798*'BMP P Tracking Table'!$AA233)*-'BMP P Tracking Table'!$AW233)))/(2*(996.798*'BMP P Tracking Table'!$AA233)),IF(SUM('BMP P Tracking Table'!$W233:$Z233)=0,'BMP P Tracking Table'!$AW233/(-3630*'BMP P Tracking Table'!$U233),(-(3630*'BMP P Tracking Table'!$U233+20.691*'BMP P Tracking Table'!$Z233-216.711*'BMP P Tracking Table'!$Y233-83.853*'BMP P Tracking Table'!$X233-42.834*'BMP P Tracking Table'!$W233)+SQRT((3630*'BMP P Tracking Table'!$U233+20.691*'BMP P Tracking Table'!$Z233-216.711*'BMP P Tracking Table'!$Y233-83.853*'BMP P Tracking Table'!$X233-42.834*'BMP P Tracking Table'!$W233)^2-(4*(149.919*'BMP P Tracking Table'!$W233+236.676*'BMP P Tracking Table'!$X233+726*'BMP P Tracking Table'!$Y233+996.798*'BMP P Tracking Table'!$Z233)*-'BMP P Tracking Table'!$AW233)))/(2*(149.919*'BMP P Tracking Table'!$W233+236.676*'BMP P Tracking Table'!$X233+726*'BMP P Tracking Table'!$Y233+996.798*'BMP P Tracking Table'!$Z233)))))),"")</f>
        <v/>
      </c>
      <c r="BA233" s="101" t="str">
        <f>IFERROR((VLOOKUP(CONCATENATE('BMP P Tracking Table'!$AV233," ",'BMP P Tracking Table'!$AX233),'Performance Curves'!$C$1:$L$45,MATCH('BMP P Tracking Table'!$AZ233,'Performance Curves'!$E$1:$L$1,1)+2,FALSE)-VLOOKUP(CONCATENATE('BMP P Tracking Table'!$AV233," ",'BMP P Tracking Table'!$AX233),'Performance Curves'!$C$1:$L$45,MATCH('BMP P Tracking Table'!$AZ233,'Performance Curves'!$E$1:$L$1,1)+1,FALSE)),"")</f>
        <v/>
      </c>
      <c r="BB233" s="101" t="str">
        <f>IFERROR(('BMP P Tracking Table'!$AZ233-INDEX('Performance Curves'!$E$1:$L$1,1,MATCH('BMP P Tracking Table'!$AZ233,'Performance Curves'!$E$1:$L$1,1)))/(INDEX('Performance Curves'!$E$1:$L$1,1,MATCH('BMP P Tracking Table'!$AZ233,'Performance Curves'!$E$1:$L$1,1)+1)-INDEX('Performance Curves'!$E$1:$L$1,1,MATCH('BMP P Tracking Table'!$AZ233,'Performance Curves'!$E$1:$L$1,1))),"")</f>
        <v/>
      </c>
      <c r="BC233" s="102" t="str">
        <f>IFERROR(IF('BMP P Tracking Table'!$AZ233=2,VLOOKUP(CONCATENATE('BMP P Tracking Table'!$AV233," ",'BMP P Tracking Table'!$AX233),'Performance Curves'!$C$1:$L$44,MATCH('BMP P Tracking Table'!$AZ233,'Performance Curves'!$E$1:$L$1,1)+1,FALSE),'BMP P Tracking Table'!$BA233*'BMP P Tracking Table'!$BB233+VLOOKUP(CONCATENATE('BMP P Tracking Table'!$AV233," ",'BMP P Tracking Table'!$AX233),'Performance Curves'!$C$1:$L$44,MATCH('BMP P Tracking Table'!$AZ233,'Performance Curves'!$E$1:$L$1,1)+1,FALSE)),"")</f>
        <v/>
      </c>
      <c r="BD233" s="101" t="str">
        <f>IFERROR('BMP P Tracking Table'!$BC233*'BMP P Tracking Table'!$AY233,"")</f>
        <v/>
      </c>
      <c r="BE233" s="96"/>
      <c r="BF233" s="37">
        <f t="shared" si="19"/>
        <v>0</v>
      </c>
    </row>
    <row r="234" spans="1:58" x14ac:dyDescent="0.3">
      <c r="A234" s="64"/>
      <c r="B234" s="64"/>
      <c r="C234" s="64"/>
      <c r="D234" s="64"/>
      <c r="E234" s="93"/>
      <c r="F234" s="93"/>
      <c r="G234" s="64"/>
      <c r="H234" s="64"/>
      <c r="I234" s="64"/>
      <c r="J234" s="94"/>
      <c r="K234" s="64"/>
      <c r="L234" s="64"/>
      <c r="M234" s="64"/>
      <c r="N234" s="64"/>
      <c r="O234" s="64"/>
      <c r="P234" s="64"/>
      <c r="Q234" s="64" t="str">
        <f>IFERROR(VLOOKUP('BMP P Tracking Table'!$P234,Dropdowns!$C$2:$E$15,3,FALSE),"")</f>
        <v/>
      </c>
      <c r="R234" s="64" t="str">
        <f>IFERROR(VLOOKUP('BMP P Tracking Table'!$Q234,Dropdowns!$P$3:$Q$23,2,FALSE),"")</f>
        <v/>
      </c>
      <c r="S234" s="64"/>
      <c r="T234" s="64"/>
      <c r="U234" s="64"/>
      <c r="V234" s="64"/>
      <c r="W234" s="64"/>
      <c r="X234" s="64"/>
      <c r="Y234" s="64"/>
      <c r="Z234" s="64"/>
      <c r="AA234" s="64"/>
      <c r="AB234" s="95"/>
      <c r="AC234" s="64"/>
      <c r="AD234" s="101" t="str">
        <f>IFERROR('BMP P Tracking Table'!$U234*VLOOKUP('BMP P Tracking Table'!$Q234,'Loading Rates'!$B$1:$L$24,4,FALSE)+IF('BMP P Tracking Table'!$V234="By HSG",'BMP P Tracking Table'!$W234*VLOOKUP('BMP P Tracking Table'!$Q234,'Loading Rates'!$B$1:$L$24,6,FALSE)+'BMP P Tracking Table'!$X234*VLOOKUP('BMP P Tracking Table'!$Q234,'Loading Rates'!$B$1:$L$24,7,FALSE)+'BMP P Tracking Table'!$Y234*VLOOKUP('BMP P Tracking Table'!$Q234,'Loading Rates'!$B$1:$L$24,8,FALSE)+'BMP P Tracking Table'!$Z234*VLOOKUP('BMP P Tracking Table'!$Q234,'Loading Rates'!$B$1:$L$24,9,FALSE),'BMP P Tracking Table'!$AA234*VLOOKUP('BMP P Tracking Table'!$Q234,'Loading Rates'!$B$1:$L$24,10,FALSE)),"")</f>
        <v/>
      </c>
      <c r="AE234" s="101" t="str">
        <f>IFERROR(MIN(2,IF('BMP P Tracking Table'!$V234="Total Pervious",(-(3630*'BMP P Tracking Table'!$U234+20.691*'BMP P Tracking Table'!$AA234)+SQRT((3630*'BMP P Tracking Table'!$U234+20.691*'BMP P Tracking Table'!$AA234)^2-(4*(996.798*'BMP P Tracking Table'!$AA234)*-'BMP P Tracking Table'!$AB234)))/(2*(996.798*'BMP P Tracking Table'!$AA234)),IF(SUM('BMP P Tracking Table'!$W234:$Z234)=0,'BMP P Tracking Table'!$AB234/(-3630*'BMP P Tracking Table'!$U234),(-(3630*'BMP P Tracking Table'!$U234+20.691*'BMP P Tracking Table'!$Z234-216.711*'BMP P Tracking Table'!$Y234-83.853*'BMP P Tracking Table'!$X234-42.834*'BMP P Tracking Table'!$W234)+SQRT((3630*'BMP P Tracking Table'!$U234+20.691*'BMP P Tracking Table'!$Z234-216.711*'BMP P Tracking Table'!$Y234-83.853*'BMP P Tracking Table'!$X234-42.834*'BMP P Tracking Table'!$W234)^2-(4*(149.919*'BMP P Tracking Table'!$W234+236.676*'BMP P Tracking Table'!$X234+726*'BMP P Tracking Table'!$Y234+996.798*'BMP P Tracking Table'!$Z234)*-'BMP P Tracking Table'!$AB234)))/(2*(149.919*'BMP P Tracking Table'!$W234+236.676*'BMP P Tracking Table'!$X234+726*'BMP P Tracking Table'!$Y234+996.798*'BMP P Tracking Table'!$Z234))))),"")</f>
        <v/>
      </c>
      <c r="AF234" s="101" t="str">
        <f>IFERROR((VLOOKUP(CONCATENATE('BMP P Tracking Table'!$T234," ",'BMP P Tracking Table'!$AC234),'Performance Curves'!$C$1:$L$45,MATCH('BMP P Tracking Table'!$AE234,'Performance Curves'!$E$1:$L$1,1)+2,FALSE)-VLOOKUP(CONCATENATE('BMP P Tracking Table'!$T234," ",'BMP P Tracking Table'!$AC234),'Performance Curves'!$C$1:$L$45,MATCH('BMP P Tracking Table'!$AE234,'Performance Curves'!$E$1:$L$1,1)+1,FALSE)),"")</f>
        <v/>
      </c>
      <c r="AG234" s="101" t="str">
        <f>IFERROR(('BMP P Tracking Table'!$AE234-INDEX('Performance Curves'!$E$1:$L$1,1,MATCH('BMP P Tracking Table'!$AE234,'Performance Curves'!$E$1:$L$1,1)))/(INDEX('Performance Curves'!$E$1:$L$1,1,MATCH('BMP P Tracking Table'!$AE234,'Performance Curves'!$E$1:$L$1,1)+1)-INDEX('Performance Curves'!$E$1:$L$1,1,MATCH('BMP P Tracking Table'!$AE234,'Performance Curves'!$E$1:$L$1,1))),"")</f>
        <v/>
      </c>
      <c r="AH234" s="102" t="str">
        <f>IFERROR(IF('BMP P Tracking Table'!$AE234=2,VLOOKUP(CONCATENATE('BMP P Tracking Table'!$T234," ",'BMP P Tracking Table'!$AC234),'Performance Curves'!$C$1:$L$45,MATCH('BMP P Tracking Table'!$AE234,'Performance Curves'!$E$1:$L$1,1)+1,FALSE),'BMP P Tracking Table'!$AF234*'BMP P Tracking Table'!$AG234+VLOOKUP(CONCATENATE('BMP P Tracking Table'!$T234," ",'BMP P Tracking Table'!$AC234),'Performance Curves'!$C$1:$L$45,MATCH('BMP P Tracking Table'!$AE234,'Performance Curves'!$E$1:$L$1,1)+1,FALSE)),"")</f>
        <v/>
      </c>
      <c r="AI234" s="101" t="str">
        <f>IFERROR('BMP P Tracking Table'!$AH234*'BMP P Tracking Table'!$AD234,"")</f>
        <v/>
      </c>
      <c r="AJ234" s="64"/>
      <c r="AK234" s="96"/>
      <c r="AL234" s="96"/>
      <c r="AM234" s="63"/>
      <c r="AN234" s="99" t="str">
        <f t="shared" si="18"/>
        <v/>
      </c>
      <c r="AO234" s="96"/>
      <c r="AP234" s="96"/>
      <c r="AQ234" s="96"/>
      <c r="AR234" s="96"/>
      <c r="AS234" s="96"/>
      <c r="AT234" s="96"/>
      <c r="AU234" s="96"/>
      <c r="AV234" s="64"/>
      <c r="AW234" s="97"/>
      <c r="AX234" s="97"/>
      <c r="AY234" s="101" t="str">
        <f>IF('BMP P Tracking Table'!$AK234="Yes",IF('BMP P Tracking Table'!$AL234="No",'BMP P Tracking Table'!$U234*VLOOKUP('BMP P Tracking Table'!$Q234,'Loading Rates'!$B$1:$L$24,4,FALSE)+IF('BMP P Tracking Table'!$V234="By HSG",'BMP P Tracking Table'!$W234*VLOOKUP('BMP P Tracking Table'!$Q234,'Loading Rates'!$B$1:$L$24,6,FALSE)+'BMP P Tracking Table'!$X234*VLOOKUP('BMP P Tracking Table'!$Q234,'Loading Rates'!$B$1:$L$24,7,FALSE)+'BMP P Tracking Table'!$Y234*VLOOKUP('BMP P Tracking Table'!$Q234,'Loading Rates'!$B$1:$L$24,8,FALSE)+'BMP P Tracking Table'!$Z234*VLOOKUP('BMP P Tracking Table'!$Q234,'Loading Rates'!$B$1:$L$24,9,FALSE),'BMP P Tracking Table'!$AA234*VLOOKUP('BMP P Tracking Table'!$Q234,'Loading Rates'!$B$1:$L$24,10,FALSE)),'BMP P Tracking Table'!$AO234*VLOOKUP('BMP P Tracking Table'!$Q234,'Loading Rates'!$B$1:$L$24,4,FALSE)+IF('BMP P Tracking Table'!$AP234="By HSG",'BMP P Tracking Table'!$AQ234*VLOOKUP('BMP P Tracking Table'!$Q234,'Loading Rates'!$B$1:$L$24,6,FALSE)+'BMP P Tracking Table'!$AR234*VLOOKUP('BMP P Tracking Table'!$Q234,'Loading Rates'!$B$1:$L$24,7,FALSE)+'BMP P Tracking Table'!$AS234*VLOOKUP('BMP P Tracking Table'!$Q234,'Loading Rates'!$B$1:$L$24,8,FALSE)+'BMP P Tracking Table'!$AT234*VLOOKUP('BMP P Tracking Table'!$Q234,'Loading Rates'!$B$1:$L$24,9,FALSE),'BMP P Tracking Table'!$AU234*VLOOKUP('BMP P Tracking Table'!$Q234,'Loading Rates'!$B$1:$L$24,10,FALSE))),"")</f>
        <v/>
      </c>
      <c r="AZ234" s="101" t="str">
        <f>IFERROR(IF('BMP P Tracking Table'!$AL234="Yes",MIN(2,IF('BMP P Tracking Table'!$AP234="Total Pervious",(-(3630*'BMP P Tracking Table'!$AO234+20.691*'BMP P Tracking Table'!$AU234)+SQRT((3630*'BMP P Tracking Table'!$AO234+20.691*'BMP P Tracking Table'!$AU234)^2-(4*(996.798*'BMP P Tracking Table'!$AU234)*-'BMP P Tracking Table'!$AW234)))/(2*(996.798*'BMP P Tracking Table'!$AU234)),IF(SUM('BMP P Tracking Table'!$AQ234:$AT234)=0,'BMP P Tracking Table'!$AU234/(-3630*'BMP P Tracking Table'!$AO234),(-(3630*'BMP P Tracking Table'!$AO234+20.691*'BMP P Tracking Table'!$AT234-216.711*'BMP P Tracking Table'!$AS234-83.853*'BMP P Tracking Table'!$AR234-42.834*'BMP P Tracking Table'!$AQ234)+SQRT((3630*'BMP P Tracking Table'!$AO234+20.691*'BMP P Tracking Table'!$AT234-216.711*'BMP P Tracking Table'!$AS234-83.853*'BMP P Tracking Table'!$AR234-42.834*'BMP P Tracking Table'!$AQ234)^2-(4*(149.919*'BMP P Tracking Table'!$AQ234+236.676*'BMP P Tracking Table'!$AR234+726*'BMP P Tracking Table'!$AS234+996.798*'BMP P Tracking Table'!$AT234)*-'BMP P Tracking Table'!$AW234)))/(2*(149.919*'BMP P Tracking Table'!$AQ234+236.676*'BMP P Tracking Table'!$AR234+726*'BMP P Tracking Table'!$AS234+996.798*'BMP P Tracking Table'!$AT234))))),MIN(2,IF('BMP P Tracking Table'!$AP234="Total Pervious",(-(3630*'BMP P Tracking Table'!$U234+20.691*'BMP P Tracking Table'!$AA234)+SQRT((3630*'BMP P Tracking Table'!$U234+20.691*'BMP P Tracking Table'!$AA234)^2-(4*(996.798*'BMP P Tracking Table'!$AA234)*-'BMP P Tracking Table'!$AW234)))/(2*(996.798*'BMP P Tracking Table'!$AA234)),IF(SUM('BMP P Tracking Table'!$W234:$Z234)=0,'BMP P Tracking Table'!$AW234/(-3630*'BMP P Tracking Table'!$U234),(-(3630*'BMP P Tracking Table'!$U234+20.691*'BMP P Tracking Table'!$Z234-216.711*'BMP P Tracking Table'!$Y234-83.853*'BMP P Tracking Table'!$X234-42.834*'BMP P Tracking Table'!$W234)+SQRT((3630*'BMP P Tracking Table'!$U234+20.691*'BMP P Tracking Table'!$Z234-216.711*'BMP P Tracking Table'!$Y234-83.853*'BMP P Tracking Table'!$X234-42.834*'BMP P Tracking Table'!$W234)^2-(4*(149.919*'BMP P Tracking Table'!$W234+236.676*'BMP P Tracking Table'!$X234+726*'BMP P Tracking Table'!$Y234+996.798*'BMP P Tracking Table'!$Z234)*-'BMP P Tracking Table'!$AW234)))/(2*(149.919*'BMP P Tracking Table'!$W234+236.676*'BMP P Tracking Table'!$X234+726*'BMP P Tracking Table'!$Y234+996.798*'BMP P Tracking Table'!$Z234)))))),"")</f>
        <v/>
      </c>
      <c r="BA234" s="101" t="str">
        <f>IFERROR((VLOOKUP(CONCATENATE('BMP P Tracking Table'!$AV234," ",'BMP P Tracking Table'!$AX234),'Performance Curves'!$C$1:$L$45,MATCH('BMP P Tracking Table'!$AZ234,'Performance Curves'!$E$1:$L$1,1)+2,FALSE)-VLOOKUP(CONCATENATE('BMP P Tracking Table'!$AV234," ",'BMP P Tracking Table'!$AX234),'Performance Curves'!$C$1:$L$45,MATCH('BMP P Tracking Table'!$AZ234,'Performance Curves'!$E$1:$L$1,1)+1,FALSE)),"")</f>
        <v/>
      </c>
      <c r="BB234" s="101" t="str">
        <f>IFERROR(('BMP P Tracking Table'!$AZ234-INDEX('Performance Curves'!$E$1:$L$1,1,MATCH('BMP P Tracking Table'!$AZ234,'Performance Curves'!$E$1:$L$1,1)))/(INDEX('Performance Curves'!$E$1:$L$1,1,MATCH('BMP P Tracking Table'!$AZ234,'Performance Curves'!$E$1:$L$1,1)+1)-INDEX('Performance Curves'!$E$1:$L$1,1,MATCH('BMP P Tracking Table'!$AZ234,'Performance Curves'!$E$1:$L$1,1))),"")</f>
        <v/>
      </c>
      <c r="BC234" s="102" t="str">
        <f>IFERROR(IF('BMP P Tracking Table'!$AZ234=2,VLOOKUP(CONCATENATE('BMP P Tracking Table'!$AV234," ",'BMP P Tracking Table'!$AX234),'Performance Curves'!$C$1:$L$44,MATCH('BMP P Tracking Table'!$AZ234,'Performance Curves'!$E$1:$L$1,1)+1,FALSE),'BMP P Tracking Table'!$BA234*'BMP P Tracking Table'!$BB234+VLOOKUP(CONCATENATE('BMP P Tracking Table'!$AV234," ",'BMP P Tracking Table'!$AX234),'Performance Curves'!$C$1:$L$44,MATCH('BMP P Tracking Table'!$AZ234,'Performance Curves'!$E$1:$L$1,1)+1,FALSE)),"")</f>
        <v/>
      </c>
      <c r="BD234" s="101" t="str">
        <f>IFERROR('BMP P Tracking Table'!$BC234*'BMP P Tracking Table'!$AY234,"")</f>
        <v/>
      </c>
      <c r="BE234" s="96"/>
      <c r="BF234" s="37">
        <f t="shared" si="19"/>
        <v>0</v>
      </c>
    </row>
    <row r="235" spans="1:58" x14ac:dyDescent="0.3">
      <c r="A235" s="64"/>
      <c r="B235" s="64"/>
      <c r="C235" s="64"/>
      <c r="D235" s="64"/>
      <c r="E235" s="93"/>
      <c r="F235" s="93"/>
      <c r="G235" s="64"/>
      <c r="H235" s="64"/>
      <c r="I235" s="64"/>
      <c r="J235" s="94"/>
      <c r="K235" s="64"/>
      <c r="L235" s="64"/>
      <c r="M235" s="64"/>
      <c r="N235" s="64"/>
      <c r="O235" s="64"/>
      <c r="P235" s="64"/>
      <c r="Q235" s="64" t="str">
        <f>IFERROR(VLOOKUP('BMP P Tracking Table'!$P235,Dropdowns!$C$2:$E$15,3,FALSE),"")</f>
        <v/>
      </c>
      <c r="R235" s="64" t="str">
        <f>IFERROR(VLOOKUP('BMP P Tracking Table'!$Q235,Dropdowns!$P$3:$Q$23,2,FALSE),"")</f>
        <v/>
      </c>
      <c r="S235" s="64"/>
      <c r="T235" s="64"/>
      <c r="U235" s="64"/>
      <c r="V235" s="64"/>
      <c r="W235" s="64"/>
      <c r="X235" s="64"/>
      <c r="Y235" s="64"/>
      <c r="Z235" s="64"/>
      <c r="AA235" s="64"/>
      <c r="AB235" s="95"/>
      <c r="AC235" s="64"/>
      <c r="AD235" s="101" t="str">
        <f>IFERROR('BMP P Tracking Table'!$U235*VLOOKUP('BMP P Tracking Table'!$Q235,'Loading Rates'!$B$1:$L$24,4,FALSE)+IF('BMP P Tracking Table'!$V235="By HSG",'BMP P Tracking Table'!$W235*VLOOKUP('BMP P Tracking Table'!$Q235,'Loading Rates'!$B$1:$L$24,6,FALSE)+'BMP P Tracking Table'!$X235*VLOOKUP('BMP P Tracking Table'!$Q235,'Loading Rates'!$B$1:$L$24,7,FALSE)+'BMP P Tracking Table'!$Y235*VLOOKUP('BMP P Tracking Table'!$Q235,'Loading Rates'!$B$1:$L$24,8,FALSE)+'BMP P Tracking Table'!$Z235*VLOOKUP('BMP P Tracking Table'!$Q235,'Loading Rates'!$B$1:$L$24,9,FALSE),'BMP P Tracking Table'!$AA235*VLOOKUP('BMP P Tracking Table'!$Q235,'Loading Rates'!$B$1:$L$24,10,FALSE)),"")</f>
        <v/>
      </c>
      <c r="AE235" s="101" t="str">
        <f>IFERROR(MIN(2,IF('BMP P Tracking Table'!$V235="Total Pervious",(-(3630*'BMP P Tracking Table'!$U235+20.691*'BMP P Tracking Table'!$AA235)+SQRT((3630*'BMP P Tracking Table'!$U235+20.691*'BMP P Tracking Table'!$AA235)^2-(4*(996.798*'BMP P Tracking Table'!$AA235)*-'BMP P Tracking Table'!$AB235)))/(2*(996.798*'BMP P Tracking Table'!$AA235)),IF(SUM('BMP P Tracking Table'!$W235:$Z235)=0,'BMP P Tracking Table'!$AB235/(-3630*'BMP P Tracking Table'!$U235),(-(3630*'BMP P Tracking Table'!$U235+20.691*'BMP P Tracking Table'!$Z235-216.711*'BMP P Tracking Table'!$Y235-83.853*'BMP P Tracking Table'!$X235-42.834*'BMP P Tracking Table'!$W235)+SQRT((3630*'BMP P Tracking Table'!$U235+20.691*'BMP P Tracking Table'!$Z235-216.711*'BMP P Tracking Table'!$Y235-83.853*'BMP P Tracking Table'!$X235-42.834*'BMP P Tracking Table'!$W235)^2-(4*(149.919*'BMP P Tracking Table'!$W235+236.676*'BMP P Tracking Table'!$X235+726*'BMP P Tracking Table'!$Y235+996.798*'BMP P Tracking Table'!$Z235)*-'BMP P Tracking Table'!$AB235)))/(2*(149.919*'BMP P Tracking Table'!$W235+236.676*'BMP P Tracking Table'!$X235+726*'BMP P Tracking Table'!$Y235+996.798*'BMP P Tracking Table'!$Z235))))),"")</f>
        <v/>
      </c>
      <c r="AF235" s="101" t="str">
        <f>IFERROR((VLOOKUP(CONCATENATE('BMP P Tracking Table'!$T235," ",'BMP P Tracking Table'!$AC235),'Performance Curves'!$C$1:$L$45,MATCH('BMP P Tracking Table'!$AE235,'Performance Curves'!$E$1:$L$1,1)+2,FALSE)-VLOOKUP(CONCATENATE('BMP P Tracking Table'!$T235," ",'BMP P Tracking Table'!$AC235),'Performance Curves'!$C$1:$L$45,MATCH('BMP P Tracking Table'!$AE235,'Performance Curves'!$E$1:$L$1,1)+1,FALSE)),"")</f>
        <v/>
      </c>
      <c r="AG235" s="101" t="str">
        <f>IFERROR(('BMP P Tracking Table'!$AE235-INDEX('Performance Curves'!$E$1:$L$1,1,MATCH('BMP P Tracking Table'!$AE235,'Performance Curves'!$E$1:$L$1,1)))/(INDEX('Performance Curves'!$E$1:$L$1,1,MATCH('BMP P Tracking Table'!$AE235,'Performance Curves'!$E$1:$L$1,1)+1)-INDEX('Performance Curves'!$E$1:$L$1,1,MATCH('BMP P Tracking Table'!$AE235,'Performance Curves'!$E$1:$L$1,1))),"")</f>
        <v/>
      </c>
      <c r="AH235" s="102" t="str">
        <f>IFERROR(IF('BMP P Tracking Table'!$AE235=2,VLOOKUP(CONCATENATE('BMP P Tracking Table'!$T235," ",'BMP P Tracking Table'!$AC235),'Performance Curves'!$C$1:$L$45,MATCH('BMP P Tracking Table'!$AE235,'Performance Curves'!$E$1:$L$1,1)+1,FALSE),'BMP P Tracking Table'!$AF235*'BMP P Tracking Table'!$AG235+VLOOKUP(CONCATENATE('BMP P Tracking Table'!$T235," ",'BMP P Tracking Table'!$AC235),'Performance Curves'!$C$1:$L$45,MATCH('BMP P Tracking Table'!$AE235,'Performance Curves'!$E$1:$L$1,1)+1,FALSE)),"")</f>
        <v/>
      </c>
      <c r="AI235" s="101" t="str">
        <f>IFERROR('BMP P Tracking Table'!$AH235*'BMP P Tracking Table'!$AD235,"")</f>
        <v/>
      </c>
      <c r="AJ235" s="64"/>
      <c r="AK235" s="96"/>
      <c r="AL235" s="96"/>
      <c r="AM235" s="63"/>
      <c r="AN235" s="99" t="str">
        <f t="shared" si="18"/>
        <v/>
      </c>
      <c r="AO235" s="96"/>
      <c r="AP235" s="96"/>
      <c r="AQ235" s="96"/>
      <c r="AR235" s="96"/>
      <c r="AS235" s="96"/>
      <c r="AT235" s="96"/>
      <c r="AU235" s="96"/>
      <c r="AV235" s="64"/>
      <c r="AW235" s="97"/>
      <c r="AX235" s="97"/>
      <c r="AY235" s="101" t="str">
        <f>IF('BMP P Tracking Table'!$AK235="Yes",IF('BMP P Tracking Table'!$AL235="No",'BMP P Tracking Table'!$U235*VLOOKUP('BMP P Tracking Table'!$Q235,'Loading Rates'!$B$1:$L$24,4,FALSE)+IF('BMP P Tracking Table'!$V235="By HSG",'BMP P Tracking Table'!$W235*VLOOKUP('BMP P Tracking Table'!$Q235,'Loading Rates'!$B$1:$L$24,6,FALSE)+'BMP P Tracking Table'!$X235*VLOOKUP('BMP P Tracking Table'!$Q235,'Loading Rates'!$B$1:$L$24,7,FALSE)+'BMP P Tracking Table'!$Y235*VLOOKUP('BMP P Tracking Table'!$Q235,'Loading Rates'!$B$1:$L$24,8,FALSE)+'BMP P Tracking Table'!$Z235*VLOOKUP('BMP P Tracking Table'!$Q235,'Loading Rates'!$B$1:$L$24,9,FALSE),'BMP P Tracking Table'!$AA235*VLOOKUP('BMP P Tracking Table'!$Q235,'Loading Rates'!$B$1:$L$24,10,FALSE)),'BMP P Tracking Table'!$AO235*VLOOKUP('BMP P Tracking Table'!$Q235,'Loading Rates'!$B$1:$L$24,4,FALSE)+IF('BMP P Tracking Table'!$AP235="By HSG",'BMP P Tracking Table'!$AQ235*VLOOKUP('BMP P Tracking Table'!$Q235,'Loading Rates'!$B$1:$L$24,6,FALSE)+'BMP P Tracking Table'!$AR235*VLOOKUP('BMP P Tracking Table'!$Q235,'Loading Rates'!$B$1:$L$24,7,FALSE)+'BMP P Tracking Table'!$AS235*VLOOKUP('BMP P Tracking Table'!$Q235,'Loading Rates'!$B$1:$L$24,8,FALSE)+'BMP P Tracking Table'!$AT235*VLOOKUP('BMP P Tracking Table'!$Q235,'Loading Rates'!$B$1:$L$24,9,FALSE),'BMP P Tracking Table'!$AU235*VLOOKUP('BMP P Tracking Table'!$Q235,'Loading Rates'!$B$1:$L$24,10,FALSE))),"")</f>
        <v/>
      </c>
      <c r="AZ235" s="101" t="str">
        <f>IFERROR(IF('BMP P Tracking Table'!$AL235="Yes",MIN(2,IF('BMP P Tracking Table'!$AP235="Total Pervious",(-(3630*'BMP P Tracking Table'!$AO235+20.691*'BMP P Tracking Table'!$AU235)+SQRT((3630*'BMP P Tracking Table'!$AO235+20.691*'BMP P Tracking Table'!$AU235)^2-(4*(996.798*'BMP P Tracking Table'!$AU235)*-'BMP P Tracking Table'!$AW235)))/(2*(996.798*'BMP P Tracking Table'!$AU235)),IF(SUM('BMP P Tracking Table'!$AQ235:$AT235)=0,'BMP P Tracking Table'!$AU235/(-3630*'BMP P Tracking Table'!$AO235),(-(3630*'BMP P Tracking Table'!$AO235+20.691*'BMP P Tracking Table'!$AT235-216.711*'BMP P Tracking Table'!$AS235-83.853*'BMP P Tracking Table'!$AR235-42.834*'BMP P Tracking Table'!$AQ235)+SQRT((3630*'BMP P Tracking Table'!$AO235+20.691*'BMP P Tracking Table'!$AT235-216.711*'BMP P Tracking Table'!$AS235-83.853*'BMP P Tracking Table'!$AR235-42.834*'BMP P Tracking Table'!$AQ235)^2-(4*(149.919*'BMP P Tracking Table'!$AQ235+236.676*'BMP P Tracking Table'!$AR235+726*'BMP P Tracking Table'!$AS235+996.798*'BMP P Tracking Table'!$AT235)*-'BMP P Tracking Table'!$AW235)))/(2*(149.919*'BMP P Tracking Table'!$AQ235+236.676*'BMP P Tracking Table'!$AR235+726*'BMP P Tracking Table'!$AS235+996.798*'BMP P Tracking Table'!$AT235))))),MIN(2,IF('BMP P Tracking Table'!$AP235="Total Pervious",(-(3630*'BMP P Tracking Table'!$U235+20.691*'BMP P Tracking Table'!$AA235)+SQRT((3630*'BMP P Tracking Table'!$U235+20.691*'BMP P Tracking Table'!$AA235)^2-(4*(996.798*'BMP P Tracking Table'!$AA235)*-'BMP P Tracking Table'!$AW235)))/(2*(996.798*'BMP P Tracking Table'!$AA235)),IF(SUM('BMP P Tracking Table'!$W235:$Z235)=0,'BMP P Tracking Table'!$AW235/(-3630*'BMP P Tracking Table'!$U235),(-(3630*'BMP P Tracking Table'!$U235+20.691*'BMP P Tracking Table'!$Z235-216.711*'BMP P Tracking Table'!$Y235-83.853*'BMP P Tracking Table'!$X235-42.834*'BMP P Tracking Table'!$W235)+SQRT((3630*'BMP P Tracking Table'!$U235+20.691*'BMP P Tracking Table'!$Z235-216.711*'BMP P Tracking Table'!$Y235-83.853*'BMP P Tracking Table'!$X235-42.834*'BMP P Tracking Table'!$W235)^2-(4*(149.919*'BMP P Tracking Table'!$W235+236.676*'BMP P Tracking Table'!$X235+726*'BMP P Tracking Table'!$Y235+996.798*'BMP P Tracking Table'!$Z235)*-'BMP P Tracking Table'!$AW235)))/(2*(149.919*'BMP P Tracking Table'!$W235+236.676*'BMP P Tracking Table'!$X235+726*'BMP P Tracking Table'!$Y235+996.798*'BMP P Tracking Table'!$Z235)))))),"")</f>
        <v/>
      </c>
      <c r="BA235" s="101" t="str">
        <f>IFERROR((VLOOKUP(CONCATENATE('BMP P Tracking Table'!$AV235," ",'BMP P Tracking Table'!$AX235),'Performance Curves'!$C$1:$L$45,MATCH('BMP P Tracking Table'!$AZ235,'Performance Curves'!$E$1:$L$1,1)+2,FALSE)-VLOOKUP(CONCATENATE('BMP P Tracking Table'!$AV235," ",'BMP P Tracking Table'!$AX235),'Performance Curves'!$C$1:$L$45,MATCH('BMP P Tracking Table'!$AZ235,'Performance Curves'!$E$1:$L$1,1)+1,FALSE)),"")</f>
        <v/>
      </c>
      <c r="BB235" s="101" t="str">
        <f>IFERROR(('BMP P Tracking Table'!$AZ235-INDEX('Performance Curves'!$E$1:$L$1,1,MATCH('BMP P Tracking Table'!$AZ235,'Performance Curves'!$E$1:$L$1,1)))/(INDEX('Performance Curves'!$E$1:$L$1,1,MATCH('BMP P Tracking Table'!$AZ235,'Performance Curves'!$E$1:$L$1,1)+1)-INDEX('Performance Curves'!$E$1:$L$1,1,MATCH('BMP P Tracking Table'!$AZ235,'Performance Curves'!$E$1:$L$1,1))),"")</f>
        <v/>
      </c>
      <c r="BC235" s="102" t="str">
        <f>IFERROR(IF('BMP P Tracking Table'!$AZ235=2,VLOOKUP(CONCATENATE('BMP P Tracking Table'!$AV235," ",'BMP P Tracking Table'!$AX235),'Performance Curves'!$C$1:$L$44,MATCH('BMP P Tracking Table'!$AZ235,'Performance Curves'!$E$1:$L$1,1)+1,FALSE),'BMP P Tracking Table'!$BA235*'BMP P Tracking Table'!$BB235+VLOOKUP(CONCATENATE('BMP P Tracking Table'!$AV235," ",'BMP P Tracking Table'!$AX235),'Performance Curves'!$C$1:$L$44,MATCH('BMP P Tracking Table'!$AZ235,'Performance Curves'!$E$1:$L$1,1)+1,FALSE)),"")</f>
        <v/>
      </c>
      <c r="BD235" s="101" t="str">
        <f>IFERROR('BMP P Tracking Table'!$BC235*'BMP P Tracking Table'!$AY235,"")</f>
        <v/>
      </c>
      <c r="BE235" s="96"/>
      <c r="BF235" s="37">
        <f t="shared" si="19"/>
        <v>0</v>
      </c>
    </row>
    <row r="236" spans="1:58" x14ac:dyDescent="0.3">
      <c r="A236" s="64"/>
      <c r="B236" s="64"/>
      <c r="C236" s="64"/>
      <c r="D236" s="64"/>
      <c r="E236" s="93"/>
      <c r="F236" s="93"/>
      <c r="G236" s="64"/>
      <c r="H236" s="64"/>
      <c r="I236" s="64"/>
      <c r="J236" s="94"/>
      <c r="K236" s="64"/>
      <c r="L236" s="64"/>
      <c r="M236" s="64"/>
      <c r="N236" s="64"/>
      <c r="O236" s="64"/>
      <c r="P236" s="64"/>
      <c r="Q236" s="64" t="str">
        <f>IFERROR(VLOOKUP('BMP P Tracking Table'!$P236,Dropdowns!$C$2:$E$15,3,FALSE),"")</f>
        <v/>
      </c>
      <c r="R236" s="64" t="str">
        <f>IFERROR(VLOOKUP('BMP P Tracking Table'!$Q236,Dropdowns!$P$3:$Q$23,2,FALSE),"")</f>
        <v/>
      </c>
      <c r="S236" s="64"/>
      <c r="T236" s="64"/>
      <c r="U236" s="64"/>
      <c r="V236" s="64"/>
      <c r="W236" s="64"/>
      <c r="X236" s="64"/>
      <c r="Y236" s="64"/>
      <c r="Z236" s="64"/>
      <c r="AA236" s="64"/>
      <c r="AB236" s="95"/>
      <c r="AC236" s="64"/>
      <c r="AD236" s="101" t="str">
        <f>IFERROR('BMP P Tracking Table'!$U236*VLOOKUP('BMP P Tracking Table'!$Q236,'Loading Rates'!$B$1:$L$24,4,FALSE)+IF('BMP P Tracking Table'!$V236="By HSG",'BMP P Tracking Table'!$W236*VLOOKUP('BMP P Tracking Table'!$Q236,'Loading Rates'!$B$1:$L$24,6,FALSE)+'BMP P Tracking Table'!$X236*VLOOKUP('BMP P Tracking Table'!$Q236,'Loading Rates'!$B$1:$L$24,7,FALSE)+'BMP P Tracking Table'!$Y236*VLOOKUP('BMP P Tracking Table'!$Q236,'Loading Rates'!$B$1:$L$24,8,FALSE)+'BMP P Tracking Table'!$Z236*VLOOKUP('BMP P Tracking Table'!$Q236,'Loading Rates'!$B$1:$L$24,9,FALSE),'BMP P Tracking Table'!$AA236*VLOOKUP('BMP P Tracking Table'!$Q236,'Loading Rates'!$B$1:$L$24,10,FALSE)),"")</f>
        <v/>
      </c>
      <c r="AE236" s="101" t="str">
        <f>IFERROR(MIN(2,IF('BMP P Tracking Table'!$V236="Total Pervious",(-(3630*'BMP P Tracking Table'!$U236+20.691*'BMP P Tracking Table'!$AA236)+SQRT((3630*'BMP P Tracking Table'!$U236+20.691*'BMP P Tracking Table'!$AA236)^2-(4*(996.798*'BMP P Tracking Table'!$AA236)*-'BMP P Tracking Table'!$AB236)))/(2*(996.798*'BMP P Tracking Table'!$AA236)),IF(SUM('BMP P Tracking Table'!$W236:$Z236)=0,'BMP P Tracking Table'!$AB236/(-3630*'BMP P Tracking Table'!$U236),(-(3630*'BMP P Tracking Table'!$U236+20.691*'BMP P Tracking Table'!$Z236-216.711*'BMP P Tracking Table'!$Y236-83.853*'BMP P Tracking Table'!$X236-42.834*'BMP P Tracking Table'!$W236)+SQRT((3630*'BMP P Tracking Table'!$U236+20.691*'BMP P Tracking Table'!$Z236-216.711*'BMP P Tracking Table'!$Y236-83.853*'BMP P Tracking Table'!$X236-42.834*'BMP P Tracking Table'!$W236)^2-(4*(149.919*'BMP P Tracking Table'!$W236+236.676*'BMP P Tracking Table'!$X236+726*'BMP P Tracking Table'!$Y236+996.798*'BMP P Tracking Table'!$Z236)*-'BMP P Tracking Table'!$AB236)))/(2*(149.919*'BMP P Tracking Table'!$W236+236.676*'BMP P Tracking Table'!$X236+726*'BMP P Tracking Table'!$Y236+996.798*'BMP P Tracking Table'!$Z236))))),"")</f>
        <v/>
      </c>
      <c r="AF236" s="101" t="str">
        <f>IFERROR((VLOOKUP(CONCATENATE('BMP P Tracking Table'!$T236," ",'BMP P Tracking Table'!$AC236),'Performance Curves'!$C$1:$L$45,MATCH('BMP P Tracking Table'!$AE236,'Performance Curves'!$E$1:$L$1,1)+2,FALSE)-VLOOKUP(CONCATENATE('BMP P Tracking Table'!$T236," ",'BMP P Tracking Table'!$AC236),'Performance Curves'!$C$1:$L$45,MATCH('BMP P Tracking Table'!$AE236,'Performance Curves'!$E$1:$L$1,1)+1,FALSE)),"")</f>
        <v/>
      </c>
      <c r="AG236" s="101" t="str">
        <f>IFERROR(('BMP P Tracking Table'!$AE236-INDEX('Performance Curves'!$E$1:$L$1,1,MATCH('BMP P Tracking Table'!$AE236,'Performance Curves'!$E$1:$L$1,1)))/(INDEX('Performance Curves'!$E$1:$L$1,1,MATCH('BMP P Tracking Table'!$AE236,'Performance Curves'!$E$1:$L$1,1)+1)-INDEX('Performance Curves'!$E$1:$L$1,1,MATCH('BMP P Tracking Table'!$AE236,'Performance Curves'!$E$1:$L$1,1))),"")</f>
        <v/>
      </c>
      <c r="AH236" s="102" t="str">
        <f>IFERROR(IF('BMP P Tracking Table'!$AE236=2,VLOOKUP(CONCATENATE('BMP P Tracking Table'!$T236," ",'BMP P Tracking Table'!$AC236),'Performance Curves'!$C$1:$L$45,MATCH('BMP P Tracking Table'!$AE236,'Performance Curves'!$E$1:$L$1,1)+1,FALSE),'BMP P Tracking Table'!$AF236*'BMP P Tracking Table'!$AG236+VLOOKUP(CONCATENATE('BMP P Tracking Table'!$T236," ",'BMP P Tracking Table'!$AC236),'Performance Curves'!$C$1:$L$45,MATCH('BMP P Tracking Table'!$AE236,'Performance Curves'!$E$1:$L$1,1)+1,FALSE)),"")</f>
        <v/>
      </c>
      <c r="AI236" s="101" t="str">
        <f>IFERROR('BMP P Tracking Table'!$AH236*'BMP P Tracking Table'!$AD236,"")</f>
        <v/>
      </c>
      <c r="AJ236" s="64"/>
      <c r="AK236" s="96"/>
      <c r="AL236" s="96"/>
      <c r="AM236" s="63"/>
      <c r="AN236" s="99" t="str">
        <f t="shared" si="18"/>
        <v/>
      </c>
      <c r="AO236" s="96"/>
      <c r="AP236" s="96"/>
      <c r="AQ236" s="96"/>
      <c r="AR236" s="96"/>
      <c r="AS236" s="96"/>
      <c r="AT236" s="96"/>
      <c r="AU236" s="96"/>
      <c r="AV236" s="64"/>
      <c r="AW236" s="97"/>
      <c r="AX236" s="97"/>
      <c r="AY236" s="101" t="str">
        <f>IF('BMP P Tracking Table'!$AK236="Yes",IF('BMP P Tracking Table'!$AL236="No",'BMP P Tracking Table'!$U236*VLOOKUP('BMP P Tracking Table'!$Q236,'Loading Rates'!$B$1:$L$24,4,FALSE)+IF('BMP P Tracking Table'!$V236="By HSG",'BMP P Tracking Table'!$W236*VLOOKUP('BMP P Tracking Table'!$Q236,'Loading Rates'!$B$1:$L$24,6,FALSE)+'BMP P Tracking Table'!$X236*VLOOKUP('BMP P Tracking Table'!$Q236,'Loading Rates'!$B$1:$L$24,7,FALSE)+'BMP P Tracking Table'!$Y236*VLOOKUP('BMP P Tracking Table'!$Q236,'Loading Rates'!$B$1:$L$24,8,FALSE)+'BMP P Tracking Table'!$Z236*VLOOKUP('BMP P Tracking Table'!$Q236,'Loading Rates'!$B$1:$L$24,9,FALSE),'BMP P Tracking Table'!$AA236*VLOOKUP('BMP P Tracking Table'!$Q236,'Loading Rates'!$B$1:$L$24,10,FALSE)),'BMP P Tracking Table'!$AO236*VLOOKUP('BMP P Tracking Table'!$Q236,'Loading Rates'!$B$1:$L$24,4,FALSE)+IF('BMP P Tracking Table'!$AP236="By HSG",'BMP P Tracking Table'!$AQ236*VLOOKUP('BMP P Tracking Table'!$Q236,'Loading Rates'!$B$1:$L$24,6,FALSE)+'BMP P Tracking Table'!$AR236*VLOOKUP('BMP P Tracking Table'!$Q236,'Loading Rates'!$B$1:$L$24,7,FALSE)+'BMP P Tracking Table'!$AS236*VLOOKUP('BMP P Tracking Table'!$Q236,'Loading Rates'!$B$1:$L$24,8,FALSE)+'BMP P Tracking Table'!$AT236*VLOOKUP('BMP P Tracking Table'!$Q236,'Loading Rates'!$B$1:$L$24,9,FALSE),'BMP P Tracking Table'!$AU236*VLOOKUP('BMP P Tracking Table'!$Q236,'Loading Rates'!$B$1:$L$24,10,FALSE))),"")</f>
        <v/>
      </c>
      <c r="AZ236" s="101" t="str">
        <f>IFERROR(IF('BMP P Tracking Table'!$AL236="Yes",MIN(2,IF('BMP P Tracking Table'!$AP236="Total Pervious",(-(3630*'BMP P Tracking Table'!$AO236+20.691*'BMP P Tracking Table'!$AU236)+SQRT((3630*'BMP P Tracking Table'!$AO236+20.691*'BMP P Tracking Table'!$AU236)^2-(4*(996.798*'BMP P Tracking Table'!$AU236)*-'BMP P Tracking Table'!$AW236)))/(2*(996.798*'BMP P Tracking Table'!$AU236)),IF(SUM('BMP P Tracking Table'!$AQ236:$AT236)=0,'BMP P Tracking Table'!$AU236/(-3630*'BMP P Tracking Table'!$AO236),(-(3630*'BMP P Tracking Table'!$AO236+20.691*'BMP P Tracking Table'!$AT236-216.711*'BMP P Tracking Table'!$AS236-83.853*'BMP P Tracking Table'!$AR236-42.834*'BMP P Tracking Table'!$AQ236)+SQRT((3630*'BMP P Tracking Table'!$AO236+20.691*'BMP P Tracking Table'!$AT236-216.711*'BMP P Tracking Table'!$AS236-83.853*'BMP P Tracking Table'!$AR236-42.834*'BMP P Tracking Table'!$AQ236)^2-(4*(149.919*'BMP P Tracking Table'!$AQ236+236.676*'BMP P Tracking Table'!$AR236+726*'BMP P Tracking Table'!$AS236+996.798*'BMP P Tracking Table'!$AT236)*-'BMP P Tracking Table'!$AW236)))/(2*(149.919*'BMP P Tracking Table'!$AQ236+236.676*'BMP P Tracking Table'!$AR236+726*'BMP P Tracking Table'!$AS236+996.798*'BMP P Tracking Table'!$AT236))))),MIN(2,IF('BMP P Tracking Table'!$AP236="Total Pervious",(-(3630*'BMP P Tracking Table'!$U236+20.691*'BMP P Tracking Table'!$AA236)+SQRT((3630*'BMP P Tracking Table'!$U236+20.691*'BMP P Tracking Table'!$AA236)^2-(4*(996.798*'BMP P Tracking Table'!$AA236)*-'BMP P Tracking Table'!$AW236)))/(2*(996.798*'BMP P Tracking Table'!$AA236)),IF(SUM('BMP P Tracking Table'!$W236:$Z236)=0,'BMP P Tracking Table'!$AW236/(-3630*'BMP P Tracking Table'!$U236),(-(3630*'BMP P Tracking Table'!$U236+20.691*'BMP P Tracking Table'!$Z236-216.711*'BMP P Tracking Table'!$Y236-83.853*'BMP P Tracking Table'!$X236-42.834*'BMP P Tracking Table'!$W236)+SQRT((3630*'BMP P Tracking Table'!$U236+20.691*'BMP P Tracking Table'!$Z236-216.711*'BMP P Tracking Table'!$Y236-83.853*'BMP P Tracking Table'!$X236-42.834*'BMP P Tracking Table'!$W236)^2-(4*(149.919*'BMP P Tracking Table'!$W236+236.676*'BMP P Tracking Table'!$X236+726*'BMP P Tracking Table'!$Y236+996.798*'BMP P Tracking Table'!$Z236)*-'BMP P Tracking Table'!$AW236)))/(2*(149.919*'BMP P Tracking Table'!$W236+236.676*'BMP P Tracking Table'!$X236+726*'BMP P Tracking Table'!$Y236+996.798*'BMP P Tracking Table'!$Z236)))))),"")</f>
        <v/>
      </c>
      <c r="BA236" s="101" t="str">
        <f>IFERROR((VLOOKUP(CONCATENATE('BMP P Tracking Table'!$AV236," ",'BMP P Tracking Table'!$AX236),'Performance Curves'!$C$1:$L$45,MATCH('BMP P Tracking Table'!$AZ236,'Performance Curves'!$E$1:$L$1,1)+2,FALSE)-VLOOKUP(CONCATENATE('BMP P Tracking Table'!$AV236," ",'BMP P Tracking Table'!$AX236),'Performance Curves'!$C$1:$L$45,MATCH('BMP P Tracking Table'!$AZ236,'Performance Curves'!$E$1:$L$1,1)+1,FALSE)),"")</f>
        <v/>
      </c>
      <c r="BB236" s="101" t="str">
        <f>IFERROR(('BMP P Tracking Table'!$AZ236-INDEX('Performance Curves'!$E$1:$L$1,1,MATCH('BMP P Tracking Table'!$AZ236,'Performance Curves'!$E$1:$L$1,1)))/(INDEX('Performance Curves'!$E$1:$L$1,1,MATCH('BMP P Tracking Table'!$AZ236,'Performance Curves'!$E$1:$L$1,1)+1)-INDEX('Performance Curves'!$E$1:$L$1,1,MATCH('BMP P Tracking Table'!$AZ236,'Performance Curves'!$E$1:$L$1,1))),"")</f>
        <v/>
      </c>
      <c r="BC236" s="102" t="str">
        <f>IFERROR(IF('BMP P Tracking Table'!$AZ236=2,VLOOKUP(CONCATENATE('BMP P Tracking Table'!$AV236," ",'BMP P Tracking Table'!$AX236),'Performance Curves'!$C$1:$L$44,MATCH('BMP P Tracking Table'!$AZ236,'Performance Curves'!$E$1:$L$1,1)+1,FALSE),'BMP P Tracking Table'!$BA236*'BMP P Tracking Table'!$BB236+VLOOKUP(CONCATENATE('BMP P Tracking Table'!$AV236," ",'BMP P Tracking Table'!$AX236),'Performance Curves'!$C$1:$L$44,MATCH('BMP P Tracking Table'!$AZ236,'Performance Curves'!$E$1:$L$1,1)+1,FALSE)),"")</f>
        <v/>
      </c>
      <c r="BD236" s="101" t="str">
        <f>IFERROR('BMP P Tracking Table'!$BC236*'BMP P Tracking Table'!$AY236,"")</f>
        <v/>
      </c>
      <c r="BE236" s="91"/>
      <c r="BF236" s="37">
        <f t="shared" si="19"/>
        <v>0</v>
      </c>
    </row>
    <row r="237" spans="1:58" x14ac:dyDescent="0.3">
      <c r="A237" s="64"/>
      <c r="B237" s="64"/>
      <c r="C237" s="64"/>
      <c r="D237" s="64"/>
      <c r="E237" s="93"/>
      <c r="F237" s="93"/>
      <c r="G237" s="64"/>
      <c r="H237" s="64"/>
      <c r="I237" s="64"/>
      <c r="J237" s="94"/>
      <c r="K237" s="64"/>
      <c r="L237" s="64"/>
      <c r="M237" s="64"/>
      <c r="N237" s="64"/>
      <c r="O237" s="64"/>
      <c r="P237" s="64"/>
      <c r="Q237" s="64" t="str">
        <f>IFERROR(VLOOKUP('BMP P Tracking Table'!$P237,Dropdowns!$C$2:$E$15,3,FALSE),"")</f>
        <v/>
      </c>
      <c r="R237" s="64" t="str">
        <f>IFERROR(VLOOKUP('BMP P Tracking Table'!$Q237,Dropdowns!$P$3:$Q$23,2,FALSE),"")</f>
        <v/>
      </c>
      <c r="S237" s="64"/>
      <c r="T237" s="64"/>
      <c r="U237" s="64"/>
      <c r="V237" s="64"/>
      <c r="W237" s="64"/>
      <c r="X237" s="64"/>
      <c r="Y237" s="64"/>
      <c r="Z237" s="64"/>
      <c r="AA237" s="64"/>
      <c r="AB237" s="95"/>
      <c r="AC237" s="64"/>
      <c r="AD237" s="101" t="str">
        <f>IFERROR('BMP P Tracking Table'!$U237*VLOOKUP('BMP P Tracking Table'!$Q237,'Loading Rates'!$B$1:$L$24,4,FALSE)+IF('BMP P Tracking Table'!$V237="By HSG",'BMP P Tracking Table'!$W237*VLOOKUP('BMP P Tracking Table'!$Q237,'Loading Rates'!$B$1:$L$24,6,FALSE)+'BMP P Tracking Table'!$X237*VLOOKUP('BMP P Tracking Table'!$Q237,'Loading Rates'!$B$1:$L$24,7,FALSE)+'BMP P Tracking Table'!$Y237*VLOOKUP('BMP P Tracking Table'!$Q237,'Loading Rates'!$B$1:$L$24,8,FALSE)+'BMP P Tracking Table'!$Z237*VLOOKUP('BMP P Tracking Table'!$Q237,'Loading Rates'!$B$1:$L$24,9,FALSE),'BMP P Tracking Table'!$AA237*VLOOKUP('BMP P Tracking Table'!$Q237,'Loading Rates'!$B$1:$L$24,10,FALSE)),"")</f>
        <v/>
      </c>
      <c r="AE237" s="101" t="str">
        <f>IFERROR(MIN(2,IF('BMP P Tracking Table'!$V237="Total Pervious",(-(3630*'BMP P Tracking Table'!$U237+20.691*'BMP P Tracking Table'!$AA237)+SQRT((3630*'BMP P Tracking Table'!$U237+20.691*'BMP P Tracking Table'!$AA237)^2-(4*(996.798*'BMP P Tracking Table'!$AA237)*-'BMP P Tracking Table'!$AB237)))/(2*(996.798*'BMP P Tracking Table'!$AA237)),IF(SUM('BMP P Tracking Table'!$W237:$Z237)=0,'BMP P Tracking Table'!$AB237/(-3630*'BMP P Tracking Table'!$U237),(-(3630*'BMP P Tracking Table'!$U237+20.691*'BMP P Tracking Table'!$Z237-216.711*'BMP P Tracking Table'!$Y237-83.853*'BMP P Tracking Table'!$X237-42.834*'BMP P Tracking Table'!$W237)+SQRT((3630*'BMP P Tracking Table'!$U237+20.691*'BMP P Tracking Table'!$Z237-216.711*'BMP P Tracking Table'!$Y237-83.853*'BMP P Tracking Table'!$X237-42.834*'BMP P Tracking Table'!$W237)^2-(4*(149.919*'BMP P Tracking Table'!$W237+236.676*'BMP P Tracking Table'!$X237+726*'BMP P Tracking Table'!$Y237+996.798*'BMP P Tracking Table'!$Z237)*-'BMP P Tracking Table'!$AB237)))/(2*(149.919*'BMP P Tracking Table'!$W237+236.676*'BMP P Tracking Table'!$X237+726*'BMP P Tracking Table'!$Y237+996.798*'BMP P Tracking Table'!$Z237))))),"")</f>
        <v/>
      </c>
      <c r="AF237" s="101" t="str">
        <f>IFERROR((VLOOKUP(CONCATENATE('BMP P Tracking Table'!$T237," ",'BMP P Tracking Table'!$AC237),'Performance Curves'!$C$1:$L$45,MATCH('BMP P Tracking Table'!$AE237,'Performance Curves'!$E$1:$L$1,1)+2,FALSE)-VLOOKUP(CONCATENATE('BMP P Tracking Table'!$T237," ",'BMP P Tracking Table'!$AC237),'Performance Curves'!$C$1:$L$45,MATCH('BMP P Tracking Table'!$AE237,'Performance Curves'!$E$1:$L$1,1)+1,FALSE)),"")</f>
        <v/>
      </c>
      <c r="AG237" s="101" t="str">
        <f>IFERROR(('BMP P Tracking Table'!$AE237-INDEX('Performance Curves'!$E$1:$L$1,1,MATCH('BMP P Tracking Table'!$AE237,'Performance Curves'!$E$1:$L$1,1)))/(INDEX('Performance Curves'!$E$1:$L$1,1,MATCH('BMP P Tracking Table'!$AE237,'Performance Curves'!$E$1:$L$1,1)+1)-INDEX('Performance Curves'!$E$1:$L$1,1,MATCH('BMP P Tracking Table'!$AE237,'Performance Curves'!$E$1:$L$1,1))),"")</f>
        <v/>
      </c>
      <c r="AH237" s="102" t="str">
        <f>IFERROR(IF('BMP P Tracking Table'!$AE237=2,VLOOKUP(CONCATENATE('BMP P Tracking Table'!$T237," ",'BMP P Tracking Table'!$AC237),'Performance Curves'!$C$1:$L$45,MATCH('BMP P Tracking Table'!$AE237,'Performance Curves'!$E$1:$L$1,1)+1,FALSE),'BMP P Tracking Table'!$AF237*'BMP P Tracking Table'!$AG237+VLOOKUP(CONCATENATE('BMP P Tracking Table'!$T237," ",'BMP P Tracking Table'!$AC237),'Performance Curves'!$C$1:$L$45,MATCH('BMP P Tracking Table'!$AE237,'Performance Curves'!$E$1:$L$1,1)+1,FALSE)),"")</f>
        <v/>
      </c>
      <c r="AI237" s="101" t="str">
        <f>IFERROR('BMP P Tracking Table'!$AH237*'BMP P Tracking Table'!$AD237,"")</f>
        <v/>
      </c>
      <c r="AJ237" s="64"/>
      <c r="AK237" s="96"/>
      <c r="AL237" s="96"/>
      <c r="AM237" s="63"/>
      <c r="AN237" s="99" t="str">
        <f t="shared" si="18"/>
        <v/>
      </c>
      <c r="AO237" s="96"/>
      <c r="AP237" s="96"/>
      <c r="AQ237" s="96"/>
      <c r="AR237" s="96"/>
      <c r="AS237" s="96"/>
      <c r="AT237" s="96"/>
      <c r="AU237" s="96"/>
      <c r="AV237" s="64"/>
      <c r="AW237" s="97"/>
      <c r="AX237" s="97"/>
      <c r="AY237" s="101" t="str">
        <f>IF('BMP P Tracking Table'!$AK237="Yes",IF('BMP P Tracking Table'!$AL237="No",'BMP P Tracking Table'!$U237*VLOOKUP('BMP P Tracking Table'!$Q237,'Loading Rates'!$B$1:$L$24,4,FALSE)+IF('BMP P Tracking Table'!$V237="By HSG",'BMP P Tracking Table'!$W237*VLOOKUP('BMP P Tracking Table'!$Q237,'Loading Rates'!$B$1:$L$24,6,FALSE)+'BMP P Tracking Table'!$X237*VLOOKUP('BMP P Tracking Table'!$Q237,'Loading Rates'!$B$1:$L$24,7,FALSE)+'BMP P Tracking Table'!$Y237*VLOOKUP('BMP P Tracking Table'!$Q237,'Loading Rates'!$B$1:$L$24,8,FALSE)+'BMP P Tracking Table'!$Z237*VLOOKUP('BMP P Tracking Table'!$Q237,'Loading Rates'!$B$1:$L$24,9,FALSE),'BMP P Tracking Table'!$AA237*VLOOKUP('BMP P Tracking Table'!$Q237,'Loading Rates'!$B$1:$L$24,10,FALSE)),'BMP P Tracking Table'!$AO237*VLOOKUP('BMP P Tracking Table'!$Q237,'Loading Rates'!$B$1:$L$24,4,FALSE)+IF('BMP P Tracking Table'!$AP237="By HSG",'BMP P Tracking Table'!$AQ237*VLOOKUP('BMP P Tracking Table'!$Q237,'Loading Rates'!$B$1:$L$24,6,FALSE)+'BMP P Tracking Table'!$AR237*VLOOKUP('BMP P Tracking Table'!$Q237,'Loading Rates'!$B$1:$L$24,7,FALSE)+'BMP P Tracking Table'!$AS237*VLOOKUP('BMP P Tracking Table'!$Q237,'Loading Rates'!$B$1:$L$24,8,FALSE)+'BMP P Tracking Table'!$AT237*VLOOKUP('BMP P Tracking Table'!$Q237,'Loading Rates'!$B$1:$L$24,9,FALSE),'BMP P Tracking Table'!$AU237*VLOOKUP('BMP P Tracking Table'!$Q237,'Loading Rates'!$B$1:$L$24,10,FALSE))),"")</f>
        <v/>
      </c>
      <c r="AZ237" s="101" t="str">
        <f>IFERROR(IF('BMP P Tracking Table'!$AL237="Yes",MIN(2,IF('BMP P Tracking Table'!$AP237="Total Pervious",(-(3630*'BMP P Tracking Table'!$AO237+20.691*'BMP P Tracking Table'!$AU237)+SQRT((3630*'BMP P Tracking Table'!$AO237+20.691*'BMP P Tracking Table'!$AU237)^2-(4*(996.798*'BMP P Tracking Table'!$AU237)*-'BMP P Tracking Table'!$AW237)))/(2*(996.798*'BMP P Tracking Table'!$AU237)),IF(SUM('BMP P Tracking Table'!$AQ237:$AT237)=0,'BMP P Tracking Table'!$AU237/(-3630*'BMP P Tracking Table'!$AO237),(-(3630*'BMP P Tracking Table'!$AO237+20.691*'BMP P Tracking Table'!$AT237-216.711*'BMP P Tracking Table'!$AS237-83.853*'BMP P Tracking Table'!$AR237-42.834*'BMP P Tracking Table'!$AQ237)+SQRT((3630*'BMP P Tracking Table'!$AO237+20.691*'BMP P Tracking Table'!$AT237-216.711*'BMP P Tracking Table'!$AS237-83.853*'BMP P Tracking Table'!$AR237-42.834*'BMP P Tracking Table'!$AQ237)^2-(4*(149.919*'BMP P Tracking Table'!$AQ237+236.676*'BMP P Tracking Table'!$AR237+726*'BMP P Tracking Table'!$AS237+996.798*'BMP P Tracking Table'!$AT237)*-'BMP P Tracking Table'!$AW237)))/(2*(149.919*'BMP P Tracking Table'!$AQ237+236.676*'BMP P Tracking Table'!$AR237+726*'BMP P Tracking Table'!$AS237+996.798*'BMP P Tracking Table'!$AT237))))),MIN(2,IF('BMP P Tracking Table'!$AP237="Total Pervious",(-(3630*'BMP P Tracking Table'!$U237+20.691*'BMP P Tracking Table'!$AA237)+SQRT((3630*'BMP P Tracking Table'!$U237+20.691*'BMP P Tracking Table'!$AA237)^2-(4*(996.798*'BMP P Tracking Table'!$AA237)*-'BMP P Tracking Table'!$AW237)))/(2*(996.798*'BMP P Tracking Table'!$AA237)),IF(SUM('BMP P Tracking Table'!$W237:$Z237)=0,'BMP P Tracking Table'!$AW237/(-3630*'BMP P Tracking Table'!$U237),(-(3630*'BMP P Tracking Table'!$U237+20.691*'BMP P Tracking Table'!$Z237-216.711*'BMP P Tracking Table'!$Y237-83.853*'BMP P Tracking Table'!$X237-42.834*'BMP P Tracking Table'!$W237)+SQRT((3630*'BMP P Tracking Table'!$U237+20.691*'BMP P Tracking Table'!$Z237-216.711*'BMP P Tracking Table'!$Y237-83.853*'BMP P Tracking Table'!$X237-42.834*'BMP P Tracking Table'!$W237)^2-(4*(149.919*'BMP P Tracking Table'!$W237+236.676*'BMP P Tracking Table'!$X237+726*'BMP P Tracking Table'!$Y237+996.798*'BMP P Tracking Table'!$Z237)*-'BMP P Tracking Table'!$AW237)))/(2*(149.919*'BMP P Tracking Table'!$W237+236.676*'BMP P Tracking Table'!$X237+726*'BMP P Tracking Table'!$Y237+996.798*'BMP P Tracking Table'!$Z237)))))),"")</f>
        <v/>
      </c>
      <c r="BA237" s="101" t="str">
        <f>IFERROR((VLOOKUP(CONCATENATE('BMP P Tracking Table'!$AV237," ",'BMP P Tracking Table'!$AX237),'Performance Curves'!$C$1:$L$45,MATCH('BMP P Tracking Table'!$AZ237,'Performance Curves'!$E$1:$L$1,1)+2,FALSE)-VLOOKUP(CONCATENATE('BMP P Tracking Table'!$AV237," ",'BMP P Tracking Table'!$AX237),'Performance Curves'!$C$1:$L$45,MATCH('BMP P Tracking Table'!$AZ237,'Performance Curves'!$E$1:$L$1,1)+1,FALSE)),"")</f>
        <v/>
      </c>
      <c r="BB237" s="101" t="str">
        <f>IFERROR(('BMP P Tracking Table'!$AZ237-INDEX('Performance Curves'!$E$1:$L$1,1,MATCH('BMP P Tracking Table'!$AZ237,'Performance Curves'!$E$1:$L$1,1)))/(INDEX('Performance Curves'!$E$1:$L$1,1,MATCH('BMP P Tracking Table'!$AZ237,'Performance Curves'!$E$1:$L$1,1)+1)-INDEX('Performance Curves'!$E$1:$L$1,1,MATCH('BMP P Tracking Table'!$AZ237,'Performance Curves'!$E$1:$L$1,1))),"")</f>
        <v/>
      </c>
      <c r="BC237" s="102" t="str">
        <f>IFERROR(IF('BMP P Tracking Table'!$AZ237=2,VLOOKUP(CONCATENATE('BMP P Tracking Table'!$AV237," ",'BMP P Tracking Table'!$AX237),'Performance Curves'!$C$1:$L$44,MATCH('BMP P Tracking Table'!$AZ237,'Performance Curves'!$E$1:$L$1,1)+1,FALSE),'BMP P Tracking Table'!$BA237*'BMP P Tracking Table'!$BB237+VLOOKUP(CONCATENATE('BMP P Tracking Table'!$AV237," ",'BMP P Tracking Table'!$AX237),'Performance Curves'!$C$1:$L$44,MATCH('BMP P Tracking Table'!$AZ237,'Performance Curves'!$E$1:$L$1,1)+1,FALSE)),"")</f>
        <v/>
      </c>
      <c r="BD237" s="101" t="str">
        <f>IFERROR('BMP P Tracking Table'!$BC237*'BMP P Tracking Table'!$AY237,"")</f>
        <v/>
      </c>
      <c r="BE237" s="96"/>
      <c r="BF237" s="37">
        <f t="shared" si="19"/>
        <v>0</v>
      </c>
    </row>
    <row r="238" spans="1:58" x14ac:dyDescent="0.3">
      <c r="A238" s="64"/>
      <c r="B238" s="64"/>
      <c r="C238" s="64"/>
      <c r="D238" s="64"/>
      <c r="E238" s="93"/>
      <c r="F238" s="93"/>
      <c r="G238" s="64"/>
      <c r="H238" s="64"/>
      <c r="I238" s="64"/>
      <c r="J238" s="94"/>
      <c r="K238" s="64"/>
      <c r="L238" s="64"/>
      <c r="M238" s="64"/>
      <c r="N238" s="64"/>
      <c r="O238" s="64"/>
      <c r="P238" s="64"/>
      <c r="Q238" s="64" t="str">
        <f>IFERROR(VLOOKUP('BMP P Tracking Table'!$P238,Dropdowns!$C$2:$E$15,3,FALSE),"")</f>
        <v/>
      </c>
      <c r="R238" s="64" t="str">
        <f>IFERROR(VLOOKUP('BMP P Tracking Table'!$Q238,Dropdowns!$P$3:$Q$23,2,FALSE),"")</f>
        <v/>
      </c>
      <c r="S238" s="64"/>
      <c r="T238" s="64"/>
      <c r="U238" s="64"/>
      <c r="V238" s="64"/>
      <c r="W238" s="64"/>
      <c r="X238" s="64"/>
      <c r="Y238" s="64"/>
      <c r="Z238" s="64"/>
      <c r="AA238" s="64"/>
      <c r="AB238" s="95"/>
      <c r="AC238" s="64"/>
      <c r="AD238" s="101" t="str">
        <f>IFERROR('BMP P Tracking Table'!$U238*VLOOKUP('BMP P Tracking Table'!$Q238,'Loading Rates'!$B$1:$L$24,4,FALSE)+IF('BMP P Tracking Table'!$V238="By HSG",'BMP P Tracking Table'!$W238*VLOOKUP('BMP P Tracking Table'!$Q238,'Loading Rates'!$B$1:$L$24,6,FALSE)+'BMP P Tracking Table'!$X238*VLOOKUP('BMP P Tracking Table'!$Q238,'Loading Rates'!$B$1:$L$24,7,FALSE)+'BMP P Tracking Table'!$Y238*VLOOKUP('BMP P Tracking Table'!$Q238,'Loading Rates'!$B$1:$L$24,8,FALSE)+'BMP P Tracking Table'!$Z238*VLOOKUP('BMP P Tracking Table'!$Q238,'Loading Rates'!$B$1:$L$24,9,FALSE),'BMP P Tracking Table'!$AA238*VLOOKUP('BMP P Tracking Table'!$Q238,'Loading Rates'!$B$1:$L$24,10,FALSE)),"")</f>
        <v/>
      </c>
      <c r="AE238" s="101" t="str">
        <f>IFERROR(MIN(2,IF('BMP P Tracking Table'!$V238="Total Pervious",(-(3630*'BMP P Tracking Table'!$U238+20.691*'BMP P Tracking Table'!$AA238)+SQRT((3630*'BMP P Tracking Table'!$U238+20.691*'BMP P Tracking Table'!$AA238)^2-(4*(996.798*'BMP P Tracking Table'!$AA238)*-'BMP P Tracking Table'!$AB238)))/(2*(996.798*'BMP P Tracking Table'!$AA238)),IF(SUM('BMP P Tracking Table'!$W238:$Z238)=0,'BMP P Tracking Table'!$AB238/(-3630*'BMP P Tracking Table'!$U238),(-(3630*'BMP P Tracking Table'!$U238+20.691*'BMP P Tracking Table'!$Z238-216.711*'BMP P Tracking Table'!$Y238-83.853*'BMP P Tracking Table'!$X238-42.834*'BMP P Tracking Table'!$W238)+SQRT((3630*'BMP P Tracking Table'!$U238+20.691*'BMP P Tracking Table'!$Z238-216.711*'BMP P Tracking Table'!$Y238-83.853*'BMP P Tracking Table'!$X238-42.834*'BMP P Tracking Table'!$W238)^2-(4*(149.919*'BMP P Tracking Table'!$W238+236.676*'BMP P Tracking Table'!$X238+726*'BMP P Tracking Table'!$Y238+996.798*'BMP P Tracking Table'!$Z238)*-'BMP P Tracking Table'!$AB238)))/(2*(149.919*'BMP P Tracking Table'!$W238+236.676*'BMP P Tracking Table'!$X238+726*'BMP P Tracking Table'!$Y238+996.798*'BMP P Tracking Table'!$Z238))))),"")</f>
        <v/>
      </c>
      <c r="AF238" s="101" t="str">
        <f>IFERROR((VLOOKUP(CONCATENATE('BMP P Tracking Table'!$T238," ",'BMP P Tracking Table'!$AC238),'Performance Curves'!$C$1:$L$45,MATCH('BMP P Tracking Table'!$AE238,'Performance Curves'!$E$1:$L$1,1)+2,FALSE)-VLOOKUP(CONCATENATE('BMP P Tracking Table'!$T238," ",'BMP P Tracking Table'!$AC238),'Performance Curves'!$C$1:$L$45,MATCH('BMP P Tracking Table'!$AE238,'Performance Curves'!$E$1:$L$1,1)+1,FALSE)),"")</f>
        <v/>
      </c>
      <c r="AG238" s="101" t="str">
        <f>IFERROR(('BMP P Tracking Table'!$AE238-INDEX('Performance Curves'!$E$1:$L$1,1,MATCH('BMP P Tracking Table'!$AE238,'Performance Curves'!$E$1:$L$1,1)))/(INDEX('Performance Curves'!$E$1:$L$1,1,MATCH('BMP P Tracking Table'!$AE238,'Performance Curves'!$E$1:$L$1,1)+1)-INDEX('Performance Curves'!$E$1:$L$1,1,MATCH('BMP P Tracking Table'!$AE238,'Performance Curves'!$E$1:$L$1,1))),"")</f>
        <v/>
      </c>
      <c r="AH238" s="102" t="str">
        <f>IFERROR(IF('BMP P Tracking Table'!$AE238=2,VLOOKUP(CONCATENATE('BMP P Tracking Table'!$T238," ",'BMP P Tracking Table'!$AC238),'Performance Curves'!$C$1:$L$45,MATCH('BMP P Tracking Table'!$AE238,'Performance Curves'!$E$1:$L$1,1)+1,FALSE),'BMP P Tracking Table'!$AF238*'BMP P Tracking Table'!$AG238+VLOOKUP(CONCATENATE('BMP P Tracking Table'!$T238," ",'BMP P Tracking Table'!$AC238),'Performance Curves'!$C$1:$L$45,MATCH('BMP P Tracking Table'!$AE238,'Performance Curves'!$E$1:$L$1,1)+1,FALSE)),"")</f>
        <v/>
      </c>
      <c r="AI238" s="101" t="str">
        <f>IFERROR('BMP P Tracking Table'!$AH238*'BMP P Tracking Table'!$AD238,"")</f>
        <v/>
      </c>
      <c r="AJ238" s="64"/>
      <c r="AK238" s="96"/>
      <c r="AL238" s="96"/>
      <c r="AM238" s="63"/>
      <c r="AN238" s="99" t="str">
        <f t="shared" si="18"/>
        <v/>
      </c>
      <c r="AO238" s="96"/>
      <c r="AP238" s="96"/>
      <c r="AQ238" s="96"/>
      <c r="AR238" s="96"/>
      <c r="AS238" s="96"/>
      <c r="AT238" s="96"/>
      <c r="AU238" s="96"/>
      <c r="AV238" s="64"/>
      <c r="AW238" s="97"/>
      <c r="AX238" s="97"/>
      <c r="AY238" s="101" t="str">
        <f>IF('BMP P Tracking Table'!$AK238="Yes",IF('BMP P Tracking Table'!$AL238="No",'BMP P Tracking Table'!$U238*VLOOKUP('BMP P Tracking Table'!$Q238,'Loading Rates'!$B$1:$L$24,4,FALSE)+IF('BMP P Tracking Table'!$V238="By HSG",'BMP P Tracking Table'!$W238*VLOOKUP('BMP P Tracking Table'!$Q238,'Loading Rates'!$B$1:$L$24,6,FALSE)+'BMP P Tracking Table'!$X238*VLOOKUP('BMP P Tracking Table'!$Q238,'Loading Rates'!$B$1:$L$24,7,FALSE)+'BMP P Tracking Table'!$Y238*VLOOKUP('BMP P Tracking Table'!$Q238,'Loading Rates'!$B$1:$L$24,8,FALSE)+'BMP P Tracking Table'!$Z238*VLOOKUP('BMP P Tracking Table'!$Q238,'Loading Rates'!$B$1:$L$24,9,FALSE),'BMP P Tracking Table'!$AA238*VLOOKUP('BMP P Tracking Table'!$Q238,'Loading Rates'!$B$1:$L$24,10,FALSE)),'BMP P Tracking Table'!$AO238*VLOOKUP('BMP P Tracking Table'!$Q238,'Loading Rates'!$B$1:$L$24,4,FALSE)+IF('BMP P Tracking Table'!$AP238="By HSG",'BMP P Tracking Table'!$AQ238*VLOOKUP('BMP P Tracking Table'!$Q238,'Loading Rates'!$B$1:$L$24,6,FALSE)+'BMP P Tracking Table'!$AR238*VLOOKUP('BMP P Tracking Table'!$Q238,'Loading Rates'!$B$1:$L$24,7,FALSE)+'BMP P Tracking Table'!$AS238*VLOOKUP('BMP P Tracking Table'!$Q238,'Loading Rates'!$B$1:$L$24,8,FALSE)+'BMP P Tracking Table'!$AT238*VLOOKUP('BMP P Tracking Table'!$Q238,'Loading Rates'!$B$1:$L$24,9,FALSE),'BMP P Tracking Table'!$AU238*VLOOKUP('BMP P Tracking Table'!$Q238,'Loading Rates'!$B$1:$L$24,10,FALSE))),"")</f>
        <v/>
      </c>
      <c r="AZ238" s="101" t="str">
        <f>IFERROR(IF('BMP P Tracking Table'!$AL238="Yes",MIN(2,IF('BMP P Tracking Table'!$AP238="Total Pervious",(-(3630*'BMP P Tracking Table'!$AO238+20.691*'BMP P Tracking Table'!$AU238)+SQRT((3630*'BMP P Tracking Table'!$AO238+20.691*'BMP P Tracking Table'!$AU238)^2-(4*(996.798*'BMP P Tracking Table'!$AU238)*-'BMP P Tracking Table'!$AW238)))/(2*(996.798*'BMP P Tracking Table'!$AU238)),IF(SUM('BMP P Tracking Table'!$AQ238:$AT238)=0,'BMP P Tracking Table'!$AU238/(-3630*'BMP P Tracking Table'!$AO238),(-(3630*'BMP P Tracking Table'!$AO238+20.691*'BMP P Tracking Table'!$AT238-216.711*'BMP P Tracking Table'!$AS238-83.853*'BMP P Tracking Table'!$AR238-42.834*'BMP P Tracking Table'!$AQ238)+SQRT((3630*'BMP P Tracking Table'!$AO238+20.691*'BMP P Tracking Table'!$AT238-216.711*'BMP P Tracking Table'!$AS238-83.853*'BMP P Tracking Table'!$AR238-42.834*'BMP P Tracking Table'!$AQ238)^2-(4*(149.919*'BMP P Tracking Table'!$AQ238+236.676*'BMP P Tracking Table'!$AR238+726*'BMP P Tracking Table'!$AS238+996.798*'BMP P Tracking Table'!$AT238)*-'BMP P Tracking Table'!$AW238)))/(2*(149.919*'BMP P Tracking Table'!$AQ238+236.676*'BMP P Tracking Table'!$AR238+726*'BMP P Tracking Table'!$AS238+996.798*'BMP P Tracking Table'!$AT238))))),MIN(2,IF('BMP P Tracking Table'!$AP238="Total Pervious",(-(3630*'BMP P Tracking Table'!$U238+20.691*'BMP P Tracking Table'!$AA238)+SQRT((3630*'BMP P Tracking Table'!$U238+20.691*'BMP P Tracking Table'!$AA238)^2-(4*(996.798*'BMP P Tracking Table'!$AA238)*-'BMP P Tracking Table'!$AW238)))/(2*(996.798*'BMP P Tracking Table'!$AA238)),IF(SUM('BMP P Tracking Table'!$W238:$Z238)=0,'BMP P Tracking Table'!$AW238/(-3630*'BMP P Tracking Table'!$U238),(-(3630*'BMP P Tracking Table'!$U238+20.691*'BMP P Tracking Table'!$Z238-216.711*'BMP P Tracking Table'!$Y238-83.853*'BMP P Tracking Table'!$X238-42.834*'BMP P Tracking Table'!$W238)+SQRT((3630*'BMP P Tracking Table'!$U238+20.691*'BMP P Tracking Table'!$Z238-216.711*'BMP P Tracking Table'!$Y238-83.853*'BMP P Tracking Table'!$X238-42.834*'BMP P Tracking Table'!$W238)^2-(4*(149.919*'BMP P Tracking Table'!$W238+236.676*'BMP P Tracking Table'!$X238+726*'BMP P Tracking Table'!$Y238+996.798*'BMP P Tracking Table'!$Z238)*-'BMP P Tracking Table'!$AW238)))/(2*(149.919*'BMP P Tracking Table'!$W238+236.676*'BMP P Tracking Table'!$X238+726*'BMP P Tracking Table'!$Y238+996.798*'BMP P Tracking Table'!$Z238)))))),"")</f>
        <v/>
      </c>
      <c r="BA238" s="101" t="str">
        <f>IFERROR((VLOOKUP(CONCATENATE('BMP P Tracking Table'!$AV238," ",'BMP P Tracking Table'!$AX238),'Performance Curves'!$C$1:$L$45,MATCH('BMP P Tracking Table'!$AZ238,'Performance Curves'!$E$1:$L$1,1)+2,FALSE)-VLOOKUP(CONCATENATE('BMP P Tracking Table'!$AV238," ",'BMP P Tracking Table'!$AX238),'Performance Curves'!$C$1:$L$45,MATCH('BMP P Tracking Table'!$AZ238,'Performance Curves'!$E$1:$L$1,1)+1,FALSE)),"")</f>
        <v/>
      </c>
      <c r="BB238" s="101" t="str">
        <f>IFERROR(('BMP P Tracking Table'!$AZ238-INDEX('Performance Curves'!$E$1:$L$1,1,MATCH('BMP P Tracking Table'!$AZ238,'Performance Curves'!$E$1:$L$1,1)))/(INDEX('Performance Curves'!$E$1:$L$1,1,MATCH('BMP P Tracking Table'!$AZ238,'Performance Curves'!$E$1:$L$1,1)+1)-INDEX('Performance Curves'!$E$1:$L$1,1,MATCH('BMP P Tracking Table'!$AZ238,'Performance Curves'!$E$1:$L$1,1))),"")</f>
        <v/>
      </c>
      <c r="BC238" s="102" t="str">
        <f>IFERROR(IF('BMP P Tracking Table'!$AZ238=2,VLOOKUP(CONCATENATE('BMP P Tracking Table'!$AV238," ",'BMP P Tracking Table'!$AX238),'Performance Curves'!$C$1:$L$44,MATCH('BMP P Tracking Table'!$AZ238,'Performance Curves'!$E$1:$L$1,1)+1,FALSE),'BMP P Tracking Table'!$BA238*'BMP P Tracking Table'!$BB238+VLOOKUP(CONCATENATE('BMP P Tracking Table'!$AV238," ",'BMP P Tracking Table'!$AX238),'Performance Curves'!$C$1:$L$44,MATCH('BMP P Tracking Table'!$AZ238,'Performance Curves'!$E$1:$L$1,1)+1,FALSE)),"")</f>
        <v/>
      </c>
      <c r="BD238" s="101" t="str">
        <f>IFERROR('BMP P Tracking Table'!$BC238*'BMP P Tracking Table'!$AY238,"")</f>
        <v/>
      </c>
      <c r="BE238" s="96"/>
      <c r="BF238" s="37">
        <f t="shared" si="19"/>
        <v>0</v>
      </c>
    </row>
    <row r="239" spans="1:58" x14ac:dyDescent="0.3">
      <c r="A239" s="64"/>
      <c r="B239" s="64"/>
      <c r="C239" s="64"/>
      <c r="D239" s="64"/>
      <c r="E239" s="93"/>
      <c r="F239" s="93"/>
      <c r="G239" s="64"/>
      <c r="H239" s="64"/>
      <c r="I239" s="64"/>
      <c r="J239" s="94"/>
      <c r="K239" s="64"/>
      <c r="L239" s="64"/>
      <c r="M239" s="64"/>
      <c r="N239" s="64"/>
      <c r="O239" s="64"/>
      <c r="P239" s="64"/>
      <c r="Q239" s="64" t="str">
        <f>IFERROR(VLOOKUP('BMP P Tracking Table'!$P239,Dropdowns!$C$2:$E$15,3,FALSE),"")</f>
        <v/>
      </c>
      <c r="R239" s="64" t="str">
        <f>IFERROR(VLOOKUP('BMP P Tracking Table'!$Q239,Dropdowns!$P$3:$Q$23,2,FALSE),"")</f>
        <v/>
      </c>
      <c r="S239" s="64"/>
      <c r="T239" s="64"/>
      <c r="U239" s="64"/>
      <c r="V239" s="64"/>
      <c r="W239" s="64"/>
      <c r="X239" s="64"/>
      <c r="Y239" s="64"/>
      <c r="Z239" s="64"/>
      <c r="AA239" s="64"/>
      <c r="AB239" s="95"/>
      <c r="AC239" s="64"/>
      <c r="AD239" s="101" t="str">
        <f>IFERROR('BMP P Tracking Table'!$U239*VLOOKUP('BMP P Tracking Table'!$Q239,'Loading Rates'!$B$1:$L$24,4,FALSE)+IF('BMP P Tracking Table'!$V239="By HSG",'BMP P Tracking Table'!$W239*VLOOKUP('BMP P Tracking Table'!$Q239,'Loading Rates'!$B$1:$L$24,6,FALSE)+'BMP P Tracking Table'!$X239*VLOOKUP('BMP P Tracking Table'!$Q239,'Loading Rates'!$B$1:$L$24,7,FALSE)+'BMP P Tracking Table'!$Y239*VLOOKUP('BMP P Tracking Table'!$Q239,'Loading Rates'!$B$1:$L$24,8,FALSE)+'BMP P Tracking Table'!$Z239*VLOOKUP('BMP P Tracking Table'!$Q239,'Loading Rates'!$B$1:$L$24,9,FALSE),'BMP P Tracking Table'!$AA239*VLOOKUP('BMP P Tracking Table'!$Q239,'Loading Rates'!$B$1:$L$24,10,FALSE)),"")</f>
        <v/>
      </c>
      <c r="AE239" s="101" t="str">
        <f>IFERROR(MIN(2,IF('BMP P Tracking Table'!$V239="Total Pervious",(-(3630*'BMP P Tracking Table'!$U239+20.691*'BMP P Tracking Table'!$AA239)+SQRT((3630*'BMP P Tracking Table'!$U239+20.691*'BMP P Tracking Table'!$AA239)^2-(4*(996.798*'BMP P Tracking Table'!$AA239)*-'BMP P Tracking Table'!$AB239)))/(2*(996.798*'BMP P Tracking Table'!$AA239)),IF(SUM('BMP P Tracking Table'!$W239:$Z239)=0,'BMP P Tracking Table'!$AB239/(-3630*'BMP P Tracking Table'!$U239),(-(3630*'BMP P Tracking Table'!$U239+20.691*'BMP P Tracking Table'!$Z239-216.711*'BMP P Tracking Table'!$Y239-83.853*'BMP P Tracking Table'!$X239-42.834*'BMP P Tracking Table'!$W239)+SQRT((3630*'BMP P Tracking Table'!$U239+20.691*'BMP P Tracking Table'!$Z239-216.711*'BMP P Tracking Table'!$Y239-83.853*'BMP P Tracking Table'!$X239-42.834*'BMP P Tracking Table'!$W239)^2-(4*(149.919*'BMP P Tracking Table'!$W239+236.676*'BMP P Tracking Table'!$X239+726*'BMP P Tracking Table'!$Y239+996.798*'BMP P Tracking Table'!$Z239)*-'BMP P Tracking Table'!$AB239)))/(2*(149.919*'BMP P Tracking Table'!$W239+236.676*'BMP P Tracking Table'!$X239+726*'BMP P Tracking Table'!$Y239+996.798*'BMP P Tracking Table'!$Z239))))),"")</f>
        <v/>
      </c>
      <c r="AF239" s="101" t="str">
        <f>IFERROR((VLOOKUP(CONCATENATE('BMP P Tracking Table'!$T239," ",'BMP P Tracking Table'!$AC239),'Performance Curves'!$C$1:$L$45,MATCH('BMP P Tracking Table'!$AE239,'Performance Curves'!$E$1:$L$1,1)+2,FALSE)-VLOOKUP(CONCATENATE('BMP P Tracking Table'!$T239," ",'BMP P Tracking Table'!$AC239),'Performance Curves'!$C$1:$L$45,MATCH('BMP P Tracking Table'!$AE239,'Performance Curves'!$E$1:$L$1,1)+1,FALSE)),"")</f>
        <v/>
      </c>
      <c r="AG239" s="101" t="str">
        <f>IFERROR(('BMP P Tracking Table'!$AE239-INDEX('Performance Curves'!$E$1:$L$1,1,MATCH('BMP P Tracking Table'!$AE239,'Performance Curves'!$E$1:$L$1,1)))/(INDEX('Performance Curves'!$E$1:$L$1,1,MATCH('BMP P Tracking Table'!$AE239,'Performance Curves'!$E$1:$L$1,1)+1)-INDEX('Performance Curves'!$E$1:$L$1,1,MATCH('BMP P Tracking Table'!$AE239,'Performance Curves'!$E$1:$L$1,1))),"")</f>
        <v/>
      </c>
      <c r="AH239" s="102" t="str">
        <f>IFERROR(IF('BMP P Tracking Table'!$AE239=2,VLOOKUP(CONCATENATE('BMP P Tracking Table'!$T239," ",'BMP P Tracking Table'!$AC239),'Performance Curves'!$C$1:$L$45,MATCH('BMP P Tracking Table'!$AE239,'Performance Curves'!$E$1:$L$1,1)+1,FALSE),'BMP P Tracking Table'!$AF239*'BMP P Tracking Table'!$AG239+VLOOKUP(CONCATENATE('BMP P Tracking Table'!$T239," ",'BMP P Tracking Table'!$AC239),'Performance Curves'!$C$1:$L$45,MATCH('BMP P Tracking Table'!$AE239,'Performance Curves'!$E$1:$L$1,1)+1,FALSE)),"")</f>
        <v/>
      </c>
      <c r="AI239" s="101" t="str">
        <f>IFERROR('BMP P Tracking Table'!$AH239*'BMP P Tracking Table'!$AD239,"")</f>
        <v/>
      </c>
      <c r="AJ239" s="64"/>
      <c r="AK239" s="96"/>
      <c r="AL239" s="96"/>
      <c r="AM239" s="63"/>
      <c r="AN239" s="99" t="str">
        <f t="shared" si="18"/>
        <v/>
      </c>
      <c r="AO239" s="96"/>
      <c r="AP239" s="96"/>
      <c r="AQ239" s="96"/>
      <c r="AR239" s="96"/>
      <c r="AS239" s="96"/>
      <c r="AT239" s="96"/>
      <c r="AU239" s="96"/>
      <c r="AV239" s="64"/>
      <c r="AW239" s="97"/>
      <c r="AX239" s="97"/>
      <c r="AY239" s="101" t="str">
        <f>IF('BMP P Tracking Table'!$AK239="Yes",IF('BMP P Tracking Table'!$AL239="No",'BMP P Tracking Table'!$U239*VLOOKUP('BMP P Tracking Table'!$Q239,'Loading Rates'!$B$1:$L$24,4,FALSE)+IF('BMP P Tracking Table'!$V239="By HSG",'BMP P Tracking Table'!$W239*VLOOKUP('BMP P Tracking Table'!$Q239,'Loading Rates'!$B$1:$L$24,6,FALSE)+'BMP P Tracking Table'!$X239*VLOOKUP('BMP P Tracking Table'!$Q239,'Loading Rates'!$B$1:$L$24,7,FALSE)+'BMP P Tracking Table'!$Y239*VLOOKUP('BMP P Tracking Table'!$Q239,'Loading Rates'!$B$1:$L$24,8,FALSE)+'BMP P Tracking Table'!$Z239*VLOOKUP('BMP P Tracking Table'!$Q239,'Loading Rates'!$B$1:$L$24,9,FALSE),'BMP P Tracking Table'!$AA239*VLOOKUP('BMP P Tracking Table'!$Q239,'Loading Rates'!$B$1:$L$24,10,FALSE)),'BMP P Tracking Table'!$AO239*VLOOKUP('BMP P Tracking Table'!$Q239,'Loading Rates'!$B$1:$L$24,4,FALSE)+IF('BMP P Tracking Table'!$AP239="By HSG",'BMP P Tracking Table'!$AQ239*VLOOKUP('BMP P Tracking Table'!$Q239,'Loading Rates'!$B$1:$L$24,6,FALSE)+'BMP P Tracking Table'!$AR239*VLOOKUP('BMP P Tracking Table'!$Q239,'Loading Rates'!$B$1:$L$24,7,FALSE)+'BMP P Tracking Table'!$AS239*VLOOKUP('BMP P Tracking Table'!$Q239,'Loading Rates'!$B$1:$L$24,8,FALSE)+'BMP P Tracking Table'!$AT239*VLOOKUP('BMP P Tracking Table'!$Q239,'Loading Rates'!$B$1:$L$24,9,FALSE),'BMP P Tracking Table'!$AU239*VLOOKUP('BMP P Tracking Table'!$Q239,'Loading Rates'!$B$1:$L$24,10,FALSE))),"")</f>
        <v/>
      </c>
      <c r="AZ239" s="101" t="str">
        <f>IFERROR(IF('BMP P Tracking Table'!$AL239="Yes",MIN(2,IF('BMP P Tracking Table'!$AP239="Total Pervious",(-(3630*'BMP P Tracking Table'!$AO239+20.691*'BMP P Tracking Table'!$AU239)+SQRT((3630*'BMP P Tracking Table'!$AO239+20.691*'BMP P Tracking Table'!$AU239)^2-(4*(996.798*'BMP P Tracking Table'!$AU239)*-'BMP P Tracking Table'!$AW239)))/(2*(996.798*'BMP P Tracking Table'!$AU239)),IF(SUM('BMP P Tracking Table'!$AQ239:$AT239)=0,'BMP P Tracking Table'!$AU239/(-3630*'BMP P Tracking Table'!$AO239),(-(3630*'BMP P Tracking Table'!$AO239+20.691*'BMP P Tracking Table'!$AT239-216.711*'BMP P Tracking Table'!$AS239-83.853*'BMP P Tracking Table'!$AR239-42.834*'BMP P Tracking Table'!$AQ239)+SQRT((3630*'BMP P Tracking Table'!$AO239+20.691*'BMP P Tracking Table'!$AT239-216.711*'BMP P Tracking Table'!$AS239-83.853*'BMP P Tracking Table'!$AR239-42.834*'BMP P Tracking Table'!$AQ239)^2-(4*(149.919*'BMP P Tracking Table'!$AQ239+236.676*'BMP P Tracking Table'!$AR239+726*'BMP P Tracking Table'!$AS239+996.798*'BMP P Tracking Table'!$AT239)*-'BMP P Tracking Table'!$AW239)))/(2*(149.919*'BMP P Tracking Table'!$AQ239+236.676*'BMP P Tracking Table'!$AR239+726*'BMP P Tracking Table'!$AS239+996.798*'BMP P Tracking Table'!$AT239))))),MIN(2,IF('BMP P Tracking Table'!$AP239="Total Pervious",(-(3630*'BMP P Tracking Table'!$U239+20.691*'BMP P Tracking Table'!$AA239)+SQRT((3630*'BMP P Tracking Table'!$U239+20.691*'BMP P Tracking Table'!$AA239)^2-(4*(996.798*'BMP P Tracking Table'!$AA239)*-'BMP P Tracking Table'!$AW239)))/(2*(996.798*'BMP P Tracking Table'!$AA239)),IF(SUM('BMP P Tracking Table'!$W239:$Z239)=0,'BMP P Tracking Table'!$AW239/(-3630*'BMP P Tracking Table'!$U239),(-(3630*'BMP P Tracking Table'!$U239+20.691*'BMP P Tracking Table'!$Z239-216.711*'BMP P Tracking Table'!$Y239-83.853*'BMP P Tracking Table'!$X239-42.834*'BMP P Tracking Table'!$W239)+SQRT((3630*'BMP P Tracking Table'!$U239+20.691*'BMP P Tracking Table'!$Z239-216.711*'BMP P Tracking Table'!$Y239-83.853*'BMP P Tracking Table'!$X239-42.834*'BMP P Tracking Table'!$W239)^2-(4*(149.919*'BMP P Tracking Table'!$W239+236.676*'BMP P Tracking Table'!$X239+726*'BMP P Tracking Table'!$Y239+996.798*'BMP P Tracking Table'!$Z239)*-'BMP P Tracking Table'!$AW239)))/(2*(149.919*'BMP P Tracking Table'!$W239+236.676*'BMP P Tracking Table'!$X239+726*'BMP P Tracking Table'!$Y239+996.798*'BMP P Tracking Table'!$Z239)))))),"")</f>
        <v/>
      </c>
      <c r="BA239" s="101" t="str">
        <f>IFERROR((VLOOKUP(CONCATENATE('BMP P Tracking Table'!$AV239," ",'BMP P Tracking Table'!$AX239),'Performance Curves'!$C$1:$L$45,MATCH('BMP P Tracking Table'!$AZ239,'Performance Curves'!$E$1:$L$1,1)+2,FALSE)-VLOOKUP(CONCATENATE('BMP P Tracking Table'!$AV239," ",'BMP P Tracking Table'!$AX239),'Performance Curves'!$C$1:$L$45,MATCH('BMP P Tracking Table'!$AZ239,'Performance Curves'!$E$1:$L$1,1)+1,FALSE)),"")</f>
        <v/>
      </c>
      <c r="BB239" s="101" t="str">
        <f>IFERROR(('BMP P Tracking Table'!$AZ239-INDEX('Performance Curves'!$E$1:$L$1,1,MATCH('BMP P Tracking Table'!$AZ239,'Performance Curves'!$E$1:$L$1,1)))/(INDEX('Performance Curves'!$E$1:$L$1,1,MATCH('BMP P Tracking Table'!$AZ239,'Performance Curves'!$E$1:$L$1,1)+1)-INDEX('Performance Curves'!$E$1:$L$1,1,MATCH('BMP P Tracking Table'!$AZ239,'Performance Curves'!$E$1:$L$1,1))),"")</f>
        <v/>
      </c>
      <c r="BC239" s="102" t="str">
        <f>IFERROR(IF('BMP P Tracking Table'!$AZ239=2,VLOOKUP(CONCATENATE('BMP P Tracking Table'!$AV239," ",'BMP P Tracking Table'!$AX239),'Performance Curves'!$C$1:$L$44,MATCH('BMP P Tracking Table'!$AZ239,'Performance Curves'!$E$1:$L$1,1)+1,FALSE),'BMP P Tracking Table'!$BA239*'BMP P Tracking Table'!$BB239+VLOOKUP(CONCATENATE('BMP P Tracking Table'!$AV239," ",'BMP P Tracking Table'!$AX239),'Performance Curves'!$C$1:$L$44,MATCH('BMP P Tracking Table'!$AZ239,'Performance Curves'!$E$1:$L$1,1)+1,FALSE)),"")</f>
        <v/>
      </c>
      <c r="BD239" s="101" t="str">
        <f>IFERROR('BMP P Tracking Table'!$BC239*'BMP P Tracking Table'!$AY239,"")</f>
        <v/>
      </c>
      <c r="BE239" s="96"/>
      <c r="BF239" s="37">
        <f t="shared" si="19"/>
        <v>0</v>
      </c>
    </row>
    <row r="240" spans="1:58" x14ac:dyDescent="0.3">
      <c r="A240" s="64"/>
      <c r="B240" s="64"/>
      <c r="C240" s="64"/>
      <c r="D240" s="64"/>
      <c r="E240" s="93"/>
      <c r="F240" s="93"/>
      <c r="G240" s="64"/>
      <c r="H240" s="64"/>
      <c r="I240" s="64"/>
      <c r="J240" s="94"/>
      <c r="K240" s="64"/>
      <c r="L240" s="64"/>
      <c r="M240" s="64"/>
      <c r="N240" s="64"/>
      <c r="O240" s="64"/>
      <c r="P240" s="64"/>
      <c r="Q240" s="64" t="str">
        <f>IFERROR(VLOOKUP('BMP P Tracking Table'!$P240,Dropdowns!$C$2:$E$15,3,FALSE),"")</f>
        <v/>
      </c>
      <c r="R240" s="64" t="str">
        <f>IFERROR(VLOOKUP('BMP P Tracking Table'!$Q240,Dropdowns!$P$3:$Q$23,2,FALSE),"")</f>
        <v/>
      </c>
      <c r="S240" s="64"/>
      <c r="T240" s="64"/>
      <c r="U240" s="64"/>
      <c r="V240" s="64"/>
      <c r="W240" s="64"/>
      <c r="X240" s="64"/>
      <c r="Y240" s="64"/>
      <c r="Z240" s="64"/>
      <c r="AA240" s="64"/>
      <c r="AB240" s="95"/>
      <c r="AC240" s="64"/>
      <c r="AD240" s="101" t="str">
        <f>IFERROR('BMP P Tracking Table'!$U240*VLOOKUP('BMP P Tracking Table'!$Q240,'Loading Rates'!$B$1:$L$24,4,FALSE)+IF('BMP P Tracking Table'!$V240="By HSG",'BMP P Tracking Table'!$W240*VLOOKUP('BMP P Tracking Table'!$Q240,'Loading Rates'!$B$1:$L$24,6,FALSE)+'BMP P Tracking Table'!$X240*VLOOKUP('BMP P Tracking Table'!$Q240,'Loading Rates'!$B$1:$L$24,7,FALSE)+'BMP P Tracking Table'!$Y240*VLOOKUP('BMP P Tracking Table'!$Q240,'Loading Rates'!$B$1:$L$24,8,FALSE)+'BMP P Tracking Table'!$Z240*VLOOKUP('BMP P Tracking Table'!$Q240,'Loading Rates'!$B$1:$L$24,9,FALSE),'BMP P Tracking Table'!$AA240*VLOOKUP('BMP P Tracking Table'!$Q240,'Loading Rates'!$B$1:$L$24,10,FALSE)),"")</f>
        <v/>
      </c>
      <c r="AE240" s="101" t="str">
        <f>IFERROR(MIN(2,IF('BMP P Tracking Table'!$V240="Total Pervious",(-(3630*'BMP P Tracking Table'!$U240+20.691*'BMP P Tracking Table'!$AA240)+SQRT((3630*'BMP P Tracking Table'!$U240+20.691*'BMP P Tracking Table'!$AA240)^2-(4*(996.798*'BMP P Tracking Table'!$AA240)*-'BMP P Tracking Table'!$AB240)))/(2*(996.798*'BMP P Tracking Table'!$AA240)),IF(SUM('BMP P Tracking Table'!$W240:$Z240)=0,'BMP P Tracking Table'!$AB240/(-3630*'BMP P Tracking Table'!$U240),(-(3630*'BMP P Tracking Table'!$U240+20.691*'BMP P Tracking Table'!$Z240-216.711*'BMP P Tracking Table'!$Y240-83.853*'BMP P Tracking Table'!$X240-42.834*'BMP P Tracking Table'!$W240)+SQRT((3630*'BMP P Tracking Table'!$U240+20.691*'BMP P Tracking Table'!$Z240-216.711*'BMP P Tracking Table'!$Y240-83.853*'BMP P Tracking Table'!$X240-42.834*'BMP P Tracking Table'!$W240)^2-(4*(149.919*'BMP P Tracking Table'!$W240+236.676*'BMP P Tracking Table'!$X240+726*'BMP P Tracking Table'!$Y240+996.798*'BMP P Tracking Table'!$Z240)*-'BMP P Tracking Table'!$AB240)))/(2*(149.919*'BMP P Tracking Table'!$W240+236.676*'BMP P Tracking Table'!$X240+726*'BMP P Tracking Table'!$Y240+996.798*'BMP P Tracking Table'!$Z240))))),"")</f>
        <v/>
      </c>
      <c r="AF240" s="101" t="str">
        <f>IFERROR((VLOOKUP(CONCATENATE('BMP P Tracking Table'!$T240," ",'BMP P Tracking Table'!$AC240),'Performance Curves'!$C$1:$L$45,MATCH('BMP P Tracking Table'!$AE240,'Performance Curves'!$E$1:$L$1,1)+2,FALSE)-VLOOKUP(CONCATENATE('BMP P Tracking Table'!$T240," ",'BMP P Tracking Table'!$AC240),'Performance Curves'!$C$1:$L$45,MATCH('BMP P Tracking Table'!$AE240,'Performance Curves'!$E$1:$L$1,1)+1,FALSE)),"")</f>
        <v/>
      </c>
      <c r="AG240" s="101" t="str">
        <f>IFERROR(('BMP P Tracking Table'!$AE240-INDEX('Performance Curves'!$E$1:$L$1,1,MATCH('BMP P Tracking Table'!$AE240,'Performance Curves'!$E$1:$L$1,1)))/(INDEX('Performance Curves'!$E$1:$L$1,1,MATCH('BMP P Tracking Table'!$AE240,'Performance Curves'!$E$1:$L$1,1)+1)-INDEX('Performance Curves'!$E$1:$L$1,1,MATCH('BMP P Tracking Table'!$AE240,'Performance Curves'!$E$1:$L$1,1))),"")</f>
        <v/>
      </c>
      <c r="AH240" s="102" t="str">
        <f>IFERROR(IF('BMP P Tracking Table'!$AE240=2,VLOOKUP(CONCATENATE('BMP P Tracking Table'!$T240," ",'BMP P Tracking Table'!$AC240),'Performance Curves'!$C$1:$L$45,MATCH('BMP P Tracking Table'!$AE240,'Performance Curves'!$E$1:$L$1,1)+1,FALSE),'BMP P Tracking Table'!$AF240*'BMP P Tracking Table'!$AG240+VLOOKUP(CONCATENATE('BMP P Tracking Table'!$T240," ",'BMP P Tracking Table'!$AC240),'Performance Curves'!$C$1:$L$45,MATCH('BMP P Tracking Table'!$AE240,'Performance Curves'!$E$1:$L$1,1)+1,FALSE)),"")</f>
        <v/>
      </c>
      <c r="AI240" s="101" t="str">
        <f>IFERROR('BMP P Tracking Table'!$AH240*'BMP P Tracking Table'!$AD240,"")</f>
        <v/>
      </c>
      <c r="AJ240" s="64"/>
      <c r="AK240" s="96"/>
      <c r="AL240" s="96"/>
      <c r="AM240" s="63"/>
      <c r="AN240" s="99" t="str">
        <f t="shared" si="18"/>
        <v/>
      </c>
      <c r="AO240" s="96"/>
      <c r="AP240" s="96"/>
      <c r="AQ240" s="96"/>
      <c r="AR240" s="96"/>
      <c r="AS240" s="96"/>
      <c r="AT240" s="96"/>
      <c r="AU240" s="96"/>
      <c r="AV240" s="64"/>
      <c r="AW240" s="97"/>
      <c r="AX240" s="97"/>
      <c r="AY240" s="101" t="str">
        <f>IF('BMP P Tracking Table'!$AK240="Yes",IF('BMP P Tracking Table'!$AL240="No",'BMP P Tracking Table'!$U240*VLOOKUP('BMP P Tracking Table'!$Q240,'Loading Rates'!$B$1:$L$24,4,FALSE)+IF('BMP P Tracking Table'!$V240="By HSG",'BMP P Tracking Table'!$W240*VLOOKUP('BMP P Tracking Table'!$Q240,'Loading Rates'!$B$1:$L$24,6,FALSE)+'BMP P Tracking Table'!$X240*VLOOKUP('BMP P Tracking Table'!$Q240,'Loading Rates'!$B$1:$L$24,7,FALSE)+'BMP P Tracking Table'!$Y240*VLOOKUP('BMP P Tracking Table'!$Q240,'Loading Rates'!$B$1:$L$24,8,FALSE)+'BMP P Tracking Table'!$Z240*VLOOKUP('BMP P Tracking Table'!$Q240,'Loading Rates'!$B$1:$L$24,9,FALSE),'BMP P Tracking Table'!$AA240*VLOOKUP('BMP P Tracking Table'!$Q240,'Loading Rates'!$B$1:$L$24,10,FALSE)),'BMP P Tracking Table'!$AO240*VLOOKUP('BMP P Tracking Table'!$Q240,'Loading Rates'!$B$1:$L$24,4,FALSE)+IF('BMP P Tracking Table'!$AP240="By HSG",'BMP P Tracking Table'!$AQ240*VLOOKUP('BMP P Tracking Table'!$Q240,'Loading Rates'!$B$1:$L$24,6,FALSE)+'BMP P Tracking Table'!$AR240*VLOOKUP('BMP P Tracking Table'!$Q240,'Loading Rates'!$B$1:$L$24,7,FALSE)+'BMP P Tracking Table'!$AS240*VLOOKUP('BMP P Tracking Table'!$Q240,'Loading Rates'!$B$1:$L$24,8,FALSE)+'BMP P Tracking Table'!$AT240*VLOOKUP('BMP P Tracking Table'!$Q240,'Loading Rates'!$B$1:$L$24,9,FALSE),'BMP P Tracking Table'!$AU240*VLOOKUP('BMP P Tracking Table'!$Q240,'Loading Rates'!$B$1:$L$24,10,FALSE))),"")</f>
        <v/>
      </c>
      <c r="AZ240" s="101" t="str">
        <f>IFERROR(IF('BMP P Tracking Table'!$AL240="Yes",MIN(2,IF('BMP P Tracking Table'!$AP240="Total Pervious",(-(3630*'BMP P Tracking Table'!$AO240+20.691*'BMP P Tracking Table'!$AU240)+SQRT((3630*'BMP P Tracking Table'!$AO240+20.691*'BMP P Tracking Table'!$AU240)^2-(4*(996.798*'BMP P Tracking Table'!$AU240)*-'BMP P Tracking Table'!$AW240)))/(2*(996.798*'BMP P Tracking Table'!$AU240)),IF(SUM('BMP P Tracking Table'!$AQ240:$AT240)=0,'BMP P Tracking Table'!$AU240/(-3630*'BMP P Tracking Table'!$AO240),(-(3630*'BMP P Tracking Table'!$AO240+20.691*'BMP P Tracking Table'!$AT240-216.711*'BMP P Tracking Table'!$AS240-83.853*'BMP P Tracking Table'!$AR240-42.834*'BMP P Tracking Table'!$AQ240)+SQRT((3630*'BMP P Tracking Table'!$AO240+20.691*'BMP P Tracking Table'!$AT240-216.711*'BMP P Tracking Table'!$AS240-83.853*'BMP P Tracking Table'!$AR240-42.834*'BMP P Tracking Table'!$AQ240)^2-(4*(149.919*'BMP P Tracking Table'!$AQ240+236.676*'BMP P Tracking Table'!$AR240+726*'BMP P Tracking Table'!$AS240+996.798*'BMP P Tracking Table'!$AT240)*-'BMP P Tracking Table'!$AW240)))/(2*(149.919*'BMP P Tracking Table'!$AQ240+236.676*'BMP P Tracking Table'!$AR240+726*'BMP P Tracking Table'!$AS240+996.798*'BMP P Tracking Table'!$AT240))))),MIN(2,IF('BMP P Tracking Table'!$AP240="Total Pervious",(-(3630*'BMP P Tracking Table'!$U240+20.691*'BMP P Tracking Table'!$AA240)+SQRT((3630*'BMP P Tracking Table'!$U240+20.691*'BMP P Tracking Table'!$AA240)^2-(4*(996.798*'BMP P Tracking Table'!$AA240)*-'BMP P Tracking Table'!$AW240)))/(2*(996.798*'BMP P Tracking Table'!$AA240)),IF(SUM('BMP P Tracking Table'!$W240:$Z240)=0,'BMP P Tracking Table'!$AW240/(-3630*'BMP P Tracking Table'!$U240),(-(3630*'BMP P Tracking Table'!$U240+20.691*'BMP P Tracking Table'!$Z240-216.711*'BMP P Tracking Table'!$Y240-83.853*'BMP P Tracking Table'!$X240-42.834*'BMP P Tracking Table'!$W240)+SQRT((3630*'BMP P Tracking Table'!$U240+20.691*'BMP P Tracking Table'!$Z240-216.711*'BMP P Tracking Table'!$Y240-83.853*'BMP P Tracking Table'!$X240-42.834*'BMP P Tracking Table'!$W240)^2-(4*(149.919*'BMP P Tracking Table'!$W240+236.676*'BMP P Tracking Table'!$X240+726*'BMP P Tracking Table'!$Y240+996.798*'BMP P Tracking Table'!$Z240)*-'BMP P Tracking Table'!$AW240)))/(2*(149.919*'BMP P Tracking Table'!$W240+236.676*'BMP P Tracking Table'!$X240+726*'BMP P Tracking Table'!$Y240+996.798*'BMP P Tracking Table'!$Z240)))))),"")</f>
        <v/>
      </c>
      <c r="BA240" s="101" t="str">
        <f>IFERROR((VLOOKUP(CONCATENATE('BMP P Tracking Table'!$AV240," ",'BMP P Tracking Table'!$AX240),'Performance Curves'!$C$1:$L$45,MATCH('BMP P Tracking Table'!$AZ240,'Performance Curves'!$E$1:$L$1,1)+2,FALSE)-VLOOKUP(CONCATENATE('BMP P Tracking Table'!$AV240," ",'BMP P Tracking Table'!$AX240),'Performance Curves'!$C$1:$L$45,MATCH('BMP P Tracking Table'!$AZ240,'Performance Curves'!$E$1:$L$1,1)+1,FALSE)),"")</f>
        <v/>
      </c>
      <c r="BB240" s="101" t="str">
        <f>IFERROR(('BMP P Tracking Table'!$AZ240-INDEX('Performance Curves'!$E$1:$L$1,1,MATCH('BMP P Tracking Table'!$AZ240,'Performance Curves'!$E$1:$L$1,1)))/(INDEX('Performance Curves'!$E$1:$L$1,1,MATCH('BMP P Tracking Table'!$AZ240,'Performance Curves'!$E$1:$L$1,1)+1)-INDEX('Performance Curves'!$E$1:$L$1,1,MATCH('BMP P Tracking Table'!$AZ240,'Performance Curves'!$E$1:$L$1,1))),"")</f>
        <v/>
      </c>
      <c r="BC240" s="102" t="str">
        <f>IFERROR(IF('BMP P Tracking Table'!$AZ240=2,VLOOKUP(CONCATENATE('BMP P Tracking Table'!$AV240," ",'BMP P Tracking Table'!$AX240),'Performance Curves'!$C$1:$L$44,MATCH('BMP P Tracking Table'!$AZ240,'Performance Curves'!$E$1:$L$1,1)+1,FALSE),'BMP P Tracking Table'!$BA240*'BMP P Tracking Table'!$BB240+VLOOKUP(CONCATENATE('BMP P Tracking Table'!$AV240," ",'BMP P Tracking Table'!$AX240),'Performance Curves'!$C$1:$L$44,MATCH('BMP P Tracking Table'!$AZ240,'Performance Curves'!$E$1:$L$1,1)+1,FALSE)),"")</f>
        <v/>
      </c>
      <c r="BD240" s="101" t="str">
        <f>IFERROR('BMP P Tracking Table'!$BC240*'BMP P Tracking Table'!$AY240,"")</f>
        <v/>
      </c>
      <c r="BE240" s="96"/>
      <c r="BF240" s="37">
        <f t="shared" si="19"/>
        <v>0</v>
      </c>
    </row>
    <row r="241" spans="1:58" x14ac:dyDescent="0.3">
      <c r="A241" s="64"/>
      <c r="B241" s="64"/>
      <c r="C241" s="64"/>
      <c r="D241" s="64"/>
      <c r="E241" s="93"/>
      <c r="F241" s="93"/>
      <c r="G241" s="64"/>
      <c r="H241" s="64"/>
      <c r="I241" s="64"/>
      <c r="J241" s="94"/>
      <c r="K241" s="64"/>
      <c r="L241" s="64"/>
      <c r="M241" s="64"/>
      <c r="N241" s="64"/>
      <c r="O241" s="64"/>
      <c r="P241" s="64"/>
      <c r="Q241" s="64" t="str">
        <f>IFERROR(VLOOKUP('BMP P Tracking Table'!$P241,Dropdowns!$C$2:$E$15,3,FALSE),"")</f>
        <v/>
      </c>
      <c r="R241" s="64" t="str">
        <f>IFERROR(VLOOKUP('BMP P Tracking Table'!$Q241,Dropdowns!$P$3:$Q$23,2,FALSE),"")</f>
        <v/>
      </c>
      <c r="S241" s="64"/>
      <c r="T241" s="64"/>
      <c r="U241" s="64"/>
      <c r="V241" s="64"/>
      <c r="W241" s="64"/>
      <c r="X241" s="64"/>
      <c r="Y241" s="64"/>
      <c r="Z241" s="64"/>
      <c r="AA241" s="64"/>
      <c r="AB241" s="95"/>
      <c r="AC241" s="64"/>
      <c r="AD241" s="101" t="str">
        <f>IFERROR('BMP P Tracking Table'!$U241*VLOOKUP('BMP P Tracking Table'!$Q241,'Loading Rates'!$B$1:$L$24,4,FALSE)+IF('BMP P Tracking Table'!$V241="By HSG",'BMP P Tracking Table'!$W241*VLOOKUP('BMP P Tracking Table'!$Q241,'Loading Rates'!$B$1:$L$24,6,FALSE)+'BMP P Tracking Table'!$X241*VLOOKUP('BMP P Tracking Table'!$Q241,'Loading Rates'!$B$1:$L$24,7,FALSE)+'BMP P Tracking Table'!$Y241*VLOOKUP('BMP P Tracking Table'!$Q241,'Loading Rates'!$B$1:$L$24,8,FALSE)+'BMP P Tracking Table'!$Z241*VLOOKUP('BMP P Tracking Table'!$Q241,'Loading Rates'!$B$1:$L$24,9,FALSE),'BMP P Tracking Table'!$AA241*VLOOKUP('BMP P Tracking Table'!$Q241,'Loading Rates'!$B$1:$L$24,10,FALSE)),"")</f>
        <v/>
      </c>
      <c r="AE241" s="101" t="str">
        <f>IFERROR(MIN(2,IF('BMP P Tracking Table'!$V241="Total Pervious",(-(3630*'BMP P Tracking Table'!$U241+20.691*'BMP P Tracking Table'!$AA241)+SQRT((3630*'BMP P Tracking Table'!$U241+20.691*'BMP P Tracking Table'!$AA241)^2-(4*(996.798*'BMP P Tracking Table'!$AA241)*-'BMP P Tracking Table'!$AB241)))/(2*(996.798*'BMP P Tracking Table'!$AA241)),IF(SUM('BMP P Tracking Table'!$W241:$Z241)=0,'BMP P Tracking Table'!$AB241/(-3630*'BMP P Tracking Table'!$U241),(-(3630*'BMP P Tracking Table'!$U241+20.691*'BMP P Tracking Table'!$Z241-216.711*'BMP P Tracking Table'!$Y241-83.853*'BMP P Tracking Table'!$X241-42.834*'BMP P Tracking Table'!$W241)+SQRT((3630*'BMP P Tracking Table'!$U241+20.691*'BMP P Tracking Table'!$Z241-216.711*'BMP P Tracking Table'!$Y241-83.853*'BMP P Tracking Table'!$X241-42.834*'BMP P Tracking Table'!$W241)^2-(4*(149.919*'BMP P Tracking Table'!$W241+236.676*'BMP P Tracking Table'!$X241+726*'BMP P Tracking Table'!$Y241+996.798*'BMP P Tracking Table'!$Z241)*-'BMP P Tracking Table'!$AB241)))/(2*(149.919*'BMP P Tracking Table'!$W241+236.676*'BMP P Tracking Table'!$X241+726*'BMP P Tracking Table'!$Y241+996.798*'BMP P Tracking Table'!$Z241))))),"")</f>
        <v/>
      </c>
      <c r="AF241" s="101" t="str">
        <f>IFERROR((VLOOKUP(CONCATENATE('BMP P Tracking Table'!$T241," ",'BMP P Tracking Table'!$AC241),'Performance Curves'!$C$1:$L$45,MATCH('BMP P Tracking Table'!$AE241,'Performance Curves'!$E$1:$L$1,1)+2,FALSE)-VLOOKUP(CONCATENATE('BMP P Tracking Table'!$T241," ",'BMP P Tracking Table'!$AC241),'Performance Curves'!$C$1:$L$45,MATCH('BMP P Tracking Table'!$AE241,'Performance Curves'!$E$1:$L$1,1)+1,FALSE)),"")</f>
        <v/>
      </c>
      <c r="AG241" s="101" t="str">
        <f>IFERROR(('BMP P Tracking Table'!$AE241-INDEX('Performance Curves'!$E$1:$L$1,1,MATCH('BMP P Tracking Table'!$AE241,'Performance Curves'!$E$1:$L$1,1)))/(INDEX('Performance Curves'!$E$1:$L$1,1,MATCH('BMP P Tracking Table'!$AE241,'Performance Curves'!$E$1:$L$1,1)+1)-INDEX('Performance Curves'!$E$1:$L$1,1,MATCH('BMP P Tracking Table'!$AE241,'Performance Curves'!$E$1:$L$1,1))),"")</f>
        <v/>
      </c>
      <c r="AH241" s="102" t="str">
        <f>IFERROR(IF('BMP P Tracking Table'!$AE241=2,VLOOKUP(CONCATENATE('BMP P Tracking Table'!$T241," ",'BMP P Tracking Table'!$AC241),'Performance Curves'!$C$1:$L$45,MATCH('BMP P Tracking Table'!$AE241,'Performance Curves'!$E$1:$L$1,1)+1,FALSE),'BMP P Tracking Table'!$AF241*'BMP P Tracking Table'!$AG241+VLOOKUP(CONCATENATE('BMP P Tracking Table'!$T241," ",'BMP P Tracking Table'!$AC241),'Performance Curves'!$C$1:$L$45,MATCH('BMP P Tracking Table'!$AE241,'Performance Curves'!$E$1:$L$1,1)+1,FALSE)),"")</f>
        <v/>
      </c>
      <c r="AI241" s="101" t="str">
        <f>IFERROR('BMP P Tracking Table'!$AH241*'BMP P Tracking Table'!$AD241,"")</f>
        <v/>
      </c>
      <c r="AJ241" s="64"/>
      <c r="AK241" s="96"/>
      <c r="AL241" s="96"/>
      <c r="AM241" s="63"/>
      <c r="AN241" s="99" t="str">
        <f t="shared" si="18"/>
        <v/>
      </c>
      <c r="AO241" s="96"/>
      <c r="AP241" s="96"/>
      <c r="AQ241" s="96"/>
      <c r="AR241" s="96"/>
      <c r="AS241" s="96"/>
      <c r="AT241" s="96"/>
      <c r="AU241" s="96"/>
      <c r="AV241" s="64"/>
      <c r="AW241" s="97"/>
      <c r="AX241" s="97"/>
      <c r="AY241" s="101" t="str">
        <f>IF('BMP P Tracking Table'!$AK241="Yes",IF('BMP P Tracking Table'!$AL241="No",'BMP P Tracking Table'!$U241*VLOOKUP('BMP P Tracking Table'!$Q241,'Loading Rates'!$B$1:$L$24,4,FALSE)+IF('BMP P Tracking Table'!$V241="By HSG",'BMP P Tracking Table'!$W241*VLOOKUP('BMP P Tracking Table'!$Q241,'Loading Rates'!$B$1:$L$24,6,FALSE)+'BMP P Tracking Table'!$X241*VLOOKUP('BMP P Tracking Table'!$Q241,'Loading Rates'!$B$1:$L$24,7,FALSE)+'BMP P Tracking Table'!$Y241*VLOOKUP('BMP P Tracking Table'!$Q241,'Loading Rates'!$B$1:$L$24,8,FALSE)+'BMP P Tracking Table'!$Z241*VLOOKUP('BMP P Tracking Table'!$Q241,'Loading Rates'!$B$1:$L$24,9,FALSE),'BMP P Tracking Table'!$AA241*VLOOKUP('BMP P Tracking Table'!$Q241,'Loading Rates'!$B$1:$L$24,10,FALSE)),'BMP P Tracking Table'!$AO241*VLOOKUP('BMP P Tracking Table'!$Q241,'Loading Rates'!$B$1:$L$24,4,FALSE)+IF('BMP P Tracking Table'!$AP241="By HSG",'BMP P Tracking Table'!$AQ241*VLOOKUP('BMP P Tracking Table'!$Q241,'Loading Rates'!$B$1:$L$24,6,FALSE)+'BMP P Tracking Table'!$AR241*VLOOKUP('BMP P Tracking Table'!$Q241,'Loading Rates'!$B$1:$L$24,7,FALSE)+'BMP P Tracking Table'!$AS241*VLOOKUP('BMP P Tracking Table'!$Q241,'Loading Rates'!$B$1:$L$24,8,FALSE)+'BMP P Tracking Table'!$AT241*VLOOKUP('BMP P Tracking Table'!$Q241,'Loading Rates'!$B$1:$L$24,9,FALSE),'BMP P Tracking Table'!$AU241*VLOOKUP('BMP P Tracking Table'!$Q241,'Loading Rates'!$B$1:$L$24,10,FALSE))),"")</f>
        <v/>
      </c>
      <c r="AZ241" s="101" t="str">
        <f>IFERROR(IF('BMP P Tracking Table'!$AL241="Yes",MIN(2,IF('BMP P Tracking Table'!$AP241="Total Pervious",(-(3630*'BMP P Tracking Table'!$AO241+20.691*'BMP P Tracking Table'!$AU241)+SQRT((3630*'BMP P Tracking Table'!$AO241+20.691*'BMP P Tracking Table'!$AU241)^2-(4*(996.798*'BMP P Tracking Table'!$AU241)*-'BMP P Tracking Table'!$AW241)))/(2*(996.798*'BMP P Tracking Table'!$AU241)),IF(SUM('BMP P Tracking Table'!$AQ241:$AT241)=0,'BMP P Tracking Table'!$AU241/(-3630*'BMP P Tracking Table'!$AO241),(-(3630*'BMP P Tracking Table'!$AO241+20.691*'BMP P Tracking Table'!$AT241-216.711*'BMP P Tracking Table'!$AS241-83.853*'BMP P Tracking Table'!$AR241-42.834*'BMP P Tracking Table'!$AQ241)+SQRT((3630*'BMP P Tracking Table'!$AO241+20.691*'BMP P Tracking Table'!$AT241-216.711*'BMP P Tracking Table'!$AS241-83.853*'BMP P Tracking Table'!$AR241-42.834*'BMP P Tracking Table'!$AQ241)^2-(4*(149.919*'BMP P Tracking Table'!$AQ241+236.676*'BMP P Tracking Table'!$AR241+726*'BMP P Tracking Table'!$AS241+996.798*'BMP P Tracking Table'!$AT241)*-'BMP P Tracking Table'!$AW241)))/(2*(149.919*'BMP P Tracking Table'!$AQ241+236.676*'BMP P Tracking Table'!$AR241+726*'BMP P Tracking Table'!$AS241+996.798*'BMP P Tracking Table'!$AT241))))),MIN(2,IF('BMP P Tracking Table'!$AP241="Total Pervious",(-(3630*'BMP P Tracking Table'!$U241+20.691*'BMP P Tracking Table'!$AA241)+SQRT((3630*'BMP P Tracking Table'!$U241+20.691*'BMP P Tracking Table'!$AA241)^2-(4*(996.798*'BMP P Tracking Table'!$AA241)*-'BMP P Tracking Table'!$AW241)))/(2*(996.798*'BMP P Tracking Table'!$AA241)),IF(SUM('BMP P Tracking Table'!$W241:$Z241)=0,'BMP P Tracking Table'!$AW241/(-3630*'BMP P Tracking Table'!$U241),(-(3630*'BMP P Tracking Table'!$U241+20.691*'BMP P Tracking Table'!$Z241-216.711*'BMP P Tracking Table'!$Y241-83.853*'BMP P Tracking Table'!$X241-42.834*'BMP P Tracking Table'!$W241)+SQRT((3630*'BMP P Tracking Table'!$U241+20.691*'BMP P Tracking Table'!$Z241-216.711*'BMP P Tracking Table'!$Y241-83.853*'BMP P Tracking Table'!$X241-42.834*'BMP P Tracking Table'!$W241)^2-(4*(149.919*'BMP P Tracking Table'!$W241+236.676*'BMP P Tracking Table'!$X241+726*'BMP P Tracking Table'!$Y241+996.798*'BMP P Tracking Table'!$Z241)*-'BMP P Tracking Table'!$AW241)))/(2*(149.919*'BMP P Tracking Table'!$W241+236.676*'BMP P Tracking Table'!$X241+726*'BMP P Tracking Table'!$Y241+996.798*'BMP P Tracking Table'!$Z241)))))),"")</f>
        <v/>
      </c>
      <c r="BA241" s="101" t="str">
        <f>IFERROR((VLOOKUP(CONCATENATE('BMP P Tracking Table'!$AV241," ",'BMP P Tracking Table'!$AX241),'Performance Curves'!$C$1:$L$45,MATCH('BMP P Tracking Table'!$AZ241,'Performance Curves'!$E$1:$L$1,1)+2,FALSE)-VLOOKUP(CONCATENATE('BMP P Tracking Table'!$AV241," ",'BMP P Tracking Table'!$AX241),'Performance Curves'!$C$1:$L$45,MATCH('BMP P Tracking Table'!$AZ241,'Performance Curves'!$E$1:$L$1,1)+1,FALSE)),"")</f>
        <v/>
      </c>
      <c r="BB241" s="101" t="str">
        <f>IFERROR(('BMP P Tracking Table'!$AZ241-INDEX('Performance Curves'!$E$1:$L$1,1,MATCH('BMP P Tracking Table'!$AZ241,'Performance Curves'!$E$1:$L$1,1)))/(INDEX('Performance Curves'!$E$1:$L$1,1,MATCH('BMP P Tracking Table'!$AZ241,'Performance Curves'!$E$1:$L$1,1)+1)-INDEX('Performance Curves'!$E$1:$L$1,1,MATCH('BMP P Tracking Table'!$AZ241,'Performance Curves'!$E$1:$L$1,1))),"")</f>
        <v/>
      </c>
      <c r="BC241" s="102" t="str">
        <f>IFERROR(IF('BMP P Tracking Table'!$AZ241=2,VLOOKUP(CONCATENATE('BMP P Tracking Table'!$AV241," ",'BMP P Tracking Table'!$AX241),'Performance Curves'!$C$1:$L$44,MATCH('BMP P Tracking Table'!$AZ241,'Performance Curves'!$E$1:$L$1,1)+1,FALSE),'BMP P Tracking Table'!$BA241*'BMP P Tracking Table'!$BB241+VLOOKUP(CONCATENATE('BMP P Tracking Table'!$AV241," ",'BMP P Tracking Table'!$AX241),'Performance Curves'!$C$1:$L$44,MATCH('BMP P Tracking Table'!$AZ241,'Performance Curves'!$E$1:$L$1,1)+1,FALSE)),"")</f>
        <v/>
      </c>
      <c r="BD241" s="101" t="str">
        <f>IFERROR('BMP P Tracking Table'!$BC241*'BMP P Tracking Table'!$AY241,"")</f>
        <v/>
      </c>
      <c r="BE241" s="96"/>
      <c r="BF241" s="37">
        <f t="shared" si="19"/>
        <v>0</v>
      </c>
    </row>
    <row r="242" spans="1:58" x14ac:dyDescent="0.3">
      <c r="A242" s="64"/>
      <c r="B242" s="64"/>
      <c r="C242" s="64"/>
      <c r="D242" s="64"/>
      <c r="E242" s="93"/>
      <c r="F242" s="93"/>
      <c r="G242" s="64"/>
      <c r="H242" s="64"/>
      <c r="I242" s="64"/>
      <c r="J242" s="94"/>
      <c r="K242" s="64"/>
      <c r="L242" s="64"/>
      <c r="M242" s="64"/>
      <c r="N242" s="64"/>
      <c r="O242" s="64"/>
      <c r="P242" s="64"/>
      <c r="Q242" s="64" t="str">
        <f>IFERROR(VLOOKUP('BMP P Tracking Table'!$P242,Dropdowns!$C$2:$E$15,3,FALSE),"")</f>
        <v/>
      </c>
      <c r="R242" s="64" t="str">
        <f>IFERROR(VLOOKUP('BMP P Tracking Table'!$Q242,Dropdowns!$P$3:$Q$23,2,FALSE),"")</f>
        <v/>
      </c>
      <c r="S242" s="64"/>
      <c r="T242" s="64"/>
      <c r="U242" s="64"/>
      <c r="V242" s="64"/>
      <c r="W242" s="64"/>
      <c r="X242" s="64"/>
      <c r="Y242" s="64"/>
      <c r="Z242" s="64"/>
      <c r="AA242" s="64"/>
      <c r="AB242" s="95"/>
      <c r="AC242" s="64"/>
      <c r="AD242" s="101" t="str">
        <f>IFERROR('BMP P Tracking Table'!$U242*VLOOKUP('BMP P Tracking Table'!$Q242,'Loading Rates'!$B$1:$L$24,4,FALSE)+IF('BMP P Tracking Table'!$V242="By HSG",'BMP P Tracking Table'!$W242*VLOOKUP('BMP P Tracking Table'!$Q242,'Loading Rates'!$B$1:$L$24,6,FALSE)+'BMP P Tracking Table'!$X242*VLOOKUP('BMP P Tracking Table'!$Q242,'Loading Rates'!$B$1:$L$24,7,FALSE)+'BMP P Tracking Table'!$Y242*VLOOKUP('BMP P Tracking Table'!$Q242,'Loading Rates'!$B$1:$L$24,8,FALSE)+'BMP P Tracking Table'!$Z242*VLOOKUP('BMP P Tracking Table'!$Q242,'Loading Rates'!$B$1:$L$24,9,FALSE),'BMP P Tracking Table'!$AA242*VLOOKUP('BMP P Tracking Table'!$Q242,'Loading Rates'!$B$1:$L$24,10,FALSE)),"")</f>
        <v/>
      </c>
      <c r="AE242" s="101" t="str">
        <f>IFERROR(MIN(2,IF('BMP P Tracking Table'!$V242="Total Pervious",(-(3630*'BMP P Tracking Table'!$U242+20.691*'BMP P Tracking Table'!$AA242)+SQRT((3630*'BMP P Tracking Table'!$U242+20.691*'BMP P Tracking Table'!$AA242)^2-(4*(996.798*'BMP P Tracking Table'!$AA242)*-'BMP P Tracking Table'!$AB242)))/(2*(996.798*'BMP P Tracking Table'!$AA242)),IF(SUM('BMP P Tracking Table'!$W242:$Z242)=0,'BMP P Tracking Table'!$AB242/(-3630*'BMP P Tracking Table'!$U242),(-(3630*'BMP P Tracking Table'!$U242+20.691*'BMP P Tracking Table'!$Z242-216.711*'BMP P Tracking Table'!$Y242-83.853*'BMP P Tracking Table'!$X242-42.834*'BMP P Tracking Table'!$W242)+SQRT((3630*'BMP P Tracking Table'!$U242+20.691*'BMP P Tracking Table'!$Z242-216.711*'BMP P Tracking Table'!$Y242-83.853*'BMP P Tracking Table'!$X242-42.834*'BMP P Tracking Table'!$W242)^2-(4*(149.919*'BMP P Tracking Table'!$W242+236.676*'BMP P Tracking Table'!$X242+726*'BMP P Tracking Table'!$Y242+996.798*'BMP P Tracking Table'!$Z242)*-'BMP P Tracking Table'!$AB242)))/(2*(149.919*'BMP P Tracking Table'!$W242+236.676*'BMP P Tracking Table'!$X242+726*'BMP P Tracking Table'!$Y242+996.798*'BMP P Tracking Table'!$Z242))))),"")</f>
        <v/>
      </c>
      <c r="AF242" s="101" t="str">
        <f>IFERROR((VLOOKUP(CONCATENATE('BMP P Tracking Table'!$T242," ",'BMP P Tracking Table'!$AC242),'Performance Curves'!$C$1:$L$45,MATCH('BMP P Tracking Table'!$AE242,'Performance Curves'!$E$1:$L$1,1)+2,FALSE)-VLOOKUP(CONCATENATE('BMP P Tracking Table'!$T242," ",'BMP P Tracking Table'!$AC242),'Performance Curves'!$C$1:$L$45,MATCH('BMP P Tracking Table'!$AE242,'Performance Curves'!$E$1:$L$1,1)+1,FALSE)),"")</f>
        <v/>
      </c>
      <c r="AG242" s="101" t="str">
        <f>IFERROR(('BMP P Tracking Table'!$AE242-INDEX('Performance Curves'!$E$1:$L$1,1,MATCH('BMP P Tracking Table'!$AE242,'Performance Curves'!$E$1:$L$1,1)))/(INDEX('Performance Curves'!$E$1:$L$1,1,MATCH('BMP P Tracking Table'!$AE242,'Performance Curves'!$E$1:$L$1,1)+1)-INDEX('Performance Curves'!$E$1:$L$1,1,MATCH('BMP P Tracking Table'!$AE242,'Performance Curves'!$E$1:$L$1,1))),"")</f>
        <v/>
      </c>
      <c r="AH242" s="102" t="str">
        <f>IFERROR(IF('BMP P Tracking Table'!$AE242=2,VLOOKUP(CONCATENATE('BMP P Tracking Table'!$T242," ",'BMP P Tracking Table'!$AC242),'Performance Curves'!$C$1:$L$45,MATCH('BMP P Tracking Table'!$AE242,'Performance Curves'!$E$1:$L$1,1)+1,FALSE),'BMP P Tracking Table'!$AF242*'BMP P Tracking Table'!$AG242+VLOOKUP(CONCATENATE('BMP P Tracking Table'!$T242," ",'BMP P Tracking Table'!$AC242),'Performance Curves'!$C$1:$L$45,MATCH('BMP P Tracking Table'!$AE242,'Performance Curves'!$E$1:$L$1,1)+1,FALSE)),"")</f>
        <v/>
      </c>
      <c r="AI242" s="101" t="str">
        <f>IFERROR('BMP P Tracking Table'!$AH242*'BMP P Tracking Table'!$AD242,"")</f>
        <v/>
      </c>
      <c r="AJ242" s="64"/>
      <c r="AK242" s="96"/>
      <c r="AL242" s="96"/>
      <c r="AM242" s="63"/>
      <c r="AN242" s="99" t="str">
        <f t="shared" si="18"/>
        <v/>
      </c>
      <c r="AO242" s="96"/>
      <c r="AP242" s="96"/>
      <c r="AQ242" s="96"/>
      <c r="AR242" s="96"/>
      <c r="AS242" s="96"/>
      <c r="AT242" s="96"/>
      <c r="AU242" s="96"/>
      <c r="AV242" s="64"/>
      <c r="AW242" s="97"/>
      <c r="AX242" s="97"/>
      <c r="AY242" s="101" t="str">
        <f>IF('BMP P Tracking Table'!$AK242="Yes",IF('BMP P Tracking Table'!$AL242="No",'BMP P Tracking Table'!$U242*VLOOKUP('BMP P Tracking Table'!$Q242,'Loading Rates'!$B$1:$L$24,4,FALSE)+IF('BMP P Tracking Table'!$V242="By HSG",'BMP P Tracking Table'!$W242*VLOOKUP('BMP P Tracking Table'!$Q242,'Loading Rates'!$B$1:$L$24,6,FALSE)+'BMP P Tracking Table'!$X242*VLOOKUP('BMP P Tracking Table'!$Q242,'Loading Rates'!$B$1:$L$24,7,FALSE)+'BMP P Tracking Table'!$Y242*VLOOKUP('BMP P Tracking Table'!$Q242,'Loading Rates'!$B$1:$L$24,8,FALSE)+'BMP P Tracking Table'!$Z242*VLOOKUP('BMP P Tracking Table'!$Q242,'Loading Rates'!$B$1:$L$24,9,FALSE),'BMP P Tracking Table'!$AA242*VLOOKUP('BMP P Tracking Table'!$Q242,'Loading Rates'!$B$1:$L$24,10,FALSE)),'BMP P Tracking Table'!$AO242*VLOOKUP('BMP P Tracking Table'!$Q242,'Loading Rates'!$B$1:$L$24,4,FALSE)+IF('BMP P Tracking Table'!$AP242="By HSG",'BMP P Tracking Table'!$AQ242*VLOOKUP('BMP P Tracking Table'!$Q242,'Loading Rates'!$B$1:$L$24,6,FALSE)+'BMP P Tracking Table'!$AR242*VLOOKUP('BMP P Tracking Table'!$Q242,'Loading Rates'!$B$1:$L$24,7,FALSE)+'BMP P Tracking Table'!$AS242*VLOOKUP('BMP P Tracking Table'!$Q242,'Loading Rates'!$B$1:$L$24,8,FALSE)+'BMP P Tracking Table'!$AT242*VLOOKUP('BMP P Tracking Table'!$Q242,'Loading Rates'!$B$1:$L$24,9,FALSE),'BMP P Tracking Table'!$AU242*VLOOKUP('BMP P Tracking Table'!$Q242,'Loading Rates'!$B$1:$L$24,10,FALSE))),"")</f>
        <v/>
      </c>
      <c r="AZ242" s="101" t="str">
        <f>IFERROR(IF('BMP P Tracking Table'!$AL242="Yes",MIN(2,IF('BMP P Tracking Table'!$AP242="Total Pervious",(-(3630*'BMP P Tracking Table'!$AO242+20.691*'BMP P Tracking Table'!$AU242)+SQRT((3630*'BMP P Tracking Table'!$AO242+20.691*'BMP P Tracking Table'!$AU242)^2-(4*(996.798*'BMP P Tracking Table'!$AU242)*-'BMP P Tracking Table'!$AW242)))/(2*(996.798*'BMP P Tracking Table'!$AU242)),IF(SUM('BMP P Tracking Table'!$AQ242:$AT242)=0,'BMP P Tracking Table'!$AU242/(-3630*'BMP P Tracking Table'!$AO242),(-(3630*'BMP P Tracking Table'!$AO242+20.691*'BMP P Tracking Table'!$AT242-216.711*'BMP P Tracking Table'!$AS242-83.853*'BMP P Tracking Table'!$AR242-42.834*'BMP P Tracking Table'!$AQ242)+SQRT((3630*'BMP P Tracking Table'!$AO242+20.691*'BMP P Tracking Table'!$AT242-216.711*'BMP P Tracking Table'!$AS242-83.853*'BMP P Tracking Table'!$AR242-42.834*'BMP P Tracking Table'!$AQ242)^2-(4*(149.919*'BMP P Tracking Table'!$AQ242+236.676*'BMP P Tracking Table'!$AR242+726*'BMP P Tracking Table'!$AS242+996.798*'BMP P Tracking Table'!$AT242)*-'BMP P Tracking Table'!$AW242)))/(2*(149.919*'BMP P Tracking Table'!$AQ242+236.676*'BMP P Tracking Table'!$AR242+726*'BMP P Tracking Table'!$AS242+996.798*'BMP P Tracking Table'!$AT242))))),MIN(2,IF('BMP P Tracking Table'!$AP242="Total Pervious",(-(3630*'BMP P Tracking Table'!$U242+20.691*'BMP P Tracking Table'!$AA242)+SQRT((3630*'BMP P Tracking Table'!$U242+20.691*'BMP P Tracking Table'!$AA242)^2-(4*(996.798*'BMP P Tracking Table'!$AA242)*-'BMP P Tracking Table'!$AW242)))/(2*(996.798*'BMP P Tracking Table'!$AA242)),IF(SUM('BMP P Tracking Table'!$W242:$Z242)=0,'BMP P Tracking Table'!$AW242/(-3630*'BMP P Tracking Table'!$U242),(-(3630*'BMP P Tracking Table'!$U242+20.691*'BMP P Tracking Table'!$Z242-216.711*'BMP P Tracking Table'!$Y242-83.853*'BMP P Tracking Table'!$X242-42.834*'BMP P Tracking Table'!$W242)+SQRT((3630*'BMP P Tracking Table'!$U242+20.691*'BMP P Tracking Table'!$Z242-216.711*'BMP P Tracking Table'!$Y242-83.853*'BMP P Tracking Table'!$X242-42.834*'BMP P Tracking Table'!$W242)^2-(4*(149.919*'BMP P Tracking Table'!$W242+236.676*'BMP P Tracking Table'!$X242+726*'BMP P Tracking Table'!$Y242+996.798*'BMP P Tracking Table'!$Z242)*-'BMP P Tracking Table'!$AW242)))/(2*(149.919*'BMP P Tracking Table'!$W242+236.676*'BMP P Tracking Table'!$X242+726*'BMP P Tracking Table'!$Y242+996.798*'BMP P Tracking Table'!$Z242)))))),"")</f>
        <v/>
      </c>
      <c r="BA242" s="101" t="str">
        <f>IFERROR((VLOOKUP(CONCATENATE('BMP P Tracking Table'!$AV242," ",'BMP P Tracking Table'!$AX242),'Performance Curves'!$C$1:$L$45,MATCH('BMP P Tracking Table'!$AZ242,'Performance Curves'!$E$1:$L$1,1)+2,FALSE)-VLOOKUP(CONCATENATE('BMP P Tracking Table'!$AV242," ",'BMP P Tracking Table'!$AX242),'Performance Curves'!$C$1:$L$45,MATCH('BMP P Tracking Table'!$AZ242,'Performance Curves'!$E$1:$L$1,1)+1,FALSE)),"")</f>
        <v/>
      </c>
      <c r="BB242" s="101" t="str">
        <f>IFERROR(('BMP P Tracking Table'!$AZ242-INDEX('Performance Curves'!$E$1:$L$1,1,MATCH('BMP P Tracking Table'!$AZ242,'Performance Curves'!$E$1:$L$1,1)))/(INDEX('Performance Curves'!$E$1:$L$1,1,MATCH('BMP P Tracking Table'!$AZ242,'Performance Curves'!$E$1:$L$1,1)+1)-INDEX('Performance Curves'!$E$1:$L$1,1,MATCH('BMP P Tracking Table'!$AZ242,'Performance Curves'!$E$1:$L$1,1))),"")</f>
        <v/>
      </c>
      <c r="BC242" s="102" t="str">
        <f>IFERROR(IF('BMP P Tracking Table'!$AZ242=2,VLOOKUP(CONCATENATE('BMP P Tracking Table'!$AV242," ",'BMP P Tracking Table'!$AX242),'Performance Curves'!$C$1:$L$44,MATCH('BMP P Tracking Table'!$AZ242,'Performance Curves'!$E$1:$L$1,1)+1,FALSE),'BMP P Tracking Table'!$BA242*'BMP P Tracking Table'!$BB242+VLOOKUP(CONCATENATE('BMP P Tracking Table'!$AV242," ",'BMP P Tracking Table'!$AX242),'Performance Curves'!$C$1:$L$44,MATCH('BMP P Tracking Table'!$AZ242,'Performance Curves'!$E$1:$L$1,1)+1,FALSE)),"")</f>
        <v/>
      </c>
      <c r="BD242" s="101" t="str">
        <f>IFERROR('BMP P Tracking Table'!$BC242*'BMP P Tracking Table'!$AY242,"")</f>
        <v/>
      </c>
      <c r="BE242" s="96"/>
      <c r="BF242" s="37">
        <f t="shared" si="19"/>
        <v>0</v>
      </c>
    </row>
    <row r="243" spans="1:58" x14ac:dyDescent="0.3">
      <c r="A243" s="64"/>
      <c r="B243" s="64"/>
      <c r="C243" s="64"/>
      <c r="D243" s="64"/>
      <c r="E243" s="93"/>
      <c r="F243" s="93"/>
      <c r="G243" s="64"/>
      <c r="H243" s="64"/>
      <c r="I243" s="64"/>
      <c r="J243" s="94"/>
      <c r="K243" s="64"/>
      <c r="L243" s="64"/>
      <c r="M243" s="64"/>
      <c r="N243" s="64"/>
      <c r="O243" s="64"/>
      <c r="P243" s="64"/>
      <c r="Q243" s="64" t="str">
        <f>IFERROR(VLOOKUP('BMP P Tracking Table'!$P243,Dropdowns!$C$2:$E$15,3,FALSE),"")</f>
        <v/>
      </c>
      <c r="R243" s="64" t="str">
        <f>IFERROR(VLOOKUP('BMP P Tracking Table'!$Q243,Dropdowns!$P$3:$Q$23,2,FALSE),"")</f>
        <v/>
      </c>
      <c r="S243" s="64"/>
      <c r="T243" s="64"/>
      <c r="U243" s="64"/>
      <c r="V243" s="64"/>
      <c r="W243" s="64"/>
      <c r="X243" s="64"/>
      <c r="Y243" s="64"/>
      <c r="Z243" s="64"/>
      <c r="AA243" s="64"/>
      <c r="AB243" s="95"/>
      <c r="AC243" s="64"/>
      <c r="AD243" s="101" t="str">
        <f>IFERROR('BMP P Tracking Table'!$U243*VLOOKUP('BMP P Tracking Table'!$Q243,'Loading Rates'!$B$1:$L$24,4,FALSE)+IF('BMP P Tracking Table'!$V243="By HSG",'BMP P Tracking Table'!$W243*VLOOKUP('BMP P Tracking Table'!$Q243,'Loading Rates'!$B$1:$L$24,6,FALSE)+'BMP P Tracking Table'!$X243*VLOOKUP('BMP P Tracking Table'!$Q243,'Loading Rates'!$B$1:$L$24,7,FALSE)+'BMP P Tracking Table'!$Y243*VLOOKUP('BMP P Tracking Table'!$Q243,'Loading Rates'!$B$1:$L$24,8,FALSE)+'BMP P Tracking Table'!$Z243*VLOOKUP('BMP P Tracking Table'!$Q243,'Loading Rates'!$B$1:$L$24,9,FALSE),'BMP P Tracking Table'!$AA243*VLOOKUP('BMP P Tracking Table'!$Q243,'Loading Rates'!$B$1:$L$24,10,FALSE)),"")</f>
        <v/>
      </c>
      <c r="AE243" s="101" t="str">
        <f>IFERROR(MIN(2,IF('BMP P Tracking Table'!$V243="Total Pervious",(-(3630*'BMP P Tracking Table'!$U243+20.691*'BMP P Tracking Table'!$AA243)+SQRT((3630*'BMP P Tracking Table'!$U243+20.691*'BMP P Tracking Table'!$AA243)^2-(4*(996.798*'BMP P Tracking Table'!$AA243)*-'BMP P Tracking Table'!$AB243)))/(2*(996.798*'BMP P Tracking Table'!$AA243)),IF(SUM('BMP P Tracking Table'!$W243:$Z243)=0,'BMP P Tracking Table'!$AB243/(-3630*'BMP P Tracking Table'!$U243),(-(3630*'BMP P Tracking Table'!$U243+20.691*'BMP P Tracking Table'!$Z243-216.711*'BMP P Tracking Table'!$Y243-83.853*'BMP P Tracking Table'!$X243-42.834*'BMP P Tracking Table'!$W243)+SQRT((3630*'BMP P Tracking Table'!$U243+20.691*'BMP P Tracking Table'!$Z243-216.711*'BMP P Tracking Table'!$Y243-83.853*'BMP P Tracking Table'!$X243-42.834*'BMP P Tracking Table'!$W243)^2-(4*(149.919*'BMP P Tracking Table'!$W243+236.676*'BMP P Tracking Table'!$X243+726*'BMP P Tracking Table'!$Y243+996.798*'BMP P Tracking Table'!$Z243)*-'BMP P Tracking Table'!$AB243)))/(2*(149.919*'BMP P Tracking Table'!$W243+236.676*'BMP P Tracking Table'!$X243+726*'BMP P Tracking Table'!$Y243+996.798*'BMP P Tracking Table'!$Z243))))),"")</f>
        <v/>
      </c>
      <c r="AF243" s="101" t="str">
        <f>IFERROR((VLOOKUP(CONCATENATE('BMP P Tracking Table'!$T243," ",'BMP P Tracking Table'!$AC243),'Performance Curves'!$C$1:$L$45,MATCH('BMP P Tracking Table'!$AE243,'Performance Curves'!$E$1:$L$1,1)+2,FALSE)-VLOOKUP(CONCATENATE('BMP P Tracking Table'!$T243," ",'BMP P Tracking Table'!$AC243),'Performance Curves'!$C$1:$L$45,MATCH('BMP P Tracking Table'!$AE243,'Performance Curves'!$E$1:$L$1,1)+1,FALSE)),"")</f>
        <v/>
      </c>
      <c r="AG243" s="101" t="str">
        <f>IFERROR(('BMP P Tracking Table'!$AE243-INDEX('Performance Curves'!$E$1:$L$1,1,MATCH('BMP P Tracking Table'!$AE243,'Performance Curves'!$E$1:$L$1,1)))/(INDEX('Performance Curves'!$E$1:$L$1,1,MATCH('BMP P Tracking Table'!$AE243,'Performance Curves'!$E$1:$L$1,1)+1)-INDEX('Performance Curves'!$E$1:$L$1,1,MATCH('BMP P Tracking Table'!$AE243,'Performance Curves'!$E$1:$L$1,1))),"")</f>
        <v/>
      </c>
      <c r="AH243" s="102" t="str">
        <f>IFERROR(IF('BMP P Tracking Table'!$AE243=2,VLOOKUP(CONCATENATE('BMP P Tracking Table'!$T243," ",'BMP P Tracking Table'!$AC243),'Performance Curves'!$C$1:$L$45,MATCH('BMP P Tracking Table'!$AE243,'Performance Curves'!$E$1:$L$1,1)+1,FALSE),'BMP P Tracking Table'!$AF243*'BMP P Tracking Table'!$AG243+VLOOKUP(CONCATENATE('BMP P Tracking Table'!$T243," ",'BMP P Tracking Table'!$AC243),'Performance Curves'!$C$1:$L$45,MATCH('BMP P Tracking Table'!$AE243,'Performance Curves'!$E$1:$L$1,1)+1,FALSE)),"")</f>
        <v/>
      </c>
      <c r="AI243" s="101" t="str">
        <f>IFERROR('BMP P Tracking Table'!$AH243*'BMP P Tracking Table'!$AD243,"")</f>
        <v/>
      </c>
      <c r="AJ243" s="64"/>
      <c r="AK243" s="96"/>
      <c r="AL243" s="96"/>
      <c r="AM243" s="63"/>
      <c r="AN243" s="99" t="str">
        <f t="shared" si="18"/>
        <v/>
      </c>
      <c r="AO243" s="96"/>
      <c r="AP243" s="96"/>
      <c r="AQ243" s="96"/>
      <c r="AR243" s="96"/>
      <c r="AS243" s="96"/>
      <c r="AT243" s="96"/>
      <c r="AU243" s="96"/>
      <c r="AV243" s="64"/>
      <c r="AW243" s="97"/>
      <c r="AX243" s="97"/>
      <c r="AY243" s="101" t="str">
        <f>IF('BMP P Tracking Table'!$AK243="Yes",IF('BMP P Tracking Table'!$AL243="No",'BMP P Tracking Table'!$U243*VLOOKUP('BMP P Tracking Table'!$Q243,'Loading Rates'!$B$1:$L$24,4,FALSE)+IF('BMP P Tracking Table'!$V243="By HSG",'BMP P Tracking Table'!$W243*VLOOKUP('BMP P Tracking Table'!$Q243,'Loading Rates'!$B$1:$L$24,6,FALSE)+'BMP P Tracking Table'!$X243*VLOOKUP('BMP P Tracking Table'!$Q243,'Loading Rates'!$B$1:$L$24,7,FALSE)+'BMP P Tracking Table'!$Y243*VLOOKUP('BMP P Tracking Table'!$Q243,'Loading Rates'!$B$1:$L$24,8,FALSE)+'BMP P Tracking Table'!$Z243*VLOOKUP('BMP P Tracking Table'!$Q243,'Loading Rates'!$B$1:$L$24,9,FALSE),'BMP P Tracking Table'!$AA243*VLOOKUP('BMP P Tracking Table'!$Q243,'Loading Rates'!$B$1:$L$24,10,FALSE)),'BMP P Tracking Table'!$AO243*VLOOKUP('BMP P Tracking Table'!$Q243,'Loading Rates'!$B$1:$L$24,4,FALSE)+IF('BMP P Tracking Table'!$AP243="By HSG",'BMP P Tracking Table'!$AQ243*VLOOKUP('BMP P Tracking Table'!$Q243,'Loading Rates'!$B$1:$L$24,6,FALSE)+'BMP P Tracking Table'!$AR243*VLOOKUP('BMP P Tracking Table'!$Q243,'Loading Rates'!$B$1:$L$24,7,FALSE)+'BMP P Tracking Table'!$AS243*VLOOKUP('BMP P Tracking Table'!$Q243,'Loading Rates'!$B$1:$L$24,8,FALSE)+'BMP P Tracking Table'!$AT243*VLOOKUP('BMP P Tracking Table'!$Q243,'Loading Rates'!$B$1:$L$24,9,FALSE),'BMP P Tracking Table'!$AU243*VLOOKUP('BMP P Tracking Table'!$Q243,'Loading Rates'!$B$1:$L$24,10,FALSE))),"")</f>
        <v/>
      </c>
      <c r="AZ243" s="101" t="str">
        <f>IFERROR(IF('BMP P Tracking Table'!$AL243="Yes",MIN(2,IF('BMP P Tracking Table'!$AP243="Total Pervious",(-(3630*'BMP P Tracking Table'!$AO243+20.691*'BMP P Tracking Table'!$AU243)+SQRT((3630*'BMP P Tracking Table'!$AO243+20.691*'BMP P Tracking Table'!$AU243)^2-(4*(996.798*'BMP P Tracking Table'!$AU243)*-'BMP P Tracking Table'!$AW243)))/(2*(996.798*'BMP P Tracking Table'!$AU243)),IF(SUM('BMP P Tracking Table'!$AQ243:$AT243)=0,'BMP P Tracking Table'!$AU243/(-3630*'BMP P Tracking Table'!$AO243),(-(3630*'BMP P Tracking Table'!$AO243+20.691*'BMP P Tracking Table'!$AT243-216.711*'BMP P Tracking Table'!$AS243-83.853*'BMP P Tracking Table'!$AR243-42.834*'BMP P Tracking Table'!$AQ243)+SQRT((3630*'BMP P Tracking Table'!$AO243+20.691*'BMP P Tracking Table'!$AT243-216.711*'BMP P Tracking Table'!$AS243-83.853*'BMP P Tracking Table'!$AR243-42.834*'BMP P Tracking Table'!$AQ243)^2-(4*(149.919*'BMP P Tracking Table'!$AQ243+236.676*'BMP P Tracking Table'!$AR243+726*'BMP P Tracking Table'!$AS243+996.798*'BMP P Tracking Table'!$AT243)*-'BMP P Tracking Table'!$AW243)))/(2*(149.919*'BMP P Tracking Table'!$AQ243+236.676*'BMP P Tracking Table'!$AR243+726*'BMP P Tracking Table'!$AS243+996.798*'BMP P Tracking Table'!$AT243))))),MIN(2,IF('BMP P Tracking Table'!$AP243="Total Pervious",(-(3630*'BMP P Tracking Table'!$U243+20.691*'BMP P Tracking Table'!$AA243)+SQRT((3630*'BMP P Tracking Table'!$U243+20.691*'BMP P Tracking Table'!$AA243)^2-(4*(996.798*'BMP P Tracking Table'!$AA243)*-'BMP P Tracking Table'!$AW243)))/(2*(996.798*'BMP P Tracking Table'!$AA243)),IF(SUM('BMP P Tracking Table'!$W243:$Z243)=0,'BMP P Tracking Table'!$AW243/(-3630*'BMP P Tracking Table'!$U243),(-(3630*'BMP P Tracking Table'!$U243+20.691*'BMP P Tracking Table'!$Z243-216.711*'BMP P Tracking Table'!$Y243-83.853*'BMP P Tracking Table'!$X243-42.834*'BMP P Tracking Table'!$W243)+SQRT((3630*'BMP P Tracking Table'!$U243+20.691*'BMP P Tracking Table'!$Z243-216.711*'BMP P Tracking Table'!$Y243-83.853*'BMP P Tracking Table'!$X243-42.834*'BMP P Tracking Table'!$W243)^2-(4*(149.919*'BMP P Tracking Table'!$W243+236.676*'BMP P Tracking Table'!$X243+726*'BMP P Tracking Table'!$Y243+996.798*'BMP P Tracking Table'!$Z243)*-'BMP P Tracking Table'!$AW243)))/(2*(149.919*'BMP P Tracking Table'!$W243+236.676*'BMP P Tracking Table'!$X243+726*'BMP P Tracking Table'!$Y243+996.798*'BMP P Tracking Table'!$Z243)))))),"")</f>
        <v/>
      </c>
      <c r="BA243" s="101" t="str">
        <f>IFERROR((VLOOKUP(CONCATENATE('BMP P Tracking Table'!$AV243," ",'BMP P Tracking Table'!$AX243),'Performance Curves'!$C$1:$L$45,MATCH('BMP P Tracking Table'!$AZ243,'Performance Curves'!$E$1:$L$1,1)+2,FALSE)-VLOOKUP(CONCATENATE('BMP P Tracking Table'!$AV243," ",'BMP P Tracking Table'!$AX243),'Performance Curves'!$C$1:$L$45,MATCH('BMP P Tracking Table'!$AZ243,'Performance Curves'!$E$1:$L$1,1)+1,FALSE)),"")</f>
        <v/>
      </c>
      <c r="BB243" s="101" t="str">
        <f>IFERROR(('BMP P Tracking Table'!$AZ243-INDEX('Performance Curves'!$E$1:$L$1,1,MATCH('BMP P Tracking Table'!$AZ243,'Performance Curves'!$E$1:$L$1,1)))/(INDEX('Performance Curves'!$E$1:$L$1,1,MATCH('BMP P Tracking Table'!$AZ243,'Performance Curves'!$E$1:$L$1,1)+1)-INDEX('Performance Curves'!$E$1:$L$1,1,MATCH('BMP P Tracking Table'!$AZ243,'Performance Curves'!$E$1:$L$1,1))),"")</f>
        <v/>
      </c>
      <c r="BC243" s="102" t="str">
        <f>IFERROR(IF('BMP P Tracking Table'!$AZ243=2,VLOOKUP(CONCATENATE('BMP P Tracking Table'!$AV243," ",'BMP P Tracking Table'!$AX243),'Performance Curves'!$C$1:$L$44,MATCH('BMP P Tracking Table'!$AZ243,'Performance Curves'!$E$1:$L$1,1)+1,FALSE),'BMP P Tracking Table'!$BA243*'BMP P Tracking Table'!$BB243+VLOOKUP(CONCATENATE('BMP P Tracking Table'!$AV243," ",'BMP P Tracking Table'!$AX243),'Performance Curves'!$C$1:$L$44,MATCH('BMP P Tracking Table'!$AZ243,'Performance Curves'!$E$1:$L$1,1)+1,FALSE)),"")</f>
        <v/>
      </c>
      <c r="BD243" s="101" t="str">
        <f>IFERROR('BMP P Tracking Table'!$BC243*'BMP P Tracking Table'!$AY243,"")</f>
        <v/>
      </c>
      <c r="BE243" s="96"/>
      <c r="BF243" s="37">
        <f t="shared" si="19"/>
        <v>0</v>
      </c>
    </row>
    <row r="244" spans="1:58" x14ac:dyDescent="0.3">
      <c r="A244" s="64"/>
      <c r="B244" s="64"/>
      <c r="C244" s="64"/>
      <c r="D244" s="64"/>
      <c r="E244" s="93"/>
      <c r="F244" s="93"/>
      <c r="G244" s="64"/>
      <c r="H244" s="64"/>
      <c r="I244" s="64"/>
      <c r="J244" s="94"/>
      <c r="K244" s="64"/>
      <c r="L244" s="64"/>
      <c r="M244" s="64"/>
      <c r="N244" s="64"/>
      <c r="O244" s="64"/>
      <c r="P244" s="64"/>
      <c r="Q244" s="64" t="str">
        <f>IFERROR(VLOOKUP('BMP P Tracking Table'!$P244,Dropdowns!$C$2:$E$15,3,FALSE),"")</f>
        <v/>
      </c>
      <c r="R244" s="64" t="str">
        <f>IFERROR(VLOOKUP('BMP P Tracking Table'!$Q244,Dropdowns!$P$3:$Q$23,2,FALSE),"")</f>
        <v/>
      </c>
      <c r="S244" s="64"/>
      <c r="T244" s="64"/>
      <c r="U244" s="64"/>
      <c r="V244" s="64"/>
      <c r="W244" s="64"/>
      <c r="X244" s="64"/>
      <c r="Y244" s="64"/>
      <c r="Z244" s="64"/>
      <c r="AA244" s="64"/>
      <c r="AB244" s="95"/>
      <c r="AC244" s="64"/>
      <c r="AD244" s="101" t="str">
        <f>IFERROR('BMP P Tracking Table'!$U244*VLOOKUP('BMP P Tracking Table'!$Q244,'Loading Rates'!$B$1:$L$24,4,FALSE)+IF('BMP P Tracking Table'!$V244="By HSG",'BMP P Tracking Table'!$W244*VLOOKUP('BMP P Tracking Table'!$Q244,'Loading Rates'!$B$1:$L$24,6,FALSE)+'BMP P Tracking Table'!$X244*VLOOKUP('BMP P Tracking Table'!$Q244,'Loading Rates'!$B$1:$L$24,7,FALSE)+'BMP P Tracking Table'!$Y244*VLOOKUP('BMP P Tracking Table'!$Q244,'Loading Rates'!$B$1:$L$24,8,FALSE)+'BMP P Tracking Table'!$Z244*VLOOKUP('BMP P Tracking Table'!$Q244,'Loading Rates'!$B$1:$L$24,9,FALSE),'BMP P Tracking Table'!$AA244*VLOOKUP('BMP P Tracking Table'!$Q244,'Loading Rates'!$B$1:$L$24,10,FALSE)),"")</f>
        <v/>
      </c>
      <c r="AE244" s="101" t="str">
        <f>IFERROR(MIN(2,IF('BMP P Tracking Table'!$V244="Total Pervious",(-(3630*'BMP P Tracking Table'!$U244+20.691*'BMP P Tracking Table'!$AA244)+SQRT((3630*'BMP P Tracking Table'!$U244+20.691*'BMP P Tracking Table'!$AA244)^2-(4*(996.798*'BMP P Tracking Table'!$AA244)*-'BMP P Tracking Table'!$AB244)))/(2*(996.798*'BMP P Tracking Table'!$AA244)),IF(SUM('BMP P Tracking Table'!$W244:$Z244)=0,'BMP P Tracking Table'!$AB244/(-3630*'BMP P Tracking Table'!$U244),(-(3630*'BMP P Tracking Table'!$U244+20.691*'BMP P Tracking Table'!$Z244-216.711*'BMP P Tracking Table'!$Y244-83.853*'BMP P Tracking Table'!$X244-42.834*'BMP P Tracking Table'!$W244)+SQRT((3630*'BMP P Tracking Table'!$U244+20.691*'BMP P Tracking Table'!$Z244-216.711*'BMP P Tracking Table'!$Y244-83.853*'BMP P Tracking Table'!$X244-42.834*'BMP P Tracking Table'!$W244)^2-(4*(149.919*'BMP P Tracking Table'!$W244+236.676*'BMP P Tracking Table'!$X244+726*'BMP P Tracking Table'!$Y244+996.798*'BMP P Tracking Table'!$Z244)*-'BMP P Tracking Table'!$AB244)))/(2*(149.919*'BMP P Tracking Table'!$W244+236.676*'BMP P Tracking Table'!$X244+726*'BMP P Tracking Table'!$Y244+996.798*'BMP P Tracking Table'!$Z244))))),"")</f>
        <v/>
      </c>
      <c r="AF244" s="101" t="str">
        <f>IFERROR((VLOOKUP(CONCATENATE('BMP P Tracking Table'!$T244," ",'BMP P Tracking Table'!$AC244),'Performance Curves'!$C$1:$L$45,MATCH('BMP P Tracking Table'!$AE244,'Performance Curves'!$E$1:$L$1,1)+2,FALSE)-VLOOKUP(CONCATENATE('BMP P Tracking Table'!$T244," ",'BMP P Tracking Table'!$AC244),'Performance Curves'!$C$1:$L$45,MATCH('BMP P Tracking Table'!$AE244,'Performance Curves'!$E$1:$L$1,1)+1,FALSE)),"")</f>
        <v/>
      </c>
      <c r="AG244" s="101" t="str">
        <f>IFERROR(('BMP P Tracking Table'!$AE244-INDEX('Performance Curves'!$E$1:$L$1,1,MATCH('BMP P Tracking Table'!$AE244,'Performance Curves'!$E$1:$L$1,1)))/(INDEX('Performance Curves'!$E$1:$L$1,1,MATCH('BMP P Tracking Table'!$AE244,'Performance Curves'!$E$1:$L$1,1)+1)-INDEX('Performance Curves'!$E$1:$L$1,1,MATCH('BMP P Tracking Table'!$AE244,'Performance Curves'!$E$1:$L$1,1))),"")</f>
        <v/>
      </c>
      <c r="AH244" s="102" t="str">
        <f>IFERROR(IF('BMP P Tracking Table'!$AE244=2,VLOOKUP(CONCATENATE('BMP P Tracking Table'!$T244," ",'BMP P Tracking Table'!$AC244),'Performance Curves'!$C$1:$L$45,MATCH('BMP P Tracking Table'!$AE244,'Performance Curves'!$E$1:$L$1,1)+1,FALSE),'BMP P Tracking Table'!$AF244*'BMP P Tracking Table'!$AG244+VLOOKUP(CONCATENATE('BMP P Tracking Table'!$T244," ",'BMP P Tracking Table'!$AC244),'Performance Curves'!$C$1:$L$45,MATCH('BMP P Tracking Table'!$AE244,'Performance Curves'!$E$1:$L$1,1)+1,FALSE)),"")</f>
        <v/>
      </c>
      <c r="AI244" s="101" t="str">
        <f>IFERROR('BMP P Tracking Table'!$AH244*'BMP P Tracking Table'!$AD244,"")</f>
        <v/>
      </c>
      <c r="AJ244" s="64"/>
      <c r="AK244" s="96"/>
      <c r="AL244" s="96"/>
      <c r="AM244" s="63"/>
      <c r="AN244" s="99" t="str">
        <f t="shared" si="18"/>
        <v/>
      </c>
      <c r="AO244" s="96"/>
      <c r="AP244" s="96"/>
      <c r="AQ244" s="96"/>
      <c r="AR244" s="96"/>
      <c r="AS244" s="96"/>
      <c r="AT244" s="96"/>
      <c r="AU244" s="96"/>
      <c r="AV244" s="64"/>
      <c r="AW244" s="97"/>
      <c r="AX244" s="97"/>
      <c r="AY244" s="101" t="str">
        <f>IF('BMP P Tracking Table'!$AK244="Yes",IF('BMP P Tracking Table'!$AL244="No",'BMP P Tracking Table'!$U244*VLOOKUP('BMP P Tracking Table'!$Q244,'Loading Rates'!$B$1:$L$24,4,FALSE)+IF('BMP P Tracking Table'!$V244="By HSG",'BMP P Tracking Table'!$W244*VLOOKUP('BMP P Tracking Table'!$Q244,'Loading Rates'!$B$1:$L$24,6,FALSE)+'BMP P Tracking Table'!$X244*VLOOKUP('BMP P Tracking Table'!$Q244,'Loading Rates'!$B$1:$L$24,7,FALSE)+'BMP P Tracking Table'!$Y244*VLOOKUP('BMP P Tracking Table'!$Q244,'Loading Rates'!$B$1:$L$24,8,FALSE)+'BMP P Tracking Table'!$Z244*VLOOKUP('BMP P Tracking Table'!$Q244,'Loading Rates'!$B$1:$L$24,9,FALSE),'BMP P Tracking Table'!$AA244*VLOOKUP('BMP P Tracking Table'!$Q244,'Loading Rates'!$B$1:$L$24,10,FALSE)),'BMP P Tracking Table'!$AO244*VLOOKUP('BMP P Tracking Table'!$Q244,'Loading Rates'!$B$1:$L$24,4,FALSE)+IF('BMP P Tracking Table'!$AP244="By HSG",'BMP P Tracking Table'!$AQ244*VLOOKUP('BMP P Tracking Table'!$Q244,'Loading Rates'!$B$1:$L$24,6,FALSE)+'BMP P Tracking Table'!$AR244*VLOOKUP('BMP P Tracking Table'!$Q244,'Loading Rates'!$B$1:$L$24,7,FALSE)+'BMP P Tracking Table'!$AS244*VLOOKUP('BMP P Tracking Table'!$Q244,'Loading Rates'!$B$1:$L$24,8,FALSE)+'BMP P Tracking Table'!$AT244*VLOOKUP('BMP P Tracking Table'!$Q244,'Loading Rates'!$B$1:$L$24,9,FALSE),'BMP P Tracking Table'!$AU244*VLOOKUP('BMP P Tracking Table'!$Q244,'Loading Rates'!$B$1:$L$24,10,FALSE))),"")</f>
        <v/>
      </c>
      <c r="AZ244" s="101" t="str">
        <f>IFERROR(IF('BMP P Tracking Table'!$AL244="Yes",MIN(2,IF('BMP P Tracking Table'!$AP244="Total Pervious",(-(3630*'BMP P Tracking Table'!$AO244+20.691*'BMP P Tracking Table'!$AU244)+SQRT((3630*'BMP P Tracking Table'!$AO244+20.691*'BMP P Tracking Table'!$AU244)^2-(4*(996.798*'BMP P Tracking Table'!$AU244)*-'BMP P Tracking Table'!$AW244)))/(2*(996.798*'BMP P Tracking Table'!$AU244)),IF(SUM('BMP P Tracking Table'!$AQ244:$AT244)=0,'BMP P Tracking Table'!$AU244/(-3630*'BMP P Tracking Table'!$AO244),(-(3630*'BMP P Tracking Table'!$AO244+20.691*'BMP P Tracking Table'!$AT244-216.711*'BMP P Tracking Table'!$AS244-83.853*'BMP P Tracking Table'!$AR244-42.834*'BMP P Tracking Table'!$AQ244)+SQRT((3630*'BMP P Tracking Table'!$AO244+20.691*'BMP P Tracking Table'!$AT244-216.711*'BMP P Tracking Table'!$AS244-83.853*'BMP P Tracking Table'!$AR244-42.834*'BMP P Tracking Table'!$AQ244)^2-(4*(149.919*'BMP P Tracking Table'!$AQ244+236.676*'BMP P Tracking Table'!$AR244+726*'BMP P Tracking Table'!$AS244+996.798*'BMP P Tracking Table'!$AT244)*-'BMP P Tracking Table'!$AW244)))/(2*(149.919*'BMP P Tracking Table'!$AQ244+236.676*'BMP P Tracking Table'!$AR244+726*'BMP P Tracking Table'!$AS244+996.798*'BMP P Tracking Table'!$AT244))))),MIN(2,IF('BMP P Tracking Table'!$AP244="Total Pervious",(-(3630*'BMP P Tracking Table'!$U244+20.691*'BMP P Tracking Table'!$AA244)+SQRT((3630*'BMP P Tracking Table'!$U244+20.691*'BMP P Tracking Table'!$AA244)^2-(4*(996.798*'BMP P Tracking Table'!$AA244)*-'BMP P Tracking Table'!$AW244)))/(2*(996.798*'BMP P Tracking Table'!$AA244)),IF(SUM('BMP P Tracking Table'!$W244:$Z244)=0,'BMP P Tracking Table'!$AW244/(-3630*'BMP P Tracking Table'!$U244),(-(3630*'BMP P Tracking Table'!$U244+20.691*'BMP P Tracking Table'!$Z244-216.711*'BMP P Tracking Table'!$Y244-83.853*'BMP P Tracking Table'!$X244-42.834*'BMP P Tracking Table'!$W244)+SQRT((3630*'BMP P Tracking Table'!$U244+20.691*'BMP P Tracking Table'!$Z244-216.711*'BMP P Tracking Table'!$Y244-83.853*'BMP P Tracking Table'!$X244-42.834*'BMP P Tracking Table'!$W244)^2-(4*(149.919*'BMP P Tracking Table'!$W244+236.676*'BMP P Tracking Table'!$X244+726*'BMP P Tracking Table'!$Y244+996.798*'BMP P Tracking Table'!$Z244)*-'BMP P Tracking Table'!$AW244)))/(2*(149.919*'BMP P Tracking Table'!$W244+236.676*'BMP P Tracking Table'!$X244+726*'BMP P Tracking Table'!$Y244+996.798*'BMP P Tracking Table'!$Z244)))))),"")</f>
        <v/>
      </c>
      <c r="BA244" s="101" t="str">
        <f>IFERROR((VLOOKUP(CONCATENATE('BMP P Tracking Table'!$AV244," ",'BMP P Tracking Table'!$AX244),'Performance Curves'!$C$1:$L$45,MATCH('BMP P Tracking Table'!$AZ244,'Performance Curves'!$E$1:$L$1,1)+2,FALSE)-VLOOKUP(CONCATENATE('BMP P Tracking Table'!$AV244," ",'BMP P Tracking Table'!$AX244),'Performance Curves'!$C$1:$L$45,MATCH('BMP P Tracking Table'!$AZ244,'Performance Curves'!$E$1:$L$1,1)+1,FALSE)),"")</f>
        <v/>
      </c>
      <c r="BB244" s="101" t="str">
        <f>IFERROR(('BMP P Tracking Table'!$AZ244-INDEX('Performance Curves'!$E$1:$L$1,1,MATCH('BMP P Tracking Table'!$AZ244,'Performance Curves'!$E$1:$L$1,1)))/(INDEX('Performance Curves'!$E$1:$L$1,1,MATCH('BMP P Tracking Table'!$AZ244,'Performance Curves'!$E$1:$L$1,1)+1)-INDEX('Performance Curves'!$E$1:$L$1,1,MATCH('BMP P Tracking Table'!$AZ244,'Performance Curves'!$E$1:$L$1,1))),"")</f>
        <v/>
      </c>
      <c r="BC244" s="102" t="str">
        <f>IFERROR(IF('BMP P Tracking Table'!$AZ244=2,VLOOKUP(CONCATENATE('BMP P Tracking Table'!$AV244," ",'BMP P Tracking Table'!$AX244),'Performance Curves'!$C$1:$L$44,MATCH('BMP P Tracking Table'!$AZ244,'Performance Curves'!$E$1:$L$1,1)+1,FALSE),'BMP P Tracking Table'!$BA244*'BMP P Tracking Table'!$BB244+VLOOKUP(CONCATENATE('BMP P Tracking Table'!$AV244," ",'BMP P Tracking Table'!$AX244),'Performance Curves'!$C$1:$L$44,MATCH('BMP P Tracking Table'!$AZ244,'Performance Curves'!$E$1:$L$1,1)+1,FALSE)),"")</f>
        <v/>
      </c>
      <c r="BD244" s="101" t="str">
        <f>IFERROR('BMP P Tracking Table'!$BC244*'BMP P Tracking Table'!$AY244,"")</f>
        <v/>
      </c>
      <c r="BE244" s="96"/>
      <c r="BF244" s="37">
        <f t="shared" si="19"/>
        <v>0</v>
      </c>
    </row>
    <row r="245" spans="1:58" x14ac:dyDescent="0.3">
      <c r="A245" s="64"/>
      <c r="B245" s="64"/>
      <c r="C245" s="64"/>
      <c r="D245" s="64"/>
      <c r="E245" s="93"/>
      <c r="F245" s="93"/>
      <c r="G245" s="64"/>
      <c r="H245" s="64"/>
      <c r="I245" s="64"/>
      <c r="J245" s="94"/>
      <c r="K245" s="64"/>
      <c r="L245" s="64"/>
      <c r="M245" s="64"/>
      <c r="N245" s="64"/>
      <c r="O245" s="64"/>
      <c r="P245" s="64"/>
      <c r="Q245" s="64" t="str">
        <f>IFERROR(VLOOKUP('BMP P Tracking Table'!$P245,Dropdowns!$C$2:$E$15,3,FALSE),"")</f>
        <v/>
      </c>
      <c r="R245" s="64" t="str">
        <f>IFERROR(VLOOKUP('BMP P Tracking Table'!$Q245,Dropdowns!$P$3:$Q$23,2,FALSE),"")</f>
        <v/>
      </c>
      <c r="S245" s="64"/>
      <c r="T245" s="64"/>
      <c r="U245" s="64"/>
      <c r="V245" s="64"/>
      <c r="W245" s="64"/>
      <c r="X245" s="64"/>
      <c r="Y245" s="64"/>
      <c r="Z245" s="64"/>
      <c r="AA245" s="64"/>
      <c r="AB245" s="95"/>
      <c r="AC245" s="64"/>
      <c r="AD245" s="101" t="str">
        <f>IFERROR('BMP P Tracking Table'!$U245*VLOOKUP('BMP P Tracking Table'!$Q245,'Loading Rates'!$B$1:$L$24,4,FALSE)+IF('BMP P Tracking Table'!$V245="By HSG",'BMP P Tracking Table'!$W245*VLOOKUP('BMP P Tracking Table'!$Q245,'Loading Rates'!$B$1:$L$24,6,FALSE)+'BMP P Tracking Table'!$X245*VLOOKUP('BMP P Tracking Table'!$Q245,'Loading Rates'!$B$1:$L$24,7,FALSE)+'BMP P Tracking Table'!$Y245*VLOOKUP('BMP P Tracking Table'!$Q245,'Loading Rates'!$B$1:$L$24,8,FALSE)+'BMP P Tracking Table'!$Z245*VLOOKUP('BMP P Tracking Table'!$Q245,'Loading Rates'!$B$1:$L$24,9,FALSE),'BMP P Tracking Table'!$AA245*VLOOKUP('BMP P Tracking Table'!$Q245,'Loading Rates'!$B$1:$L$24,10,FALSE)),"")</f>
        <v/>
      </c>
      <c r="AE245" s="101" t="str">
        <f>IFERROR(MIN(2,IF('BMP P Tracking Table'!$V245="Total Pervious",(-(3630*'BMP P Tracking Table'!$U245+20.691*'BMP P Tracking Table'!$AA245)+SQRT((3630*'BMP P Tracking Table'!$U245+20.691*'BMP P Tracking Table'!$AA245)^2-(4*(996.798*'BMP P Tracking Table'!$AA245)*-'BMP P Tracking Table'!$AB245)))/(2*(996.798*'BMP P Tracking Table'!$AA245)),IF(SUM('BMP P Tracking Table'!$W245:$Z245)=0,'BMP P Tracking Table'!$AB245/(-3630*'BMP P Tracking Table'!$U245),(-(3630*'BMP P Tracking Table'!$U245+20.691*'BMP P Tracking Table'!$Z245-216.711*'BMP P Tracking Table'!$Y245-83.853*'BMP P Tracking Table'!$X245-42.834*'BMP P Tracking Table'!$W245)+SQRT((3630*'BMP P Tracking Table'!$U245+20.691*'BMP P Tracking Table'!$Z245-216.711*'BMP P Tracking Table'!$Y245-83.853*'BMP P Tracking Table'!$X245-42.834*'BMP P Tracking Table'!$W245)^2-(4*(149.919*'BMP P Tracking Table'!$W245+236.676*'BMP P Tracking Table'!$X245+726*'BMP P Tracking Table'!$Y245+996.798*'BMP P Tracking Table'!$Z245)*-'BMP P Tracking Table'!$AB245)))/(2*(149.919*'BMP P Tracking Table'!$W245+236.676*'BMP P Tracking Table'!$X245+726*'BMP P Tracking Table'!$Y245+996.798*'BMP P Tracking Table'!$Z245))))),"")</f>
        <v/>
      </c>
      <c r="AF245" s="101" t="str">
        <f>IFERROR((VLOOKUP(CONCATENATE('BMP P Tracking Table'!$T245," ",'BMP P Tracking Table'!$AC245),'Performance Curves'!$C$1:$L$45,MATCH('BMP P Tracking Table'!$AE245,'Performance Curves'!$E$1:$L$1,1)+2,FALSE)-VLOOKUP(CONCATENATE('BMP P Tracking Table'!$T245," ",'BMP P Tracking Table'!$AC245),'Performance Curves'!$C$1:$L$45,MATCH('BMP P Tracking Table'!$AE245,'Performance Curves'!$E$1:$L$1,1)+1,FALSE)),"")</f>
        <v/>
      </c>
      <c r="AG245" s="101" t="str">
        <f>IFERROR(('BMP P Tracking Table'!$AE245-INDEX('Performance Curves'!$E$1:$L$1,1,MATCH('BMP P Tracking Table'!$AE245,'Performance Curves'!$E$1:$L$1,1)))/(INDEX('Performance Curves'!$E$1:$L$1,1,MATCH('BMP P Tracking Table'!$AE245,'Performance Curves'!$E$1:$L$1,1)+1)-INDEX('Performance Curves'!$E$1:$L$1,1,MATCH('BMP P Tracking Table'!$AE245,'Performance Curves'!$E$1:$L$1,1))),"")</f>
        <v/>
      </c>
      <c r="AH245" s="102" t="str">
        <f>IFERROR(IF('BMP P Tracking Table'!$AE245=2,VLOOKUP(CONCATENATE('BMP P Tracking Table'!$T245," ",'BMP P Tracking Table'!$AC245),'Performance Curves'!$C$1:$L$45,MATCH('BMP P Tracking Table'!$AE245,'Performance Curves'!$E$1:$L$1,1)+1,FALSE),'BMP P Tracking Table'!$AF245*'BMP P Tracking Table'!$AG245+VLOOKUP(CONCATENATE('BMP P Tracking Table'!$T245," ",'BMP P Tracking Table'!$AC245),'Performance Curves'!$C$1:$L$45,MATCH('BMP P Tracking Table'!$AE245,'Performance Curves'!$E$1:$L$1,1)+1,FALSE)),"")</f>
        <v/>
      </c>
      <c r="AI245" s="101" t="str">
        <f>IFERROR('BMP P Tracking Table'!$AH245*'BMP P Tracking Table'!$AD245,"")</f>
        <v/>
      </c>
      <c r="AJ245" s="64"/>
      <c r="AK245" s="96"/>
      <c r="AL245" s="96"/>
      <c r="AM245" s="63"/>
      <c r="AN245" s="99" t="str">
        <f t="shared" si="18"/>
        <v/>
      </c>
      <c r="AO245" s="96"/>
      <c r="AP245" s="96"/>
      <c r="AQ245" s="96"/>
      <c r="AR245" s="96"/>
      <c r="AS245" s="96"/>
      <c r="AT245" s="96"/>
      <c r="AU245" s="96"/>
      <c r="AV245" s="64"/>
      <c r="AW245" s="97"/>
      <c r="AX245" s="97"/>
      <c r="AY245" s="101" t="str">
        <f>IF('BMP P Tracking Table'!$AK245="Yes",IF('BMP P Tracking Table'!$AL245="No",'BMP P Tracking Table'!$U245*VLOOKUP('BMP P Tracking Table'!$Q245,'Loading Rates'!$B$1:$L$24,4,FALSE)+IF('BMP P Tracking Table'!$V245="By HSG",'BMP P Tracking Table'!$W245*VLOOKUP('BMP P Tracking Table'!$Q245,'Loading Rates'!$B$1:$L$24,6,FALSE)+'BMP P Tracking Table'!$X245*VLOOKUP('BMP P Tracking Table'!$Q245,'Loading Rates'!$B$1:$L$24,7,FALSE)+'BMP P Tracking Table'!$Y245*VLOOKUP('BMP P Tracking Table'!$Q245,'Loading Rates'!$B$1:$L$24,8,FALSE)+'BMP P Tracking Table'!$Z245*VLOOKUP('BMP P Tracking Table'!$Q245,'Loading Rates'!$B$1:$L$24,9,FALSE),'BMP P Tracking Table'!$AA245*VLOOKUP('BMP P Tracking Table'!$Q245,'Loading Rates'!$B$1:$L$24,10,FALSE)),'BMP P Tracking Table'!$AO245*VLOOKUP('BMP P Tracking Table'!$Q245,'Loading Rates'!$B$1:$L$24,4,FALSE)+IF('BMP P Tracking Table'!$AP245="By HSG",'BMP P Tracking Table'!$AQ245*VLOOKUP('BMP P Tracking Table'!$Q245,'Loading Rates'!$B$1:$L$24,6,FALSE)+'BMP P Tracking Table'!$AR245*VLOOKUP('BMP P Tracking Table'!$Q245,'Loading Rates'!$B$1:$L$24,7,FALSE)+'BMP P Tracking Table'!$AS245*VLOOKUP('BMP P Tracking Table'!$Q245,'Loading Rates'!$B$1:$L$24,8,FALSE)+'BMP P Tracking Table'!$AT245*VLOOKUP('BMP P Tracking Table'!$Q245,'Loading Rates'!$B$1:$L$24,9,FALSE),'BMP P Tracking Table'!$AU245*VLOOKUP('BMP P Tracking Table'!$Q245,'Loading Rates'!$B$1:$L$24,10,FALSE))),"")</f>
        <v/>
      </c>
      <c r="AZ245" s="101" t="str">
        <f>IFERROR(IF('BMP P Tracking Table'!$AL245="Yes",MIN(2,IF('BMP P Tracking Table'!$AP245="Total Pervious",(-(3630*'BMP P Tracking Table'!$AO245+20.691*'BMP P Tracking Table'!$AU245)+SQRT((3630*'BMP P Tracking Table'!$AO245+20.691*'BMP P Tracking Table'!$AU245)^2-(4*(996.798*'BMP P Tracking Table'!$AU245)*-'BMP P Tracking Table'!$AW245)))/(2*(996.798*'BMP P Tracking Table'!$AU245)),IF(SUM('BMP P Tracking Table'!$AQ245:$AT245)=0,'BMP P Tracking Table'!$AU245/(-3630*'BMP P Tracking Table'!$AO245),(-(3630*'BMP P Tracking Table'!$AO245+20.691*'BMP P Tracking Table'!$AT245-216.711*'BMP P Tracking Table'!$AS245-83.853*'BMP P Tracking Table'!$AR245-42.834*'BMP P Tracking Table'!$AQ245)+SQRT((3630*'BMP P Tracking Table'!$AO245+20.691*'BMP P Tracking Table'!$AT245-216.711*'BMP P Tracking Table'!$AS245-83.853*'BMP P Tracking Table'!$AR245-42.834*'BMP P Tracking Table'!$AQ245)^2-(4*(149.919*'BMP P Tracking Table'!$AQ245+236.676*'BMP P Tracking Table'!$AR245+726*'BMP P Tracking Table'!$AS245+996.798*'BMP P Tracking Table'!$AT245)*-'BMP P Tracking Table'!$AW245)))/(2*(149.919*'BMP P Tracking Table'!$AQ245+236.676*'BMP P Tracking Table'!$AR245+726*'BMP P Tracking Table'!$AS245+996.798*'BMP P Tracking Table'!$AT245))))),MIN(2,IF('BMP P Tracking Table'!$AP245="Total Pervious",(-(3630*'BMP P Tracking Table'!$U245+20.691*'BMP P Tracking Table'!$AA245)+SQRT((3630*'BMP P Tracking Table'!$U245+20.691*'BMP P Tracking Table'!$AA245)^2-(4*(996.798*'BMP P Tracking Table'!$AA245)*-'BMP P Tracking Table'!$AW245)))/(2*(996.798*'BMP P Tracking Table'!$AA245)),IF(SUM('BMP P Tracking Table'!$W245:$Z245)=0,'BMP P Tracking Table'!$AW245/(-3630*'BMP P Tracking Table'!$U245),(-(3630*'BMP P Tracking Table'!$U245+20.691*'BMP P Tracking Table'!$Z245-216.711*'BMP P Tracking Table'!$Y245-83.853*'BMP P Tracking Table'!$X245-42.834*'BMP P Tracking Table'!$W245)+SQRT((3630*'BMP P Tracking Table'!$U245+20.691*'BMP P Tracking Table'!$Z245-216.711*'BMP P Tracking Table'!$Y245-83.853*'BMP P Tracking Table'!$X245-42.834*'BMP P Tracking Table'!$W245)^2-(4*(149.919*'BMP P Tracking Table'!$W245+236.676*'BMP P Tracking Table'!$X245+726*'BMP P Tracking Table'!$Y245+996.798*'BMP P Tracking Table'!$Z245)*-'BMP P Tracking Table'!$AW245)))/(2*(149.919*'BMP P Tracking Table'!$W245+236.676*'BMP P Tracking Table'!$X245+726*'BMP P Tracking Table'!$Y245+996.798*'BMP P Tracking Table'!$Z245)))))),"")</f>
        <v/>
      </c>
      <c r="BA245" s="101" t="str">
        <f>IFERROR((VLOOKUP(CONCATENATE('BMP P Tracking Table'!$AV245," ",'BMP P Tracking Table'!$AX245),'Performance Curves'!$C$1:$L$45,MATCH('BMP P Tracking Table'!$AZ245,'Performance Curves'!$E$1:$L$1,1)+2,FALSE)-VLOOKUP(CONCATENATE('BMP P Tracking Table'!$AV245," ",'BMP P Tracking Table'!$AX245),'Performance Curves'!$C$1:$L$45,MATCH('BMP P Tracking Table'!$AZ245,'Performance Curves'!$E$1:$L$1,1)+1,FALSE)),"")</f>
        <v/>
      </c>
      <c r="BB245" s="101" t="str">
        <f>IFERROR(('BMP P Tracking Table'!$AZ245-INDEX('Performance Curves'!$E$1:$L$1,1,MATCH('BMP P Tracking Table'!$AZ245,'Performance Curves'!$E$1:$L$1,1)))/(INDEX('Performance Curves'!$E$1:$L$1,1,MATCH('BMP P Tracking Table'!$AZ245,'Performance Curves'!$E$1:$L$1,1)+1)-INDEX('Performance Curves'!$E$1:$L$1,1,MATCH('BMP P Tracking Table'!$AZ245,'Performance Curves'!$E$1:$L$1,1))),"")</f>
        <v/>
      </c>
      <c r="BC245" s="102" t="str">
        <f>IFERROR(IF('BMP P Tracking Table'!$AZ245=2,VLOOKUP(CONCATENATE('BMP P Tracking Table'!$AV245," ",'BMP P Tracking Table'!$AX245),'Performance Curves'!$C$1:$L$44,MATCH('BMP P Tracking Table'!$AZ245,'Performance Curves'!$E$1:$L$1,1)+1,FALSE),'BMP P Tracking Table'!$BA245*'BMP P Tracking Table'!$BB245+VLOOKUP(CONCATENATE('BMP P Tracking Table'!$AV245," ",'BMP P Tracking Table'!$AX245),'Performance Curves'!$C$1:$L$44,MATCH('BMP P Tracking Table'!$AZ245,'Performance Curves'!$E$1:$L$1,1)+1,FALSE)),"")</f>
        <v/>
      </c>
      <c r="BD245" s="101" t="str">
        <f>IFERROR('BMP P Tracking Table'!$BC245*'BMP P Tracking Table'!$AY245,"")</f>
        <v/>
      </c>
      <c r="BE245" s="96"/>
      <c r="BF245" s="37">
        <f t="shared" si="19"/>
        <v>0</v>
      </c>
    </row>
    <row r="246" spans="1:58" x14ac:dyDescent="0.3">
      <c r="A246" s="64"/>
      <c r="B246" s="64"/>
      <c r="C246" s="64"/>
      <c r="D246" s="64"/>
      <c r="E246" s="93"/>
      <c r="F246" s="93"/>
      <c r="G246" s="64"/>
      <c r="H246" s="64"/>
      <c r="I246" s="64"/>
      <c r="J246" s="94"/>
      <c r="K246" s="64"/>
      <c r="L246" s="64"/>
      <c r="M246" s="64"/>
      <c r="N246" s="64"/>
      <c r="O246" s="64"/>
      <c r="P246" s="64"/>
      <c r="Q246" s="64" t="str">
        <f>IFERROR(VLOOKUP('BMP P Tracking Table'!$P246,Dropdowns!$C$2:$E$15,3,FALSE),"")</f>
        <v/>
      </c>
      <c r="R246" s="64" t="str">
        <f>IFERROR(VLOOKUP('BMP P Tracking Table'!$Q246,Dropdowns!$P$3:$Q$23,2,FALSE),"")</f>
        <v/>
      </c>
      <c r="S246" s="64"/>
      <c r="T246" s="64"/>
      <c r="U246" s="64"/>
      <c r="V246" s="64"/>
      <c r="W246" s="64"/>
      <c r="X246" s="64"/>
      <c r="Y246" s="64"/>
      <c r="Z246" s="64"/>
      <c r="AA246" s="64"/>
      <c r="AB246" s="95"/>
      <c r="AC246" s="64"/>
      <c r="AD246" s="101" t="str">
        <f>IFERROR('BMP P Tracking Table'!$U246*VLOOKUP('BMP P Tracking Table'!$Q246,'Loading Rates'!$B$1:$L$24,4,FALSE)+IF('BMP P Tracking Table'!$V246="By HSG",'BMP P Tracking Table'!$W246*VLOOKUP('BMP P Tracking Table'!$Q246,'Loading Rates'!$B$1:$L$24,6,FALSE)+'BMP P Tracking Table'!$X246*VLOOKUP('BMP P Tracking Table'!$Q246,'Loading Rates'!$B$1:$L$24,7,FALSE)+'BMP P Tracking Table'!$Y246*VLOOKUP('BMP P Tracking Table'!$Q246,'Loading Rates'!$B$1:$L$24,8,FALSE)+'BMP P Tracking Table'!$Z246*VLOOKUP('BMP P Tracking Table'!$Q246,'Loading Rates'!$B$1:$L$24,9,FALSE),'BMP P Tracking Table'!$AA246*VLOOKUP('BMP P Tracking Table'!$Q246,'Loading Rates'!$B$1:$L$24,10,FALSE)),"")</f>
        <v/>
      </c>
      <c r="AE246" s="101" t="str">
        <f>IFERROR(MIN(2,IF('BMP P Tracking Table'!$V246="Total Pervious",(-(3630*'BMP P Tracking Table'!$U246+20.691*'BMP P Tracking Table'!$AA246)+SQRT((3630*'BMP P Tracking Table'!$U246+20.691*'BMP P Tracking Table'!$AA246)^2-(4*(996.798*'BMP P Tracking Table'!$AA246)*-'BMP P Tracking Table'!$AB246)))/(2*(996.798*'BMP P Tracking Table'!$AA246)),IF(SUM('BMP P Tracking Table'!$W246:$Z246)=0,'BMP P Tracking Table'!$AB246/(-3630*'BMP P Tracking Table'!$U246),(-(3630*'BMP P Tracking Table'!$U246+20.691*'BMP P Tracking Table'!$Z246-216.711*'BMP P Tracking Table'!$Y246-83.853*'BMP P Tracking Table'!$X246-42.834*'BMP P Tracking Table'!$W246)+SQRT((3630*'BMP P Tracking Table'!$U246+20.691*'BMP P Tracking Table'!$Z246-216.711*'BMP P Tracking Table'!$Y246-83.853*'BMP P Tracking Table'!$X246-42.834*'BMP P Tracking Table'!$W246)^2-(4*(149.919*'BMP P Tracking Table'!$W246+236.676*'BMP P Tracking Table'!$X246+726*'BMP P Tracking Table'!$Y246+996.798*'BMP P Tracking Table'!$Z246)*-'BMP P Tracking Table'!$AB246)))/(2*(149.919*'BMP P Tracking Table'!$W246+236.676*'BMP P Tracking Table'!$X246+726*'BMP P Tracking Table'!$Y246+996.798*'BMP P Tracking Table'!$Z246))))),"")</f>
        <v/>
      </c>
      <c r="AF246" s="101" t="str">
        <f>IFERROR((VLOOKUP(CONCATENATE('BMP P Tracking Table'!$T246," ",'BMP P Tracking Table'!$AC246),'Performance Curves'!$C$1:$L$45,MATCH('BMP P Tracking Table'!$AE246,'Performance Curves'!$E$1:$L$1,1)+2,FALSE)-VLOOKUP(CONCATENATE('BMP P Tracking Table'!$T246," ",'BMP P Tracking Table'!$AC246),'Performance Curves'!$C$1:$L$45,MATCH('BMP P Tracking Table'!$AE246,'Performance Curves'!$E$1:$L$1,1)+1,FALSE)),"")</f>
        <v/>
      </c>
      <c r="AG246" s="101" t="str">
        <f>IFERROR(('BMP P Tracking Table'!$AE246-INDEX('Performance Curves'!$E$1:$L$1,1,MATCH('BMP P Tracking Table'!$AE246,'Performance Curves'!$E$1:$L$1,1)))/(INDEX('Performance Curves'!$E$1:$L$1,1,MATCH('BMP P Tracking Table'!$AE246,'Performance Curves'!$E$1:$L$1,1)+1)-INDEX('Performance Curves'!$E$1:$L$1,1,MATCH('BMP P Tracking Table'!$AE246,'Performance Curves'!$E$1:$L$1,1))),"")</f>
        <v/>
      </c>
      <c r="AH246" s="102" t="str">
        <f>IFERROR(IF('BMP P Tracking Table'!$AE246=2,VLOOKUP(CONCATENATE('BMP P Tracking Table'!$T246," ",'BMP P Tracking Table'!$AC246),'Performance Curves'!$C$1:$L$45,MATCH('BMP P Tracking Table'!$AE246,'Performance Curves'!$E$1:$L$1,1)+1,FALSE),'BMP P Tracking Table'!$AF246*'BMP P Tracking Table'!$AG246+VLOOKUP(CONCATENATE('BMP P Tracking Table'!$T246," ",'BMP P Tracking Table'!$AC246),'Performance Curves'!$C$1:$L$45,MATCH('BMP P Tracking Table'!$AE246,'Performance Curves'!$E$1:$L$1,1)+1,FALSE)),"")</f>
        <v/>
      </c>
      <c r="AI246" s="101" t="str">
        <f>IFERROR('BMP P Tracking Table'!$AH246*'BMP P Tracking Table'!$AD246,"")</f>
        <v/>
      </c>
      <c r="AJ246" s="64"/>
      <c r="AK246" s="96"/>
      <c r="AL246" s="96"/>
      <c r="AM246" s="63"/>
      <c r="AN246" s="99" t="str">
        <f t="shared" si="18"/>
        <v/>
      </c>
      <c r="AO246" s="96"/>
      <c r="AP246" s="96"/>
      <c r="AQ246" s="96"/>
      <c r="AR246" s="96"/>
      <c r="AS246" s="96"/>
      <c r="AT246" s="96"/>
      <c r="AU246" s="96"/>
      <c r="AV246" s="64"/>
      <c r="AW246" s="97"/>
      <c r="AX246" s="97"/>
      <c r="AY246" s="101" t="str">
        <f>IF('BMP P Tracking Table'!$AK246="Yes",IF('BMP P Tracking Table'!$AL246="No",'BMP P Tracking Table'!$U246*VLOOKUP('BMP P Tracking Table'!$Q246,'Loading Rates'!$B$1:$L$24,4,FALSE)+IF('BMP P Tracking Table'!$V246="By HSG",'BMP P Tracking Table'!$W246*VLOOKUP('BMP P Tracking Table'!$Q246,'Loading Rates'!$B$1:$L$24,6,FALSE)+'BMP P Tracking Table'!$X246*VLOOKUP('BMP P Tracking Table'!$Q246,'Loading Rates'!$B$1:$L$24,7,FALSE)+'BMP P Tracking Table'!$Y246*VLOOKUP('BMP P Tracking Table'!$Q246,'Loading Rates'!$B$1:$L$24,8,FALSE)+'BMP P Tracking Table'!$Z246*VLOOKUP('BMP P Tracking Table'!$Q246,'Loading Rates'!$B$1:$L$24,9,FALSE),'BMP P Tracking Table'!$AA246*VLOOKUP('BMP P Tracking Table'!$Q246,'Loading Rates'!$B$1:$L$24,10,FALSE)),'BMP P Tracking Table'!$AO246*VLOOKUP('BMP P Tracking Table'!$Q246,'Loading Rates'!$B$1:$L$24,4,FALSE)+IF('BMP P Tracking Table'!$AP246="By HSG",'BMP P Tracking Table'!$AQ246*VLOOKUP('BMP P Tracking Table'!$Q246,'Loading Rates'!$B$1:$L$24,6,FALSE)+'BMP P Tracking Table'!$AR246*VLOOKUP('BMP P Tracking Table'!$Q246,'Loading Rates'!$B$1:$L$24,7,FALSE)+'BMP P Tracking Table'!$AS246*VLOOKUP('BMP P Tracking Table'!$Q246,'Loading Rates'!$B$1:$L$24,8,FALSE)+'BMP P Tracking Table'!$AT246*VLOOKUP('BMP P Tracking Table'!$Q246,'Loading Rates'!$B$1:$L$24,9,FALSE),'BMP P Tracking Table'!$AU246*VLOOKUP('BMP P Tracking Table'!$Q246,'Loading Rates'!$B$1:$L$24,10,FALSE))),"")</f>
        <v/>
      </c>
      <c r="AZ246" s="101" t="str">
        <f>IFERROR(IF('BMP P Tracking Table'!$AL246="Yes",MIN(2,IF('BMP P Tracking Table'!$AP246="Total Pervious",(-(3630*'BMP P Tracking Table'!$AO246+20.691*'BMP P Tracking Table'!$AU246)+SQRT((3630*'BMP P Tracking Table'!$AO246+20.691*'BMP P Tracking Table'!$AU246)^2-(4*(996.798*'BMP P Tracking Table'!$AU246)*-'BMP P Tracking Table'!$AW246)))/(2*(996.798*'BMP P Tracking Table'!$AU246)),IF(SUM('BMP P Tracking Table'!$AQ246:$AT246)=0,'BMP P Tracking Table'!$AU246/(-3630*'BMP P Tracking Table'!$AO246),(-(3630*'BMP P Tracking Table'!$AO246+20.691*'BMP P Tracking Table'!$AT246-216.711*'BMP P Tracking Table'!$AS246-83.853*'BMP P Tracking Table'!$AR246-42.834*'BMP P Tracking Table'!$AQ246)+SQRT((3630*'BMP P Tracking Table'!$AO246+20.691*'BMP P Tracking Table'!$AT246-216.711*'BMP P Tracking Table'!$AS246-83.853*'BMP P Tracking Table'!$AR246-42.834*'BMP P Tracking Table'!$AQ246)^2-(4*(149.919*'BMP P Tracking Table'!$AQ246+236.676*'BMP P Tracking Table'!$AR246+726*'BMP P Tracking Table'!$AS246+996.798*'BMP P Tracking Table'!$AT246)*-'BMP P Tracking Table'!$AW246)))/(2*(149.919*'BMP P Tracking Table'!$AQ246+236.676*'BMP P Tracking Table'!$AR246+726*'BMP P Tracking Table'!$AS246+996.798*'BMP P Tracking Table'!$AT246))))),MIN(2,IF('BMP P Tracking Table'!$AP246="Total Pervious",(-(3630*'BMP P Tracking Table'!$U246+20.691*'BMP P Tracking Table'!$AA246)+SQRT((3630*'BMP P Tracking Table'!$U246+20.691*'BMP P Tracking Table'!$AA246)^2-(4*(996.798*'BMP P Tracking Table'!$AA246)*-'BMP P Tracking Table'!$AW246)))/(2*(996.798*'BMP P Tracking Table'!$AA246)),IF(SUM('BMP P Tracking Table'!$W246:$Z246)=0,'BMP P Tracking Table'!$AW246/(-3630*'BMP P Tracking Table'!$U246),(-(3630*'BMP P Tracking Table'!$U246+20.691*'BMP P Tracking Table'!$Z246-216.711*'BMP P Tracking Table'!$Y246-83.853*'BMP P Tracking Table'!$X246-42.834*'BMP P Tracking Table'!$W246)+SQRT((3630*'BMP P Tracking Table'!$U246+20.691*'BMP P Tracking Table'!$Z246-216.711*'BMP P Tracking Table'!$Y246-83.853*'BMP P Tracking Table'!$X246-42.834*'BMP P Tracking Table'!$W246)^2-(4*(149.919*'BMP P Tracking Table'!$W246+236.676*'BMP P Tracking Table'!$X246+726*'BMP P Tracking Table'!$Y246+996.798*'BMP P Tracking Table'!$Z246)*-'BMP P Tracking Table'!$AW246)))/(2*(149.919*'BMP P Tracking Table'!$W246+236.676*'BMP P Tracking Table'!$X246+726*'BMP P Tracking Table'!$Y246+996.798*'BMP P Tracking Table'!$Z246)))))),"")</f>
        <v/>
      </c>
      <c r="BA246" s="101" t="str">
        <f>IFERROR((VLOOKUP(CONCATENATE('BMP P Tracking Table'!$AV246," ",'BMP P Tracking Table'!$AX246),'Performance Curves'!$C$1:$L$45,MATCH('BMP P Tracking Table'!$AZ246,'Performance Curves'!$E$1:$L$1,1)+2,FALSE)-VLOOKUP(CONCATENATE('BMP P Tracking Table'!$AV246," ",'BMP P Tracking Table'!$AX246),'Performance Curves'!$C$1:$L$45,MATCH('BMP P Tracking Table'!$AZ246,'Performance Curves'!$E$1:$L$1,1)+1,FALSE)),"")</f>
        <v/>
      </c>
      <c r="BB246" s="101" t="str">
        <f>IFERROR(('BMP P Tracking Table'!$AZ246-INDEX('Performance Curves'!$E$1:$L$1,1,MATCH('BMP P Tracking Table'!$AZ246,'Performance Curves'!$E$1:$L$1,1)))/(INDEX('Performance Curves'!$E$1:$L$1,1,MATCH('BMP P Tracking Table'!$AZ246,'Performance Curves'!$E$1:$L$1,1)+1)-INDEX('Performance Curves'!$E$1:$L$1,1,MATCH('BMP P Tracking Table'!$AZ246,'Performance Curves'!$E$1:$L$1,1))),"")</f>
        <v/>
      </c>
      <c r="BC246" s="102" t="str">
        <f>IFERROR(IF('BMP P Tracking Table'!$AZ246=2,VLOOKUP(CONCATENATE('BMP P Tracking Table'!$AV246," ",'BMP P Tracking Table'!$AX246),'Performance Curves'!$C$1:$L$44,MATCH('BMP P Tracking Table'!$AZ246,'Performance Curves'!$E$1:$L$1,1)+1,FALSE),'BMP P Tracking Table'!$BA246*'BMP P Tracking Table'!$BB246+VLOOKUP(CONCATENATE('BMP P Tracking Table'!$AV246," ",'BMP P Tracking Table'!$AX246),'Performance Curves'!$C$1:$L$44,MATCH('BMP P Tracking Table'!$AZ246,'Performance Curves'!$E$1:$L$1,1)+1,FALSE)),"")</f>
        <v/>
      </c>
      <c r="BD246" s="101" t="str">
        <f>IFERROR('BMP P Tracking Table'!$BC246*'BMP P Tracking Table'!$AY246,"")</f>
        <v/>
      </c>
      <c r="BE246" s="96"/>
      <c r="BF246" s="37">
        <f t="shared" si="19"/>
        <v>0</v>
      </c>
    </row>
    <row r="247" spans="1:58" x14ac:dyDescent="0.3">
      <c r="A247" s="64"/>
      <c r="B247" s="64"/>
      <c r="C247" s="64"/>
      <c r="D247" s="64"/>
      <c r="E247" s="93"/>
      <c r="F247" s="93"/>
      <c r="G247" s="64"/>
      <c r="H247" s="64"/>
      <c r="I247" s="64"/>
      <c r="J247" s="94"/>
      <c r="K247" s="64"/>
      <c r="L247" s="64"/>
      <c r="M247" s="64"/>
      <c r="N247" s="64"/>
      <c r="O247" s="64"/>
      <c r="P247" s="64"/>
      <c r="Q247" s="64" t="str">
        <f>IFERROR(VLOOKUP('BMP P Tracking Table'!$P247,Dropdowns!$C$2:$E$15,3,FALSE),"")</f>
        <v/>
      </c>
      <c r="R247" s="64" t="str">
        <f>IFERROR(VLOOKUP('BMP P Tracking Table'!$Q247,Dropdowns!$P$3:$Q$23,2,FALSE),"")</f>
        <v/>
      </c>
      <c r="S247" s="64"/>
      <c r="T247" s="64"/>
      <c r="U247" s="64"/>
      <c r="V247" s="64"/>
      <c r="W247" s="64"/>
      <c r="X247" s="64"/>
      <c r="Y247" s="64"/>
      <c r="Z247" s="64"/>
      <c r="AA247" s="64"/>
      <c r="AB247" s="95"/>
      <c r="AC247" s="64"/>
      <c r="AD247" s="101" t="str">
        <f>IFERROR('BMP P Tracking Table'!$U247*VLOOKUP('BMP P Tracking Table'!$Q247,'Loading Rates'!$B$1:$L$24,4,FALSE)+IF('BMP P Tracking Table'!$V247="By HSG",'BMP P Tracking Table'!$W247*VLOOKUP('BMP P Tracking Table'!$Q247,'Loading Rates'!$B$1:$L$24,6,FALSE)+'BMP P Tracking Table'!$X247*VLOOKUP('BMP P Tracking Table'!$Q247,'Loading Rates'!$B$1:$L$24,7,FALSE)+'BMP P Tracking Table'!$Y247*VLOOKUP('BMP P Tracking Table'!$Q247,'Loading Rates'!$B$1:$L$24,8,FALSE)+'BMP P Tracking Table'!$Z247*VLOOKUP('BMP P Tracking Table'!$Q247,'Loading Rates'!$B$1:$L$24,9,FALSE),'BMP P Tracking Table'!$AA247*VLOOKUP('BMP P Tracking Table'!$Q247,'Loading Rates'!$B$1:$L$24,10,FALSE)),"")</f>
        <v/>
      </c>
      <c r="AE247" s="101" t="str">
        <f>IFERROR(MIN(2,IF('BMP P Tracking Table'!$V247="Total Pervious",(-(3630*'BMP P Tracking Table'!$U247+20.691*'BMP P Tracking Table'!$AA247)+SQRT((3630*'BMP P Tracking Table'!$U247+20.691*'BMP P Tracking Table'!$AA247)^2-(4*(996.798*'BMP P Tracking Table'!$AA247)*-'BMP P Tracking Table'!$AB247)))/(2*(996.798*'BMP P Tracking Table'!$AA247)),IF(SUM('BMP P Tracking Table'!$W247:$Z247)=0,'BMP P Tracking Table'!$AB247/(-3630*'BMP P Tracking Table'!$U247),(-(3630*'BMP P Tracking Table'!$U247+20.691*'BMP P Tracking Table'!$Z247-216.711*'BMP P Tracking Table'!$Y247-83.853*'BMP P Tracking Table'!$X247-42.834*'BMP P Tracking Table'!$W247)+SQRT((3630*'BMP P Tracking Table'!$U247+20.691*'BMP P Tracking Table'!$Z247-216.711*'BMP P Tracking Table'!$Y247-83.853*'BMP P Tracking Table'!$X247-42.834*'BMP P Tracking Table'!$W247)^2-(4*(149.919*'BMP P Tracking Table'!$W247+236.676*'BMP P Tracking Table'!$X247+726*'BMP P Tracking Table'!$Y247+996.798*'BMP P Tracking Table'!$Z247)*-'BMP P Tracking Table'!$AB247)))/(2*(149.919*'BMP P Tracking Table'!$W247+236.676*'BMP P Tracking Table'!$X247+726*'BMP P Tracking Table'!$Y247+996.798*'BMP P Tracking Table'!$Z247))))),"")</f>
        <v/>
      </c>
      <c r="AF247" s="101" t="str">
        <f>IFERROR((VLOOKUP(CONCATENATE('BMP P Tracking Table'!$T247," ",'BMP P Tracking Table'!$AC247),'Performance Curves'!$C$1:$L$45,MATCH('BMP P Tracking Table'!$AE247,'Performance Curves'!$E$1:$L$1,1)+2,FALSE)-VLOOKUP(CONCATENATE('BMP P Tracking Table'!$T247," ",'BMP P Tracking Table'!$AC247),'Performance Curves'!$C$1:$L$45,MATCH('BMP P Tracking Table'!$AE247,'Performance Curves'!$E$1:$L$1,1)+1,FALSE)),"")</f>
        <v/>
      </c>
      <c r="AG247" s="101" t="str">
        <f>IFERROR(('BMP P Tracking Table'!$AE247-INDEX('Performance Curves'!$E$1:$L$1,1,MATCH('BMP P Tracking Table'!$AE247,'Performance Curves'!$E$1:$L$1,1)))/(INDEX('Performance Curves'!$E$1:$L$1,1,MATCH('BMP P Tracking Table'!$AE247,'Performance Curves'!$E$1:$L$1,1)+1)-INDEX('Performance Curves'!$E$1:$L$1,1,MATCH('BMP P Tracking Table'!$AE247,'Performance Curves'!$E$1:$L$1,1))),"")</f>
        <v/>
      </c>
      <c r="AH247" s="102" t="str">
        <f>IFERROR(IF('BMP P Tracking Table'!$AE247=2,VLOOKUP(CONCATENATE('BMP P Tracking Table'!$T247," ",'BMP P Tracking Table'!$AC247),'Performance Curves'!$C$1:$L$45,MATCH('BMP P Tracking Table'!$AE247,'Performance Curves'!$E$1:$L$1,1)+1,FALSE),'BMP P Tracking Table'!$AF247*'BMP P Tracking Table'!$AG247+VLOOKUP(CONCATENATE('BMP P Tracking Table'!$T247," ",'BMP P Tracking Table'!$AC247),'Performance Curves'!$C$1:$L$45,MATCH('BMP P Tracking Table'!$AE247,'Performance Curves'!$E$1:$L$1,1)+1,FALSE)),"")</f>
        <v/>
      </c>
      <c r="AI247" s="101" t="str">
        <f>IFERROR('BMP P Tracking Table'!$AH247*'BMP P Tracking Table'!$AD247,"")</f>
        <v/>
      </c>
      <c r="AJ247" s="64"/>
      <c r="AK247" s="96"/>
      <c r="AL247" s="96"/>
      <c r="AM247" s="63"/>
      <c r="AN247" s="99" t="str">
        <f t="shared" si="18"/>
        <v/>
      </c>
      <c r="AO247" s="96"/>
      <c r="AP247" s="96"/>
      <c r="AQ247" s="96"/>
      <c r="AR247" s="96"/>
      <c r="AS247" s="96"/>
      <c r="AT247" s="96"/>
      <c r="AU247" s="96"/>
      <c r="AV247" s="64"/>
      <c r="AW247" s="97"/>
      <c r="AX247" s="97"/>
      <c r="AY247" s="101" t="str">
        <f>IF('BMP P Tracking Table'!$AK247="Yes",IF('BMP P Tracking Table'!$AL247="No",'BMP P Tracking Table'!$U247*VLOOKUP('BMP P Tracking Table'!$Q247,'Loading Rates'!$B$1:$L$24,4,FALSE)+IF('BMP P Tracking Table'!$V247="By HSG",'BMP P Tracking Table'!$W247*VLOOKUP('BMP P Tracking Table'!$Q247,'Loading Rates'!$B$1:$L$24,6,FALSE)+'BMP P Tracking Table'!$X247*VLOOKUP('BMP P Tracking Table'!$Q247,'Loading Rates'!$B$1:$L$24,7,FALSE)+'BMP P Tracking Table'!$Y247*VLOOKUP('BMP P Tracking Table'!$Q247,'Loading Rates'!$B$1:$L$24,8,FALSE)+'BMP P Tracking Table'!$Z247*VLOOKUP('BMP P Tracking Table'!$Q247,'Loading Rates'!$B$1:$L$24,9,FALSE),'BMP P Tracking Table'!$AA247*VLOOKUP('BMP P Tracking Table'!$Q247,'Loading Rates'!$B$1:$L$24,10,FALSE)),'BMP P Tracking Table'!$AO247*VLOOKUP('BMP P Tracking Table'!$Q247,'Loading Rates'!$B$1:$L$24,4,FALSE)+IF('BMP P Tracking Table'!$AP247="By HSG",'BMP P Tracking Table'!$AQ247*VLOOKUP('BMP P Tracking Table'!$Q247,'Loading Rates'!$B$1:$L$24,6,FALSE)+'BMP P Tracking Table'!$AR247*VLOOKUP('BMP P Tracking Table'!$Q247,'Loading Rates'!$B$1:$L$24,7,FALSE)+'BMP P Tracking Table'!$AS247*VLOOKUP('BMP P Tracking Table'!$Q247,'Loading Rates'!$B$1:$L$24,8,FALSE)+'BMP P Tracking Table'!$AT247*VLOOKUP('BMP P Tracking Table'!$Q247,'Loading Rates'!$B$1:$L$24,9,FALSE),'BMP P Tracking Table'!$AU247*VLOOKUP('BMP P Tracking Table'!$Q247,'Loading Rates'!$B$1:$L$24,10,FALSE))),"")</f>
        <v/>
      </c>
      <c r="AZ247" s="101" t="str">
        <f>IFERROR(IF('BMP P Tracking Table'!$AL247="Yes",MIN(2,IF('BMP P Tracking Table'!$AP247="Total Pervious",(-(3630*'BMP P Tracking Table'!$AO247+20.691*'BMP P Tracking Table'!$AU247)+SQRT((3630*'BMP P Tracking Table'!$AO247+20.691*'BMP P Tracking Table'!$AU247)^2-(4*(996.798*'BMP P Tracking Table'!$AU247)*-'BMP P Tracking Table'!$AW247)))/(2*(996.798*'BMP P Tracking Table'!$AU247)),IF(SUM('BMP P Tracking Table'!$AQ247:$AT247)=0,'BMP P Tracking Table'!$AU247/(-3630*'BMP P Tracking Table'!$AO247),(-(3630*'BMP P Tracking Table'!$AO247+20.691*'BMP P Tracking Table'!$AT247-216.711*'BMP P Tracking Table'!$AS247-83.853*'BMP P Tracking Table'!$AR247-42.834*'BMP P Tracking Table'!$AQ247)+SQRT((3630*'BMP P Tracking Table'!$AO247+20.691*'BMP P Tracking Table'!$AT247-216.711*'BMP P Tracking Table'!$AS247-83.853*'BMP P Tracking Table'!$AR247-42.834*'BMP P Tracking Table'!$AQ247)^2-(4*(149.919*'BMP P Tracking Table'!$AQ247+236.676*'BMP P Tracking Table'!$AR247+726*'BMP P Tracking Table'!$AS247+996.798*'BMP P Tracking Table'!$AT247)*-'BMP P Tracking Table'!$AW247)))/(2*(149.919*'BMP P Tracking Table'!$AQ247+236.676*'BMP P Tracking Table'!$AR247+726*'BMP P Tracking Table'!$AS247+996.798*'BMP P Tracking Table'!$AT247))))),MIN(2,IF('BMP P Tracking Table'!$AP247="Total Pervious",(-(3630*'BMP P Tracking Table'!$U247+20.691*'BMP P Tracking Table'!$AA247)+SQRT((3630*'BMP P Tracking Table'!$U247+20.691*'BMP P Tracking Table'!$AA247)^2-(4*(996.798*'BMP P Tracking Table'!$AA247)*-'BMP P Tracking Table'!$AW247)))/(2*(996.798*'BMP P Tracking Table'!$AA247)),IF(SUM('BMP P Tracking Table'!$W247:$Z247)=0,'BMP P Tracking Table'!$AW247/(-3630*'BMP P Tracking Table'!$U247),(-(3630*'BMP P Tracking Table'!$U247+20.691*'BMP P Tracking Table'!$Z247-216.711*'BMP P Tracking Table'!$Y247-83.853*'BMP P Tracking Table'!$X247-42.834*'BMP P Tracking Table'!$W247)+SQRT((3630*'BMP P Tracking Table'!$U247+20.691*'BMP P Tracking Table'!$Z247-216.711*'BMP P Tracking Table'!$Y247-83.853*'BMP P Tracking Table'!$X247-42.834*'BMP P Tracking Table'!$W247)^2-(4*(149.919*'BMP P Tracking Table'!$W247+236.676*'BMP P Tracking Table'!$X247+726*'BMP P Tracking Table'!$Y247+996.798*'BMP P Tracking Table'!$Z247)*-'BMP P Tracking Table'!$AW247)))/(2*(149.919*'BMP P Tracking Table'!$W247+236.676*'BMP P Tracking Table'!$X247+726*'BMP P Tracking Table'!$Y247+996.798*'BMP P Tracking Table'!$Z247)))))),"")</f>
        <v/>
      </c>
      <c r="BA247" s="101" t="str">
        <f>IFERROR((VLOOKUP(CONCATENATE('BMP P Tracking Table'!$AV247," ",'BMP P Tracking Table'!$AX247),'Performance Curves'!$C$1:$L$45,MATCH('BMP P Tracking Table'!$AZ247,'Performance Curves'!$E$1:$L$1,1)+2,FALSE)-VLOOKUP(CONCATENATE('BMP P Tracking Table'!$AV247," ",'BMP P Tracking Table'!$AX247),'Performance Curves'!$C$1:$L$45,MATCH('BMP P Tracking Table'!$AZ247,'Performance Curves'!$E$1:$L$1,1)+1,FALSE)),"")</f>
        <v/>
      </c>
      <c r="BB247" s="101" t="str">
        <f>IFERROR(('BMP P Tracking Table'!$AZ247-INDEX('Performance Curves'!$E$1:$L$1,1,MATCH('BMP P Tracking Table'!$AZ247,'Performance Curves'!$E$1:$L$1,1)))/(INDEX('Performance Curves'!$E$1:$L$1,1,MATCH('BMP P Tracking Table'!$AZ247,'Performance Curves'!$E$1:$L$1,1)+1)-INDEX('Performance Curves'!$E$1:$L$1,1,MATCH('BMP P Tracking Table'!$AZ247,'Performance Curves'!$E$1:$L$1,1))),"")</f>
        <v/>
      </c>
      <c r="BC247" s="102" t="str">
        <f>IFERROR(IF('BMP P Tracking Table'!$AZ247=2,VLOOKUP(CONCATENATE('BMP P Tracking Table'!$AV247," ",'BMP P Tracking Table'!$AX247),'Performance Curves'!$C$1:$L$44,MATCH('BMP P Tracking Table'!$AZ247,'Performance Curves'!$E$1:$L$1,1)+1,FALSE),'BMP P Tracking Table'!$BA247*'BMP P Tracking Table'!$BB247+VLOOKUP(CONCATENATE('BMP P Tracking Table'!$AV247," ",'BMP P Tracking Table'!$AX247),'Performance Curves'!$C$1:$L$44,MATCH('BMP P Tracking Table'!$AZ247,'Performance Curves'!$E$1:$L$1,1)+1,FALSE)),"")</f>
        <v/>
      </c>
      <c r="BD247" s="101" t="str">
        <f>IFERROR('BMP P Tracking Table'!$BC247*'BMP P Tracking Table'!$AY247,"")</f>
        <v/>
      </c>
      <c r="BE247" s="96"/>
      <c r="BF247" s="37">
        <f t="shared" si="19"/>
        <v>0</v>
      </c>
    </row>
    <row r="248" spans="1:58" x14ac:dyDescent="0.3">
      <c r="A248" s="64"/>
      <c r="B248" s="64"/>
      <c r="C248" s="64"/>
      <c r="D248" s="64"/>
      <c r="E248" s="93"/>
      <c r="F248" s="93"/>
      <c r="G248" s="64"/>
      <c r="H248" s="64"/>
      <c r="I248" s="64"/>
      <c r="J248" s="94"/>
      <c r="K248" s="64"/>
      <c r="L248" s="64"/>
      <c r="M248" s="64"/>
      <c r="N248" s="64"/>
      <c r="O248" s="64"/>
      <c r="P248" s="64"/>
      <c r="Q248" s="64" t="str">
        <f>IFERROR(VLOOKUP('BMP P Tracking Table'!$P248,Dropdowns!$C$2:$E$15,3,FALSE),"")</f>
        <v/>
      </c>
      <c r="R248" s="64" t="str">
        <f>IFERROR(VLOOKUP('BMP P Tracking Table'!$Q248,Dropdowns!$P$3:$Q$23,2,FALSE),"")</f>
        <v/>
      </c>
      <c r="S248" s="64"/>
      <c r="T248" s="64"/>
      <c r="U248" s="64"/>
      <c r="V248" s="64"/>
      <c r="W248" s="64"/>
      <c r="X248" s="64"/>
      <c r="Y248" s="64"/>
      <c r="Z248" s="64"/>
      <c r="AA248" s="64"/>
      <c r="AB248" s="95"/>
      <c r="AC248" s="64"/>
      <c r="AD248" s="101" t="str">
        <f>IFERROR('BMP P Tracking Table'!$U248*VLOOKUP('BMP P Tracking Table'!$Q248,'Loading Rates'!$B$1:$L$24,4,FALSE)+IF('BMP P Tracking Table'!$V248="By HSG",'BMP P Tracking Table'!$W248*VLOOKUP('BMP P Tracking Table'!$Q248,'Loading Rates'!$B$1:$L$24,6,FALSE)+'BMP P Tracking Table'!$X248*VLOOKUP('BMP P Tracking Table'!$Q248,'Loading Rates'!$B$1:$L$24,7,FALSE)+'BMP P Tracking Table'!$Y248*VLOOKUP('BMP P Tracking Table'!$Q248,'Loading Rates'!$B$1:$L$24,8,FALSE)+'BMP P Tracking Table'!$Z248*VLOOKUP('BMP P Tracking Table'!$Q248,'Loading Rates'!$B$1:$L$24,9,FALSE),'BMP P Tracking Table'!$AA248*VLOOKUP('BMP P Tracking Table'!$Q248,'Loading Rates'!$B$1:$L$24,10,FALSE)),"")</f>
        <v/>
      </c>
      <c r="AE248" s="101" t="str">
        <f>IFERROR(MIN(2,IF('BMP P Tracking Table'!$V248="Total Pervious",(-(3630*'BMP P Tracking Table'!$U248+20.691*'BMP P Tracking Table'!$AA248)+SQRT((3630*'BMP P Tracking Table'!$U248+20.691*'BMP P Tracking Table'!$AA248)^2-(4*(996.798*'BMP P Tracking Table'!$AA248)*-'BMP P Tracking Table'!$AB248)))/(2*(996.798*'BMP P Tracking Table'!$AA248)),IF(SUM('BMP P Tracking Table'!$W248:$Z248)=0,'BMP P Tracking Table'!$AB248/(-3630*'BMP P Tracking Table'!$U248),(-(3630*'BMP P Tracking Table'!$U248+20.691*'BMP P Tracking Table'!$Z248-216.711*'BMP P Tracking Table'!$Y248-83.853*'BMP P Tracking Table'!$X248-42.834*'BMP P Tracking Table'!$W248)+SQRT((3630*'BMP P Tracking Table'!$U248+20.691*'BMP P Tracking Table'!$Z248-216.711*'BMP P Tracking Table'!$Y248-83.853*'BMP P Tracking Table'!$X248-42.834*'BMP P Tracking Table'!$W248)^2-(4*(149.919*'BMP P Tracking Table'!$W248+236.676*'BMP P Tracking Table'!$X248+726*'BMP P Tracking Table'!$Y248+996.798*'BMP P Tracking Table'!$Z248)*-'BMP P Tracking Table'!$AB248)))/(2*(149.919*'BMP P Tracking Table'!$W248+236.676*'BMP P Tracking Table'!$X248+726*'BMP P Tracking Table'!$Y248+996.798*'BMP P Tracking Table'!$Z248))))),"")</f>
        <v/>
      </c>
      <c r="AF248" s="101" t="str">
        <f>IFERROR((VLOOKUP(CONCATENATE('BMP P Tracking Table'!$T248," ",'BMP P Tracking Table'!$AC248),'Performance Curves'!$C$1:$L$45,MATCH('BMP P Tracking Table'!$AE248,'Performance Curves'!$E$1:$L$1,1)+2,FALSE)-VLOOKUP(CONCATENATE('BMP P Tracking Table'!$T248," ",'BMP P Tracking Table'!$AC248),'Performance Curves'!$C$1:$L$45,MATCH('BMP P Tracking Table'!$AE248,'Performance Curves'!$E$1:$L$1,1)+1,FALSE)),"")</f>
        <v/>
      </c>
      <c r="AG248" s="101" t="str">
        <f>IFERROR(('BMP P Tracking Table'!$AE248-INDEX('Performance Curves'!$E$1:$L$1,1,MATCH('BMP P Tracking Table'!$AE248,'Performance Curves'!$E$1:$L$1,1)))/(INDEX('Performance Curves'!$E$1:$L$1,1,MATCH('BMP P Tracking Table'!$AE248,'Performance Curves'!$E$1:$L$1,1)+1)-INDEX('Performance Curves'!$E$1:$L$1,1,MATCH('BMP P Tracking Table'!$AE248,'Performance Curves'!$E$1:$L$1,1))),"")</f>
        <v/>
      </c>
      <c r="AH248" s="102" t="str">
        <f>IFERROR(IF('BMP P Tracking Table'!$AE248=2,VLOOKUP(CONCATENATE('BMP P Tracking Table'!$T248," ",'BMP P Tracking Table'!$AC248),'Performance Curves'!$C$1:$L$45,MATCH('BMP P Tracking Table'!$AE248,'Performance Curves'!$E$1:$L$1,1)+1,FALSE),'BMP P Tracking Table'!$AF248*'BMP P Tracking Table'!$AG248+VLOOKUP(CONCATENATE('BMP P Tracking Table'!$T248," ",'BMP P Tracking Table'!$AC248),'Performance Curves'!$C$1:$L$45,MATCH('BMP P Tracking Table'!$AE248,'Performance Curves'!$E$1:$L$1,1)+1,FALSE)),"")</f>
        <v/>
      </c>
      <c r="AI248" s="101" t="str">
        <f>IFERROR('BMP P Tracking Table'!$AH248*'BMP P Tracking Table'!$AD248,"")</f>
        <v/>
      </c>
      <c r="AJ248" s="64"/>
      <c r="AK248" s="96"/>
      <c r="AL248" s="96"/>
      <c r="AM248" s="63"/>
      <c r="AN248" s="99" t="str">
        <f t="shared" si="18"/>
        <v/>
      </c>
      <c r="AO248" s="96"/>
      <c r="AP248" s="96"/>
      <c r="AQ248" s="96"/>
      <c r="AR248" s="96"/>
      <c r="AS248" s="96"/>
      <c r="AT248" s="96"/>
      <c r="AU248" s="96"/>
      <c r="AV248" s="64"/>
      <c r="AW248" s="97"/>
      <c r="AX248" s="97"/>
      <c r="AY248" s="101" t="str">
        <f>IF('BMP P Tracking Table'!$AK248="Yes",IF('BMP P Tracking Table'!$AL248="No",'BMP P Tracking Table'!$U248*VLOOKUP('BMP P Tracking Table'!$Q248,'Loading Rates'!$B$1:$L$24,4,FALSE)+IF('BMP P Tracking Table'!$V248="By HSG",'BMP P Tracking Table'!$W248*VLOOKUP('BMP P Tracking Table'!$Q248,'Loading Rates'!$B$1:$L$24,6,FALSE)+'BMP P Tracking Table'!$X248*VLOOKUP('BMP P Tracking Table'!$Q248,'Loading Rates'!$B$1:$L$24,7,FALSE)+'BMP P Tracking Table'!$Y248*VLOOKUP('BMP P Tracking Table'!$Q248,'Loading Rates'!$B$1:$L$24,8,FALSE)+'BMP P Tracking Table'!$Z248*VLOOKUP('BMP P Tracking Table'!$Q248,'Loading Rates'!$B$1:$L$24,9,FALSE),'BMP P Tracking Table'!$AA248*VLOOKUP('BMP P Tracking Table'!$Q248,'Loading Rates'!$B$1:$L$24,10,FALSE)),'BMP P Tracking Table'!$AO248*VLOOKUP('BMP P Tracking Table'!$Q248,'Loading Rates'!$B$1:$L$24,4,FALSE)+IF('BMP P Tracking Table'!$AP248="By HSG",'BMP P Tracking Table'!$AQ248*VLOOKUP('BMP P Tracking Table'!$Q248,'Loading Rates'!$B$1:$L$24,6,FALSE)+'BMP P Tracking Table'!$AR248*VLOOKUP('BMP P Tracking Table'!$Q248,'Loading Rates'!$B$1:$L$24,7,FALSE)+'BMP P Tracking Table'!$AS248*VLOOKUP('BMP P Tracking Table'!$Q248,'Loading Rates'!$B$1:$L$24,8,FALSE)+'BMP P Tracking Table'!$AT248*VLOOKUP('BMP P Tracking Table'!$Q248,'Loading Rates'!$B$1:$L$24,9,FALSE),'BMP P Tracking Table'!$AU248*VLOOKUP('BMP P Tracking Table'!$Q248,'Loading Rates'!$B$1:$L$24,10,FALSE))),"")</f>
        <v/>
      </c>
      <c r="AZ248" s="101" t="str">
        <f>IFERROR(IF('BMP P Tracking Table'!$AL248="Yes",MIN(2,IF('BMP P Tracking Table'!$AP248="Total Pervious",(-(3630*'BMP P Tracking Table'!$AO248+20.691*'BMP P Tracking Table'!$AU248)+SQRT((3630*'BMP P Tracking Table'!$AO248+20.691*'BMP P Tracking Table'!$AU248)^2-(4*(996.798*'BMP P Tracking Table'!$AU248)*-'BMP P Tracking Table'!$AW248)))/(2*(996.798*'BMP P Tracking Table'!$AU248)),IF(SUM('BMP P Tracking Table'!$AQ248:$AT248)=0,'BMP P Tracking Table'!$AU248/(-3630*'BMP P Tracking Table'!$AO248),(-(3630*'BMP P Tracking Table'!$AO248+20.691*'BMP P Tracking Table'!$AT248-216.711*'BMP P Tracking Table'!$AS248-83.853*'BMP P Tracking Table'!$AR248-42.834*'BMP P Tracking Table'!$AQ248)+SQRT((3630*'BMP P Tracking Table'!$AO248+20.691*'BMP P Tracking Table'!$AT248-216.711*'BMP P Tracking Table'!$AS248-83.853*'BMP P Tracking Table'!$AR248-42.834*'BMP P Tracking Table'!$AQ248)^2-(4*(149.919*'BMP P Tracking Table'!$AQ248+236.676*'BMP P Tracking Table'!$AR248+726*'BMP P Tracking Table'!$AS248+996.798*'BMP P Tracking Table'!$AT248)*-'BMP P Tracking Table'!$AW248)))/(2*(149.919*'BMP P Tracking Table'!$AQ248+236.676*'BMP P Tracking Table'!$AR248+726*'BMP P Tracking Table'!$AS248+996.798*'BMP P Tracking Table'!$AT248))))),MIN(2,IF('BMP P Tracking Table'!$AP248="Total Pervious",(-(3630*'BMP P Tracking Table'!$U248+20.691*'BMP P Tracking Table'!$AA248)+SQRT((3630*'BMP P Tracking Table'!$U248+20.691*'BMP P Tracking Table'!$AA248)^2-(4*(996.798*'BMP P Tracking Table'!$AA248)*-'BMP P Tracking Table'!$AW248)))/(2*(996.798*'BMP P Tracking Table'!$AA248)),IF(SUM('BMP P Tracking Table'!$W248:$Z248)=0,'BMP P Tracking Table'!$AW248/(-3630*'BMP P Tracking Table'!$U248),(-(3630*'BMP P Tracking Table'!$U248+20.691*'BMP P Tracking Table'!$Z248-216.711*'BMP P Tracking Table'!$Y248-83.853*'BMP P Tracking Table'!$X248-42.834*'BMP P Tracking Table'!$W248)+SQRT((3630*'BMP P Tracking Table'!$U248+20.691*'BMP P Tracking Table'!$Z248-216.711*'BMP P Tracking Table'!$Y248-83.853*'BMP P Tracking Table'!$X248-42.834*'BMP P Tracking Table'!$W248)^2-(4*(149.919*'BMP P Tracking Table'!$W248+236.676*'BMP P Tracking Table'!$X248+726*'BMP P Tracking Table'!$Y248+996.798*'BMP P Tracking Table'!$Z248)*-'BMP P Tracking Table'!$AW248)))/(2*(149.919*'BMP P Tracking Table'!$W248+236.676*'BMP P Tracking Table'!$X248+726*'BMP P Tracking Table'!$Y248+996.798*'BMP P Tracking Table'!$Z248)))))),"")</f>
        <v/>
      </c>
      <c r="BA248" s="101" t="str">
        <f>IFERROR((VLOOKUP(CONCATENATE('BMP P Tracking Table'!$AV248," ",'BMP P Tracking Table'!$AX248),'Performance Curves'!$C$1:$L$45,MATCH('BMP P Tracking Table'!$AZ248,'Performance Curves'!$E$1:$L$1,1)+2,FALSE)-VLOOKUP(CONCATENATE('BMP P Tracking Table'!$AV248," ",'BMP P Tracking Table'!$AX248),'Performance Curves'!$C$1:$L$45,MATCH('BMP P Tracking Table'!$AZ248,'Performance Curves'!$E$1:$L$1,1)+1,FALSE)),"")</f>
        <v/>
      </c>
      <c r="BB248" s="101" t="str">
        <f>IFERROR(('BMP P Tracking Table'!$AZ248-INDEX('Performance Curves'!$E$1:$L$1,1,MATCH('BMP P Tracking Table'!$AZ248,'Performance Curves'!$E$1:$L$1,1)))/(INDEX('Performance Curves'!$E$1:$L$1,1,MATCH('BMP P Tracking Table'!$AZ248,'Performance Curves'!$E$1:$L$1,1)+1)-INDEX('Performance Curves'!$E$1:$L$1,1,MATCH('BMP P Tracking Table'!$AZ248,'Performance Curves'!$E$1:$L$1,1))),"")</f>
        <v/>
      </c>
      <c r="BC248" s="102" t="str">
        <f>IFERROR(IF('BMP P Tracking Table'!$AZ248=2,VLOOKUP(CONCATENATE('BMP P Tracking Table'!$AV248," ",'BMP P Tracking Table'!$AX248),'Performance Curves'!$C$1:$L$44,MATCH('BMP P Tracking Table'!$AZ248,'Performance Curves'!$E$1:$L$1,1)+1,FALSE),'BMP P Tracking Table'!$BA248*'BMP P Tracking Table'!$BB248+VLOOKUP(CONCATENATE('BMP P Tracking Table'!$AV248," ",'BMP P Tracking Table'!$AX248),'Performance Curves'!$C$1:$L$44,MATCH('BMP P Tracking Table'!$AZ248,'Performance Curves'!$E$1:$L$1,1)+1,FALSE)),"")</f>
        <v/>
      </c>
      <c r="BD248" s="101" t="str">
        <f>IFERROR('BMP P Tracking Table'!$BC248*'BMP P Tracking Table'!$AY248,"")</f>
        <v/>
      </c>
      <c r="BE248" s="96"/>
      <c r="BF248" s="37">
        <f t="shared" si="19"/>
        <v>0</v>
      </c>
    </row>
    <row r="249" spans="1:58" x14ac:dyDescent="0.3">
      <c r="A249" s="64"/>
      <c r="B249" s="64"/>
      <c r="C249" s="64"/>
      <c r="D249" s="64"/>
      <c r="E249" s="93"/>
      <c r="F249" s="93"/>
      <c r="G249" s="64"/>
      <c r="H249" s="64"/>
      <c r="I249" s="64"/>
      <c r="J249" s="94"/>
      <c r="K249" s="64"/>
      <c r="L249" s="64"/>
      <c r="M249" s="64"/>
      <c r="N249" s="64"/>
      <c r="O249" s="64"/>
      <c r="P249" s="64"/>
      <c r="Q249" s="64" t="str">
        <f>IFERROR(VLOOKUP('BMP P Tracking Table'!$P249,Dropdowns!$C$2:$E$15,3,FALSE),"")</f>
        <v/>
      </c>
      <c r="R249" s="64" t="str">
        <f>IFERROR(VLOOKUP('BMP P Tracking Table'!$Q249,Dropdowns!$P$3:$Q$23,2,FALSE),"")</f>
        <v/>
      </c>
      <c r="S249" s="64"/>
      <c r="T249" s="64"/>
      <c r="U249" s="64"/>
      <c r="V249" s="64"/>
      <c r="W249" s="64"/>
      <c r="X249" s="64"/>
      <c r="Y249" s="64"/>
      <c r="Z249" s="64"/>
      <c r="AA249" s="64"/>
      <c r="AB249" s="95"/>
      <c r="AC249" s="64"/>
      <c r="AD249" s="101" t="str">
        <f>IFERROR('BMP P Tracking Table'!$U249*VLOOKUP('BMP P Tracking Table'!$Q249,'Loading Rates'!$B$1:$L$24,4,FALSE)+IF('BMP P Tracking Table'!$V249="By HSG",'BMP P Tracking Table'!$W249*VLOOKUP('BMP P Tracking Table'!$Q249,'Loading Rates'!$B$1:$L$24,6,FALSE)+'BMP P Tracking Table'!$X249*VLOOKUP('BMP P Tracking Table'!$Q249,'Loading Rates'!$B$1:$L$24,7,FALSE)+'BMP P Tracking Table'!$Y249*VLOOKUP('BMP P Tracking Table'!$Q249,'Loading Rates'!$B$1:$L$24,8,FALSE)+'BMP P Tracking Table'!$Z249*VLOOKUP('BMP P Tracking Table'!$Q249,'Loading Rates'!$B$1:$L$24,9,FALSE),'BMP P Tracking Table'!$AA249*VLOOKUP('BMP P Tracking Table'!$Q249,'Loading Rates'!$B$1:$L$24,10,FALSE)),"")</f>
        <v/>
      </c>
      <c r="AE249" s="101" t="str">
        <f>IFERROR(MIN(2,IF('BMP P Tracking Table'!$V249="Total Pervious",(-(3630*'BMP P Tracking Table'!$U249+20.691*'BMP P Tracking Table'!$AA249)+SQRT((3630*'BMP P Tracking Table'!$U249+20.691*'BMP P Tracking Table'!$AA249)^2-(4*(996.798*'BMP P Tracking Table'!$AA249)*-'BMP P Tracking Table'!$AB249)))/(2*(996.798*'BMP P Tracking Table'!$AA249)),IF(SUM('BMP P Tracking Table'!$W249:$Z249)=0,'BMP P Tracking Table'!$AB249/(-3630*'BMP P Tracking Table'!$U249),(-(3630*'BMP P Tracking Table'!$U249+20.691*'BMP P Tracking Table'!$Z249-216.711*'BMP P Tracking Table'!$Y249-83.853*'BMP P Tracking Table'!$X249-42.834*'BMP P Tracking Table'!$W249)+SQRT((3630*'BMP P Tracking Table'!$U249+20.691*'BMP P Tracking Table'!$Z249-216.711*'BMP P Tracking Table'!$Y249-83.853*'BMP P Tracking Table'!$X249-42.834*'BMP P Tracking Table'!$W249)^2-(4*(149.919*'BMP P Tracking Table'!$W249+236.676*'BMP P Tracking Table'!$X249+726*'BMP P Tracking Table'!$Y249+996.798*'BMP P Tracking Table'!$Z249)*-'BMP P Tracking Table'!$AB249)))/(2*(149.919*'BMP P Tracking Table'!$W249+236.676*'BMP P Tracking Table'!$X249+726*'BMP P Tracking Table'!$Y249+996.798*'BMP P Tracking Table'!$Z249))))),"")</f>
        <v/>
      </c>
      <c r="AF249" s="101" t="str">
        <f>IFERROR((VLOOKUP(CONCATENATE('BMP P Tracking Table'!$T249," ",'BMP P Tracking Table'!$AC249),'Performance Curves'!$C$1:$L$45,MATCH('BMP P Tracking Table'!$AE249,'Performance Curves'!$E$1:$L$1,1)+2,FALSE)-VLOOKUP(CONCATENATE('BMP P Tracking Table'!$T249," ",'BMP P Tracking Table'!$AC249),'Performance Curves'!$C$1:$L$45,MATCH('BMP P Tracking Table'!$AE249,'Performance Curves'!$E$1:$L$1,1)+1,FALSE)),"")</f>
        <v/>
      </c>
      <c r="AG249" s="101" t="str">
        <f>IFERROR(('BMP P Tracking Table'!$AE249-INDEX('Performance Curves'!$E$1:$L$1,1,MATCH('BMP P Tracking Table'!$AE249,'Performance Curves'!$E$1:$L$1,1)))/(INDEX('Performance Curves'!$E$1:$L$1,1,MATCH('BMP P Tracking Table'!$AE249,'Performance Curves'!$E$1:$L$1,1)+1)-INDEX('Performance Curves'!$E$1:$L$1,1,MATCH('BMP P Tracking Table'!$AE249,'Performance Curves'!$E$1:$L$1,1))),"")</f>
        <v/>
      </c>
      <c r="AH249" s="102" t="str">
        <f>IFERROR(IF('BMP P Tracking Table'!$AE249=2,VLOOKUP(CONCATENATE('BMP P Tracking Table'!$T249," ",'BMP P Tracking Table'!$AC249),'Performance Curves'!$C$1:$L$45,MATCH('BMP P Tracking Table'!$AE249,'Performance Curves'!$E$1:$L$1,1)+1,FALSE),'BMP P Tracking Table'!$AF249*'BMP P Tracking Table'!$AG249+VLOOKUP(CONCATENATE('BMP P Tracking Table'!$T249," ",'BMP P Tracking Table'!$AC249),'Performance Curves'!$C$1:$L$45,MATCH('BMP P Tracking Table'!$AE249,'Performance Curves'!$E$1:$L$1,1)+1,FALSE)),"")</f>
        <v/>
      </c>
      <c r="AI249" s="101" t="str">
        <f>IFERROR('BMP P Tracking Table'!$AH249*'BMP P Tracking Table'!$AD249,"")</f>
        <v/>
      </c>
      <c r="AJ249" s="64"/>
      <c r="AK249" s="96"/>
      <c r="AL249" s="96"/>
      <c r="AM249" s="63"/>
      <c r="AN249" s="99" t="str">
        <f t="shared" si="18"/>
        <v/>
      </c>
      <c r="AO249" s="96"/>
      <c r="AP249" s="96"/>
      <c r="AQ249" s="96"/>
      <c r="AR249" s="96"/>
      <c r="AS249" s="96"/>
      <c r="AT249" s="96"/>
      <c r="AU249" s="96"/>
      <c r="AV249" s="64"/>
      <c r="AW249" s="97"/>
      <c r="AX249" s="97"/>
      <c r="AY249" s="101" t="str">
        <f>IF('BMP P Tracking Table'!$AK249="Yes",IF('BMP P Tracking Table'!$AL249="No",'BMP P Tracking Table'!$U249*VLOOKUP('BMP P Tracking Table'!$Q249,'Loading Rates'!$B$1:$L$24,4,FALSE)+IF('BMP P Tracking Table'!$V249="By HSG",'BMP P Tracking Table'!$W249*VLOOKUP('BMP P Tracking Table'!$Q249,'Loading Rates'!$B$1:$L$24,6,FALSE)+'BMP P Tracking Table'!$X249*VLOOKUP('BMP P Tracking Table'!$Q249,'Loading Rates'!$B$1:$L$24,7,FALSE)+'BMP P Tracking Table'!$Y249*VLOOKUP('BMP P Tracking Table'!$Q249,'Loading Rates'!$B$1:$L$24,8,FALSE)+'BMP P Tracking Table'!$Z249*VLOOKUP('BMP P Tracking Table'!$Q249,'Loading Rates'!$B$1:$L$24,9,FALSE),'BMP P Tracking Table'!$AA249*VLOOKUP('BMP P Tracking Table'!$Q249,'Loading Rates'!$B$1:$L$24,10,FALSE)),'BMP P Tracking Table'!$AO249*VLOOKUP('BMP P Tracking Table'!$Q249,'Loading Rates'!$B$1:$L$24,4,FALSE)+IF('BMP P Tracking Table'!$AP249="By HSG",'BMP P Tracking Table'!$AQ249*VLOOKUP('BMP P Tracking Table'!$Q249,'Loading Rates'!$B$1:$L$24,6,FALSE)+'BMP P Tracking Table'!$AR249*VLOOKUP('BMP P Tracking Table'!$Q249,'Loading Rates'!$B$1:$L$24,7,FALSE)+'BMP P Tracking Table'!$AS249*VLOOKUP('BMP P Tracking Table'!$Q249,'Loading Rates'!$B$1:$L$24,8,FALSE)+'BMP P Tracking Table'!$AT249*VLOOKUP('BMP P Tracking Table'!$Q249,'Loading Rates'!$B$1:$L$24,9,FALSE),'BMP P Tracking Table'!$AU249*VLOOKUP('BMP P Tracking Table'!$Q249,'Loading Rates'!$B$1:$L$24,10,FALSE))),"")</f>
        <v/>
      </c>
      <c r="AZ249" s="101" t="str">
        <f>IFERROR(IF('BMP P Tracking Table'!$AL249="Yes",MIN(2,IF('BMP P Tracking Table'!$AP249="Total Pervious",(-(3630*'BMP P Tracking Table'!$AO249+20.691*'BMP P Tracking Table'!$AU249)+SQRT((3630*'BMP P Tracking Table'!$AO249+20.691*'BMP P Tracking Table'!$AU249)^2-(4*(996.798*'BMP P Tracking Table'!$AU249)*-'BMP P Tracking Table'!$AW249)))/(2*(996.798*'BMP P Tracking Table'!$AU249)),IF(SUM('BMP P Tracking Table'!$AQ249:$AT249)=0,'BMP P Tracking Table'!$AU249/(-3630*'BMP P Tracking Table'!$AO249),(-(3630*'BMP P Tracking Table'!$AO249+20.691*'BMP P Tracking Table'!$AT249-216.711*'BMP P Tracking Table'!$AS249-83.853*'BMP P Tracking Table'!$AR249-42.834*'BMP P Tracking Table'!$AQ249)+SQRT((3630*'BMP P Tracking Table'!$AO249+20.691*'BMP P Tracking Table'!$AT249-216.711*'BMP P Tracking Table'!$AS249-83.853*'BMP P Tracking Table'!$AR249-42.834*'BMP P Tracking Table'!$AQ249)^2-(4*(149.919*'BMP P Tracking Table'!$AQ249+236.676*'BMP P Tracking Table'!$AR249+726*'BMP P Tracking Table'!$AS249+996.798*'BMP P Tracking Table'!$AT249)*-'BMP P Tracking Table'!$AW249)))/(2*(149.919*'BMP P Tracking Table'!$AQ249+236.676*'BMP P Tracking Table'!$AR249+726*'BMP P Tracking Table'!$AS249+996.798*'BMP P Tracking Table'!$AT249))))),MIN(2,IF('BMP P Tracking Table'!$AP249="Total Pervious",(-(3630*'BMP P Tracking Table'!$U249+20.691*'BMP P Tracking Table'!$AA249)+SQRT((3630*'BMP P Tracking Table'!$U249+20.691*'BMP P Tracking Table'!$AA249)^2-(4*(996.798*'BMP P Tracking Table'!$AA249)*-'BMP P Tracking Table'!$AW249)))/(2*(996.798*'BMP P Tracking Table'!$AA249)),IF(SUM('BMP P Tracking Table'!$W249:$Z249)=0,'BMP P Tracking Table'!$AW249/(-3630*'BMP P Tracking Table'!$U249),(-(3630*'BMP P Tracking Table'!$U249+20.691*'BMP P Tracking Table'!$Z249-216.711*'BMP P Tracking Table'!$Y249-83.853*'BMP P Tracking Table'!$X249-42.834*'BMP P Tracking Table'!$W249)+SQRT((3630*'BMP P Tracking Table'!$U249+20.691*'BMP P Tracking Table'!$Z249-216.711*'BMP P Tracking Table'!$Y249-83.853*'BMP P Tracking Table'!$X249-42.834*'BMP P Tracking Table'!$W249)^2-(4*(149.919*'BMP P Tracking Table'!$W249+236.676*'BMP P Tracking Table'!$X249+726*'BMP P Tracking Table'!$Y249+996.798*'BMP P Tracking Table'!$Z249)*-'BMP P Tracking Table'!$AW249)))/(2*(149.919*'BMP P Tracking Table'!$W249+236.676*'BMP P Tracking Table'!$X249+726*'BMP P Tracking Table'!$Y249+996.798*'BMP P Tracking Table'!$Z249)))))),"")</f>
        <v/>
      </c>
      <c r="BA249" s="101" t="str">
        <f>IFERROR((VLOOKUP(CONCATENATE('BMP P Tracking Table'!$AV249," ",'BMP P Tracking Table'!$AX249),'Performance Curves'!$C$1:$L$45,MATCH('BMP P Tracking Table'!$AZ249,'Performance Curves'!$E$1:$L$1,1)+2,FALSE)-VLOOKUP(CONCATENATE('BMP P Tracking Table'!$AV249," ",'BMP P Tracking Table'!$AX249),'Performance Curves'!$C$1:$L$45,MATCH('BMP P Tracking Table'!$AZ249,'Performance Curves'!$E$1:$L$1,1)+1,FALSE)),"")</f>
        <v/>
      </c>
      <c r="BB249" s="101" t="str">
        <f>IFERROR(('BMP P Tracking Table'!$AZ249-INDEX('Performance Curves'!$E$1:$L$1,1,MATCH('BMP P Tracking Table'!$AZ249,'Performance Curves'!$E$1:$L$1,1)))/(INDEX('Performance Curves'!$E$1:$L$1,1,MATCH('BMP P Tracking Table'!$AZ249,'Performance Curves'!$E$1:$L$1,1)+1)-INDEX('Performance Curves'!$E$1:$L$1,1,MATCH('BMP P Tracking Table'!$AZ249,'Performance Curves'!$E$1:$L$1,1))),"")</f>
        <v/>
      </c>
      <c r="BC249" s="102" t="str">
        <f>IFERROR(IF('BMP P Tracking Table'!$AZ249=2,VLOOKUP(CONCATENATE('BMP P Tracking Table'!$AV249," ",'BMP P Tracking Table'!$AX249),'Performance Curves'!$C$1:$L$44,MATCH('BMP P Tracking Table'!$AZ249,'Performance Curves'!$E$1:$L$1,1)+1,FALSE),'BMP P Tracking Table'!$BA249*'BMP P Tracking Table'!$BB249+VLOOKUP(CONCATENATE('BMP P Tracking Table'!$AV249," ",'BMP P Tracking Table'!$AX249),'Performance Curves'!$C$1:$L$44,MATCH('BMP P Tracking Table'!$AZ249,'Performance Curves'!$E$1:$L$1,1)+1,FALSE)),"")</f>
        <v/>
      </c>
      <c r="BD249" s="101" t="str">
        <f>IFERROR('BMP P Tracking Table'!$BC249*'BMP P Tracking Table'!$AY249,"")</f>
        <v/>
      </c>
      <c r="BE249" s="96"/>
      <c r="BF249" s="37">
        <f t="shared" si="19"/>
        <v>0</v>
      </c>
    </row>
    <row r="250" spans="1:58" x14ac:dyDescent="0.3">
      <c r="A250" s="64"/>
      <c r="B250" s="64"/>
      <c r="C250" s="64"/>
      <c r="D250" s="64"/>
      <c r="E250" s="93"/>
      <c r="F250" s="93"/>
      <c r="G250" s="64"/>
      <c r="H250" s="64"/>
      <c r="I250" s="64"/>
      <c r="J250" s="94"/>
      <c r="K250" s="64"/>
      <c r="L250" s="64"/>
      <c r="M250" s="64"/>
      <c r="N250" s="64"/>
      <c r="O250" s="64"/>
      <c r="P250" s="64"/>
      <c r="Q250" s="64" t="str">
        <f>IFERROR(VLOOKUP('BMP P Tracking Table'!$P250,Dropdowns!$C$2:$E$15,3,FALSE),"")</f>
        <v/>
      </c>
      <c r="R250" s="64" t="str">
        <f>IFERROR(VLOOKUP('BMP P Tracking Table'!$Q250,Dropdowns!$P$3:$Q$23,2,FALSE),"")</f>
        <v/>
      </c>
      <c r="S250" s="64"/>
      <c r="T250" s="64"/>
      <c r="U250" s="64"/>
      <c r="V250" s="64"/>
      <c r="W250" s="64"/>
      <c r="X250" s="64"/>
      <c r="Y250" s="64"/>
      <c r="Z250" s="64"/>
      <c r="AA250" s="64"/>
      <c r="AB250" s="95"/>
      <c r="AC250" s="64"/>
      <c r="AD250" s="101" t="str">
        <f>IFERROR('BMP P Tracking Table'!$U250*VLOOKUP('BMP P Tracking Table'!$Q250,'Loading Rates'!$B$1:$L$24,4,FALSE)+IF('BMP P Tracking Table'!$V250="By HSG",'BMP P Tracking Table'!$W250*VLOOKUP('BMP P Tracking Table'!$Q250,'Loading Rates'!$B$1:$L$24,6,FALSE)+'BMP P Tracking Table'!$X250*VLOOKUP('BMP P Tracking Table'!$Q250,'Loading Rates'!$B$1:$L$24,7,FALSE)+'BMP P Tracking Table'!$Y250*VLOOKUP('BMP P Tracking Table'!$Q250,'Loading Rates'!$B$1:$L$24,8,FALSE)+'BMP P Tracking Table'!$Z250*VLOOKUP('BMP P Tracking Table'!$Q250,'Loading Rates'!$B$1:$L$24,9,FALSE),'BMP P Tracking Table'!$AA250*VLOOKUP('BMP P Tracking Table'!$Q250,'Loading Rates'!$B$1:$L$24,10,FALSE)),"")</f>
        <v/>
      </c>
      <c r="AE250" s="101" t="str">
        <f>IFERROR(MIN(2,IF('BMP P Tracking Table'!$V250="Total Pervious",(-(3630*'BMP P Tracking Table'!$U250+20.691*'BMP P Tracking Table'!$AA250)+SQRT((3630*'BMP P Tracking Table'!$U250+20.691*'BMP P Tracking Table'!$AA250)^2-(4*(996.798*'BMP P Tracking Table'!$AA250)*-'BMP P Tracking Table'!$AB250)))/(2*(996.798*'BMP P Tracking Table'!$AA250)),IF(SUM('BMP P Tracking Table'!$W250:$Z250)=0,'BMP P Tracking Table'!$AB250/(-3630*'BMP P Tracking Table'!$U250),(-(3630*'BMP P Tracking Table'!$U250+20.691*'BMP P Tracking Table'!$Z250-216.711*'BMP P Tracking Table'!$Y250-83.853*'BMP P Tracking Table'!$X250-42.834*'BMP P Tracking Table'!$W250)+SQRT((3630*'BMP P Tracking Table'!$U250+20.691*'BMP P Tracking Table'!$Z250-216.711*'BMP P Tracking Table'!$Y250-83.853*'BMP P Tracking Table'!$X250-42.834*'BMP P Tracking Table'!$W250)^2-(4*(149.919*'BMP P Tracking Table'!$W250+236.676*'BMP P Tracking Table'!$X250+726*'BMP P Tracking Table'!$Y250+996.798*'BMP P Tracking Table'!$Z250)*-'BMP P Tracking Table'!$AB250)))/(2*(149.919*'BMP P Tracking Table'!$W250+236.676*'BMP P Tracking Table'!$X250+726*'BMP P Tracking Table'!$Y250+996.798*'BMP P Tracking Table'!$Z250))))),"")</f>
        <v/>
      </c>
      <c r="AF250" s="101" t="str">
        <f>IFERROR((VLOOKUP(CONCATENATE('BMP P Tracking Table'!$T250," ",'BMP P Tracking Table'!$AC250),'Performance Curves'!$C$1:$L$45,MATCH('BMP P Tracking Table'!$AE250,'Performance Curves'!$E$1:$L$1,1)+2,FALSE)-VLOOKUP(CONCATENATE('BMP P Tracking Table'!$T250," ",'BMP P Tracking Table'!$AC250),'Performance Curves'!$C$1:$L$45,MATCH('BMP P Tracking Table'!$AE250,'Performance Curves'!$E$1:$L$1,1)+1,FALSE)),"")</f>
        <v/>
      </c>
      <c r="AG250" s="101" t="str">
        <f>IFERROR(('BMP P Tracking Table'!$AE250-INDEX('Performance Curves'!$E$1:$L$1,1,MATCH('BMP P Tracking Table'!$AE250,'Performance Curves'!$E$1:$L$1,1)))/(INDEX('Performance Curves'!$E$1:$L$1,1,MATCH('BMP P Tracking Table'!$AE250,'Performance Curves'!$E$1:$L$1,1)+1)-INDEX('Performance Curves'!$E$1:$L$1,1,MATCH('BMP P Tracking Table'!$AE250,'Performance Curves'!$E$1:$L$1,1))),"")</f>
        <v/>
      </c>
      <c r="AH250" s="102" t="str">
        <f>IFERROR(IF('BMP P Tracking Table'!$AE250=2,VLOOKUP(CONCATENATE('BMP P Tracking Table'!$T250," ",'BMP P Tracking Table'!$AC250),'Performance Curves'!$C$1:$L$45,MATCH('BMP P Tracking Table'!$AE250,'Performance Curves'!$E$1:$L$1,1)+1,FALSE),'BMP P Tracking Table'!$AF250*'BMP P Tracking Table'!$AG250+VLOOKUP(CONCATENATE('BMP P Tracking Table'!$T250," ",'BMP P Tracking Table'!$AC250),'Performance Curves'!$C$1:$L$45,MATCH('BMP P Tracking Table'!$AE250,'Performance Curves'!$E$1:$L$1,1)+1,FALSE)),"")</f>
        <v/>
      </c>
      <c r="AI250" s="101" t="str">
        <f>IFERROR('BMP P Tracking Table'!$AH250*'BMP P Tracking Table'!$AD250,"")</f>
        <v/>
      </c>
      <c r="AJ250" s="64"/>
      <c r="AK250" s="96"/>
      <c r="AL250" s="96"/>
      <c r="AM250" s="63"/>
      <c r="AN250" s="99" t="str">
        <f t="shared" si="18"/>
        <v/>
      </c>
      <c r="AO250" s="96"/>
      <c r="AP250" s="96"/>
      <c r="AQ250" s="96"/>
      <c r="AR250" s="96"/>
      <c r="AS250" s="96"/>
      <c r="AT250" s="96"/>
      <c r="AU250" s="96"/>
      <c r="AV250" s="64"/>
      <c r="AW250" s="97"/>
      <c r="AX250" s="97"/>
      <c r="AY250" s="101" t="str">
        <f>IF('BMP P Tracking Table'!$AK250="Yes",IF('BMP P Tracking Table'!$AL250="No",'BMP P Tracking Table'!$U250*VLOOKUP('BMP P Tracking Table'!$Q250,'Loading Rates'!$B$1:$L$24,4,FALSE)+IF('BMP P Tracking Table'!$V250="By HSG",'BMP P Tracking Table'!$W250*VLOOKUP('BMP P Tracking Table'!$Q250,'Loading Rates'!$B$1:$L$24,6,FALSE)+'BMP P Tracking Table'!$X250*VLOOKUP('BMP P Tracking Table'!$Q250,'Loading Rates'!$B$1:$L$24,7,FALSE)+'BMP P Tracking Table'!$Y250*VLOOKUP('BMP P Tracking Table'!$Q250,'Loading Rates'!$B$1:$L$24,8,FALSE)+'BMP P Tracking Table'!$Z250*VLOOKUP('BMP P Tracking Table'!$Q250,'Loading Rates'!$B$1:$L$24,9,FALSE),'BMP P Tracking Table'!$AA250*VLOOKUP('BMP P Tracking Table'!$Q250,'Loading Rates'!$B$1:$L$24,10,FALSE)),'BMP P Tracking Table'!$AO250*VLOOKUP('BMP P Tracking Table'!$Q250,'Loading Rates'!$B$1:$L$24,4,FALSE)+IF('BMP P Tracking Table'!$AP250="By HSG",'BMP P Tracking Table'!$AQ250*VLOOKUP('BMP P Tracking Table'!$Q250,'Loading Rates'!$B$1:$L$24,6,FALSE)+'BMP P Tracking Table'!$AR250*VLOOKUP('BMP P Tracking Table'!$Q250,'Loading Rates'!$B$1:$L$24,7,FALSE)+'BMP P Tracking Table'!$AS250*VLOOKUP('BMP P Tracking Table'!$Q250,'Loading Rates'!$B$1:$L$24,8,FALSE)+'BMP P Tracking Table'!$AT250*VLOOKUP('BMP P Tracking Table'!$Q250,'Loading Rates'!$B$1:$L$24,9,FALSE),'BMP P Tracking Table'!$AU250*VLOOKUP('BMP P Tracking Table'!$Q250,'Loading Rates'!$B$1:$L$24,10,FALSE))),"")</f>
        <v/>
      </c>
      <c r="AZ250" s="101" t="str">
        <f>IFERROR(IF('BMP P Tracking Table'!$AL250="Yes",MIN(2,IF('BMP P Tracking Table'!$AP250="Total Pervious",(-(3630*'BMP P Tracking Table'!$AO250+20.691*'BMP P Tracking Table'!$AU250)+SQRT((3630*'BMP P Tracking Table'!$AO250+20.691*'BMP P Tracking Table'!$AU250)^2-(4*(996.798*'BMP P Tracking Table'!$AU250)*-'BMP P Tracking Table'!$AW250)))/(2*(996.798*'BMP P Tracking Table'!$AU250)),IF(SUM('BMP P Tracking Table'!$AQ250:$AT250)=0,'BMP P Tracking Table'!$AU250/(-3630*'BMP P Tracking Table'!$AO250),(-(3630*'BMP P Tracking Table'!$AO250+20.691*'BMP P Tracking Table'!$AT250-216.711*'BMP P Tracking Table'!$AS250-83.853*'BMP P Tracking Table'!$AR250-42.834*'BMP P Tracking Table'!$AQ250)+SQRT((3630*'BMP P Tracking Table'!$AO250+20.691*'BMP P Tracking Table'!$AT250-216.711*'BMP P Tracking Table'!$AS250-83.853*'BMP P Tracking Table'!$AR250-42.834*'BMP P Tracking Table'!$AQ250)^2-(4*(149.919*'BMP P Tracking Table'!$AQ250+236.676*'BMP P Tracking Table'!$AR250+726*'BMP P Tracking Table'!$AS250+996.798*'BMP P Tracking Table'!$AT250)*-'BMP P Tracking Table'!$AW250)))/(2*(149.919*'BMP P Tracking Table'!$AQ250+236.676*'BMP P Tracking Table'!$AR250+726*'BMP P Tracking Table'!$AS250+996.798*'BMP P Tracking Table'!$AT250))))),MIN(2,IF('BMP P Tracking Table'!$AP250="Total Pervious",(-(3630*'BMP P Tracking Table'!$U250+20.691*'BMP P Tracking Table'!$AA250)+SQRT((3630*'BMP P Tracking Table'!$U250+20.691*'BMP P Tracking Table'!$AA250)^2-(4*(996.798*'BMP P Tracking Table'!$AA250)*-'BMP P Tracking Table'!$AW250)))/(2*(996.798*'BMP P Tracking Table'!$AA250)),IF(SUM('BMP P Tracking Table'!$W250:$Z250)=0,'BMP P Tracking Table'!$AW250/(-3630*'BMP P Tracking Table'!$U250),(-(3630*'BMP P Tracking Table'!$U250+20.691*'BMP P Tracking Table'!$Z250-216.711*'BMP P Tracking Table'!$Y250-83.853*'BMP P Tracking Table'!$X250-42.834*'BMP P Tracking Table'!$W250)+SQRT((3630*'BMP P Tracking Table'!$U250+20.691*'BMP P Tracking Table'!$Z250-216.711*'BMP P Tracking Table'!$Y250-83.853*'BMP P Tracking Table'!$X250-42.834*'BMP P Tracking Table'!$W250)^2-(4*(149.919*'BMP P Tracking Table'!$W250+236.676*'BMP P Tracking Table'!$X250+726*'BMP P Tracking Table'!$Y250+996.798*'BMP P Tracking Table'!$Z250)*-'BMP P Tracking Table'!$AW250)))/(2*(149.919*'BMP P Tracking Table'!$W250+236.676*'BMP P Tracking Table'!$X250+726*'BMP P Tracking Table'!$Y250+996.798*'BMP P Tracking Table'!$Z250)))))),"")</f>
        <v/>
      </c>
      <c r="BA250" s="101" t="str">
        <f>IFERROR((VLOOKUP(CONCATENATE('BMP P Tracking Table'!$AV250," ",'BMP P Tracking Table'!$AX250),'Performance Curves'!$C$1:$L$45,MATCH('BMP P Tracking Table'!$AZ250,'Performance Curves'!$E$1:$L$1,1)+2,FALSE)-VLOOKUP(CONCATENATE('BMP P Tracking Table'!$AV250," ",'BMP P Tracking Table'!$AX250),'Performance Curves'!$C$1:$L$45,MATCH('BMP P Tracking Table'!$AZ250,'Performance Curves'!$E$1:$L$1,1)+1,FALSE)),"")</f>
        <v/>
      </c>
      <c r="BB250" s="101" t="str">
        <f>IFERROR(('BMP P Tracking Table'!$AZ250-INDEX('Performance Curves'!$E$1:$L$1,1,MATCH('BMP P Tracking Table'!$AZ250,'Performance Curves'!$E$1:$L$1,1)))/(INDEX('Performance Curves'!$E$1:$L$1,1,MATCH('BMP P Tracking Table'!$AZ250,'Performance Curves'!$E$1:$L$1,1)+1)-INDEX('Performance Curves'!$E$1:$L$1,1,MATCH('BMP P Tracking Table'!$AZ250,'Performance Curves'!$E$1:$L$1,1))),"")</f>
        <v/>
      </c>
      <c r="BC250" s="102" t="str">
        <f>IFERROR(IF('BMP P Tracking Table'!$AZ250=2,VLOOKUP(CONCATENATE('BMP P Tracking Table'!$AV250," ",'BMP P Tracking Table'!$AX250),'Performance Curves'!$C$1:$L$44,MATCH('BMP P Tracking Table'!$AZ250,'Performance Curves'!$E$1:$L$1,1)+1,FALSE),'BMP P Tracking Table'!$BA250*'BMP P Tracking Table'!$BB250+VLOOKUP(CONCATENATE('BMP P Tracking Table'!$AV250," ",'BMP P Tracking Table'!$AX250),'Performance Curves'!$C$1:$L$44,MATCH('BMP P Tracking Table'!$AZ250,'Performance Curves'!$E$1:$L$1,1)+1,FALSE)),"")</f>
        <v/>
      </c>
      <c r="BD250" s="101" t="str">
        <f>IFERROR('BMP P Tracking Table'!$BC250*'BMP P Tracking Table'!$AY250,"")</f>
        <v/>
      </c>
      <c r="BE250" s="96"/>
      <c r="BF250" s="37">
        <f t="shared" si="19"/>
        <v>0</v>
      </c>
    </row>
    <row r="251" spans="1:58" x14ac:dyDescent="0.3">
      <c r="A251" s="64"/>
      <c r="B251" s="64"/>
      <c r="C251" s="64"/>
      <c r="D251" s="64"/>
      <c r="E251" s="93"/>
      <c r="F251" s="93"/>
      <c r="G251" s="64"/>
      <c r="H251" s="64"/>
      <c r="I251" s="64"/>
      <c r="J251" s="94"/>
      <c r="K251" s="64"/>
      <c r="L251" s="64"/>
      <c r="M251" s="64"/>
      <c r="N251" s="64"/>
      <c r="O251" s="64"/>
      <c r="P251" s="64"/>
      <c r="Q251" s="64" t="str">
        <f>IFERROR(VLOOKUP('BMP P Tracking Table'!$P251,Dropdowns!$C$2:$E$15,3,FALSE),"")</f>
        <v/>
      </c>
      <c r="R251" s="64" t="str">
        <f>IFERROR(VLOOKUP('BMP P Tracking Table'!$Q251,Dropdowns!$P$3:$Q$23,2,FALSE),"")</f>
        <v/>
      </c>
      <c r="S251" s="64"/>
      <c r="T251" s="64"/>
      <c r="U251" s="64"/>
      <c r="V251" s="64"/>
      <c r="W251" s="64"/>
      <c r="X251" s="64"/>
      <c r="Y251" s="64"/>
      <c r="Z251" s="64"/>
      <c r="AA251" s="64"/>
      <c r="AB251" s="95"/>
      <c r="AC251" s="64"/>
      <c r="AD251" s="101" t="str">
        <f>IFERROR('BMP P Tracking Table'!$U251*VLOOKUP('BMP P Tracking Table'!$Q251,'Loading Rates'!$B$1:$L$24,4,FALSE)+IF('BMP P Tracking Table'!$V251="By HSG",'BMP P Tracking Table'!$W251*VLOOKUP('BMP P Tracking Table'!$Q251,'Loading Rates'!$B$1:$L$24,6,FALSE)+'BMP P Tracking Table'!$X251*VLOOKUP('BMP P Tracking Table'!$Q251,'Loading Rates'!$B$1:$L$24,7,FALSE)+'BMP P Tracking Table'!$Y251*VLOOKUP('BMP P Tracking Table'!$Q251,'Loading Rates'!$B$1:$L$24,8,FALSE)+'BMP P Tracking Table'!$Z251*VLOOKUP('BMP P Tracking Table'!$Q251,'Loading Rates'!$B$1:$L$24,9,FALSE),'BMP P Tracking Table'!$AA251*VLOOKUP('BMP P Tracking Table'!$Q251,'Loading Rates'!$B$1:$L$24,10,FALSE)),"")</f>
        <v/>
      </c>
      <c r="AE251" s="101" t="str">
        <f>IFERROR(MIN(2,IF('BMP P Tracking Table'!$V251="Total Pervious",(-(3630*'BMP P Tracking Table'!$U251+20.691*'BMP P Tracking Table'!$AA251)+SQRT((3630*'BMP P Tracking Table'!$U251+20.691*'BMP P Tracking Table'!$AA251)^2-(4*(996.798*'BMP P Tracking Table'!$AA251)*-'BMP P Tracking Table'!$AB251)))/(2*(996.798*'BMP P Tracking Table'!$AA251)),IF(SUM('BMP P Tracking Table'!$W251:$Z251)=0,'BMP P Tracking Table'!$AB251/(-3630*'BMP P Tracking Table'!$U251),(-(3630*'BMP P Tracking Table'!$U251+20.691*'BMP P Tracking Table'!$Z251-216.711*'BMP P Tracking Table'!$Y251-83.853*'BMP P Tracking Table'!$X251-42.834*'BMP P Tracking Table'!$W251)+SQRT((3630*'BMP P Tracking Table'!$U251+20.691*'BMP P Tracking Table'!$Z251-216.711*'BMP P Tracking Table'!$Y251-83.853*'BMP P Tracking Table'!$X251-42.834*'BMP P Tracking Table'!$W251)^2-(4*(149.919*'BMP P Tracking Table'!$W251+236.676*'BMP P Tracking Table'!$X251+726*'BMP P Tracking Table'!$Y251+996.798*'BMP P Tracking Table'!$Z251)*-'BMP P Tracking Table'!$AB251)))/(2*(149.919*'BMP P Tracking Table'!$W251+236.676*'BMP P Tracking Table'!$X251+726*'BMP P Tracking Table'!$Y251+996.798*'BMP P Tracking Table'!$Z251))))),"")</f>
        <v/>
      </c>
      <c r="AF251" s="101" t="str">
        <f>IFERROR((VLOOKUP(CONCATENATE('BMP P Tracking Table'!$T251," ",'BMP P Tracking Table'!$AC251),'Performance Curves'!$C$1:$L$45,MATCH('BMP P Tracking Table'!$AE251,'Performance Curves'!$E$1:$L$1,1)+2,FALSE)-VLOOKUP(CONCATENATE('BMP P Tracking Table'!$T251," ",'BMP P Tracking Table'!$AC251),'Performance Curves'!$C$1:$L$45,MATCH('BMP P Tracking Table'!$AE251,'Performance Curves'!$E$1:$L$1,1)+1,FALSE)),"")</f>
        <v/>
      </c>
      <c r="AG251" s="101" t="str">
        <f>IFERROR(('BMP P Tracking Table'!$AE251-INDEX('Performance Curves'!$E$1:$L$1,1,MATCH('BMP P Tracking Table'!$AE251,'Performance Curves'!$E$1:$L$1,1)))/(INDEX('Performance Curves'!$E$1:$L$1,1,MATCH('BMP P Tracking Table'!$AE251,'Performance Curves'!$E$1:$L$1,1)+1)-INDEX('Performance Curves'!$E$1:$L$1,1,MATCH('BMP P Tracking Table'!$AE251,'Performance Curves'!$E$1:$L$1,1))),"")</f>
        <v/>
      </c>
      <c r="AH251" s="102" t="str">
        <f>IFERROR(IF('BMP P Tracking Table'!$AE251=2,VLOOKUP(CONCATENATE('BMP P Tracking Table'!$T251," ",'BMP P Tracking Table'!$AC251),'Performance Curves'!$C$1:$L$45,MATCH('BMP P Tracking Table'!$AE251,'Performance Curves'!$E$1:$L$1,1)+1,FALSE),'BMP P Tracking Table'!$AF251*'BMP P Tracking Table'!$AG251+VLOOKUP(CONCATENATE('BMP P Tracking Table'!$T251," ",'BMP P Tracking Table'!$AC251),'Performance Curves'!$C$1:$L$45,MATCH('BMP P Tracking Table'!$AE251,'Performance Curves'!$E$1:$L$1,1)+1,FALSE)),"")</f>
        <v/>
      </c>
      <c r="AI251" s="101" t="str">
        <f>IFERROR('BMP P Tracking Table'!$AH251*'BMP P Tracking Table'!$AD251,"")</f>
        <v/>
      </c>
      <c r="AJ251" s="64"/>
      <c r="AK251" s="96"/>
      <c r="AL251" s="96"/>
      <c r="AM251" s="63"/>
      <c r="AN251" s="99" t="str">
        <f t="shared" si="18"/>
        <v/>
      </c>
      <c r="AO251" s="96"/>
      <c r="AP251" s="96"/>
      <c r="AQ251" s="96"/>
      <c r="AR251" s="96"/>
      <c r="AS251" s="96"/>
      <c r="AT251" s="96"/>
      <c r="AU251" s="96"/>
      <c r="AV251" s="64"/>
      <c r="AW251" s="97"/>
      <c r="AX251" s="97"/>
      <c r="AY251" s="101" t="str">
        <f>IF('BMP P Tracking Table'!$AK251="Yes",IF('BMP P Tracking Table'!$AL251="No",'BMP P Tracking Table'!$U251*VLOOKUP('BMP P Tracking Table'!$Q251,'Loading Rates'!$B$1:$L$24,4,FALSE)+IF('BMP P Tracking Table'!$V251="By HSG",'BMP P Tracking Table'!$W251*VLOOKUP('BMP P Tracking Table'!$Q251,'Loading Rates'!$B$1:$L$24,6,FALSE)+'BMP P Tracking Table'!$X251*VLOOKUP('BMP P Tracking Table'!$Q251,'Loading Rates'!$B$1:$L$24,7,FALSE)+'BMP P Tracking Table'!$Y251*VLOOKUP('BMP P Tracking Table'!$Q251,'Loading Rates'!$B$1:$L$24,8,FALSE)+'BMP P Tracking Table'!$Z251*VLOOKUP('BMP P Tracking Table'!$Q251,'Loading Rates'!$B$1:$L$24,9,FALSE),'BMP P Tracking Table'!$AA251*VLOOKUP('BMP P Tracking Table'!$Q251,'Loading Rates'!$B$1:$L$24,10,FALSE)),'BMP P Tracking Table'!$AO251*VLOOKUP('BMP P Tracking Table'!$Q251,'Loading Rates'!$B$1:$L$24,4,FALSE)+IF('BMP P Tracking Table'!$AP251="By HSG",'BMP P Tracking Table'!$AQ251*VLOOKUP('BMP P Tracking Table'!$Q251,'Loading Rates'!$B$1:$L$24,6,FALSE)+'BMP P Tracking Table'!$AR251*VLOOKUP('BMP P Tracking Table'!$Q251,'Loading Rates'!$B$1:$L$24,7,FALSE)+'BMP P Tracking Table'!$AS251*VLOOKUP('BMP P Tracking Table'!$Q251,'Loading Rates'!$B$1:$L$24,8,FALSE)+'BMP P Tracking Table'!$AT251*VLOOKUP('BMP P Tracking Table'!$Q251,'Loading Rates'!$B$1:$L$24,9,FALSE),'BMP P Tracking Table'!$AU251*VLOOKUP('BMP P Tracking Table'!$Q251,'Loading Rates'!$B$1:$L$24,10,FALSE))),"")</f>
        <v/>
      </c>
      <c r="AZ251" s="101" t="str">
        <f>IFERROR(IF('BMP P Tracking Table'!$AL251="Yes",MIN(2,IF('BMP P Tracking Table'!$AP251="Total Pervious",(-(3630*'BMP P Tracking Table'!$AO251+20.691*'BMP P Tracking Table'!$AU251)+SQRT((3630*'BMP P Tracking Table'!$AO251+20.691*'BMP P Tracking Table'!$AU251)^2-(4*(996.798*'BMP P Tracking Table'!$AU251)*-'BMP P Tracking Table'!$AW251)))/(2*(996.798*'BMP P Tracking Table'!$AU251)),IF(SUM('BMP P Tracking Table'!$AQ251:$AT251)=0,'BMP P Tracking Table'!$AU251/(-3630*'BMP P Tracking Table'!$AO251),(-(3630*'BMP P Tracking Table'!$AO251+20.691*'BMP P Tracking Table'!$AT251-216.711*'BMP P Tracking Table'!$AS251-83.853*'BMP P Tracking Table'!$AR251-42.834*'BMP P Tracking Table'!$AQ251)+SQRT((3630*'BMP P Tracking Table'!$AO251+20.691*'BMP P Tracking Table'!$AT251-216.711*'BMP P Tracking Table'!$AS251-83.853*'BMP P Tracking Table'!$AR251-42.834*'BMP P Tracking Table'!$AQ251)^2-(4*(149.919*'BMP P Tracking Table'!$AQ251+236.676*'BMP P Tracking Table'!$AR251+726*'BMP P Tracking Table'!$AS251+996.798*'BMP P Tracking Table'!$AT251)*-'BMP P Tracking Table'!$AW251)))/(2*(149.919*'BMP P Tracking Table'!$AQ251+236.676*'BMP P Tracking Table'!$AR251+726*'BMP P Tracking Table'!$AS251+996.798*'BMP P Tracking Table'!$AT251))))),MIN(2,IF('BMP P Tracking Table'!$AP251="Total Pervious",(-(3630*'BMP P Tracking Table'!$U251+20.691*'BMP P Tracking Table'!$AA251)+SQRT((3630*'BMP P Tracking Table'!$U251+20.691*'BMP P Tracking Table'!$AA251)^2-(4*(996.798*'BMP P Tracking Table'!$AA251)*-'BMP P Tracking Table'!$AW251)))/(2*(996.798*'BMP P Tracking Table'!$AA251)),IF(SUM('BMP P Tracking Table'!$W251:$Z251)=0,'BMP P Tracking Table'!$AW251/(-3630*'BMP P Tracking Table'!$U251),(-(3630*'BMP P Tracking Table'!$U251+20.691*'BMP P Tracking Table'!$Z251-216.711*'BMP P Tracking Table'!$Y251-83.853*'BMP P Tracking Table'!$X251-42.834*'BMP P Tracking Table'!$W251)+SQRT((3630*'BMP P Tracking Table'!$U251+20.691*'BMP P Tracking Table'!$Z251-216.711*'BMP P Tracking Table'!$Y251-83.853*'BMP P Tracking Table'!$X251-42.834*'BMP P Tracking Table'!$W251)^2-(4*(149.919*'BMP P Tracking Table'!$W251+236.676*'BMP P Tracking Table'!$X251+726*'BMP P Tracking Table'!$Y251+996.798*'BMP P Tracking Table'!$Z251)*-'BMP P Tracking Table'!$AW251)))/(2*(149.919*'BMP P Tracking Table'!$W251+236.676*'BMP P Tracking Table'!$X251+726*'BMP P Tracking Table'!$Y251+996.798*'BMP P Tracking Table'!$Z251)))))),"")</f>
        <v/>
      </c>
      <c r="BA251" s="101" t="str">
        <f>IFERROR((VLOOKUP(CONCATENATE('BMP P Tracking Table'!$AV251," ",'BMP P Tracking Table'!$AX251),'Performance Curves'!$C$1:$L$45,MATCH('BMP P Tracking Table'!$AZ251,'Performance Curves'!$E$1:$L$1,1)+2,FALSE)-VLOOKUP(CONCATENATE('BMP P Tracking Table'!$AV251," ",'BMP P Tracking Table'!$AX251),'Performance Curves'!$C$1:$L$45,MATCH('BMP P Tracking Table'!$AZ251,'Performance Curves'!$E$1:$L$1,1)+1,FALSE)),"")</f>
        <v/>
      </c>
      <c r="BB251" s="101" t="str">
        <f>IFERROR(('BMP P Tracking Table'!$AZ251-INDEX('Performance Curves'!$E$1:$L$1,1,MATCH('BMP P Tracking Table'!$AZ251,'Performance Curves'!$E$1:$L$1,1)))/(INDEX('Performance Curves'!$E$1:$L$1,1,MATCH('BMP P Tracking Table'!$AZ251,'Performance Curves'!$E$1:$L$1,1)+1)-INDEX('Performance Curves'!$E$1:$L$1,1,MATCH('BMP P Tracking Table'!$AZ251,'Performance Curves'!$E$1:$L$1,1))),"")</f>
        <v/>
      </c>
      <c r="BC251" s="102" t="str">
        <f>IFERROR(IF('BMP P Tracking Table'!$AZ251=2,VLOOKUP(CONCATENATE('BMP P Tracking Table'!$AV251," ",'BMP P Tracking Table'!$AX251),'Performance Curves'!$C$1:$L$44,MATCH('BMP P Tracking Table'!$AZ251,'Performance Curves'!$E$1:$L$1,1)+1,FALSE),'BMP P Tracking Table'!$BA251*'BMP P Tracking Table'!$BB251+VLOOKUP(CONCATENATE('BMP P Tracking Table'!$AV251," ",'BMP P Tracking Table'!$AX251),'Performance Curves'!$C$1:$L$44,MATCH('BMP P Tracking Table'!$AZ251,'Performance Curves'!$E$1:$L$1,1)+1,FALSE)),"")</f>
        <v/>
      </c>
      <c r="BD251" s="101" t="str">
        <f>IFERROR('BMP P Tracking Table'!$BC251*'BMP P Tracking Table'!$AY251,"")</f>
        <v/>
      </c>
      <c r="BE251" s="91"/>
      <c r="BF251" s="37">
        <f t="shared" si="19"/>
        <v>0</v>
      </c>
    </row>
    <row r="252" spans="1:58" x14ac:dyDescent="0.3">
      <c r="A252" s="64"/>
      <c r="B252" s="64"/>
      <c r="C252" s="64"/>
      <c r="D252" s="64"/>
      <c r="E252" s="93"/>
      <c r="F252" s="93"/>
      <c r="G252" s="64"/>
      <c r="H252" s="64"/>
      <c r="I252" s="64"/>
      <c r="J252" s="94"/>
      <c r="K252" s="64"/>
      <c r="L252" s="64"/>
      <c r="M252" s="64"/>
      <c r="N252" s="64"/>
      <c r="O252" s="64"/>
      <c r="P252" s="64"/>
      <c r="Q252" s="64" t="str">
        <f>IFERROR(VLOOKUP('BMP P Tracking Table'!$P252,Dropdowns!$C$2:$E$15,3,FALSE),"")</f>
        <v/>
      </c>
      <c r="R252" s="64" t="str">
        <f>IFERROR(VLOOKUP('BMP P Tracking Table'!$Q252,Dropdowns!$P$3:$Q$23,2,FALSE),"")</f>
        <v/>
      </c>
      <c r="S252" s="64"/>
      <c r="T252" s="64"/>
      <c r="U252" s="64"/>
      <c r="V252" s="64"/>
      <c r="W252" s="64"/>
      <c r="X252" s="64"/>
      <c r="Y252" s="64"/>
      <c r="Z252" s="64"/>
      <c r="AA252" s="64"/>
      <c r="AB252" s="95"/>
      <c r="AC252" s="64"/>
      <c r="AD252" s="101" t="str">
        <f>IFERROR('BMP P Tracking Table'!$U252*VLOOKUP('BMP P Tracking Table'!$Q252,'Loading Rates'!$B$1:$L$24,4,FALSE)+IF('BMP P Tracking Table'!$V252="By HSG",'BMP P Tracking Table'!$W252*VLOOKUP('BMP P Tracking Table'!$Q252,'Loading Rates'!$B$1:$L$24,6,FALSE)+'BMP P Tracking Table'!$X252*VLOOKUP('BMP P Tracking Table'!$Q252,'Loading Rates'!$B$1:$L$24,7,FALSE)+'BMP P Tracking Table'!$Y252*VLOOKUP('BMP P Tracking Table'!$Q252,'Loading Rates'!$B$1:$L$24,8,FALSE)+'BMP P Tracking Table'!$Z252*VLOOKUP('BMP P Tracking Table'!$Q252,'Loading Rates'!$B$1:$L$24,9,FALSE),'BMP P Tracking Table'!$AA252*VLOOKUP('BMP P Tracking Table'!$Q252,'Loading Rates'!$B$1:$L$24,10,FALSE)),"")</f>
        <v/>
      </c>
      <c r="AE252" s="101" t="str">
        <f>IFERROR(MIN(2,IF('BMP P Tracking Table'!$V252="Total Pervious",(-(3630*'BMP P Tracking Table'!$U252+20.691*'BMP P Tracking Table'!$AA252)+SQRT((3630*'BMP P Tracking Table'!$U252+20.691*'BMP P Tracking Table'!$AA252)^2-(4*(996.798*'BMP P Tracking Table'!$AA252)*-'BMP P Tracking Table'!$AB252)))/(2*(996.798*'BMP P Tracking Table'!$AA252)),IF(SUM('BMP P Tracking Table'!$W252:$Z252)=0,'BMP P Tracking Table'!$AB252/(-3630*'BMP P Tracking Table'!$U252),(-(3630*'BMP P Tracking Table'!$U252+20.691*'BMP P Tracking Table'!$Z252-216.711*'BMP P Tracking Table'!$Y252-83.853*'BMP P Tracking Table'!$X252-42.834*'BMP P Tracking Table'!$W252)+SQRT((3630*'BMP P Tracking Table'!$U252+20.691*'BMP P Tracking Table'!$Z252-216.711*'BMP P Tracking Table'!$Y252-83.853*'BMP P Tracking Table'!$X252-42.834*'BMP P Tracking Table'!$W252)^2-(4*(149.919*'BMP P Tracking Table'!$W252+236.676*'BMP P Tracking Table'!$X252+726*'BMP P Tracking Table'!$Y252+996.798*'BMP P Tracking Table'!$Z252)*-'BMP P Tracking Table'!$AB252)))/(2*(149.919*'BMP P Tracking Table'!$W252+236.676*'BMP P Tracking Table'!$X252+726*'BMP P Tracking Table'!$Y252+996.798*'BMP P Tracking Table'!$Z252))))),"")</f>
        <v/>
      </c>
      <c r="AF252" s="101" t="str">
        <f>IFERROR((VLOOKUP(CONCATENATE('BMP P Tracking Table'!$T252," ",'BMP P Tracking Table'!$AC252),'Performance Curves'!$C$1:$L$45,MATCH('BMP P Tracking Table'!$AE252,'Performance Curves'!$E$1:$L$1,1)+2,FALSE)-VLOOKUP(CONCATENATE('BMP P Tracking Table'!$T252," ",'BMP P Tracking Table'!$AC252),'Performance Curves'!$C$1:$L$45,MATCH('BMP P Tracking Table'!$AE252,'Performance Curves'!$E$1:$L$1,1)+1,FALSE)),"")</f>
        <v/>
      </c>
      <c r="AG252" s="101" t="str">
        <f>IFERROR(('BMP P Tracking Table'!$AE252-INDEX('Performance Curves'!$E$1:$L$1,1,MATCH('BMP P Tracking Table'!$AE252,'Performance Curves'!$E$1:$L$1,1)))/(INDEX('Performance Curves'!$E$1:$L$1,1,MATCH('BMP P Tracking Table'!$AE252,'Performance Curves'!$E$1:$L$1,1)+1)-INDEX('Performance Curves'!$E$1:$L$1,1,MATCH('BMP P Tracking Table'!$AE252,'Performance Curves'!$E$1:$L$1,1))),"")</f>
        <v/>
      </c>
      <c r="AH252" s="102" t="str">
        <f>IFERROR(IF('BMP P Tracking Table'!$AE252=2,VLOOKUP(CONCATENATE('BMP P Tracking Table'!$T252," ",'BMP P Tracking Table'!$AC252),'Performance Curves'!$C$1:$L$45,MATCH('BMP P Tracking Table'!$AE252,'Performance Curves'!$E$1:$L$1,1)+1,FALSE),'BMP P Tracking Table'!$AF252*'BMP P Tracking Table'!$AG252+VLOOKUP(CONCATENATE('BMP P Tracking Table'!$T252," ",'BMP P Tracking Table'!$AC252),'Performance Curves'!$C$1:$L$45,MATCH('BMP P Tracking Table'!$AE252,'Performance Curves'!$E$1:$L$1,1)+1,FALSE)),"")</f>
        <v/>
      </c>
      <c r="AI252" s="101" t="str">
        <f>IFERROR('BMP P Tracking Table'!$AH252*'BMP P Tracking Table'!$AD252,"")</f>
        <v/>
      </c>
      <c r="AJ252" s="64"/>
      <c r="AK252" s="96"/>
      <c r="AL252" s="96"/>
      <c r="AM252" s="63"/>
      <c r="AN252" s="99" t="str">
        <f t="shared" si="18"/>
        <v/>
      </c>
      <c r="AO252" s="96"/>
      <c r="AP252" s="96"/>
      <c r="AQ252" s="96"/>
      <c r="AR252" s="96"/>
      <c r="AS252" s="96"/>
      <c r="AT252" s="96"/>
      <c r="AU252" s="96"/>
      <c r="AV252" s="64"/>
      <c r="AW252" s="97"/>
      <c r="AX252" s="97"/>
      <c r="AY252" s="101" t="str">
        <f>IF('BMP P Tracking Table'!$AK252="Yes",IF('BMP P Tracking Table'!$AL252="No",'BMP P Tracking Table'!$U252*VLOOKUP('BMP P Tracking Table'!$Q252,'Loading Rates'!$B$1:$L$24,4,FALSE)+IF('BMP P Tracking Table'!$V252="By HSG",'BMP P Tracking Table'!$W252*VLOOKUP('BMP P Tracking Table'!$Q252,'Loading Rates'!$B$1:$L$24,6,FALSE)+'BMP P Tracking Table'!$X252*VLOOKUP('BMP P Tracking Table'!$Q252,'Loading Rates'!$B$1:$L$24,7,FALSE)+'BMP P Tracking Table'!$Y252*VLOOKUP('BMP P Tracking Table'!$Q252,'Loading Rates'!$B$1:$L$24,8,FALSE)+'BMP P Tracking Table'!$Z252*VLOOKUP('BMP P Tracking Table'!$Q252,'Loading Rates'!$B$1:$L$24,9,FALSE),'BMP P Tracking Table'!$AA252*VLOOKUP('BMP P Tracking Table'!$Q252,'Loading Rates'!$B$1:$L$24,10,FALSE)),'BMP P Tracking Table'!$AO252*VLOOKUP('BMP P Tracking Table'!$Q252,'Loading Rates'!$B$1:$L$24,4,FALSE)+IF('BMP P Tracking Table'!$AP252="By HSG",'BMP P Tracking Table'!$AQ252*VLOOKUP('BMP P Tracking Table'!$Q252,'Loading Rates'!$B$1:$L$24,6,FALSE)+'BMP P Tracking Table'!$AR252*VLOOKUP('BMP P Tracking Table'!$Q252,'Loading Rates'!$B$1:$L$24,7,FALSE)+'BMP P Tracking Table'!$AS252*VLOOKUP('BMP P Tracking Table'!$Q252,'Loading Rates'!$B$1:$L$24,8,FALSE)+'BMP P Tracking Table'!$AT252*VLOOKUP('BMP P Tracking Table'!$Q252,'Loading Rates'!$B$1:$L$24,9,FALSE),'BMP P Tracking Table'!$AU252*VLOOKUP('BMP P Tracking Table'!$Q252,'Loading Rates'!$B$1:$L$24,10,FALSE))),"")</f>
        <v/>
      </c>
      <c r="AZ252" s="101" t="str">
        <f>IFERROR(IF('BMP P Tracking Table'!$AL252="Yes",MIN(2,IF('BMP P Tracking Table'!$AP252="Total Pervious",(-(3630*'BMP P Tracking Table'!$AO252+20.691*'BMP P Tracking Table'!$AU252)+SQRT((3630*'BMP P Tracking Table'!$AO252+20.691*'BMP P Tracking Table'!$AU252)^2-(4*(996.798*'BMP P Tracking Table'!$AU252)*-'BMP P Tracking Table'!$AW252)))/(2*(996.798*'BMP P Tracking Table'!$AU252)),IF(SUM('BMP P Tracking Table'!$AQ252:$AT252)=0,'BMP P Tracking Table'!$AU252/(-3630*'BMP P Tracking Table'!$AO252),(-(3630*'BMP P Tracking Table'!$AO252+20.691*'BMP P Tracking Table'!$AT252-216.711*'BMP P Tracking Table'!$AS252-83.853*'BMP P Tracking Table'!$AR252-42.834*'BMP P Tracking Table'!$AQ252)+SQRT((3630*'BMP P Tracking Table'!$AO252+20.691*'BMP P Tracking Table'!$AT252-216.711*'BMP P Tracking Table'!$AS252-83.853*'BMP P Tracking Table'!$AR252-42.834*'BMP P Tracking Table'!$AQ252)^2-(4*(149.919*'BMP P Tracking Table'!$AQ252+236.676*'BMP P Tracking Table'!$AR252+726*'BMP P Tracking Table'!$AS252+996.798*'BMP P Tracking Table'!$AT252)*-'BMP P Tracking Table'!$AW252)))/(2*(149.919*'BMP P Tracking Table'!$AQ252+236.676*'BMP P Tracking Table'!$AR252+726*'BMP P Tracking Table'!$AS252+996.798*'BMP P Tracking Table'!$AT252))))),MIN(2,IF('BMP P Tracking Table'!$AP252="Total Pervious",(-(3630*'BMP P Tracking Table'!$U252+20.691*'BMP P Tracking Table'!$AA252)+SQRT((3630*'BMP P Tracking Table'!$U252+20.691*'BMP P Tracking Table'!$AA252)^2-(4*(996.798*'BMP P Tracking Table'!$AA252)*-'BMP P Tracking Table'!$AW252)))/(2*(996.798*'BMP P Tracking Table'!$AA252)),IF(SUM('BMP P Tracking Table'!$W252:$Z252)=0,'BMP P Tracking Table'!$AW252/(-3630*'BMP P Tracking Table'!$U252),(-(3630*'BMP P Tracking Table'!$U252+20.691*'BMP P Tracking Table'!$Z252-216.711*'BMP P Tracking Table'!$Y252-83.853*'BMP P Tracking Table'!$X252-42.834*'BMP P Tracking Table'!$W252)+SQRT((3630*'BMP P Tracking Table'!$U252+20.691*'BMP P Tracking Table'!$Z252-216.711*'BMP P Tracking Table'!$Y252-83.853*'BMP P Tracking Table'!$X252-42.834*'BMP P Tracking Table'!$W252)^2-(4*(149.919*'BMP P Tracking Table'!$W252+236.676*'BMP P Tracking Table'!$X252+726*'BMP P Tracking Table'!$Y252+996.798*'BMP P Tracking Table'!$Z252)*-'BMP P Tracking Table'!$AW252)))/(2*(149.919*'BMP P Tracking Table'!$W252+236.676*'BMP P Tracking Table'!$X252+726*'BMP P Tracking Table'!$Y252+996.798*'BMP P Tracking Table'!$Z252)))))),"")</f>
        <v/>
      </c>
      <c r="BA252" s="101" t="str">
        <f>IFERROR((VLOOKUP(CONCATENATE('BMP P Tracking Table'!$AV252," ",'BMP P Tracking Table'!$AX252),'Performance Curves'!$C$1:$L$45,MATCH('BMP P Tracking Table'!$AZ252,'Performance Curves'!$E$1:$L$1,1)+2,FALSE)-VLOOKUP(CONCATENATE('BMP P Tracking Table'!$AV252," ",'BMP P Tracking Table'!$AX252),'Performance Curves'!$C$1:$L$45,MATCH('BMP P Tracking Table'!$AZ252,'Performance Curves'!$E$1:$L$1,1)+1,FALSE)),"")</f>
        <v/>
      </c>
      <c r="BB252" s="101" t="str">
        <f>IFERROR(('BMP P Tracking Table'!$AZ252-INDEX('Performance Curves'!$E$1:$L$1,1,MATCH('BMP P Tracking Table'!$AZ252,'Performance Curves'!$E$1:$L$1,1)))/(INDEX('Performance Curves'!$E$1:$L$1,1,MATCH('BMP P Tracking Table'!$AZ252,'Performance Curves'!$E$1:$L$1,1)+1)-INDEX('Performance Curves'!$E$1:$L$1,1,MATCH('BMP P Tracking Table'!$AZ252,'Performance Curves'!$E$1:$L$1,1))),"")</f>
        <v/>
      </c>
      <c r="BC252" s="102" t="str">
        <f>IFERROR(IF('BMP P Tracking Table'!$AZ252=2,VLOOKUP(CONCATENATE('BMP P Tracking Table'!$AV252," ",'BMP P Tracking Table'!$AX252),'Performance Curves'!$C$1:$L$44,MATCH('BMP P Tracking Table'!$AZ252,'Performance Curves'!$E$1:$L$1,1)+1,FALSE),'BMP P Tracking Table'!$BA252*'BMP P Tracking Table'!$BB252+VLOOKUP(CONCATENATE('BMP P Tracking Table'!$AV252," ",'BMP P Tracking Table'!$AX252),'Performance Curves'!$C$1:$L$44,MATCH('BMP P Tracking Table'!$AZ252,'Performance Curves'!$E$1:$L$1,1)+1,FALSE)),"")</f>
        <v/>
      </c>
      <c r="BD252" s="101" t="str">
        <f>IFERROR('BMP P Tracking Table'!$BC252*'BMP P Tracking Table'!$AY252,"")</f>
        <v/>
      </c>
      <c r="BE252" s="96"/>
      <c r="BF252" s="37">
        <f t="shared" si="19"/>
        <v>0</v>
      </c>
    </row>
    <row r="253" spans="1:58" x14ac:dyDescent="0.3">
      <c r="A253" s="64"/>
      <c r="B253" s="64"/>
      <c r="C253" s="64"/>
      <c r="D253" s="64"/>
      <c r="E253" s="93"/>
      <c r="F253" s="93"/>
      <c r="G253" s="64"/>
      <c r="H253" s="64"/>
      <c r="I253" s="64"/>
      <c r="J253" s="94"/>
      <c r="K253" s="64"/>
      <c r="L253" s="64"/>
      <c r="M253" s="64"/>
      <c r="N253" s="64"/>
      <c r="O253" s="64"/>
      <c r="P253" s="64"/>
      <c r="Q253" s="64" t="str">
        <f>IFERROR(VLOOKUP('BMP P Tracking Table'!$P253,Dropdowns!$C$2:$E$15,3,FALSE),"")</f>
        <v/>
      </c>
      <c r="R253" s="64" t="str">
        <f>IFERROR(VLOOKUP('BMP P Tracking Table'!$Q253,Dropdowns!$P$3:$Q$23,2,FALSE),"")</f>
        <v/>
      </c>
      <c r="S253" s="64"/>
      <c r="T253" s="64"/>
      <c r="U253" s="64"/>
      <c r="V253" s="64"/>
      <c r="W253" s="64"/>
      <c r="X253" s="64"/>
      <c r="Y253" s="64"/>
      <c r="Z253" s="64"/>
      <c r="AA253" s="64"/>
      <c r="AB253" s="95"/>
      <c r="AC253" s="64"/>
      <c r="AD253" s="101" t="str">
        <f>IFERROR('BMP P Tracking Table'!$U253*VLOOKUP('BMP P Tracking Table'!$Q253,'Loading Rates'!$B$1:$L$24,4,FALSE)+IF('BMP P Tracking Table'!$V253="By HSG",'BMP P Tracking Table'!$W253*VLOOKUP('BMP P Tracking Table'!$Q253,'Loading Rates'!$B$1:$L$24,6,FALSE)+'BMP P Tracking Table'!$X253*VLOOKUP('BMP P Tracking Table'!$Q253,'Loading Rates'!$B$1:$L$24,7,FALSE)+'BMP P Tracking Table'!$Y253*VLOOKUP('BMP P Tracking Table'!$Q253,'Loading Rates'!$B$1:$L$24,8,FALSE)+'BMP P Tracking Table'!$Z253*VLOOKUP('BMP P Tracking Table'!$Q253,'Loading Rates'!$B$1:$L$24,9,FALSE),'BMP P Tracking Table'!$AA253*VLOOKUP('BMP P Tracking Table'!$Q253,'Loading Rates'!$B$1:$L$24,10,FALSE)),"")</f>
        <v/>
      </c>
      <c r="AE253" s="101" t="str">
        <f>IFERROR(MIN(2,IF('BMP P Tracking Table'!$V253="Total Pervious",(-(3630*'BMP P Tracking Table'!$U253+20.691*'BMP P Tracking Table'!$AA253)+SQRT((3630*'BMP P Tracking Table'!$U253+20.691*'BMP P Tracking Table'!$AA253)^2-(4*(996.798*'BMP P Tracking Table'!$AA253)*-'BMP P Tracking Table'!$AB253)))/(2*(996.798*'BMP P Tracking Table'!$AA253)),IF(SUM('BMP P Tracking Table'!$W253:$Z253)=0,'BMP P Tracking Table'!$AB253/(-3630*'BMP P Tracking Table'!$U253),(-(3630*'BMP P Tracking Table'!$U253+20.691*'BMP P Tracking Table'!$Z253-216.711*'BMP P Tracking Table'!$Y253-83.853*'BMP P Tracking Table'!$X253-42.834*'BMP P Tracking Table'!$W253)+SQRT((3630*'BMP P Tracking Table'!$U253+20.691*'BMP P Tracking Table'!$Z253-216.711*'BMP P Tracking Table'!$Y253-83.853*'BMP P Tracking Table'!$X253-42.834*'BMP P Tracking Table'!$W253)^2-(4*(149.919*'BMP P Tracking Table'!$W253+236.676*'BMP P Tracking Table'!$X253+726*'BMP P Tracking Table'!$Y253+996.798*'BMP P Tracking Table'!$Z253)*-'BMP P Tracking Table'!$AB253)))/(2*(149.919*'BMP P Tracking Table'!$W253+236.676*'BMP P Tracking Table'!$X253+726*'BMP P Tracking Table'!$Y253+996.798*'BMP P Tracking Table'!$Z253))))),"")</f>
        <v/>
      </c>
      <c r="AF253" s="101" t="str">
        <f>IFERROR((VLOOKUP(CONCATENATE('BMP P Tracking Table'!$T253," ",'BMP P Tracking Table'!$AC253),'Performance Curves'!$C$1:$L$45,MATCH('BMP P Tracking Table'!$AE253,'Performance Curves'!$E$1:$L$1,1)+2,FALSE)-VLOOKUP(CONCATENATE('BMP P Tracking Table'!$T253," ",'BMP P Tracking Table'!$AC253),'Performance Curves'!$C$1:$L$45,MATCH('BMP P Tracking Table'!$AE253,'Performance Curves'!$E$1:$L$1,1)+1,FALSE)),"")</f>
        <v/>
      </c>
      <c r="AG253" s="101" t="str">
        <f>IFERROR(('BMP P Tracking Table'!$AE253-INDEX('Performance Curves'!$E$1:$L$1,1,MATCH('BMP P Tracking Table'!$AE253,'Performance Curves'!$E$1:$L$1,1)))/(INDEX('Performance Curves'!$E$1:$L$1,1,MATCH('BMP P Tracking Table'!$AE253,'Performance Curves'!$E$1:$L$1,1)+1)-INDEX('Performance Curves'!$E$1:$L$1,1,MATCH('BMP P Tracking Table'!$AE253,'Performance Curves'!$E$1:$L$1,1))),"")</f>
        <v/>
      </c>
      <c r="AH253" s="102" t="str">
        <f>IFERROR(IF('BMP P Tracking Table'!$AE253=2,VLOOKUP(CONCATENATE('BMP P Tracking Table'!$T253," ",'BMP P Tracking Table'!$AC253),'Performance Curves'!$C$1:$L$45,MATCH('BMP P Tracking Table'!$AE253,'Performance Curves'!$E$1:$L$1,1)+1,FALSE),'BMP P Tracking Table'!$AF253*'BMP P Tracking Table'!$AG253+VLOOKUP(CONCATENATE('BMP P Tracking Table'!$T253," ",'BMP P Tracking Table'!$AC253),'Performance Curves'!$C$1:$L$45,MATCH('BMP P Tracking Table'!$AE253,'Performance Curves'!$E$1:$L$1,1)+1,FALSE)),"")</f>
        <v/>
      </c>
      <c r="AI253" s="101" t="str">
        <f>IFERROR('BMP P Tracking Table'!$AH253*'BMP P Tracking Table'!$AD253,"")</f>
        <v/>
      </c>
      <c r="AJ253" s="64"/>
      <c r="AK253" s="96"/>
      <c r="AL253" s="96"/>
      <c r="AM253" s="63"/>
      <c r="AN253" s="99" t="str">
        <f t="shared" si="18"/>
        <v/>
      </c>
      <c r="AO253" s="96"/>
      <c r="AP253" s="96"/>
      <c r="AQ253" s="96"/>
      <c r="AR253" s="96"/>
      <c r="AS253" s="96"/>
      <c r="AT253" s="96"/>
      <c r="AU253" s="96"/>
      <c r="AV253" s="64"/>
      <c r="AW253" s="97"/>
      <c r="AX253" s="97"/>
      <c r="AY253" s="101" t="str">
        <f>IF('BMP P Tracking Table'!$AK253="Yes",IF('BMP P Tracking Table'!$AL253="No",'BMP P Tracking Table'!$U253*VLOOKUP('BMP P Tracking Table'!$Q253,'Loading Rates'!$B$1:$L$24,4,FALSE)+IF('BMP P Tracking Table'!$V253="By HSG",'BMP P Tracking Table'!$W253*VLOOKUP('BMP P Tracking Table'!$Q253,'Loading Rates'!$B$1:$L$24,6,FALSE)+'BMP P Tracking Table'!$X253*VLOOKUP('BMP P Tracking Table'!$Q253,'Loading Rates'!$B$1:$L$24,7,FALSE)+'BMP P Tracking Table'!$Y253*VLOOKUP('BMP P Tracking Table'!$Q253,'Loading Rates'!$B$1:$L$24,8,FALSE)+'BMP P Tracking Table'!$Z253*VLOOKUP('BMP P Tracking Table'!$Q253,'Loading Rates'!$B$1:$L$24,9,FALSE),'BMP P Tracking Table'!$AA253*VLOOKUP('BMP P Tracking Table'!$Q253,'Loading Rates'!$B$1:$L$24,10,FALSE)),'BMP P Tracking Table'!$AO253*VLOOKUP('BMP P Tracking Table'!$Q253,'Loading Rates'!$B$1:$L$24,4,FALSE)+IF('BMP P Tracking Table'!$AP253="By HSG",'BMP P Tracking Table'!$AQ253*VLOOKUP('BMP P Tracking Table'!$Q253,'Loading Rates'!$B$1:$L$24,6,FALSE)+'BMP P Tracking Table'!$AR253*VLOOKUP('BMP P Tracking Table'!$Q253,'Loading Rates'!$B$1:$L$24,7,FALSE)+'BMP P Tracking Table'!$AS253*VLOOKUP('BMP P Tracking Table'!$Q253,'Loading Rates'!$B$1:$L$24,8,FALSE)+'BMP P Tracking Table'!$AT253*VLOOKUP('BMP P Tracking Table'!$Q253,'Loading Rates'!$B$1:$L$24,9,FALSE),'BMP P Tracking Table'!$AU253*VLOOKUP('BMP P Tracking Table'!$Q253,'Loading Rates'!$B$1:$L$24,10,FALSE))),"")</f>
        <v/>
      </c>
      <c r="AZ253" s="101" t="str">
        <f>IFERROR(IF('BMP P Tracking Table'!$AL253="Yes",MIN(2,IF('BMP P Tracking Table'!$AP253="Total Pervious",(-(3630*'BMP P Tracking Table'!$AO253+20.691*'BMP P Tracking Table'!$AU253)+SQRT((3630*'BMP P Tracking Table'!$AO253+20.691*'BMP P Tracking Table'!$AU253)^2-(4*(996.798*'BMP P Tracking Table'!$AU253)*-'BMP P Tracking Table'!$AW253)))/(2*(996.798*'BMP P Tracking Table'!$AU253)),IF(SUM('BMP P Tracking Table'!$AQ253:$AT253)=0,'BMP P Tracking Table'!$AU253/(-3630*'BMP P Tracking Table'!$AO253),(-(3630*'BMP P Tracking Table'!$AO253+20.691*'BMP P Tracking Table'!$AT253-216.711*'BMP P Tracking Table'!$AS253-83.853*'BMP P Tracking Table'!$AR253-42.834*'BMP P Tracking Table'!$AQ253)+SQRT((3630*'BMP P Tracking Table'!$AO253+20.691*'BMP P Tracking Table'!$AT253-216.711*'BMP P Tracking Table'!$AS253-83.853*'BMP P Tracking Table'!$AR253-42.834*'BMP P Tracking Table'!$AQ253)^2-(4*(149.919*'BMP P Tracking Table'!$AQ253+236.676*'BMP P Tracking Table'!$AR253+726*'BMP P Tracking Table'!$AS253+996.798*'BMP P Tracking Table'!$AT253)*-'BMP P Tracking Table'!$AW253)))/(2*(149.919*'BMP P Tracking Table'!$AQ253+236.676*'BMP P Tracking Table'!$AR253+726*'BMP P Tracking Table'!$AS253+996.798*'BMP P Tracking Table'!$AT253))))),MIN(2,IF('BMP P Tracking Table'!$AP253="Total Pervious",(-(3630*'BMP P Tracking Table'!$U253+20.691*'BMP P Tracking Table'!$AA253)+SQRT((3630*'BMP P Tracking Table'!$U253+20.691*'BMP P Tracking Table'!$AA253)^2-(4*(996.798*'BMP P Tracking Table'!$AA253)*-'BMP P Tracking Table'!$AW253)))/(2*(996.798*'BMP P Tracking Table'!$AA253)),IF(SUM('BMP P Tracking Table'!$W253:$Z253)=0,'BMP P Tracking Table'!$AW253/(-3630*'BMP P Tracking Table'!$U253),(-(3630*'BMP P Tracking Table'!$U253+20.691*'BMP P Tracking Table'!$Z253-216.711*'BMP P Tracking Table'!$Y253-83.853*'BMP P Tracking Table'!$X253-42.834*'BMP P Tracking Table'!$W253)+SQRT((3630*'BMP P Tracking Table'!$U253+20.691*'BMP P Tracking Table'!$Z253-216.711*'BMP P Tracking Table'!$Y253-83.853*'BMP P Tracking Table'!$X253-42.834*'BMP P Tracking Table'!$W253)^2-(4*(149.919*'BMP P Tracking Table'!$W253+236.676*'BMP P Tracking Table'!$X253+726*'BMP P Tracking Table'!$Y253+996.798*'BMP P Tracking Table'!$Z253)*-'BMP P Tracking Table'!$AW253)))/(2*(149.919*'BMP P Tracking Table'!$W253+236.676*'BMP P Tracking Table'!$X253+726*'BMP P Tracking Table'!$Y253+996.798*'BMP P Tracking Table'!$Z253)))))),"")</f>
        <v/>
      </c>
      <c r="BA253" s="101" t="str">
        <f>IFERROR((VLOOKUP(CONCATENATE('BMP P Tracking Table'!$AV253," ",'BMP P Tracking Table'!$AX253),'Performance Curves'!$C$1:$L$45,MATCH('BMP P Tracking Table'!$AZ253,'Performance Curves'!$E$1:$L$1,1)+2,FALSE)-VLOOKUP(CONCATENATE('BMP P Tracking Table'!$AV253," ",'BMP P Tracking Table'!$AX253),'Performance Curves'!$C$1:$L$45,MATCH('BMP P Tracking Table'!$AZ253,'Performance Curves'!$E$1:$L$1,1)+1,FALSE)),"")</f>
        <v/>
      </c>
      <c r="BB253" s="101" t="str">
        <f>IFERROR(('BMP P Tracking Table'!$AZ253-INDEX('Performance Curves'!$E$1:$L$1,1,MATCH('BMP P Tracking Table'!$AZ253,'Performance Curves'!$E$1:$L$1,1)))/(INDEX('Performance Curves'!$E$1:$L$1,1,MATCH('BMP P Tracking Table'!$AZ253,'Performance Curves'!$E$1:$L$1,1)+1)-INDEX('Performance Curves'!$E$1:$L$1,1,MATCH('BMP P Tracking Table'!$AZ253,'Performance Curves'!$E$1:$L$1,1))),"")</f>
        <v/>
      </c>
      <c r="BC253" s="102" t="str">
        <f>IFERROR(IF('BMP P Tracking Table'!$AZ253=2,VLOOKUP(CONCATENATE('BMP P Tracking Table'!$AV253," ",'BMP P Tracking Table'!$AX253),'Performance Curves'!$C$1:$L$44,MATCH('BMP P Tracking Table'!$AZ253,'Performance Curves'!$E$1:$L$1,1)+1,FALSE),'BMP P Tracking Table'!$BA253*'BMP P Tracking Table'!$BB253+VLOOKUP(CONCATENATE('BMP P Tracking Table'!$AV253," ",'BMP P Tracking Table'!$AX253),'Performance Curves'!$C$1:$L$44,MATCH('BMP P Tracking Table'!$AZ253,'Performance Curves'!$E$1:$L$1,1)+1,FALSE)),"")</f>
        <v/>
      </c>
      <c r="BD253" s="101" t="str">
        <f>IFERROR('BMP P Tracking Table'!$BC253*'BMP P Tracking Table'!$AY253,"")</f>
        <v/>
      </c>
      <c r="BE253" s="96"/>
      <c r="BF253" s="37">
        <f t="shared" si="19"/>
        <v>0</v>
      </c>
    </row>
    <row r="254" spans="1:58" x14ac:dyDescent="0.3">
      <c r="A254" s="64"/>
      <c r="B254" s="64"/>
      <c r="C254" s="64"/>
      <c r="D254" s="64"/>
      <c r="E254" s="93"/>
      <c r="F254" s="93"/>
      <c r="G254" s="64"/>
      <c r="H254" s="64"/>
      <c r="I254" s="64"/>
      <c r="J254" s="94"/>
      <c r="K254" s="64"/>
      <c r="L254" s="64"/>
      <c r="M254" s="64"/>
      <c r="N254" s="64"/>
      <c r="O254" s="64"/>
      <c r="P254" s="64"/>
      <c r="Q254" s="64" t="str">
        <f>IFERROR(VLOOKUP('BMP P Tracking Table'!$P254,Dropdowns!$C$2:$E$15,3,FALSE),"")</f>
        <v/>
      </c>
      <c r="R254" s="64" t="str">
        <f>IFERROR(VLOOKUP('BMP P Tracking Table'!$Q254,Dropdowns!$P$3:$Q$23,2,FALSE),"")</f>
        <v/>
      </c>
      <c r="S254" s="64"/>
      <c r="T254" s="64"/>
      <c r="U254" s="64"/>
      <c r="V254" s="64"/>
      <c r="W254" s="64"/>
      <c r="X254" s="64"/>
      <c r="Y254" s="64"/>
      <c r="Z254" s="64"/>
      <c r="AA254" s="64"/>
      <c r="AB254" s="95"/>
      <c r="AC254" s="64"/>
      <c r="AD254" s="101" t="str">
        <f>IFERROR('BMP P Tracking Table'!$U254*VLOOKUP('BMP P Tracking Table'!$Q254,'Loading Rates'!$B$1:$L$24,4,FALSE)+IF('BMP P Tracking Table'!$V254="By HSG",'BMP P Tracking Table'!$W254*VLOOKUP('BMP P Tracking Table'!$Q254,'Loading Rates'!$B$1:$L$24,6,FALSE)+'BMP P Tracking Table'!$X254*VLOOKUP('BMP P Tracking Table'!$Q254,'Loading Rates'!$B$1:$L$24,7,FALSE)+'BMP P Tracking Table'!$Y254*VLOOKUP('BMP P Tracking Table'!$Q254,'Loading Rates'!$B$1:$L$24,8,FALSE)+'BMP P Tracking Table'!$Z254*VLOOKUP('BMP P Tracking Table'!$Q254,'Loading Rates'!$B$1:$L$24,9,FALSE),'BMP P Tracking Table'!$AA254*VLOOKUP('BMP P Tracking Table'!$Q254,'Loading Rates'!$B$1:$L$24,10,FALSE)),"")</f>
        <v/>
      </c>
      <c r="AE254" s="101" t="str">
        <f>IFERROR(MIN(2,IF('BMP P Tracking Table'!$V254="Total Pervious",(-(3630*'BMP P Tracking Table'!$U254+20.691*'BMP P Tracking Table'!$AA254)+SQRT((3630*'BMP P Tracking Table'!$U254+20.691*'BMP P Tracking Table'!$AA254)^2-(4*(996.798*'BMP P Tracking Table'!$AA254)*-'BMP P Tracking Table'!$AB254)))/(2*(996.798*'BMP P Tracking Table'!$AA254)),IF(SUM('BMP P Tracking Table'!$W254:$Z254)=0,'BMP P Tracking Table'!$AB254/(-3630*'BMP P Tracking Table'!$U254),(-(3630*'BMP P Tracking Table'!$U254+20.691*'BMP P Tracking Table'!$Z254-216.711*'BMP P Tracking Table'!$Y254-83.853*'BMP P Tracking Table'!$X254-42.834*'BMP P Tracking Table'!$W254)+SQRT((3630*'BMP P Tracking Table'!$U254+20.691*'BMP P Tracking Table'!$Z254-216.711*'BMP P Tracking Table'!$Y254-83.853*'BMP P Tracking Table'!$X254-42.834*'BMP P Tracking Table'!$W254)^2-(4*(149.919*'BMP P Tracking Table'!$W254+236.676*'BMP P Tracking Table'!$X254+726*'BMP P Tracking Table'!$Y254+996.798*'BMP P Tracking Table'!$Z254)*-'BMP P Tracking Table'!$AB254)))/(2*(149.919*'BMP P Tracking Table'!$W254+236.676*'BMP P Tracking Table'!$X254+726*'BMP P Tracking Table'!$Y254+996.798*'BMP P Tracking Table'!$Z254))))),"")</f>
        <v/>
      </c>
      <c r="AF254" s="101" t="str">
        <f>IFERROR((VLOOKUP(CONCATENATE('BMP P Tracking Table'!$T254," ",'BMP P Tracking Table'!$AC254),'Performance Curves'!$C$1:$L$45,MATCH('BMP P Tracking Table'!$AE254,'Performance Curves'!$E$1:$L$1,1)+2,FALSE)-VLOOKUP(CONCATENATE('BMP P Tracking Table'!$T254," ",'BMP P Tracking Table'!$AC254),'Performance Curves'!$C$1:$L$45,MATCH('BMP P Tracking Table'!$AE254,'Performance Curves'!$E$1:$L$1,1)+1,FALSE)),"")</f>
        <v/>
      </c>
      <c r="AG254" s="101" t="str">
        <f>IFERROR(('BMP P Tracking Table'!$AE254-INDEX('Performance Curves'!$E$1:$L$1,1,MATCH('BMP P Tracking Table'!$AE254,'Performance Curves'!$E$1:$L$1,1)))/(INDEX('Performance Curves'!$E$1:$L$1,1,MATCH('BMP P Tracking Table'!$AE254,'Performance Curves'!$E$1:$L$1,1)+1)-INDEX('Performance Curves'!$E$1:$L$1,1,MATCH('BMP P Tracking Table'!$AE254,'Performance Curves'!$E$1:$L$1,1))),"")</f>
        <v/>
      </c>
      <c r="AH254" s="102" t="str">
        <f>IFERROR(IF('BMP P Tracking Table'!$AE254=2,VLOOKUP(CONCATENATE('BMP P Tracking Table'!$T254," ",'BMP P Tracking Table'!$AC254),'Performance Curves'!$C$1:$L$45,MATCH('BMP P Tracking Table'!$AE254,'Performance Curves'!$E$1:$L$1,1)+1,FALSE),'BMP P Tracking Table'!$AF254*'BMP P Tracking Table'!$AG254+VLOOKUP(CONCATENATE('BMP P Tracking Table'!$T254," ",'BMP P Tracking Table'!$AC254),'Performance Curves'!$C$1:$L$45,MATCH('BMP P Tracking Table'!$AE254,'Performance Curves'!$E$1:$L$1,1)+1,FALSE)),"")</f>
        <v/>
      </c>
      <c r="AI254" s="101" t="str">
        <f>IFERROR('BMP P Tracking Table'!$AH254*'BMP P Tracking Table'!$AD254,"")</f>
        <v/>
      </c>
      <c r="AJ254" s="64"/>
      <c r="AK254" s="96"/>
      <c r="AL254" s="96"/>
      <c r="AM254" s="63"/>
      <c r="AN254" s="99" t="str">
        <f t="shared" si="18"/>
        <v/>
      </c>
      <c r="AO254" s="96"/>
      <c r="AP254" s="96"/>
      <c r="AQ254" s="96"/>
      <c r="AR254" s="96"/>
      <c r="AS254" s="96"/>
      <c r="AT254" s="96"/>
      <c r="AU254" s="96"/>
      <c r="AV254" s="64"/>
      <c r="AW254" s="97"/>
      <c r="AX254" s="97"/>
      <c r="AY254" s="101" t="str">
        <f>IF('BMP P Tracking Table'!$AK254="Yes",IF('BMP P Tracking Table'!$AL254="No",'BMP P Tracking Table'!$U254*VLOOKUP('BMP P Tracking Table'!$Q254,'Loading Rates'!$B$1:$L$24,4,FALSE)+IF('BMP P Tracking Table'!$V254="By HSG",'BMP P Tracking Table'!$W254*VLOOKUP('BMP P Tracking Table'!$Q254,'Loading Rates'!$B$1:$L$24,6,FALSE)+'BMP P Tracking Table'!$X254*VLOOKUP('BMP P Tracking Table'!$Q254,'Loading Rates'!$B$1:$L$24,7,FALSE)+'BMP P Tracking Table'!$Y254*VLOOKUP('BMP P Tracking Table'!$Q254,'Loading Rates'!$B$1:$L$24,8,FALSE)+'BMP P Tracking Table'!$Z254*VLOOKUP('BMP P Tracking Table'!$Q254,'Loading Rates'!$B$1:$L$24,9,FALSE),'BMP P Tracking Table'!$AA254*VLOOKUP('BMP P Tracking Table'!$Q254,'Loading Rates'!$B$1:$L$24,10,FALSE)),'BMP P Tracking Table'!$AO254*VLOOKUP('BMP P Tracking Table'!$Q254,'Loading Rates'!$B$1:$L$24,4,FALSE)+IF('BMP P Tracking Table'!$AP254="By HSG",'BMP P Tracking Table'!$AQ254*VLOOKUP('BMP P Tracking Table'!$Q254,'Loading Rates'!$B$1:$L$24,6,FALSE)+'BMP P Tracking Table'!$AR254*VLOOKUP('BMP P Tracking Table'!$Q254,'Loading Rates'!$B$1:$L$24,7,FALSE)+'BMP P Tracking Table'!$AS254*VLOOKUP('BMP P Tracking Table'!$Q254,'Loading Rates'!$B$1:$L$24,8,FALSE)+'BMP P Tracking Table'!$AT254*VLOOKUP('BMP P Tracking Table'!$Q254,'Loading Rates'!$B$1:$L$24,9,FALSE),'BMP P Tracking Table'!$AU254*VLOOKUP('BMP P Tracking Table'!$Q254,'Loading Rates'!$B$1:$L$24,10,FALSE))),"")</f>
        <v/>
      </c>
      <c r="AZ254" s="101" t="str">
        <f>IFERROR(IF('BMP P Tracking Table'!$AL254="Yes",MIN(2,IF('BMP P Tracking Table'!$AP254="Total Pervious",(-(3630*'BMP P Tracking Table'!$AO254+20.691*'BMP P Tracking Table'!$AU254)+SQRT((3630*'BMP P Tracking Table'!$AO254+20.691*'BMP P Tracking Table'!$AU254)^2-(4*(996.798*'BMP P Tracking Table'!$AU254)*-'BMP P Tracking Table'!$AW254)))/(2*(996.798*'BMP P Tracking Table'!$AU254)),IF(SUM('BMP P Tracking Table'!$AQ254:$AT254)=0,'BMP P Tracking Table'!$AU254/(-3630*'BMP P Tracking Table'!$AO254),(-(3630*'BMP P Tracking Table'!$AO254+20.691*'BMP P Tracking Table'!$AT254-216.711*'BMP P Tracking Table'!$AS254-83.853*'BMP P Tracking Table'!$AR254-42.834*'BMP P Tracking Table'!$AQ254)+SQRT((3630*'BMP P Tracking Table'!$AO254+20.691*'BMP P Tracking Table'!$AT254-216.711*'BMP P Tracking Table'!$AS254-83.853*'BMP P Tracking Table'!$AR254-42.834*'BMP P Tracking Table'!$AQ254)^2-(4*(149.919*'BMP P Tracking Table'!$AQ254+236.676*'BMP P Tracking Table'!$AR254+726*'BMP P Tracking Table'!$AS254+996.798*'BMP P Tracking Table'!$AT254)*-'BMP P Tracking Table'!$AW254)))/(2*(149.919*'BMP P Tracking Table'!$AQ254+236.676*'BMP P Tracking Table'!$AR254+726*'BMP P Tracking Table'!$AS254+996.798*'BMP P Tracking Table'!$AT254))))),MIN(2,IF('BMP P Tracking Table'!$AP254="Total Pervious",(-(3630*'BMP P Tracking Table'!$U254+20.691*'BMP P Tracking Table'!$AA254)+SQRT((3630*'BMP P Tracking Table'!$U254+20.691*'BMP P Tracking Table'!$AA254)^2-(4*(996.798*'BMP P Tracking Table'!$AA254)*-'BMP P Tracking Table'!$AW254)))/(2*(996.798*'BMP P Tracking Table'!$AA254)),IF(SUM('BMP P Tracking Table'!$W254:$Z254)=0,'BMP P Tracking Table'!$AW254/(-3630*'BMP P Tracking Table'!$U254),(-(3630*'BMP P Tracking Table'!$U254+20.691*'BMP P Tracking Table'!$Z254-216.711*'BMP P Tracking Table'!$Y254-83.853*'BMP P Tracking Table'!$X254-42.834*'BMP P Tracking Table'!$W254)+SQRT((3630*'BMP P Tracking Table'!$U254+20.691*'BMP P Tracking Table'!$Z254-216.711*'BMP P Tracking Table'!$Y254-83.853*'BMP P Tracking Table'!$X254-42.834*'BMP P Tracking Table'!$W254)^2-(4*(149.919*'BMP P Tracking Table'!$W254+236.676*'BMP P Tracking Table'!$X254+726*'BMP P Tracking Table'!$Y254+996.798*'BMP P Tracking Table'!$Z254)*-'BMP P Tracking Table'!$AW254)))/(2*(149.919*'BMP P Tracking Table'!$W254+236.676*'BMP P Tracking Table'!$X254+726*'BMP P Tracking Table'!$Y254+996.798*'BMP P Tracking Table'!$Z254)))))),"")</f>
        <v/>
      </c>
      <c r="BA254" s="101" t="str">
        <f>IFERROR((VLOOKUP(CONCATENATE('BMP P Tracking Table'!$AV254," ",'BMP P Tracking Table'!$AX254),'Performance Curves'!$C$1:$L$45,MATCH('BMP P Tracking Table'!$AZ254,'Performance Curves'!$E$1:$L$1,1)+2,FALSE)-VLOOKUP(CONCATENATE('BMP P Tracking Table'!$AV254," ",'BMP P Tracking Table'!$AX254),'Performance Curves'!$C$1:$L$45,MATCH('BMP P Tracking Table'!$AZ254,'Performance Curves'!$E$1:$L$1,1)+1,FALSE)),"")</f>
        <v/>
      </c>
      <c r="BB254" s="101" t="str">
        <f>IFERROR(('BMP P Tracking Table'!$AZ254-INDEX('Performance Curves'!$E$1:$L$1,1,MATCH('BMP P Tracking Table'!$AZ254,'Performance Curves'!$E$1:$L$1,1)))/(INDEX('Performance Curves'!$E$1:$L$1,1,MATCH('BMP P Tracking Table'!$AZ254,'Performance Curves'!$E$1:$L$1,1)+1)-INDEX('Performance Curves'!$E$1:$L$1,1,MATCH('BMP P Tracking Table'!$AZ254,'Performance Curves'!$E$1:$L$1,1))),"")</f>
        <v/>
      </c>
      <c r="BC254" s="102" t="str">
        <f>IFERROR(IF('BMP P Tracking Table'!$AZ254=2,VLOOKUP(CONCATENATE('BMP P Tracking Table'!$AV254," ",'BMP P Tracking Table'!$AX254),'Performance Curves'!$C$1:$L$44,MATCH('BMP P Tracking Table'!$AZ254,'Performance Curves'!$E$1:$L$1,1)+1,FALSE),'BMP P Tracking Table'!$BA254*'BMP P Tracking Table'!$BB254+VLOOKUP(CONCATENATE('BMP P Tracking Table'!$AV254," ",'BMP P Tracking Table'!$AX254),'Performance Curves'!$C$1:$L$44,MATCH('BMP P Tracking Table'!$AZ254,'Performance Curves'!$E$1:$L$1,1)+1,FALSE)),"")</f>
        <v/>
      </c>
      <c r="BD254" s="101" t="str">
        <f>IFERROR('BMP P Tracking Table'!$BC254*'BMP P Tracking Table'!$AY254,"")</f>
        <v/>
      </c>
      <c r="BE254" s="96"/>
      <c r="BF254" s="37">
        <f t="shared" si="19"/>
        <v>0</v>
      </c>
    </row>
    <row r="255" spans="1:58" x14ac:dyDescent="0.3">
      <c r="A255" s="64"/>
      <c r="B255" s="64"/>
      <c r="C255" s="64"/>
      <c r="D255" s="64"/>
      <c r="E255" s="93"/>
      <c r="F255" s="93"/>
      <c r="G255" s="64"/>
      <c r="H255" s="64"/>
      <c r="I255" s="64"/>
      <c r="J255" s="94"/>
      <c r="K255" s="64"/>
      <c r="L255" s="64"/>
      <c r="M255" s="64"/>
      <c r="N255" s="64"/>
      <c r="O255" s="64"/>
      <c r="P255" s="64"/>
      <c r="Q255" s="64" t="str">
        <f>IFERROR(VLOOKUP('BMP P Tracking Table'!$P255,Dropdowns!$C$2:$E$15,3,FALSE),"")</f>
        <v/>
      </c>
      <c r="R255" s="64" t="str">
        <f>IFERROR(VLOOKUP('BMP P Tracking Table'!$Q255,Dropdowns!$P$3:$Q$23,2,FALSE),"")</f>
        <v/>
      </c>
      <c r="S255" s="64"/>
      <c r="T255" s="64"/>
      <c r="U255" s="64"/>
      <c r="V255" s="64"/>
      <c r="W255" s="64"/>
      <c r="X255" s="64"/>
      <c r="Y255" s="64"/>
      <c r="Z255" s="64"/>
      <c r="AA255" s="64"/>
      <c r="AB255" s="95"/>
      <c r="AC255" s="64"/>
      <c r="AD255" s="101" t="str">
        <f>IFERROR('BMP P Tracking Table'!$U255*VLOOKUP('BMP P Tracking Table'!$Q255,'Loading Rates'!$B$1:$L$24,4,FALSE)+IF('BMP P Tracking Table'!$V255="By HSG",'BMP P Tracking Table'!$W255*VLOOKUP('BMP P Tracking Table'!$Q255,'Loading Rates'!$B$1:$L$24,6,FALSE)+'BMP P Tracking Table'!$X255*VLOOKUP('BMP P Tracking Table'!$Q255,'Loading Rates'!$B$1:$L$24,7,FALSE)+'BMP P Tracking Table'!$Y255*VLOOKUP('BMP P Tracking Table'!$Q255,'Loading Rates'!$B$1:$L$24,8,FALSE)+'BMP P Tracking Table'!$Z255*VLOOKUP('BMP P Tracking Table'!$Q255,'Loading Rates'!$B$1:$L$24,9,FALSE),'BMP P Tracking Table'!$AA255*VLOOKUP('BMP P Tracking Table'!$Q255,'Loading Rates'!$B$1:$L$24,10,FALSE)),"")</f>
        <v/>
      </c>
      <c r="AE255" s="101" t="str">
        <f>IFERROR(MIN(2,IF('BMP P Tracking Table'!$V255="Total Pervious",(-(3630*'BMP P Tracking Table'!$U255+20.691*'BMP P Tracking Table'!$AA255)+SQRT((3630*'BMP P Tracking Table'!$U255+20.691*'BMP P Tracking Table'!$AA255)^2-(4*(996.798*'BMP P Tracking Table'!$AA255)*-'BMP P Tracking Table'!$AB255)))/(2*(996.798*'BMP P Tracking Table'!$AA255)),IF(SUM('BMP P Tracking Table'!$W255:$Z255)=0,'BMP P Tracking Table'!$AB255/(-3630*'BMP P Tracking Table'!$U255),(-(3630*'BMP P Tracking Table'!$U255+20.691*'BMP P Tracking Table'!$Z255-216.711*'BMP P Tracking Table'!$Y255-83.853*'BMP P Tracking Table'!$X255-42.834*'BMP P Tracking Table'!$W255)+SQRT((3630*'BMP P Tracking Table'!$U255+20.691*'BMP P Tracking Table'!$Z255-216.711*'BMP P Tracking Table'!$Y255-83.853*'BMP P Tracking Table'!$X255-42.834*'BMP P Tracking Table'!$W255)^2-(4*(149.919*'BMP P Tracking Table'!$W255+236.676*'BMP P Tracking Table'!$X255+726*'BMP P Tracking Table'!$Y255+996.798*'BMP P Tracking Table'!$Z255)*-'BMP P Tracking Table'!$AB255)))/(2*(149.919*'BMP P Tracking Table'!$W255+236.676*'BMP P Tracking Table'!$X255+726*'BMP P Tracking Table'!$Y255+996.798*'BMP P Tracking Table'!$Z255))))),"")</f>
        <v/>
      </c>
      <c r="AF255" s="101" t="str">
        <f>IFERROR((VLOOKUP(CONCATENATE('BMP P Tracking Table'!$T255," ",'BMP P Tracking Table'!$AC255),'Performance Curves'!$C$1:$L$45,MATCH('BMP P Tracking Table'!$AE255,'Performance Curves'!$E$1:$L$1,1)+2,FALSE)-VLOOKUP(CONCATENATE('BMP P Tracking Table'!$T255," ",'BMP P Tracking Table'!$AC255),'Performance Curves'!$C$1:$L$45,MATCH('BMP P Tracking Table'!$AE255,'Performance Curves'!$E$1:$L$1,1)+1,FALSE)),"")</f>
        <v/>
      </c>
      <c r="AG255" s="101" t="str">
        <f>IFERROR(('BMP P Tracking Table'!$AE255-INDEX('Performance Curves'!$E$1:$L$1,1,MATCH('BMP P Tracking Table'!$AE255,'Performance Curves'!$E$1:$L$1,1)))/(INDEX('Performance Curves'!$E$1:$L$1,1,MATCH('BMP P Tracking Table'!$AE255,'Performance Curves'!$E$1:$L$1,1)+1)-INDEX('Performance Curves'!$E$1:$L$1,1,MATCH('BMP P Tracking Table'!$AE255,'Performance Curves'!$E$1:$L$1,1))),"")</f>
        <v/>
      </c>
      <c r="AH255" s="102" t="str">
        <f>IFERROR(IF('BMP P Tracking Table'!$AE255=2,VLOOKUP(CONCATENATE('BMP P Tracking Table'!$T255," ",'BMP P Tracking Table'!$AC255),'Performance Curves'!$C$1:$L$45,MATCH('BMP P Tracking Table'!$AE255,'Performance Curves'!$E$1:$L$1,1)+1,FALSE),'BMP P Tracking Table'!$AF255*'BMP P Tracking Table'!$AG255+VLOOKUP(CONCATENATE('BMP P Tracking Table'!$T255," ",'BMP P Tracking Table'!$AC255),'Performance Curves'!$C$1:$L$45,MATCH('BMP P Tracking Table'!$AE255,'Performance Curves'!$E$1:$L$1,1)+1,FALSE)),"")</f>
        <v/>
      </c>
      <c r="AI255" s="101" t="str">
        <f>IFERROR('BMP P Tracking Table'!$AH255*'BMP P Tracking Table'!$AD255,"")</f>
        <v/>
      </c>
      <c r="AJ255" s="64"/>
      <c r="AK255" s="96"/>
      <c r="AL255" s="96"/>
      <c r="AM255" s="63"/>
      <c r="AN255" s="99" t="str">
        <f t="shared" si="18"/>
        <v/>
      </c>
      <c r="AO255" s="96"/>
      <c r="AP255" s="96"/>
      <c r="AQ255" s="96"/>
      <c r="AR255" s="96"/>
      <c r="AS255" s="96"/>
      <c r="AT255" s="96"/>
      <c r="AU255" s="96"/>
      <c r="AV255" s="64"/>
      <c r="AW255" s="97"/>
      <c r="AX255" s="97"/>
      <c r="AY255" s="101" t="str">
        <f>IF('BMP P Tracking Table'!$AK255="Yes",IF('BMP P Tracking Table'!$AL255="No",'BMP P Tracking Table'!$U255*VLOOKUP('BMP P Tracking Table'!$Q255,'Loading Rates'!$B$1:$L$24,4,FALSE)+IF('BMP P Tracking Table'!$V255="By HSG",'BMP P Tracking Table'!$W255*VLOOKUP('BMP P Tracking Table'!$Q255,'Loading Rates'!$B$1:$L$24,6,FALSE)+'BMP P Tracking Table'!$X255*VLOOKUP('BMP P Tracking Table'!$Q255,'Loading Rates'!$B$1:$L$24,7,FALSE)+'BMP P Tracking Table'!$Y255*VLOOKUP('BMP P Tracking Table'!$Q255,'Loading Rates'!$B$1:$L$24,8,FALSE)+'BMP P Tracking Table'!$Z255*VLOOKUP('BMP P Tracking Table'!$Q255,'Loading Rates'!$B$1:$L$24,9,FALSE),'BMP P Tracking Table'!$AA255*VLOOKUP('BMP P Tracking Table'!$Q255,'Loading Rates'!$B$1:$L$24,10,FALSE)),'BMP P Tracking Table'!$AO255*VLOOKUP('BMP P Tracking Table'!$Q255,'Loading Rates'!$B$1:$L$24,4,FALSE)+IF('BMP P Tracking Table'!$AP255="By HSG",'BMP P Tracking Table'!$AQ255*VLOOKUP('BMP P Tracking Table'!$Q255,'Loading Rates'!$B$1:$L$24,6,FALSE)+'BMP P Tracking Table'!$AR255*VLOOKUP('BMP P Tracking Table'!$Q255,'Loading Rates'!$B$1:$L$24,7,FALSE)+'BMP P Tracking Table'!$AS255*VLOOKUP('BMP P Tracking Table'!$Q255,'Loading Rates'!$B$1:$L$24,8,FALSE)+'BMP P Tracking Table'!$AT255*VLOOKUP('BMP P Tracking Table'!$Q255,'Loading Rates'!$B$1:$L$24,9,FALSE),'BMP P Tracking Table'!$AU255*VLOOKUP('BMP P Tracking Table'!$Q255,'Loading Rates'!$B$1:$L$24,10,FALSE))),"")</f>
        <v/>
      </c>
      <c r="AZ255" s="101" t="str">
        <f>IFERROR(IF('BMP P Tracking Table'!$AL255="Yes",MIN(2,IF('BMP P Tracking Table'!$AP255="Total Pervious",(-(3630*'BMP P Tracking Table'!$AO255+20.691*'BMP P Tracking Table'!$AU255)+SQRT((3630*'BMP P Tracking Table'!$AO255+20.691*'BMP P Tracking Table'!$AU255)^2-(4*(996.798*'BMP P Tracking Table'!$AU255)*-'BMP P Tracking Table'!$AW255)))/(2*(996.798*'BMP P Tracking Table'!$AU255)),IF(SUM('BMP P Tracking Table'!$AQ255:$AT255)=0,'BMP P Tracking Table'!$AU255/(-3630*'BMP P Tracking Table'!$AO255),(-(3630*'BMP P Tracking Table'!$AO255+20.691*'BMP P Tracking Table'!$AT255-216.711*'BMP P Tracking Table'!$AS255-83.853*'BMP P Tracking Table'!$AR255-42.834*'BMP P Tracking Table'!$AQ255)+SQRT((3630*'BMP P Tracking Table'!$AO255+20.691*'BMP P Tracking Table'!$AT255-216.711*'BMP P Tracking Table'!$AS255-83.853*'BMP P Tracking Table'!$AR255-42.834*'BMP P Tracking Table'!$AQ255)^2-(4*(149.919*'BMP P Tracking Table'!$AQ255+236.676*'BMP P Tracking Table'!$AR255+726*'BMP P Tracking Table'!$AS255+996.798*'BMP P Tracking Table'!$AT255)*-'BMP P Tracking Table'!$AW255)))/(2*(149.919*'BMP P Tracking Table'!$AQ255+236.676*'BMP P Tracking Table'!$AR255+726*'BMP P Tracking Table'!$AS255+996.798*'BMP P Tracking Table'!$AT255))))),MIN(2,IF('BMP P Tracking Table'!$AP255="Total Pervious",(-(3630*'BMP P Tracking Table'!$U255+20.691*'BMP P Tracking Table'!$AA255)+SQRT((3630*'BMP P Tracking Table'!$U255+20.691*'BMP P Tracking Table'!$AA255)^2-(4*(996.798*'BMP P Tracking Table'!$AA255)*-'BMP P Tracking Table'!$AW255)))/(2*(996.798*'BMP P Tracking Table'!$AA255)),IF(SUM('BMP P Tracking Table'!$W255:$Z255)=0,'BMP P Tracking Table'!$AW255/(-3630*'BMP P Tracking Table'!$U255),(-(3630*'BMP P Tracking Table'!$U255+20.691*'BMP P Tracking Table'!$Z255-216.711*'BMP P Tracking Table'!$Y255-83.853*'BMP P Tracking Table'!$X255-42.834*'BMP P Tracking Table'!$W255)+SQRT((3630*'BMP P Tracking Table'!$U255+20.691*'BMP P Tracking Table'!$Z255-216.711*'BMP P Tracking Table'!$Y255-83.853*'BMP P Tracking Table'!$X255-42.834*'BMP P Tracking Table'!$W255)^2-(4*(149.919*'BMP P Tracking Table'!$W255+236.676*'BMP P Tracking Table'!$X255+726*'BMP P Tracking Table'!$Y255+996.798*'BMP P Tracking Table'!$Z255)*-'BMP P Tracking Table'!$AW255)))/(2*(149.919*'BMP P Tracking Table'!$W255+236.676*'BMP P Tracking Table'!$X255+726*'BMP P Tracking Table'!$Y255+996.798*'BMP P Tracking Table'!$Z255)))))),"")</f>
        <v/>
      </c>
      <c r="BA255" s="101" t="str">
        <f>IFERROR((VLOOKUP(CONCATENATE('BMP P Tracking Table'!$AV255," ",'BMP P Tracking Table'!$AX255),'Performance Curves'!$C$1:$L$45,MATCH('BMP P Tracking Table'!$AZ255,'Performance Curves'!$E$1:$L$1,1)+2,FALSE)-VLOOKUP(CONCATENATE('BMP P Tracking Table'!$AV255," ",'BMP P Tracking Table'!$AX255),'Performance Curves'!$C$1:$L$45,MATCH('BMP P Tracking Table'!$AZ255,'Performance Curves'!$E$1:$L$1,1)+1,FALSE)),"")</f>
        <v/>
      </c>
      <c r="BB255" s="101" t="str">
        <f>IFERROR(('BMP P Tracking Table'!$AZ255-INDEX('Performance Curves'!$E$1:$L$1,1,MATCH('BMP P Tracking Table'!$AZ255,'Performance Curves'!$E$1:$L$1,1)))/(INDEX('Performance Curves'!$E$1:$L$1,1,MATCH('BMP P Tracking Table'!$AZ255,'Performance Curves'!$E$1:$L$1,1)+1)-INDEX('Performance Curves'!$E$1:$L$1,1,MATCH('BMP P Tracking Table'!$AZ255,'Performance Curves'!$E$1:$L$1,1))),"")</f>
        <v/>
      </c>
      <c r="BC255" s="102" t="str">
        <f>IFERROR(IF('BMP P Tracking Table'!$AZ255=2,VLOOKUP(CONCATENATE('BMP P Tracking Table'!$AV255," ",'BMP P Tracking Table'!$AX255),'Performance Curves'!$C$1:$L$44,MATCH('BMP P Tracking Table'!$AZ255,'Performance Curves'!$E$1:$L$1,1)+1,FALSE),'BMP P Tracking Table'!$BA255*'BMP P Tracking Table'!$BB255+VLOOKUP(CONCATENATE('BMP P Tracking Table'!$AV255," ",'BMP P Tracking Table'!$AX255),'Performance Curves'!$C$1:$L$44,MATCH('BMP P Tracking Table'!$AZ255,'Performance Curves'!$E$1:$L$1,1)+1,FALSE)),"")</f>
        <v/>
      </c>
      <c r="BD255" s="101" t="str">
        <f>IFERROR('BMP P Tracking Table'!$BC255*'BMP P Tracking Table'!$AY255,"")</f>
        <v/>
      </c>
      <c r="BE255" s="96"/>
      <c r="BF255" s="37">
        <f t="shared" si="19"/>
        <v>0</v>
      </c>
    </row>
    <row r="256" spans="1:58" x14ac:dyDescent="0.3">
      <c r="A256" s="64"/>
      <c r="B256" s="64"/>
      <c r="C256" s="64"/>
      <c r="D256" s="64"/>
      <c r="E256" s="93"/>
      <c r="F256" s="93"/>
      <c r="G256" s="64"/>
      <c r="H256" s="64"/>
      <c r="I256" s="64"/>
      <c r="J256" s="94"/>
      <c r="K256" s="64"/>
      <c r="L256" s="64"/>
      <c r="M256" s="64"/>
      <c r="N256" s="64"/>
      <c r="O256" s="64"/>
      <c r="P256" s="64"/>
      <c r="Q256" s="64" t="str">
        <f>IFERROR(VLOOKUP('BMP P Tracking Table'!$P256,Dropdowns!$C$2:$E$15,3,FALSE),"")</f>
        <v/>
      </c>
      <c r="R256" s="64" t="str">
        <f>IFERROR(VLOOKUP('BMP P Tracking Table'!$Q256,Dropdowns!$P$3:$Q$23,2,FALSE),"")</f>
        <v/>
      </c>
      <c r="S256" s="64"/>
      <c r="T256" s="64"/>
      <c r="U256" s="64"/>
      <c r="V256" s="64"/>
      <c r="W256" s="64"/>
      <c r="X256" s="64"/>
      <c r="Y256" s="64"/>
      <c r="Z256" s="64"/>
      <c r="AA256" s="64"/>
      <c r="AB256" s="95"/>
      <c r="AC256" s="64"/>
      <c r="AD256" s="101" t="str">
        <f>IFERROR('BMP P Tracking Table'!$U256*VLOOKUP('BMP P Tracking Table'!$Q256,'Loading Rates'!$B$1:$L$24,4,FALSE)+IF('BMP P Tracking Table'!$V256="By HSG",'BMP P Tracking Table'!$W256*VLOOKUP('BMP P Tracking Table'!$Q256,'Loading Rates'!$B$1:$L$24,6,FALSE)+'BMP P Tracking Table'!$X256*VLOOKUP('BMP P Tracking Table'!$Q256,'Loading Rates'!$B$1:$L$24,7,FALSE)+'BMP P Tracking Table'!$Y256*VLOOKUP('BMP P Tracking Table'!$Q256,'Loading Rates'!$B$1:$L$24,8,FALSE)+'BMP P Tracking Table'!$Z256*VLOOKUP('BMP P Tracking Table'!$Q256,'Loading Rates'!$B$1:$L$24,9,FALSE),'BMP P Tracking Table'!$AA256*VLOOKUP('BMP P Tracking Table'!$Q256,'Loading Rates'!$B$1:$L$24,10,FALSE)),"")</f>
        <v/>
      </c>
      <c r="AE256" s="101" t="str">
        <f>IFERROR(MIN(2,IF('BMP P Tracking Table'!$V256="Total Pervious",(-(3630*'BMP P Tracking Table'!$U256+20.691*'BMP P Tracking Table'!$AA256)+SQRT((3630*'BMP P Tracking Table'!$U256+20.691*'BMP P Tracking Table'!$AA256)^2-(4*(996.798*'BMP P Tracking Table'!$AA256)*-'BMP P Tracking Table'!$AB256)))/(2*(996.798*'BMP P Tracking Table'!$AA256)),IF(SUM('BMP P Tracking Table'!$W256:$Z256)=0,'BMP P Tracking Table'!$AB256/(-3630*'BMP P Tracking Table'!$U256),(-(3630*'BMP P Tracking Table'!$U256+20.691*'BMP P Tracking Table'!$Z256-216.711*'BMP P Tracking Table'!$Y256-83.853*'BMP P Tracking Table'!$X256-42.834*'BMP P Tracking Table'!$W256)+SQRT((3630*'BMP P Tracking Table'!$U256+20.691*'BMP P Tracking Table'!$Z256-216.711*'BMP P Tracking Table'!$Y256-83.853*'BMP P Tracking Table'!$X256-42.834*'BMP P Tracking Table'!$W256)^2-(4*(149.919*'BMP P Tracking Table'!$W256+236.676*'BMP P Tracking Table'!$X256+726*'BMP P Tracking Table'!$Y256+996.798*'BMP P Tracking Table'!$Z256)*-'BMP P Tracking Table'!$AB256)))/(2*(149.919*'BMP P Tracking Table'!$W256+236.676*'BMP P Tracking Table'!$X256+726*'BMP P Tracking Table'!$Y256+996.798*'BMP P Tracking Table'!$Z256))))),"")</f>
        <v/>
      </c>
      <c r="AF256" s="101" t="str">
        <f>IFERROR((VLOOKUP(CONCATENATE('BMP P Tracking Table'!$T256," ",'BMP P Tracking Table'!$AC256),'Performance Curves'!$C$1:$L$45,MATCH('BMP P Tracking Table'!$AE256,'Performance Curves'!$E$1:$L$1,1)+2,FALSE)-VLOOKUP(CONCATENATE('BMP P Tracking Table'!$T256," ",'BMP P Tracking Table'!$AC256),'Performance Curves'!$C$1:$L$45,MATCH('BMP P Tracking Table'!$AE256,'Performance Curves'!$E$1:$L$1,1)+1,FALSE)),"")</f>
        <v/>
      </c>
      <c r="AG256" s="101" t="str">
        <f>IFERROR(('BMP P Tracking Table'!$AE256-INDEX('Performance Curves'!$E$1:$L$1,1,MATCH('BMP P Tracking Table'!$AE256,'Performance Curves'!$E$1:$L$1,1)))/(INDEX('Performance Curves'!$E$1:$L$1,1,MATCH('BMP P Tracking Table'!$AE256,'Performance Curves'!$E$1:$L$1,1)+1)-INDEX('Performance Curves'!$E$1:$L$1,1,MATCH('BMP P Tracking Table'!$AE256,'Performance Curves'!$E$1:$L$1,1))),"")</f>
        <v/>
      </c>
      <c r="AH256" s="102" t="str">
        <f>IFERROR(IF('BMP P Tracking Table'!$AE256=2,VLOOKUP(CONCATENATE('BMP P Tracking Table'!$T256," ",'BMP P Tracking Table'!$AC256),'Performance Curves'!$C$1:$L$45,MATCH('BMP P Tracking Table'!$AE256,'Performance Curves'!$E$1:$L$1,1)+1,FALSE),'BMP P Tracking Table'!$AF256*'BMP P Tracking Table'!$AG256+VLOOKUP(CONCATENATE('BMP P Tracking Table'!$T256," ",'BMP P Tracking Table'!$AC256),'Performance Curves'!$C$1:$L$45,MATCH('BMP P Tracking Table'!$AE256,'Performance Curves'!$E$1:$L$1,1)+1,FALSE)),"")</f>
        <v/>
      </c>
      <c r="AI256" s="101" t="str">
        <f>IFERROR('BMP P Tracking Table'!$AH256*'BMP P Tracking Table'!$AD256,"")</f>
        <v/>
      </c>
      <c r="AJ256" s="64"/>
      <c r="AK256" s="96"/>
      <c r="AL256" s="96"/>
      <c r="AM256" s="63"/>
      <c r="AN256" s="99" t="str">
        <f t="shared" si="18"/>
        <v/>
      </c>
      <c r="AO256" s="96"/>
      <c r="AP256" s="96"/>
      <c r="AQ256" s="96"/>
      <c r="AR256" s="96"/>
      <c r="AS256" s="96"/>
      <c r="AT256" s="96"/>
      <c r="AU256" s="96"/>
      <c r="AV256" s="64"/>
      <c r="AW256" s="97"/>
      <c r="AX256" s="97"/>
      <c r="AY256" s="101" t="str">
        <f>IF('BMP P Tracking Table'!$AK256="Yes",IF('BMP P Tracking Table'!$AL256="No",'BMP P Tracking Table'!$U256*VLOOKUP('BMP P Tracking Table'!$Q256,'Loading Rates'!$B$1:$L$24,4,FALSE)+IF('BMP P Tracking Table'!$V256="By HSG",'BMP P Tracking Table'!$W256*VLOOKUP('BMP P Tracking Table'!$Q256,'Loading Rates'!$B$1:$L$24,6,FALSE)+'BMP P Tracking Table'!$X256*VLOOKUP('BMP P Tracking Table'!$Q256,'Loading Rates'!$B$1:$L$24,7,FALSE)+'BMP P Tracking Table'!$Y256*VLOOKUP('BMP P Tracking Table'!$Q256,'Loading Rates'!$B$1:$L$24,8,FALSE)+'BMP P Tracking Table'!$Z256*VLOOKUP('BMP P Tracking Table'!$Q256,'Loading Rates'!$B$1:$L$24,9,FALSE),'BMP P Tracking Table'!$AA256*VLOOKUP('BMP P Tracking Table'!$Q256,'Loading Rates'!$B$1:$L$24,10,FALSE)),'BMP P Tracking Table'!$AO256*VLOOKUP('BMP P Tracking Table'!$Q256,'Loading Rates'!$B$1:$L$24,4,FALSE)+IF('BMP P Tracking Table'!$AP256="By HSG",'BMP P Tracking Table'!$AQ256*VLOOKUP('BMP P Tracking Table'!$Q256,'Loading Rates'!$B$1:$L$24,6,FALSE)+'BMP P Tracking Table'!$AR256*VLOOKUP('BMP P Tracking Table'!$Q256,'Loading Rates'!$B$1:$L$24,7,FALSE)+'BMP P Tracking Table'!$AS256*VLOOKUP('BMP P Tracking Table'!$Q256,'Loading Rates'!$B$1:$L$24,8,FALSE)+'BMP P Tracking Table'!$AT256*VLOOKUP('BMP P Tracking Table'!$Q256,'Loading Rates'!$B$1:$L$24,9,FALSE),'BMP P Tracking Table'!$AU256*VLOOKUP('BMP P Tracking Table'!$Q256,'Loading Rates'!$B$1:$L$24,10,FALSE))),"")</f>
        <v/>
      </c>
      <c r="AZ256" s="101" t="str">
        <f>IFERROR(IF('BMP P Tracking Table'!$AL256="Yes",MIN(2,IF('BMP P Tracking Table'!$AP256="Total Pervious",(-(3630*'BMP P Tracking Table'!$AO256+20.691*'BMP P Tracking Table'!$AU256)+SQRT((3630*'BMP P Tracking Table'!$AO256+20.691*'BMP P Tracking Table'!$AU256)^2-(4*(996.798*'BMP P Tracking Table'!$AU256)*-'BMP P Tracking Table'!$AW256)))/(2*(996.798*'BMP P Tracking Table'!$AU256)),IF(SUM('BMP P Tracking Table'!$AQ256:$AT256)=0,'BMP P Tracking Table'!$AU256/(-3630*'BMP P Tracking Table'!$AO256),(-(3630*'BMP P Tracking Table'!$AO256+20.691*'BMP P Tracking Table'!$AT256-216.711*'BMP P Tracking Table'!$AS256-83.853*'BMP P Tracking Table'!$AR256-42.834*'BMP P Tracking Table'!$AQ256)+SQRT((3630*'BMP P Tracking Table'!$AO256+20.691*'BMP P Tracking Table'!$AT256-216.711*'BMP P Tracking Table'!$AS256-83.853*'BMP P Tracking Table'!$AR256-42.834*'BMP P Tracking Table'!$AQ256)^2-(4*(149.919*'BMP P Tracking Table'!$AQ256+236.676*'BMP P Tracking Table'!$AR256+726*'BMP P Tracking Table'!$AS256+996.798*'BMP P Tracking Table'!$AT256)*-'BMP P Tracking Table'!$AW256)))/(2*(149.919*'BMP P Tracking Table'!$AQ256+236.676*'BMP P Tracking Table'!$AR256+726*'BMP P Tracking Table'!$AS256+996.798*'BMP P Tracking Table'!$AT256))))),MIN(2,IF('BMP P Tracking Table'!$AP256="Total Pervious",(-(3630*'BMP P Tracking Table'!$U256+20.691*'BMP P Tracking Table'!$AA256)+SQRT((3630*'BMP P Tracking Table'!$U256+20.691*'BMP P Tracking Table'!$AA256)^2-(4*(996.798*'BMP P Tracking Table'!$AA256)*-'BMP P Tracking Table'!$AW256)))/(2*(996.798*'BMP P Tracking Table'!$AA256)),IF(SUM('BMP P Tracking Table'!$W256:$Z256)=0,'BMP P Tracking Table'!$AW256/(-3630*'BMP P Tracking Table'!$U256),(-(3630*'BMP P Tracking Table'!$U256+20.691*'BMP P Tracking Table'!$Z256-216.711*'BMP P Tracking Table'!$Y256-83.853*'BMP P Tracking Table'!$X256-42.834*'BMP P Tracking Table'!$W256)+SQRT((3630*'BMP P Tracking Table'!$U256+20.691*'BMP P Tracking Table'!$Z256-216.711*'BMP P Tracking Table'!$Y256-83.853*'BMP P Tracking Table'!$X256-42.834*'BMP P Tracking Table'!$W256)^2-(4*(149.919*'BMP P Tracking Table'!$W256+236.676*'BMP P Tracking Table'!$X256+726*'BMP P Tracking Table'!$Y256+996.798*'BMP P Tracking Table'!$Z256)*-'BMP P Tracking Table'!$AW256)))/(2*(149.919*'BMP P Tracking Table'!$W256+236.676*'BMP P Tracking Table'!$X256+726*'BMP P Tracking Table'!$Y256+996.798*'BMP P Tracking Table'!$Z256)))))),"")</f>
        <v/>
      </c>
      <c r="BA256" s="101" t="str">
        <f>IFERROR((VLOOKUP(CONCATENATE('BMP P Tracking Table'!$AV256," ",'BMP P Tracking Table'!$AX256),'Performance Curves'!$C$1:$L$45,MATCH('BMP P Tracking Table'!$AZ256,'Performance Curves'!$E$1:$L$1,1)+2,FALSE)-VLOOKUP(CONCATENATE('BMP P Tracking Table'!$AV256," ",'BMP P Tracking Table'!$AX256),'Performance Curves'!$C$1:$L$45,MATCH('BMP P Tracking Table'!$AZ256,'Performance Curves'!$E$1:$L$1,1)+1,FALSE)),"")</f>
        <v/>
      </c>
      <c r="BB256" s="101" t="str">
        <f>IFERROR(('BMP P Tracking Table'!$AZ256-INDEX('Performance Curves'!$E$1:$L$1,1,MATCH('BMP P Tracking Table'!$AZ256,'Performance Curves'!$E$1:$L$1,1)))/(INDEX('Performance Curves'!$E$1:$L$1,1,MATCH('BMP P Tracking Table'!$AZ256,'Performance Curves'!$E$1:$L$1,1)+1)-INDEX('Performance Curves'!$E$1:$L$1,1,MATCH('BMP P Tracking Table'!$AZ256,'Performance Curves'!$E$1:$L$1,1))),"")</f>
        <v/>
      </c>
      <c r="BC256" s="102" t="str">
        <f>IFERROR(IF('BMP P Tracking Table'!$AZ256=2,VLOOKUP(CONCATENATE('BMP P Tracking Table'!$AV256," ",'BMP P Tracking Table'!$AX256),'Performance Curves'!$C$1:$L$44,MATCH('BMP P Tracking Table'!$AZ256,'Performance Curves'!$E$1:$L$1,1)+1,FALSE),'BMP P Tracking Table'!$BA256*'BMP P Tracking Table'!$BB256+VLOOKUP(CONCATENATE('BMP P Tracking Table'!$AV256," ",'BMP P Tracking Table'!$AX256),'Performance Curves'!$C$1:$L$44,MATCH('BMP P Tracking Table'!$AZ256,'Performance Curves'!$E$1:$L$1,1)+1,FALSE)),"")</f>
        <v/>
      </c>
      <c r="BD256" s="101" t="str">
        <f>IFERROR('BMP P Tracking Table'!$BC256*'BMP P Tracking Table'!$AY256,"")</f>
        <v/>
      </c>
      <c r="BE256" s="96"/>
      <c r="BF256" s="37">
        <f t="shared" si="19"/>
        <v>0</v>
      </c>
    </row>
    <row r="257" spans="1:58" x14ac:dyDescent="0.3">
      <c r="A257" s="64"/>
      <c r="B257" s="64"/>
      <c r="C257" s="64"/>
      <c r="D257" s="64"/>
      <c r="E257" s="93"/>
      <c r="F257" s="93"/>
      <c r="G257" s="64"/>
      <c r="H257" s="64"/>
      <c r="I257" s="64"/>
      <c r="J257" s="94"/>
      <c r="K257" s="64"/>
      <c r="L257" s="64"/>
      <c r="M257" s="64"/>
      <c r="N257" s="64"/>
      <c r="O257" s="64"/>
      <c r="P257" s="64"/>
      <c r="Q257" s="64" t="str">
        <f>IFERROR(VLOOKUP('BMP P Tracking Table'!$P257,Dropdowns!$C$2:$E$15,3,FALSE),"")</f>
        <v/>
      </c>
      <c r="R257" s="64" t="str">
        <f>IFERROR(VLOOKUP('BMP P Tracking Table'!$Q257,Dropdowns!$P$3:$Q$23,2,FALSE),"")</f>
        <v/>
      </c>
      <c r="S257" s="64"/>
      <c r="T257" s="64"/>
      <c r="U257" s="64"/>
      <c r="V257" s="64"/>
      <c r="W257" s="64"/>
      <c r="X257" s="64"/>
      <c r="Y257" s="64"/>
      <c r="Z257" s="64"/>
      <c r="AA257" s="64"/>
      <c r="AB257" s="95"/>
      <c r="AC257" s="64"/>
      <c r="AD257" s="101" t="str">
        <f>IFERROR('BMP P Tracking Table'!$U257*VLOOKUP('BMP P Tracking Table'!$Q257,'Loading Rates'!$B$1:$L$24,4,FALSE)+IF('BMP P Tracking Table'!$V257="By HSG",'BMP P Tracking Table'!$W257*VLOOKUP('BMP P Tracking Table'!$Q257,'Loading Rates'!$B$1:$L$24,6,FALSE)+'BMP P Tracking Table'!$X257*VLOOKUP('BMP P Tracking Table'!$Q257,'Loading Rates'!$B$1:$L$24,7,FALSE)+'BMP P Tracking Table'!$Y257*VLOOKUP('BMP P Tracking Table'!$Q257,'Loading Rates'!$B$1:$L$24,8,FALSE)+'BMP P Tracking Table'!$Z257*VLOOKUP('BMP P Tracking Table'!$Q257,'Loading Rates'!$B$1:$L$24,9,FALSE),'BMP P Tracking Table'!$AA257*VLOOKUP('BMP P Tracking Table'!$Q257,'Loading Rates'!$B$1:$L$24,10,FALSE)),"")</f>
        <v/>
      </c>
      <c r="AE257" s="101" t="str">
        <f>IFERROR(MIN(2,IF('BMP P Tracking Table'!$V257="Total Pervious",(-(3630*'BMP P Tracking Table'!$U257+20.691*'BMP P Tracking Table'!$AA257)+SQRT((3630*'BMP P Tracking Table'!$U257+20.691*'BMP P Tracking Table'!$AA257)^2-(4*(996.798*'BMP P Tracking Table'!$AA257)*-'BMP P Tracking Table'!$AB257)))/(2*(996.798*'BMP P Tracking Table'!$AA257)),IF(SUM('BMP P Tracking Table'!$W257:$Z257)=0,'BMP P Tracking Table'!$AB257/(-3630*'BMP P Tracking Table'!$U257),(-(3630*'BMP P Tracking Table'!$U257+20.691*'BMP P Tracking Table'!$Z257-216.711*'BMP P Tracking Table'!$Y257-83.853*'BMP P Tracking Table'!$X257-42.834*'BMP P Tracking Table'!$W257)+SQRT((3630*'BMP P Tracking Table'!$U257+20.691*'BMP P Tracking Table'!$Z257-216.711*'BMP P Tracking Table'!$Y257-83.853*'BMP P Tracking Table'!$X257-42.834*'BMP P Tracking Table'!$W257)^2-(4*(149.919*'BMP P Tracking Table'!$W257+236.676*'BMP P Tracking Table'!$X257+726*'BMP P Tracking Table'!$Y257+996.798*'BMP P Tracking Table'!$Z257)*-'BMP P Tracking Table'!$AB257)))/(2*(149.919*'BMP P Tracking Table'!$W257+236.676*'BMP P Tracking Table'!$X257+726*'BMP P Tracking Table'!$Y257+996.798*'BMP P Tracking Table'!$Z257))))),"")</f>
        <v/>
      </c>
      <c r="AF257" s="101" t="str">
        <f>IFERROR((VLOOKUP(CONCATENATE('BMP P Tracking Table'!$T257," ",'BMP P Tracking Table'!$AC257),'Performance Curves'!$C$1:$L$45,MATCH('BMP P Tracking Table'!$AE257,'Performance Curves'!$E$1:$L$1,1)+2,FALSE)-VLOOKUP(CONCATENATE('BMP P Tracking Table'!$T257," ",'BMP P Tracking Table'!$AC257),'Performance Curves'!$C$1:$L$45,MATCH('BMP P Tracking Table'!$AE257,'Performance Curves'!$E$1:$L$1,1)+1,FALSE)),"")</f>
        <v/>
      </c>
      <c r="AG257" s="101" t="str">
        <f>IFERROR(('BMP P Tracking Table'!$AE257-INDEX('Performance Curves'!$E$1:$L$1,1,MATCH('BMP P Tracking Table'!$AE257,'Performance Curves'!$E$1:$L$1,1)))/(INDEX('Performance Curves'!$E$1:$L$1,1,MATCH('BMP P Tracking Table'!$AE257,'Performance Curves'!$E$1:$L$1,1)+1)-INDEX('Performance Curves'!$E$1:$L$1,1,MATCH('BMP P Tracking Table'!$AE257,'Performance Curves'!$E$1:$L$1,1))),"")</f>
        <v/>
      </c>
      <c r="AH257" s="102" t="str">
        <f>IFERROR(IF('BMP P Tracking Table'!$AE257=2,VLOOKUP(CONCATENATE('BMP P Tracking Table'!$T257," ",'BMP P Tracking Table'!$AC257),'Performance Curves'!$C$1:$L$45,MATCH('BMP P Tracking Table'!$AE257,'Performance Curves'!$E$1:$L$1,1)+1,FALSE),'BMP P Tracking Table'!$AF257*'BMP P Tracking Table'!$AG257+VLOOKUP(CONCATENATE('BMP P Tracking Table'!$T257," ",'BMP P Tracking Table'!$AC257),'Performance Curves'!$C$1:$L$45,MATCH('BMP P Tracking Table'!$AE257,'Performance Curves'!$E$1:$L$1,1)+1,FALSE)),"")</f>
        <v/>
      </c>
      <c r="AI257" s="101" t="str">
        <f>IFERROR('BMP P Tracking Table'!$AH257*'BMP P Tracking Table'!$AD257,"")</f>
        <v/>
      </c>
      <c r="AJ257" s="64"/>
      <c r="AK257" s="96"/>
      <c r="AL257" s="96"/>
      <c r="AM257" s="63"/>
      <c r="AN257" s="99" t="str">
        <f t="shared" si="18"/>
        <v/>
      </c>
      <c r="AO257" s="96"/>
      <c r="AP257" s="96"/>
      <c r="AQ257" s="96"/>
      <c r="AR257" s="96"/>
      <c r="AS257" s="96"/>
      <c r="AT257" s="96"/>
      <c r="AU257" s="96"/>
      <c r="AV257" s="64"/>
      <c r="AW257" s="97"/>
      <c r="AX257" s="97"/>
      <c r="AY257" s="101" t="str">
        <f>IF('BMP P Tracking Table'!$AK257="Yes",IF('BMP P Tracking Table'!$AL257="No",'BMP P Tracking Table'!$U257*VLOOKUP('BMP P Tracking Table'!$Q257,'Loading Rates'!$B$1:$L$24,4,FALSE)+IF('BMP P Tracking Table'!$V257="By HSG",'BMP P Tracking Table'!$W257*VLOOKUP('BMP P Tracking Table'!$Q257,'Loading Rates'!$B$1:$L$24,6,FALSE)+'BMP P Tracking Table'!$X257*VLOOKUP('BMP P Tracking Table'!$Q257,'Loading Rates'!$B$1:$L$24,7,FALSE)+'BMP P Tracking Table'!$Y257*VLOOKUP('BMP P Tracking Table'!$Q257,'Loading Rates'!$B$1:$L$24,8,FALSE)+'BMP P Tracking Table'!$Z257*VLOOKUP('BMP P Tracking Table'!$Q257,'Loading Rates'!$B$1:$L$24,9,FALSE),'BMP P Tracking Table'!$AA257*VLOOKUP('BMP P Tracking Table'!$Q257,'Loading Rates'!$B$1:$L$24,10,FALSE)),'BMP P Tracking Table'!$AO257*VLOOKUP('BMP P Tracking Table'!$Q257,'Loading Rates'!$B$1:$L$24,4,FALSE)+IF('BMP P Tracking Table'!$AP257="By HSG",'BMP P Tracking Table'!$AQ257*VLOOKUP('BMP P Tracking Table'!$Q257,'Loading Rates'!$B$1:$L$24,6,FALSE)+'BMP P Tracking Table'!$AR257*VLOOKUP('BMP P Tracking Table'!$Q257,'Loading Rates'!$B$1:$L$24,7,FALSE)+'BMP P Tracking Table'!$AS257*VLOOKUP('BMP P Tracking Table'!$Q257,'Loading Rates'!$B$1:$L$24,8,FALSE)+'BMP P Tracking Table'!$AT257*VLOOKUP('BMP P Tracking Table'!$Q257,'Loading Rates'!$B$1:$L$24,9,FALSE),'BMP P Tracking Table'!$AU257*VLOOKUP('BMP P Tracking Table'!$Q257,'Loading Rates'!$B$1:$L$24,10,FALSE))),"")</f>
        <v/>
      </c>
      <c r="AZ257" s="101" t="str">
        <f>IFERROR(IF('BMP P Tracking Table'!$AL257="Yes",MIN(2,IF('BMP P Tracking Table'!$AP257="Total Pervious",(-(3630*'BMP P Tracking Table'!$AO257+20.691*'BMP P Tracking Table'!$AU257)+SQRT((3630*'BMP P Tracking Table'!$AO257+20.691*'BMP P Tracking Table'!$AU257)^2-(4*(996.798*'BMP P Tracking Table'!$AU257)*-'BMP P Tracking Table'!$AW257)))/(2*(996.798*'BMP P Tracking Table'!$AU257)),IF(SUM('BMP P Tracking Table'!$AQ257:$AT257)=0,'BMP P Tracking Table'!$AU257/(-3630*'BMP P Tracking Table'!$AO257),(-(3630*'BMP P Tracking Table'!$AO257+20.691*'BMP P Tracking Table'!$AT257-216.711*'BMP P Tracking Table'!$AS257-83.853*'BMP P Tracking Table'!$AR257-42.834*'BMP P Tracking Table'!$AQ257)+SQRT((3630*'BMP P Tracking Table'!$AO257+20.691*'BMP P Tracking Table'!$AT257-216.711*'BMP P Tracking Table'!$AS257-83.853*'BMP P Tracking Table'!$AR257-42.834*'BMP P Tracking Table'!$AQ257)^2-(4*(149.919*'BMP P Tracking Table'!$AQ257+236.676*'BMP P Tracking Table'!$AR257+726*'BMP P Tracking Table'!$AS257+996.798*'BMP P Tracking Table'!$AT257)*-'BMP P Tracking Table'!$AW257)))/(2*(149.919*'BMP P Tracking Table'!$AQ257+236.676*'BMP P Tracking Table'!$AR257+726*'BMP P Tracking Table'!$AS257+996.798*'BMP P Tracking Table'!$AT257))))),MIN(2,IF('BMP P Tracking Table'!$AP257="Total Pervious",(-(3630*'BMP P Tracking Table'!$U257+20.691*'BMP P Tracking Table'!$AA257)+SQRT((3630*'BMP P Tracking Table'!$U257+20.691*'BMP P Tracking Table'!$AA257)^2-(4*(996.798*'BMP P Tracking Table'!$AA257)*-'BMP P Tracking Table'!$AW257)))/(2*(996.798*'BMP P Tracking Table'!$AA257)),IF(SUM('BMP P Tracking Table'!$W257:$Z257)=0,'BMP P Tracking Table'!$AW257/(-3630*'BMP P Tracking Table'!$U257),(-(3630*'BMP P Tracking Table'!$U257+20.691*'BMP P Tracking Table'!$Z257-216.711*'BMP P Tracking Table'!$Y257-83.853*'BMP P Tracking Table'!$X257-42.834*'BMP P Tracking Table'!$W257)+SQRT((3630*'BMP P Tracking Table'!$U257+20.691*'BMP P Tracking Table'!$Z257-216.711*'BMP P Tracking Table'!$Y257-83.853*'BMP P Tracking Table'!$X257-42.834*'BMP P Tracking Table'!$W257)^2-(4*(149.919*'BMP P Tracking Table'!$W257+236.676*'BMP P Tracking Table'!$X257+726*'BMP P Tracking Table'!$Y257+996.798*'BMP P Tracking Table'!$Z257)*-'BMP P Tracking Table'!$AW257)))/(2*(149.919*'BMP P Tracking Table'!$W257+236.676*'BMP P Tracking Table'!$X257+726*'BMP P Tracking Table'!$Y257+996.798*'BMP P Tracking Table'!$Z257)))))),"")</f>
        <v/>
      </c>
      <c r="BA257" s="101" t="str">
        <f>IFERROR((VLOOKUP(CONCATENATE('BMP P Tracking Table'!$AV257," ",'BMP P Tracking Table'!$AX257),'Performance Curves'!$C$1:$L$45,MATCH('BMP P Tracking Table'!$AZ257,'Performance Curves'!$E$1:$L$1,1)+2,FALSE)-VLOOKUP(CONCATENATE('BMP P Tracking Table'!$AV257," ",'BMP P Tracking Table'!$AX257),'Performance Curves'!$C$1:$L$45,MATCH('BMP P Tracking Table'!$AZ257,'Performance Curves'!$E$1:$L$1,1)+1,FALSE)),"")</f>
        <v/>
      </c>
      <c r="BB257" s="101" t="str">
        <f>IFERROR(('BMP P Tracking Table'!$AZ257-INDEX('Performance Curves'!$E$1:$L$1,1,MATCH('BMP P Tracking Table'!$AZ257,'Performance Curves'!$E$1:$L$1,1)))/(INDEX('Performance Curves'!$E$1:$L$1,1,MATCH('BMP P Tracking Table'!$AZ257,'Performance Curves'!$E$1:$L$1,1)+1)-INDEX('Performance Curves'!$E$1:$L$1,1,MATCH('BMP P Tracking Table'!$AZ257,'Performance Curves'!$E$1:$L$1,1))),"")</f>
        <v/>
      </c>
      <c r="BC257" s="102" t="str">
        <f>IFERROR(IF('BMP P Tracking Table'!$AZ257=2,VLOOKUP(CONCATENATE('BMP P Tracking Table'!$AV257," ",'BMP P Tracking Table'!$AX257),'Performance Curves'!$C$1:$L$44,MATCH('BMP P Tracking Table'!$AZ257,'Performance Curves'!$E$1:$L$1,1)+1,FALSE),'BMP P Tracking Table'!$BA257*'BMP P Tracking Table'!$BB257+VLOOKUP(CONCATENATE('BMP P Tracking Table'!$AV257," ",'BMP P Tracking Table'!$AX257),'Performance Curves'!$C$1:$L$44,MATCH('BMP P Tracking Table'!$AZ257,'Performance Curves'!$E$1:$L$1,1)+1,FALSE)),"")</f>
        <v/>
      </c>
      <c r="BD257" s="101" t="str">
        <f>IFERROR('BMP P Tracking Table'!$BC257*'BMP P Tracking Table'!$AY257,"")</f>
        <v/>
      </c>
      <c r="BE257" s="96"/>
      <c r="BF257" s="37">
        <f t="shared" si="19"/>
        <v>0</v>
      </c>
    </row>
    <row r="258" spans="1:58" x14ac:dyDescent="0.3">
      <c r="A258" s="64"/>
      <c r="B258" s="64"/>
      <c r="C258" s="64"/>
      <c r="D258" s="64"/>
      <c r="E258" s="93"/>
      <c r="F258" s="93"/>
      <c r="G258" s="64"/>
      <c r="H258" s="64"/>
      <c r="I258" s="64"/>
      <c r="J258" s="94"/>
      <c r="K258" s="64"/>
      <c r="L258" s="64"/>
      <c r="M258" s="64"/>
      <c r="N258" s="64"/>
      <c r="O258" s="64"/>
      <c r="P258" s="64"/>
      <c r="Q258" s="64" t="str">
        <f>IFERROR(VLOOKUP('BMP P Tracking Table'!$P258,Dropdowns!$C$2:$E$15,3,FALSE),"")</f>
        <v/>
      </c>
      <c r="R258" s="64" t="str">
        <f>IFERROR(VLOOKUP('BMP P Tracking Table'!$Q258,Dropdowns!$P$3:$Q$23,2,FALSE),"")</f>
        <v/>
      </c>
      <c r="S258" s="64"/>
      <c r="T258" s="64"/>
      <c r="U258" s="64"/>
      <c r="V258" s="64"/>
      <c r="W258" s="64"/>
      <c r="X258" s="64"/>
      <c r="Y258" s="64"/>
      <c r="Z258" s="64"/>
      <c r="AA258" s="64"/>
      <c r="AB258" s="95"/>
      <c r="AC258" s="64"/>
      <c r="AD258" s="101" t="str">
        <f>IFERROR('BMP P Tracking Table'!$U258*VLOOKUP('BMP P Tracking Table'!$Q258,'Loading Rates'!$B$1:$L$24,4,FALSE)+IF('BMP P Tracking Table'!$V258="By HSG",'BMP P Tracking Table'!$W258*VLOOKUP('BMP P Tracking Table'!$Q258,'Loading Rates'!$B$1:$L$24,6,FALSE)+'BMP P Tracking Table'!$X258*VLOOKUP('BMP P Tracking Table'!$Q258,'Loading Rates'!$B$1:$L$24,7,FALSE)+'BMP P Tracking Table'!$Y258*VLOOKUP('BMP P Tracking Table'!$Q258,'Loading Rates'!$B$1:$L$24,8,FALSE)+'BMP P Tracking Table'!$Z258*VLOOKUP('BMP P Tracking Table'!$Q258,'Loading Rates'!$B$1:$L$24,9,FALSE),'BMP P Tracking Table'!$AA258*VLOOKUP('BMP P Tracking Table'!$Q258,'Loading Rates'!$B$1:$L$24,10,FALSE)),"")</f>
        <v/>
      </c>
      <c r="AE258" s="101" t="str">
        <f>IFERROR(MIN(2,IF('BMP P Tracking Table'!$V258="Total Pervious",(-(3630*'BMP P Tracking Table'!$U258+20.691*'BMP P Tracking Table'!$AA258)+SQRT((3630*'BMP P Tracking Table'!$U258+20.691*'BMP P Tracking Table'!$AA258)^2-(4*(996.798*'BMP P Tracking Table'!$AA258)*-'BMP P Tracking Table'!$AB258)))/(2*(996.798*'BMP P Tracking Table'!$AA258)),IF(SUM('BMP P Tracking Table'!$W258:$Z258)=0,'BMP P Tracking Table'!$AB258/(-3630*'BMP P Tracking Table'!$U258),(-(3630*'BMP P Tracking Table'!$U258+20.691*'BMP P Tracking Table'!$Z258-216.711*'BMP P Tracking Table'!$Y258-83.853*'BMP P Tracking Table'!$X258-42.834*'BMP P Tracking Table'!$W258)+SQRT((3630*'BMP P Tracking Table'!$U258+20.691*'BMP P Tracking Table'!$Z258-216.711*'BMP P Tracking Table'!$Y258-83.853*'BMP P Tracking Table'!$X258-42.834*'BMP P Tracking Table'!$W258)^2-(4*(149.919*'BMP P Tracking Table'!$W258+236.676*'BMP P Tracking Table'!$X258+726*'BMP P Tracking Table'!$Y258+996.798*'BMP P Tracking Table'!$Z258)*-'BMP P Tracking Table'!$AB258)))/(2*(149.919*'BMP P Tracking Table'!$W258+236.676*'BMP P Tracking Table'!$X258+726*'BMP P Tracking Table'!$Y258+996.798*'BMP P Tracking Table'!$Z258))))),"")</f>
        <v/>
      </c>
      <c r="AF258" s="101" t="str">
        <f>IFERROR((VLOOKUP(CONCATENATE('BMP P Tracking Table'!$T258," ",'BMP P Tracking Table'!$AC258),'Performance Curves'!$C$1:$L$45,MATCH('BMP P Tracking Table'!$AE258,'Performance Curves'!$E$1:$L$1,1)+2,FALSE)-VLOOKUP(CONCATENATE('BMP P Tracking Table'!$T258," ",'BMP P Tracking Table'!$AC258),'Performance Curves'!$C$1:$L$45,MATCH('BMP P Tracking Table'!$AE258,'Performance Curves'!$E$1:$L$1,1)+1,FALSE)),"")</f>
        <v/>
      </c>
      <c r="AG258" s="101" t="str">
        <f>IFERROR(('BMP P Tracking Table'!$AE258-INDEX('Performance Curves'!$E$1:$L$1,1,MATCH('BMP P Tracking Table'!$AE258,'Performance Curves'!$E$1:$L$1,1)))/(INDEX('Performance Curves'!$E$1:$L$1,1,MATCH('BMP P Tracking Table'!$AE258,'Performance Curves'!$E$1:$L$1,1)+1)-INDEX('Performance Curves'!$E$1:$L$1,1,MATCH('BMP P Tracking Table'!$AE258,'Performance Curves'!$E$1:$L$1,1))),"")</f>
        <v/>
      </c>
      <c r="AH258" s="102" t="str">
        <f>IFERROR(IF('BMP P Tracking Table'!$AE258=2,VLOOKUP(CONCATENATE('BMP P Tracking Table'!$T258," ",'BMP P Tracking Table'!$AC258),'Performance Curves'!$C$1:$L$45,MATCH('BMP P Tracking Table'!$AE258,'Performance Curves'!$E$1:$L$1,1)+1,FALSE),'BMP P Tracking Table'!$AF258*'BMP P Tracking Table'!$AG258+VLOOKUP(CONCATENATE('BMP P Tracking Table'!$T258," ",'BMP P Tracking Table'!$AC258),'Performance Curves'!$C$1:$L$45,MATCH('BMP P Tracking Table'!$AE258,'Performance Curves'!$E$1:$L$1,1)+1,FALSE)),"")</f>
        <v/>
      </c>
      <c r="AI258" s="101" t="str">
        <f>IFERROR('BMP P Tracking Table'!$AH258*'BMP P Tracking Table'!$AD258,"")</f>
        <v/>
      </c>
      <c r="AJ258" s="64"/>
      <c r="AK258" s="96"/>
      <c r="AL258" s="96"/>
      <c r="AM258" s="63"/>
      <c r="AN258" s="99" t="str">
        <f t="shared" si="18"/>
        <v/>
      </c>
      <c r="AO258" s="96"/>
      <c r="AP258" s="96"/>
      <c r="AQ258" s="96"/>
      <c r="AR258" s="96"/>
      <c r="AS258" s="96"/>
      <c r="AT258" s="96"/>
      <c r="AU258" s="96"/>
      <c r="AV258" s="64"/>
      <c r="AW258" s="97"/>
      <c r="AX258" s="97"/>
      <c r="AY258" s="101" t="str">
        <f>IF('BMP P Tracking Table'!$AK258="Yes",IF('BMP P Tracking Table'!$AL258="No",'BMP P Tracking Table'!$U258*VLOOKUP('BMP P Tracking Table'!$Q258,'Loading Rates'!$B$1:$L$24,4,FALSE)+IF('BMP P Tracking Table'!$V258="By HSG",'BMP P Tracking Table'!$W258*VLOOKUP('BMP P Tracking Table'!$Q258,'Loading Rates'!$B$1:$L$24,6,FALSE)+'BMP P Tracking Table'!$X258*VLOOKUP('BMP P Tracking Table'!$Q258,'Loading Rates'!$B$1:$L$24,7,FALSE)+'BMP P Tracking Table'!$Y258*VLOOKUP('BMP P Tracking Table'!$Q258,'Loading Rates'!$B$1:$L$24,8,FALSE)+'BMP P Tracking Table'!$Z258*VLOOKUP('BMP P Tracking Table'!$Q258,'Loading Rates'!$B$1:$L$24,9,FALSE),'BMP P Tracking Table'!$AA258*VLOOKUP('BMP P Tracking Table'!$Q258,'Loading Rates'!$B$1:$L$24,10,FALSE)),'BMP P Tracking Table'!$AO258*VLOOKUP('BMP P Tracking Table'!$Q258,'Loading Rates'!$B$1:$L$24,4,FALSE)+IF('BMP P Tracking Table'!$AP258="By HSG",'BMP P Tracking Table'!$AQ258*VLOOKUP('BMP P Tracking Table'!$Q258,'Loading Rates'!$B$1:$L$24,6,FALSE)+'BMP P Tracking Table'!$AR258*VLOOKUP('BMP P Tracking Table'!$Q258,'Loading Rates'!$B$1:$L$24,7,FALSE)+'BMP P Tracking Table'!$AS258*VLOOKUP('BMP P Tracking Table'!$Q258,'Loading Rates'!$B$1:$L$24,8,FALSE)+'BMP P Tracking Table'!$AT258*VLOOKUP('BMP P Tracking Table'!$Q258,'Loading Rates'!$B$1:$L$24,9,FALSE),'BMP P Tracking Table'!$AU258*VLOOKUP('BMP P Tracking Table'!$Q258,'Loading Rates'!$B$1:$L$24,10,FALSE))),"")</f>
        <v/>
      </c>
      <c r="AZ258" s="101" t="str">
        <f>IFERROR(IF('BMP P Tracking Table'!$AL258="Yes",MIN(2,IF('BMP P Tracking Table'!$AP258="Total Pervious",(-(3630*'BMP P Tracking Table'!$AO258+20.691*'BMP P Tracking Table'!$AU258)+SQRT((3630*'BMP P Tracking Table'!$AO258+20.691*'BMP P Tracking Table'!$AU258)^2-(4*(996.798*'BMP P Tracking Table'!$AU258)*-'BMP P Tracking Table'!$AW258)))/(2*(996.798*'BMP P Tracking Table'!$AU258)),IF(SUM('BMP P Tracking Table'!$AQ258:$AT258)=0,'BMP P Tracking Table'!$AU258/(-3630*'BMP P Tracking Table'!$AO258),(-(3630*'BMP P Tracking Table'!$AO258+20.691*'BMP P Tracking Table'!$AT258-216.711*'BMP P Tracking Table'!$AS258-83.853*'BMP P Tracking Table'!$AR258-42.834*'BMP P Tracking Table'!$AQ258)+SQRT((3630*'BMP P Tracking Table'!$AO258+20.691*'BMP P Tracking Table'!$AT258-216.711*'BMP P Tracking Table'!$AS258-83.853*'BMP P Tracking Table'!$AR258-42.834*'BMP P Tracking Table'!$AQ258)^2-(4*(149.919*'BMP P Tracking Table'!$AQ258+236.676*'BMP P Tracking Table'!$AR258+726*'BMP P Tracking Table'!$AS258+996.798*'BMP P Tracking Table'!$AT258)*-'BMP P Tracking Table'!$AW258)))/(2*(149.919*'BMP P Tracking Table'!$AQ258+236.676*'BMP P Tracking Table'!$AR258+726*'BMP P Tracking Table'!$AS258+996.798*'BMP P Tracking Table'!$AT258))))),MIN(2,IF('BMP P Tracking Table'!$AP258="Total Pervious",(-(3630*'BMP P Tracking Table'!$U258+20.691*'BMP P Tracking Table'!$AA258)+SQRT((3630*'BMP P Tracking Table'!$U258+20.691*'BMP P Tracking Table'!$AA258)^2-(4*(996.798*'BMP P Tracking Table'!$AA258)*-'BMP P Tracking Table'!$AW258)))/(2*(996.798*'BMP P Tracking Table'!$AA258)),IF(SUM('BMP P Tracking Table'!$W258:$Z258)=0,'BMP P Tracking Table'!$AW258/(-3630*'BMP P Tracking Table'!$U258),(-(3630*'BMP P Tracking Table'!$U258+20.691*'BMP P Tracking Table'!$Z258-216.711*'BMP P Tracking Table'!$Y258-83.853*'BMP P Tracking Table'!$X258-42.834*'BMP P Tracking Table'!$W258)+SQRT((3630*'BMP P Tracking Table'!$U258+20.691*'BMP P Tracking Table'!$Z258-216.711*'BMP P Tracking Table'!$Y258-83.853*'BMP P Tracking Table'!$X258-42.834*'BMP P Tracking Table'!$W258)^2-(4*(149.919*'BMP P Tracking Table'!$W258+236.676*'BMP P Tracking Table'!$X258+726*'BMP P Tracking Table'!$Y258+996.798*'BMP P Tracking Table'!$Z258)*-'BMP P Tracking Table'!$AW258)))/(2*(149.919*'BMP P Tracking Table'!$W258+236.676*'BMP P Tracking Table'!$X258+726*'BMP P Tracking Table'!$Y258+996.798*'BMP P Tracking Table'!$Z258)))))),"")</f>
        <v/>
      </c>
      <c r="BA258" s="101" t="str">
        <f>IFERROR((VLOOKUP(CONCATENATE('BMP P Tracking Table'!$AV258," ",'BMP P Tracking Table'!$AX258),'Performance Curves'!$C$1:$L$45,MATCH('BMP P Tracking Table'!$AZ258,'Performance Curves'!$E$1:$L$1,1)+2,FALSE)-VLOOKUP(CONCATENATE('BMP P Tracking Table'!$AV258," ",'BMP P Tracking Table'!$AX258),'Performance Curves'!$C$1:$L$45,MATCH('BMP P Tracking Table'!$AZ258,'Performance Curves'!$E$1:$L$1,1)+1,FALSE)),"")</f>
        <v/>
      </c>
      <c r="BB258" s="101" t="str">
        <f>IFERROR(('BMP P Tracking Table'!$AZ258-INDEX('Performance Curves'!$E$1:$L$1,1,MATCH('BMP P Tracking Table'!$AZ258,'Performance Curves'!$E$1:$L$1,1)))/(INDEX('Performance Curves'!$E$1:$L$1,1,MATCH('BMP P Tracking Table'!$AZ258,'Performance Curves'!$E$1:$L$1,1)+1)-INDEX('Performance Curves'!$E$1:$L$1,1,MATCH('BMP P Tracking Table'!$AZ258,'Performance Curves'!$E$1:$L$1,1))),"")</f>
        <v/>
      </c>
      <c r="BC258" s="102" t="str">
        <f>IFERROR(IF('BMP P Tracking Table'!$AZ258=2,VLOOKUP(CONCATENATE('BMP P Tracking Table'!$AV258," ",'BMP P Tracking Table'!$AX258),'Performance Curves'!$C$1:$L$44,MATCH('BMP P Tracking Table'!$AZ258,'Performance Curves'!$E$1:$L$1,1)+1,FALSE),'BMP P Tracking Table'!$BA258*'BMP P Tracking Table'!$BB258+VLOOKUP(CONCATENATE('BMP P Tracking Table'!$AV258," ",'BMP P Tracking Table'!$AX258),'Performance Curves'!$C$1:$L$44,MATCH('BMP P Tracking Table'!$AZ258,'Performance Curves'!$E$1:$L$1,1)+1,FALSE)),"")</f>
        <v/>
      </c>
      <c r="BD258" s="101" t="str">
        <f>IFERROR('BMP P Tracking Table'!$BC258*'BMP P Tracking Table'!$AY258,"")</f>
        <v/>
      </c>
      <c r="BE258" s="96"/>
      <c r="BF258" s="37">
        <f t="shared" si="19"/>
        <v>0</v>
      </c>
    </row>
    <row r="259" spans="1:58" x14ac:dyDescent="0.3">
      <c r="A259" s="64"/>
      <c r="B259" s="64"/>
      <c r="C259" s="64"/>
      <c r="D259" s="64"/>
      <c r="E259" s="93"/>
      <c r="F259" s="93"/>
      <c r="G259" s="64"/>
      <c r="H259" s="64"/>
      <c r="I259" s="64"/>
      <c r="J259" s="94"/>
      <c r="K259" s="64"/>
      <c r="L259" s="64"/>
      <c r="M259" s="64"/>
      <c r="N259" s="64"/>
      <c r="O259" s="64"/>
      <c r="P259" s="64"/>
      <c r="Q259" s="64" t="str">
        <f>IFERROR(VLOOKUP('BMP P Tracking Table'!$P259,Dropdowns!$C$2:$E$15,3,FALSE),"")</f>
        <v/>
      </c>
      <c r="R259" s="64" t="str">
        <f>IFERROR(VLOOKUP('BMP P Tracking Table'!$Q259,Dropdowns!$P$3:$Q$23,2,FALSE),"")</f>
        <v/>
      </c>
      <c r="S259" s="64"/>
      <c r="T259" s="64"/>
      <c r="U259" s="64"/>
      <c r="V259" s="64"/>
      <c r="W259" s="64"/>
      <c r="X259" s="64"/>
      <c r="Y259" s="64"/>
      <c r="Z259" s="64"/>
      <c r="AA259" s="64"/>
      <c r="AB259" s="95"/>
      <c r="AC259" s="64"/>
      <c r="AD259" s="101" t="str">
        <f>IFERROR('BMP P Tracking Table'!$U259*VLOOKUP('BMP P Tracking Table'!$Q259,'Loading Rates'!$B$1:$L$24,4,FALSE)+IF('BMP P Tracking Table'!$V259="By HSG",'BMP P Tracking Table'!$W259*VLOOKUP('BMP P Tracking Table'!$Q259,'Loading Rates'!$B$1:$L$24,6,FALSE)+'BMP P Tracking Table'!$X259*VLOOKUP('BMP P Tracking Table'!$Q259,'Loading Rates'!$B$1:$L$24,7,FALSE)+'BMP P Tracking Table'!$Y259*VLOOKUP('BMP P Tracking Table'!$Q259,'Loading Rates'!$B$1:$L$24,8,FALSE)+'BMP P Tracking Table'!$Z259*VLOOKUP('BMP P Tracking Table'!$Q259,'Loading Rates'!$B$1:$L$24,9,FALSE),'BMP P Tracking Table'!$AA259*VLOOKUP('BMP P Tracking Table'!$Q259,'Loading Rates'!$B$1:$L$24,10,FALSE)),"")</f>
        <v/>
      </c>
      <c r="AE259" s="101" t="str">
        <f>IFERROR(MIN(2,IF('BMP P Tracking Table'!$V259="Total Pervious",(-(3630*'BMP P Tracking Table'!$U259+20.691*'BMP P Tracking Table'!$AA259)+SQRT((3630*'BMP P Tracking Table'!$U259+20.691*'BMP P Tracking Table'!$AA259)^2-(4*(996.798*'BMP P Tracking Table'!$AA259)*-'BMP P Tracking Table'!$AB259)))/(2*(996.798*'BMP P Tracking Table'!$AA259)),IF(SUM('BMP P Tracking Table'!$W259:$Z259)=0,'BMP P Tracking Table'!$AB259/(-3630*'BMP P Tracking Table'!$U259),(-(3630*'BMP P Tracking Table'!$U259+20.691*'BMP P Tracking Table'!$Z259-216.711*'BMP P Tracking Table'!$Y259-83.853*'BMP P Tracking Table'!$X259-42.834*'BMP P Tracking Table'!$W259)+SQRT((3630*'BMP P Tracking Table'!$U259+20.691*'BMP P Tracking Table'!$Z259-216.711*'BMP P Tracking Table'!$Y259-83.853*'BMP P Tracking Table'!$X259-42.834*'BMP P Tracking Table'!$W259)^2-(4*(149.919*'BMP P Tracking Table'!$W259+236.676*'BMP P Tracking Table'!$X259+726*'BMP P Tracking Table'!$Y259+996.798*'BMP P Tracking Table'!$Z259)*-'BMP P Tracking Table'!$AB259)))/(2*(149.919*'BMP P Tracking Table'!$W259+236.676*'BMP P Tracking Table'!$X259+726*'BMP P Tracking Table'!$Y259+996.798*'BMP P Tracking Table'!$Z259))))),"")</f>
        <v/>
      </c>
      <c r="AF259" s="101" t="str">
        <f>IFERROR((VLOOKUP(CONCATENATE('BMP P Tracking Table'!$T259," ",'BMP P Tracking Table'!$AC259),'Performance Curves'!$C$1:$L$45,MATCH('BMP P Tracking Table'!$AE259,'Performance Curves'!$E$1:$L$1,1)+2,FALSE)-VLOOKUP(CONCATENATE('BMP P Tracking Table'!$T259," ",'BMP P Tracking Table'!$AC259),'Performance Curves'!$C$1:$L$45,MATCH('BMP P Tracking Table'!$AE259,'Performance Curves'!$E$1:$L$1,1)+1,FALSE)),"")</f>
        <v/>
      </c>
      <c r="AG259" s="101" t="str">
        <f>IFERROR(('BMP P Tracking Table'!$AE259-INDEX('Performance Curves'!$E$1:$L$1,1,MATCH('BMP P Tracking Table'!$AE259,'Performance Curves'!$E$1:$L$1,1)))/(INDEX('Performance Curves'!$E$1:$L$1,1,MATCH('BMP P Tracking Table'!$AE259,'Performance Curves'!$E$1:$L$1,1)+1)-INDEX('Performance Curves'!$E$1:$L$1,1,MATCH('BMP P Tracking Table'!$AE259,'Performance Curves'!$E$1:$L$1,1))),"")</f>
        <v/>
      </c>
      <c r="AH259" s="102" t="str">
        <f>IFERROR(IF('BMP P Tracking Table'!$AE259=2,VLOOKUP(CONCATENATE('BMP P Tracking Table'!$T259," ",'BMP P Tracking Table'!$AC259),'Performance Curves'!$C$1:$L$45,MATCH('BMP P Tracking Table'!$AE259,'Performance Curves'!$E$1:$L$1,1)+1,FALSE),'BMP P Tracking Table'!$AF259*'BMP P Tracking Table'!$AG259+VLOOKUP(CONCATENATE('BMP P Tracking Table'!$T259," ",'BMP P Tracking Table'!$AC259),'Performance Curves'!$C$1:$L$45,MATCH('BMP P Tracking Table'!$AE259,'Performance Curves'!$E$1:$L$1,1)+1,FALSE)),"")</f>
        <v/>
      </c>
      <c r="AI259" s="101" t="str">
        <f>IFERROR('BMP P Tracking Table'!$AH259*'BMP P Tracking Table'!$AD259,"")</f>
        <v/>
      </c>
      <c r="AJ259" s="64"/>
      <c r="AK259" s="96"/>
      <c r="AL259" s="96"/>
      <c r="AM259" s="63"/>
      <c r="AN259" s="99" t="str">
        <f t="shared" si="18"/>
        <v/>
      </c>
      <c r="AO259" s="96"/>
      <c r="AP259" s="96"/>
      <c r="AQ259" s="96"/>
      <c r="AR259" s="96"/>
      <c r="AS259" s="96"/>
      <c r="AT259" s="96"/>
      <c r="AU259" s="96"/>
      <c r="AV259" s="64"/>
      <c r="AW259" s="97"/>
      <c r="AX259" s="97"/>
      <c r="AY259" s="101" t="str">
        <f>IF('BMP P Tracking Table'!$AK259="Yes",IF('BMP P Tracking Table'!$AL259="No",'BMP P Tracking Table'!$U259*VLOOKUP('BMP P Tracking Table'!$Q259,'Loading Rates'!$B$1:$L$24,4,FALSE)+IF('BMP P Tracking Table'!$V259="By HSG",'BMP P Tracking Table'!$W259*VLOOKUP('BMP P Tracking Table'!$Q259,'Loading Rates'!$B$1:$L$24,6,FALSE)+'BMP P Tracking Table'!$X259*VLOOKUP('BMP P Tracking Table'!$Q259,'Loading Rates'!$B$1:$L$24,7,FALSE)+'BMP P Tracking Table'!$Y259*VLOOKUP('BMP P Tracking Table'!$Q259,'Loading Rates'!$B$1:$L$24,8,FALSE)+'BMP P Tracking Table'!$Z259*VLOOKUP('BMP P Tracking Table'!$Q259,'Loading Rates'!$B$1:$L$24,9,FALSE),'BMP P Tracking Table'!$AA259*VLOOKUP('BMP P Tracking Table'!$Q259,'Loading Rates'!$B$1:$L$24,10,FALSE)),'BMP P Tracking Table'!$AO259*VLOOKUP('BMP P Tracking Table'!$Q259,'Loading Rates'!$B$1:$L$24,4,FALSE)+IF('BMP P Tracking Table'!$AP259="By HSG",'BMP P Tracking Table'!$AQ259*VLOOKUP('BMP P Tracking Table'!$Q259,'Loading Rates'!$B$1:$L$24,6,FALSE)+'BMP P Tracking Table'!$AR259*VLOOKUP('BMP P Tracking Table'!$Q259,'Loading Rates'!$B$1:$L$24,7,FALSE)+'BMP P Tracking Table'!$AS259*VLOOKUP('BMP P Tracking Table'!$Q259,'Loading Rates'!$B$1:$L$24,8,FALSE)+'BMP P Tracking Table'!$AT259*VLOOKUP('BMP P Tracking Table'!$Q259,'Loading Rates'!$B$1:$L$24,9,FALSE),'BMP P Tracking Table'!$AU259*VLOOKUP('BMP P Tracking Table'!$Q259,'Loading Rates'!$B$1:$L$24,10,FALSE))),"")</f>
        <v/>
      </c>
      <c r="AZ259" s="101" t="str">
        <f>IFERROR(IF('BMP P Tracking Table'!$AL259="Yes",MIN(2,IF('BMP P Tracking Table'!$AP259="Total Pervious",(-(3630*'BMP P Tracking Table'!$AO259+20.691*'BMP P Tracking Table'!$AU259)+SQRT((3630*'BMP P Tracking Table'!$AO259+20.691*'BMP P Tracking Table'!$AU259)^2-(4*(996.798*'BMP P Tracking Table'!$AU259)*-'BMP P Tracking Table'!$AW259)))/(2*(996.798*'BMP P Tracking Table'!$AU259)),IF(SUM('BMP P Tracking Table'!$AQ259:$AT259)=0,'BMP P Tracking Table'!$AU259/(-3630*'BMP P Tracking Table'!$AO259),(-(3630*'BMP P Tracking Table'!$AO259+20.691*'BMP P Tracking Table'!$AT259-216.711*'BMP P Tracking Table'!$AS259-83.853*'BMP P Tracking Table'!$AR259-42.834*'BMP P Tracking Table'!$AQ259)+SQRT((3630*'BMP P Tracking Table'!$AO259+20.691*'BMP P Tracking Table'!$AT259-216.711*'BMP P Tracking Table'!$AS259-83.853*'BMP P Tracking Table'!$AR259-42.834*'BMP P Tracking Table'!$AQ259)^2-(4*(149.919*'BMP P Tracking Table'!$AQ259+236.676*'BMP P Tracking Table'!$AR259+726*'BMP P Tracking Table'!$AS259+996.798*'BMP P Tracking Table'!$AT259)*-'BMP P Tracking Table'!$AW259)))/(2*(149.919*'BMP P Tracking Table'!$AQ259+236.676*'BMP P Tracking Table'!$AR259+726*'BMP P Tracking Table'!$AS259+996.798*'BMP P Tracking Table'!$AT259))))),MIN(2,IF('BMP P Tracking Table'!$AP259="Total Pervious",(-(3630*'BMP P Tracking Table'!$U259+20.691*'BMP P Tracking Table'!$AA259)+SQRT((3630*'BMP P Tracking Table'!$U259+20.691*'BMP P Tracking Table'!$AA259)^2-(4*(996.798*'BMP P Tracking Table'!$AA259)*-'BMP P Tracking Table'!$AW259)))/(2*(996.798*'BMP P Tracking Table'!$AA259)),IF(SUM('BMP P Tracking Table'!$W259:$Z259)=0,'BMP P Tracking Table'!$AW259/(-3630*'BMP P Tracking Table'!$U259),(-(3630*'BMP P Tracking Table'!$U259+20.691*'BMP P Tracking Table'!$Z259-216.711*'BMP P Tracking Table'!$Y259-83.853*'BMP P Tracking Table'!$X259-42.834*'BMP P Tracking Table'!$W259)+SQRT((3630*'BMP P Tracking Table'!$U259+20.691*'BMP P Tracking Table'!$Z259-216.711*'BMP P Tracking Table'!$Y259-83.853*'BMP P Tracking Table'!$X259-42.834*'BMP P Tracking Table'!$W259)^2-(4*(149.919*'BMP P Tracking Table'!$W259+236.676*'BMP P Tracking Table'!$X259+726*'BMP P Tracking Table'!$Y259+996.798*'BMP P Tracking Table'!$Z259)*-'BMP P Tracking Table'!$AW259)))/(2*(149.919*'BMP P Tracking Table'!$W259+236.676*'BMP P Tracking Table'!$X259+726*'BMP P Tracking Table'!$Y259+996.798*'BMP P Tracking Table'!$Z259)))))),"")</f>
        <v/>
      </c>
      <c r="BA259" s="101" t="str">
        <f>IFERROR((VLOOKUP(CONCATENATE('BMP P Tracking Table'!$AV259," ",'BMP P Tracking Table'!$AX259),'Performance Curves'!$C$1:$L$45,MATCH('BMP P Tracking Table'!$AZ259,'Performance Curves'!$E$1:$L$1,1)+2,FALSE)-VLOOKUP(CONCATENATE('BMP P Tracking Table'!$AV259," ",'BMP P Tracking Table'!$AX259),'Performance Curves'!$C$1:$L$45,MATCH('BMP P Tracking Table'!$AZ259,'Performance Curves'!$E$1:$L$1,1)+1,FALSE)),"")</f>
        <v/>
      </c>
      <c r="BB259" s="101" t="str">
        <f>IFERROR(('BMP P Tracking Table'!$AZ259-INDEX('Performance Curves'!$E$1:$L$1,1,MATCH('BMP P Tracking Table'!$AZ259,'Performance Curves'!$E$1:$L$1,1)))/(INDEX('Performance Curves'!$E$1:$L$1,1,MATCH('BMP P Tracking Table'!$AZ259,'Performance Curves'!$E$1:$L$1,1)+1)-INDEX('Performance Curves'!$E$1:$L$1,1,MATCH('BMP P Tracking Table'!$AZ259,'Performance Curves'!$E$1:$L$1,1))),"")</f>
        <v/>
      </c>
      <c r="BC259" s="102" t="str">
        <f>IFERROR(IF('BMP P Tracking Table'!$AZ259=2,VLOOKUP(CONCATENATE('BMP P Tracking Table'!$AV259," ",'BMP P Tracking Table'!$AX259),'Performance Curves'!$C$1:$L$44,MATCH('BMP P Tracking Table'!$AZ259,'Performance Curves'!$E$1:$L$1,1)+1,FALSE),'BMP P Tracking Table'!$BA259*'BMP P Tracking Table'!$BB259+VLOOKUP(CONCATENATE('BMP P Tracking Table'!$AV259," ",'BMP P Tracking Table'!$AX259),'Performance Curves'!$C$1:$L$44,MATCH('BMP P Tracking Table'!$AZ259,'Performance Curves'!$E$1:$L$1,1)+1,FALSE)),"")</f>
        <v/>
      </c>
      <c r="BD259" s="101" t="str">
        <f>IFERROR('BMP P Tracking Table'!$BC259*'BMP P Tracking Table'!$AY259,"")</f>
        <v/>
      </c>
      <c r="BE259" s="96"/>
      <c r="BF259" s="37">
        <f t="shared" si="19"/>
        <v>0</v>
      </c>
    </row>
    <row r="260" spans="1:58" x14ac:dyDescent="0.3">
      <c r="A260" s="64"/>
      <c r="B260" s="64"/>
      <c r="C260" s="64"/>
      <c r="D260" s="64"/>
      <c r="E260" s="93"/>
      <c r="F260" s="93"/>
      <c r="G260" s="64"/>
      <c r="H260" s="64"/>
      <c r="I260" s="64"/>
      <c r="J260" s="94"/>
      <c r="K260" s="64"/>
      <c r="L260" s="64"/>
      <c r="M260" s="64"/>
      <c r="N260" s="64"/>
      <c r="O260" s="64"/>
      <c r="P260" s="64"/>
      <c r="Q260" s="64" t="str">
        <f>IFERROR(VLOOKUP('BMP P Tracking Table'!$P260,Dropdowns!$C$2:$E$15,3,FALSE),"")</f>
        <v/>
      </c>
      <c r="R260" s="64" t="str">
        <f>IFERROR(VLOOKUP('BMP P Tracking Table'!$Q260,Dropdowns!$P$3:$Q$23,2,FALSE),"")</f>
        <v/>
      </c>
      <c r="S260" s="64"/>
      <c r="T260" s="64"/>
      <c r="U260" s="64"/>
      <c r="V260" s="64"/>
      <c r="W260" s="64"/>
      <c r="X260" s="64"/>
      <c r="Y260" s="64"/>
      <c r="Z260" s="64"/>
      <c r="AA260" s="64"/>
      <c r="AB260" s="95"/>
      <c r="AC260" s="64"/>
      <c r="AD260" s="101" t="str">
        <f>IFERROR('BMP P Tracking Table'!$U260*VLOOKUP('BMP P Tracking Table'!$Q260,'Loading Rates'!$B$1:$L$24,4,FALSE)+IF('BMP P Tracking Table'!$V260="By HSG",'BMP P Tracking Table'!$W260*VLOOKUP('BMP P Tracking Table'!$Q260,'Loading Rates'!$B$1:$L$24,6,FALSE)+'BMP P Tracking Table'!$X260*VLOOKUP('BMP P Tracking Table'!$Q260,'Loading Rates'!$B$1:$L$24,7,FALSE)+'BMP P Tracking Table'!$Y260*VLOOKUP('BMP P Tracking Table'!$Q260,'Loading Rates'!$B$1:$L$24,8,FALSE)+'BMP P Tracking Table'!$Z260*VLOOKUP('BMP P Tracking Table'!$Q260,'Loading Rates'!$B$1:$L$24,9,FALSE),'BMP P Tracking Table'!$AA260*VLOOKUP('BMP P Tracking Table'!$Q260,'Loading Rates'!$B$1:$L$24,10,FALSE)),"")</f>
        <v/>
      </c>
      <c r="AE260" s="101" t="str">
        <f>IFERROR(MIN(2,IF('BMP P Tracking Table'!$V260="Total Pervious",(-(3630*'BMP P Tracking Table'!$U260+20.691*'BMP P Tracking Table'!$AA260)+SQRT((3630*'BMP P Tracking Table'!$U260+20.691*'BMP P Tracking Table'!$AA260)^2-(4*(996.798*'BMP P Tracking Table'!$AA260)*-'BMP P Tracking Table'!$AB260)))/(2*(996.798*'BMP P Tracking Table'!$AA260)),IF(SUM('BMP P Tracking Table'!$W260:$Z260)=0,'BMP P Tracking Table'!$AB260/(-3630*'BMP P Tracking Table'!$U260),(-(3630*'BMP P Tracking Table'!$U260+20.691*'BMP P Tracking Table'!$Z260-216.711*'BMP P Tracking Table'!$Y260-83.853*'BMP P Tracking Table'!$X260-42.834*'BMP P Tracking Table'!$W260)+SQRT((3630*'BMP P Tracking Table'!$U260+20.691*'BMP P Tracking Table'!$Z260-216.711*'BMP P Tracking Table'!$Y260-83.853*'BMP P Tracking Table'!$X260-42.834*'BMP P Tracking Table'!$W260)^2-(4*(149.919*'BMP P Tracking Table'!$W260+236.676*'BMP P Tracking Table'!$X260+726*'BMP P Tracking Table'!$Y260+996.798*'BMP P Tracking Table'!$Z260)*-'BMP P Tracking Table'!$AB260)))/(2*(149.919*'BMP P Tracking Table'!$W260+236.676*'BMP P Tracking Table'!$X260+726*'BMP P Tracking Table'!$Y260+996.798*'BMP P Tracking Table'!$Z260))))),"")</f>
        <v/>
      </c>
      <c r="AF260" s="101" t="str">
        <f>IFERROR((VLOOKUP(CONCATENATE('BMP P Tracking Table'!$T260," ",'BMP P Tracking Table'!$AC260),'Performance Curves'!$C$1:$L$45,MATCH('BMP P Tracking Table'!$AE260,'Performance Curves'!$E$1:$L$1,1)+2,FALSE)-VLOOKUP(CONCATENATE('BMP P Tracking Table'!$T260," ",'BMP P Tracking Table'!$AC260),'Performance Curves'!$C$1:$L$45,MATCH('BMP P Tracking Table'!$AE260,'Performance Curves'!$E$1:$L$1,1)+1,FALSE)),"")</f>
        <v/>
      </c>
      <c r="AG260" s="101" t="str">
        <f>IFERROR(('BMP P Tracking Table'!$AE260-INDEX('Performance Curves'!$E$1:$L$1,1,MATCH('BMP P Tracking Table'!$AE260,'Performance Curves'!$E$1:$L$1,1)))/(INDEX('Performance Curves'!$E$1:$L$1,1,MATCH('BMP P Tracking Table'!$AE260,'Performance Curves'!$E$1:$L$1,1)+1)-INDEX('Performance Curves'!$E$1:$L$1,1,MATCH('BMP P Tracking Table'!$AE260,'Performance Curves'!$E$1:$L$1,1))),"")</f>
        <v/>
      </c>
      <c r="AH260" s="102" t="str">
        <f>IFERROR(IF('BMP P Tracking Table'!$AE260=2,VLOOKUP(CONCATENATE('BMP P Tracking Table'!$T260," ",'BMP P Tracking Table'!$AC260),'Performance Curves'!$C$1:$L$45,MATCH('BMP P Tracking Table'!$AE260,'Performance Curves'!$E$1:$L$1,1)+1,FALSE),'BMP P Tracking Table'!$AF260*'BMP P Tracking Table'!$AG260+VLOOKUP(CONCATENATE('BMP P Tracking Table'!$T260," ",'BMP P Tracking Table'!$AC260),'Performance Curves'!$C$1:$L$45,MATCH('BMP P Tracking Table'!$AE260,'Performance Curves'!$E$1:$L$1,1)+1,FALSE)),"")</f>
        <v/>
      </c>
      <c r="AI260" s="101" t="str">
        <f>IFERROR('BMP P Tracking Table'!$AH260*'BMP P Tracking Table'!$AD260,"")</f>
        <v/>
      </c>
      <c r="AJ260" s="64"/>
      <c r="AK260" s="96"/>
      <c r="AL260" s="96"/>
      <c r="AM260" s="63"/>
      <c r="AN260" s="99" t="str">
        <f t="shared" si="18"/>
        <v/>
      </c>
      <c r="AO260" s="96"/>
      <c r="AP260" s="96"/>
      <c r="AQ260" s="96"/>
      <c r="AR260" s="96"/>
      <c r="AS260" s="96"/>
      <c r="AT260" s="96"/>
      <c r="AU260" s="96"/>
      <c r="AV260" s="64"/>
      <c r="AW260" s="97"/>
      <c r="AX260" s="97"/>
      <c r="AY260" s="101" t="str">
        <f>IF('BMP P Tracking Table'!$AK260="Yes",IF('BMP P Tracking Table'!$AL260="No",'BMP P Tracking Table'!$U260*VLOOKUP('BMP P Tracking Table'!$Q260,'Loading Rates'!$B$1:$L$24,4,FALSE)+IF('BMP P Tracking Table'!$V260="By HSG",'BMP P Tracking Table'!$W260*VLOOKUP('BMP P Tracking Table'!$Q260,'Loading Rates'!$B$1:$L$24,6,FALSE)+'BMP P Tracking Table'!$X260*VLOOKUP('BMP P Tracking Table'!$Q260,'Loading Rates'!$B$1:$L$24,7,FALSE)+'BMP P Tracking Table'!$Y260*VLOOKUP('BMP P Tracking Table'!$Q260,'Loading Rates'!$B$1:$L$24,8,FALSE)+'BMP P Tracking Table'!$Z260*VLOOKUP('BMP P Tracking Table'!$Q260,'Loading Rates'!$B$1:$L$24,9,FALSE),'BMP P Tracking Table'!$AA260*VLOOKUP('BMP P Tracking Table'!$Q260,'Loading Rates'!$B$1:$L$24,10,FALSE)),'BMP P Tracking Table'!$AO260*VLOOKUP('BMP P Tracking Table'!$Q260,'Loading Rates'!$B$1:$L$24,4,FALSE)+IF('BMP P Tracking Table'!$AP260="By HSG",'BMP P Tracking Table'!$AQ260*VLOOKUP('BMP P Tracking Table'!$Q260,'Loading Rates'!$B$1:$L$24,6,FALSE)+'BMP P Tracking Table'!$AR260*VLOOKUP('BMP P Tracking Table'!$Q260,'Loading Rates'!$B$1:$L$24,7,FALSE)+'BMP P Tracking Table'!$AS260*VLOOKUP('BMP P Tracking Table'!$Q260,'Loading Rates'!$B$1:$L$24,8,FALSE)+'BMP P Tracking Table'!$AT260*VLOOKUP('BMP P Tracking Table'!$Q260,'Loading Rates'!$B$1:$L$24,9,FALSE),'BMP P Tracking Table'!$AU260*VLOOKUP('BMP P Tracking Table'!$Q260,'Loading Rates'!$B$1:$L$24,10,FALSE))),"")</f>
        <v/>
      </c>
      <c r="AZ260" s="101" t="str">
        <f>IFERROR(IF('BMP P Tracking Table'!$AL260="Yes",MIN(2,IF('BMP P Tracking Table'!$AP260="Total Pervious",(-(3630*'BMP P Tracking Table'!$AO260+20.691*'BMP P Tracking Table'!$AU260)+SQRT((3630*'BMP P Tracking Table'!$AO260+20.691*'BMP P Tracking Table'!$AU260)^2-(4*(996.798*'BMP P Tracking Table'!$AU260)*-'BMP P Tracking Table'!$AW260)))/(2*(996.798*'BMP P Tracking Table'!$AU260)),IF(SUM('BMP P Tracking Table'!$AQ260:$AT260)=0,'BMP P Tracking Table'!$AU260/(-3630*'BMP P Tracking Table'!$AO260),(-(3630*'BMP P Tracking Table'!$AO260+20.691*'BMP P Tracking Table'!$AT260-216.711*'BMP P Tracking Table'!$AS260-83.853*'BMP P Tracking Table'!$AR260-42.834*'BMP P Tracking Table'!$AQ260)+SQRT((3630*'BMP P Tracking Table'!$AO260+20.691*'BMP P Tracking Table'!$AT260-216.711*'BMP P Tracking Table'!$AS260-83.853*'BMP P Tracking Table'!$AR260-42.834*'BMP P Tracking Table'!$AQ260)^2-(4*(149.919*'BMP P Tracking Table'!$AQ260+236.676*'BMP P Tracking Table'!$AR260+726*'BMP P Tracking Table'!$AS260+996.798*'BMP P Tracking Table'!$AT260)*-'BMP P Tracking Table'!$AW260)))/(2*(149.919*'BMP P Tracking Table'!$AQ260+236.676*'BMP P Tracking Table'!$AR260+726*'BMP P Tracking Table'!$AS260+996.798*'BMP P Tracking Table'!$AT260))))),MIN(2,IF('BMP P Tracking Table'!$AP260="Total Pervious",(-(3630*'BMP P Tracking Table'!$U260+20.691*'BMP P Tracking Table'!$AA260)+SQRT((3630*'BMP P Tracking Table'!$U260+20.691*'BMP P Tracking Table'!$AA260)^2-(4*(996.798*'BMP P Tracking Table'!$AA260)*-'BMP P Tracking Table'!$AW260)))/(2*(996.798*'BMP P Tracking Table'!$AA260)),IF(SUM('BMP P Tracking Table'!$W260:$Z260)=0,'BMP P Tracking Table'!$AW260/(-3630*'BMP P Tracking Table'!$U260),(-(3630*'BMP P Tracking Table'!$U260+20.691*'BMP P Tracking Table'!$Z260-216.711*'BMP P Tracking Table'!$Y260-83.853*'BMP P Tracking Table'!$X260-42.834*'BMP P Tracking Table'!$W260)+SQRT((3630*'BMP P Tracking Table'!$U260+20.691*'BMP P Tracking Table'!$Z260-216.711*'BMP P Tracking Table'!$Y260-83.853*'BMP P Tracking Table'!$X260-42.834*'BMP P Tracking Table'!$W260)^2-(4*(149.919*'BMP P Tracking Table'!$W260+236.676*'BMP P Tracking Table'!$X260+726*'BMP P Tracking Table'!$Y260+996.798*'BMP P Tracking Table'!$Z260)*-'BMP P Tracking Table'!$AW260)))/(2*(149.919*'BMP P Tracking Table'!$W260+236.676*'BMP P Tracking Table'!$X260+726*'BMP P Tracking Table'!$Y260+996.798*'BMP P Tracking Table'!$Z260)))))),"")</f>
        <v/>
      </c>
      <c r="BA260" s="101" t="str">
        <f>IFERROR((VLOOKUP(CONCATENATE('BMP P Tracking Table'!$AV260," ",'BMP P Tracking Table'!$AX260),'Performance Curves'!$C$1:$L$45,MATCH('BMP P Tracking Table'!$AZ260,'Performance Curves'!$E$1:$L$1,1)+2,FALSE)-VLOOKUP(CONCATENATE('BMP P Tracking Table'!$AV260," ",'BMP P Tracking Table'!$AX260),'Performance Curves'!$C$1:$L$45,MATCH('BMP P Tracking Table'!$AZ260,'Performance Curves'!$E$1:$L$1,1)+1,FALSE)),"")</f>
        <v/>
      </c>
      <c r="BB260" s="101" t="str">
        <f>IFERROR(('BMP P Tracking Table'!$AZ260-INDEX('Performance Curves'!$E$1:$L$1,1,MATCH('BMP P Tracking Table'!$AZ260,'Performance Curves'!$E$1:$L$1,1)))/(INDEX('Performance Curves'!$E$1:$L$1,1,MATCH('BMP P Tracking Table'!$AZ260,'Performance Curves'!$E$1:$L$1,1)+1)-INDEX('Performance Curves'!$E$1:$L$1,1,MATCH('BMP P Tracking Table'!$AZ260,'Performance Curves'!$E$1:$L$1,1))),"")</f>
        <v/>
      </c>
      <c r="BC260" s="102" t="str">
        <f>IFERROR(IF('BMP P Tracking Table'!$AZ260=2,VLOOKUP(CONCATENATE('BMP P Tracking Table'!$AV260," ",'BMP P Tracking Table'!$AX260),'Performance Curves'!$C$1:$L$44,MATCH('BMP P Tracking Table'!$AZ260,'Performance Curves'!$E$1:$L$1,1)+1,FALSE),'BMP P Tracking Table'!$BA260*'BMP P Tracking Table'!$BB260+VLOOKUP(CONCATENATE('BMP P Tracking Table'!$AV260," ",'BMP P Tracking Table'!$AX260),'Performance Curves'!$C$1:$L$44,MATCH('BMP P Tracking Table'!$AZ260,'Performance Curves'!$E$1:$L$1,1)+1,FALSE)),"")</f>
        <v/>
      </c>
      <c r="BD260" s="101" t="str">
        <f>IFERROR('BMP P Tracking Table'!$BC260*'BMP P Tracking Table'!$AY260,"")</f>
        <v/>
      </c>
      <c r="BE260" s="96"/>
      <c r="BF260" s="37">
        <f t="shared" si="19"/>
        <v>0</v>
      </c>
    </row>
    <row r="261" spans="1:58" x14ac:dyDescent="0.3">
      <c r="A261" s="64"/>
      <c r="B261" s="64"/>
      <c r="C261" s="64"/>
      <c r="D261" s="64"/>
      <c r="E261" s="93"/>
      <c r="F261" s="93"/>
      <c r="G261" s="64"/>
      <c r="H261" s="64"/>
      <c r="I261" s="64"/>
      <c r="J261" s="94"/>
      <c r="K261" s="64"/>
      <c r="L261" s="64"/>
      <c r="M261" s="64"/>
      <c r="N261" s="64"/>
      <c r="O261" s="64"/>
      <c r="P261" s="64"/>
      <c r="Q261" s="64" t="str">
        <f>IFERROR(VLOOKUP('BMP P Tracking Table'!$P261,Dropdowns!$C$2:$E$15,3,FALSE),"")</f>
        <v/>
      </c>
      <c r="R261" s="64" t="str">
        <f>IFERROR(VLOOKUP('BMP P Tracking Table'!$Q261,Dropdowns!$P$3:$Q$23,2,FALSE),"")</f>
        <v/>
      </c>
      <c r="S261" s="64"/>
      <c r="T261" s="64"/>
      <c r="U261" s="64"/>
      <c r="V261" s="64"/>
      <c r="W261" s="64"/>
      <c r="X261" s="64"/>
      <c r="Y261" s="64"/>
      <c r="Z261" s="64"/>
      <c r="AA261" s="64"/>
      <c r="AB261" s="95"/>
      <c r="AC261" s="64"/>
      <c r="AD261" s="101" t="str">
        <f>IFERROR('BMP P Tracking Table'!$U261*VLOOKUP('BMP P Tracking Table'!$Q261,'Loading Rates'!$B$1:$L$24,4,FALSE)+IF('BMP P Tracking Table'!$V261="By HSG",'BMP P Tracking Table'!$W261*VLOOKUP('BMP P Tracking Table'!$Q261,'Loading Rates'!$B$1:$L$24,6,FALSE)+'BMP P Tracking Table'!$X261*VLOOKUP('BMP P Tracking Table'!$Q261,'Loading Rates'!$B$1:$L$24,7,FALSE)+'BMP P Tracking Table'!$Y261*VLOOKUP('BMP P Tracking Table'!$Q261,'Loading Rates'!$B$1:$L$24,8,FALSE)+'BMP P Tracking Table'!$Z261*VLOOKUP('BMP P Tracking Table'!$Q261,'Loading Rates'!$B$1:$L$24,9,FALSE),'BMP P Tracking Table'!$AA261*VLOOKUP('BMP P Tracking Table'!$Q261,'Loading Rates'!$B$1:$L$24,10,FALSE)),"")</f>
        <v/>
      </c>
      <c r="AE261" s="101" t="str">
        <f>IFERROR(MIN(2,IF('BMP P Tracking Table'!$V261="Total Pervious",(-(3630*'BMP P Tracking Table'!$U261+20.691*'BMP P Tracking Table'!$AA261)+SQRT((3630*'BMP P Tracking Table'!$U261+20.691*'BMP P Tracking Table'!$AA261)^2-(4*(996.798*'BMP P Tracking Table'!$AA261)*-'BMP P Tracking Table'!$AB261)))/(2*(996.798*'BMP P Tracking Table'!$AA261)),IF(SUM('BMP P Tracking Table'!$W261:$Z261)=0,'BMP P Tracking Table'!$AB261/(-3630*'BMP P Tracking Table'!$U261),(-(3630*'BMP P Tracking Table'!$U261+20.691*'BMP P Tracking Table'!$Z261-216.711*'BMP P Tracking Table'!$Y261-83.853*'BMP P Tracking Table'!$X261-42.834*'BMP P Tracking Table'!$W261)+SQRT((3630*'BMP P Tracking Table'!$U261+20.691*'BMP P Tracking Table'!$Z261-216.711*'BMP P Tracking Table'!$Y261-83.853*'BMP P Tracking Table'!$X261-42.834*'BMP P Tracking Table'!$W261)^2-(4*(149.919*'BMP P Tracking Table'!$W261+236.676*'BMP P Tracking Table'!$X261+726*'BMP P Tracking Table'!$Y261+996.798*'BMP P Tracking Table'!$Z261)*-'BMP P Tracking Table'!$AB261)))/(2*(149.919*'BMP P Tracking Table'!$W261+236.676*'BMP P Tracking Table'!$X261+726*'BMP P Tracking Table'!$Y261+996.798*'BMP P Tracking Table'!$Z261))))),"")</f>
        <v/>
      </c>
      <c r="AF261" s="101" t="str">
        <f>IFERROR((VLOOKUP(CONCATENATE('BMP P Tracking Table'!$T261," ",'BMP P Tracking Table'!$AC261),'Performance Curves'!$C$1:$L$45,MATCH('BMP P Tracking Table'!$AE261,'Performance Curves'!$E$1:$L$1,1)+2,FALSE)-VLOOKUP(CONCATENATE('BMP P Tracking Table'!$T261," ",'BMP P Tracking Table'!$AC261),'Performance Curves'!$C$1:$L$45,MATCH('BMP P Tracking Table'!$AE261,'Performance Curves'!$E$1:$L$1,1)+1,FALSE)),"")</f>
        <v/>
      </c>
      <c r="AG261" s="101" t="str">
        <f>IFERROR(('BMP P Tracking Table'!$AE261-INDEX('Performance Curves'!$E$1:$L$1,1,MATCH('BMP P Tracking Table'!$AE261,'Performance Curves'!$E$1:$L$1,1)))/(INDEX('Performance Curves'!$E$1:$L$1,1,MATCH('BMP P Tracking Table'!$AE261,'Performance Curves'!$E$1:$L$1,1)+1)-INDEX('Performance Curves'!$E$1:$L$1,1,MATCH('BMP P Tracking Table'!$AE261,'Performance Curves'!$E$1:$L$1,1))),"")</f>
        <v/>
      </c>
      <c r="AH261" s="102" t="str">
        <f>IFERROR(IF('BMP P Tracking Table'!$AE261=2,VLOOKUP(CONCATENATE('BMP P Tracking Table'!$T261," ",'BMP P Tracking Table'!$AC261),'Performance Curves'!$C$1:$L$45,MATCH('BMP P Tracking Table'!$AE261,'Performance Curves'!$E$1:$L$1,1)+1,FALSE),'BMP P Tracking Table'!$AF261*'BMP P Tracking Table'!$AG261+VLOOKUP(CONCATENATE('BMP P Tracking Table'!$T261," ",'BMP P Tracking Table'!$AC261),'Performance Curves'!$C$1:$L$45,MATCH('BMP P Tracking Table'!$AE261,'Performance Curves'!$E$1:$L$1,1)+1,FALSE)),"")</f>
        <v/>
      </c>
      <c r="AI261" s="101" t="str">
        <f>IFERROR('BMP P Tracking Table'!$AH261*'BMP P Tracking Table'!$AD261,"")</f>
        <v/>
      </c>
      <c r="AJ261" s="64"/>
      <c r="AK261" s="96"/>
      <c r="AL261" s="96"/>
      <c r="AM261" s="63"/>
      <c r="AN261" s="99" t="str">
        <f t="shared" si="18"/>
        <v/>
      </c>
      <c r="AO261" s="96"/>
      <c r="AP261" s="96"/>
      <c r="AQ261" s="96"/>
      <c r="AR261" s="96"/>
      <c r="AS261" s="96"/>
      <c r="AT261" s="96"/>
      <c r="AU261" s="96"/>
      <c r="AV261" s="64"/>
      <c r="AW261" s="97"/>
      <c r="AX261" s="97"/>
      <c r="AY261" s="101" t="str">
        <f>IF('BMP P Tracking Table'!$AK261="Yes",IF('BMP P Tracking Table'!$AL261="No",'BMP P Tracking Table'!$U261*VLOOKUP('BMP P Tracking Table'!$Q261,'Loading Rates'!$B$1:$L$24,4,FALSE)+IF('BMP P Tracking Table'!$V261="By HSG",'BMP P Tracking Table'!$W261*VLOOKUP('BMP P Tracking Table'!$Q261,'Loading Rates'!$B$1:$L$24,6,FALSE)+'BMP P Tracking Table'!$X261*VLOOKUP('BMP P Tracking Table'!$Q261,'Loading Rates'!$B$1:$L$24,7,FALSE)+'BMP P Tracking Table'!$Y261*VLOOKUP('BMP P Tracking Table'!$Q261,'Loading Rates'!$B$1:$L$24,8,FALSE)+'BMP P Tracking Table'!$Z261*VLOOKUP('BMP P Tracking Table'!$Q261,'Loading Rates'!$B$1:$L$24,9,FALSE),'BMP P Tracking Table'!$AA261*VLOOKUP('BMP P Tracking Table'!$Q261,'Loading Rates'!$B$1:$L$24,10,FALSE)),'BMP P Tracking Table'!$AO261*VLOOKUP('BMP P Tracking Table'!$Q261,'Loading Rates'!$B$1:$L$24,4,FALSE)+IF('BMP P Tracking Table'!$AP261="By HSG",'BMP P Tracking Table'!$AQ261*VLOOKUP('BMP P Tracking Table'!$Q261,'Loading Rates'!$B$1:$L$24,6,FALSE)+'BMP P Tracking Table'!$AR261*VLOOKUP('BMP P Tracking Table'!$Q261,'Loading Rates'!$B$1:$L$24,7,FALSE)+'BMP P Tracking Table'!$AS261*VLOOKUP('BMP P Tracking Table'!$Q261,'Loading Rates'!$B$1:$L$24,8,FALSE)+'BMP P Tracking Table'!$AT261*VLOOKUP('BMP P Tracking Table'!$Q261,'Loading Rates'!$B$1:$L$24,9,FALSE),'BMP P Tracking Table'!$AU261*VLOOKUP('BMP P Tracking Table'!$Q261,'Loading Rates'!$B$1:$L$24,10,FALSE))),"")</f>
        <v/>
      </c>
      <c r="AZ261" s="101" t="str">
        <f>IFERROR(IF('BMP P Tracking Table'!$AL261="Yes",MIN(2,IF('BMP P Tracking Table'!$AP261="Total Pervious",(-(3630*'BMP P Tracking Table'!$AO261+20.691*'BMP P Tracking Table'!$AU261)+SQRT((3630*'BMP P Tracking Table'!$AO261+20.691*'BMP P Tracking Table'!$AU261)^2-(4*(996.798*'BMP P Tracking Table'!$AU261)*-'BMP P Tracking Table'!$AW261)))/(2*(996.798*'BMP P Tracking Table'!$AU261)),IF(SUM('BMP P Tracking Table'!$AQ261:$AT261)=0,'BMP P Tracking Table'!$AU261/(-3630*'BMP P Tracking Table'!$AO261),(-(3630*'BMP P Tracking Table'!$AO261+20.691*'BMP P Tracking Table'!$AT261-216.711*'BMP P Tracking Table'!$AS261-83.853*'BMP P Tracking Table'!$AR261-42.834*'BMP P Tracking Table'!$AQ261)+SQRT((3630*'BMP P Tracking Table'!$AO261+20.691*'BMP P Tracking Table'!$AT261-216.711*'BMP P Tracking Table'!$AS261-83.853*'BMP P Tracking Table'!$AR261-42.834*'BMP P Tracking Table'!$AQ261)^2-(4*(149.919*'BMP P Tracking Table'!$AQ261+236.676*'BMP P Tracking Table'!$AR261+726*'BMP P Tracking Table'!$AS261+996.798*'BMP P Tracking Table'!$AT261)*-'BMP P Tracking Table'!$AW261)))/(2*(149.919*'BMP P Tracking Table'!$AQ261+236.676*'BMP P Tracking Table'!$AR261+726*'BMP P Tracking Table'!$AS261+996.798*'BMP P Tracking Table'!$AT261))))),MIN(2,IF('BMP P Tracking Table'!$AP261="Total Pervious",(-(3630*'BMP P Tracking Table'!$U261+20.691*'BMP P Tracking Table'!$AA261)+SQRT((3630*'BMP P Tracking Table'!$U261+20.691*'BMP P Tracking Table'!$AA261)^2-(4*(996.798*'BMP P Tracking Table'!$AA261)*-'BMP P Tracking Table'!$AW261)))/(2*(996.798*'BMP P Tracking Table'!$AA261)),IF(SUM('BMP P Tracking Table'!$W261:$Z261)=0,'BMP P Tracking Table'!$AW261/(-3630*'BMP P Tracking Table'!$U261),(-(3630*'BMP P Tracking Table'!$U261+20.691*'BMP P Tracking Table'!$Z261-216.711*'BMP P Tracking Table'!$Y261-83.853*'BMP P Tracking Table'!$X261-42.834*'BMP P Tracking Table'!$W261)+SQRT((3630*'BMP P Tracking Table'!$U261+20.691*'BMP P Tracking Table'!$Z261-216.711*'BMP P Tracking Table'!$Y261-83.853*'BMP P Tracking Table'!$X261-42.834*'BMP P Tracking Table'!$W261)^2-(4*(149.919*'BMP P Tracking Table'!$W261+236.676*'BMP P Tracking Table'!$X261+726*'BMP P Tracking Table'!$Y261+996.798*'BMP P Tracking Table'!$Z261)*-'BMP P Tracking Table'!$AW261)))/(2*(149.919*'BMP P Tracking Table'!$W261+236.676*'BMP P Tracking Table'!$X261+726*'BMP P Tracking Table'!$Y261+996.798*'BMP P Tracking Table'!$Z261)))))),"")</f>
        <v/>
      </c>
      <c r="BA261" s="101" t="str">
        <f>IFERROR((VLOOKUP(CONCATENATE('BMP P Tracking Table'!$AV261," ",'BMP P Tracking Table'!$AX261),'Performance Curves'!$C$1:$L$45,MATCH('BMP P Tracking Table'!$AZ261,'Performance Curves'!$E$1:$L$1,1)+2,FALSE)-VLOOKUP(CONCATENATE('BMP P Tracking Table'!$AV261," ",'BMP P Tracking Table'!$AX261),'Performance Curves'!$C$1:$L$45,MATCH('BMP P Tracking Table'!$AZ261,'Performance Curves'!$E$1:$L$1,1)+1,FALSE)),"")</f>
        <v/>
      </c>
      <c r="BB261" s="101" t="str">
        <f>IFERROR(('BMP P Tracking Table'!$AZ261-INDEX('Performance Curves'!$E$1:$L$1,1,MATCH('BMP P Tracking Table'!$AZ261,'Performance Curves'!$E$1:$L$1,1)))/(INDEX('Performance Curves'!$E$1:$L$1,1,MATCH('BMP P Tracking Table'!$AZ261,'Performance Curves'!$E$1:$L$1,1)+1)-INDEX('Performance Curves'!$E$1:$L$1,1,MATCH('BMP P Tracking Table'!$AZ261,'Performance Curves'!$E$1:$L$1,1))),"")</f>
        <v/>
      </c>
      <c r="BC261" s="102" t="str">
        <f>IFERROR(IF('BMP P Tracking Table'!$AZ261=2,VLOOKUP(CONCATENATE('BMP P Tracking Table'!$AV261," ",'BMP P Tracking Table'!$AX261),'Performance Curves'!$C$1:$L$44,MATCH('BMP P Tracking Table'!$AZ261,'Performance Curves'!$E$1:$L$1,1)+1,FALSE),'BMP P Tracking Table'!$BA261*'BMP P Tracking Table'!$BB261+VLOOKUP(CONCATENATE('BMP P Tracking Table'!$AV261," ",'BMP P Tracking Table'!$AX261),'Performance Curves'!$C$1:$L$44,MATCH('BMP P Tracking Table'!$AZ261,'Performance Curves'!$E$1:$L$1,1)+1,FALSE)),"")</f>
        <v/>
      </c>
      <c r="BD261" s="101" t="str">
        <f>IFERROR('BMP P Tracking Table'!$BC261*'BMP P Tracking Table'!$AY261,"")</f>
        <v/>
      </c>
      <c r="BE261" s="96"/>
      <c r="BF261" s="37">
        <f t="shared" si="19"/>
        <v>0</v>
      </c>
    </row>
    <row r="262" spans="1:58" x14ac:dyDescent="0.3">
      <c r="A262" s="64"/>
      <c r="B262" s="64"/>
      <c r="C262" s="64"/>
      <c r="D262" s="64"/>
      <c r="E262" s="93"/>
      <c r="F262" s="93"/>
      <c r="G262" s="64"/>
      <c r="H262" s="64"/>
      <c r="I262" s="64"/>
      <c r="J262" s="94"/>
      <c r="K262" s="64"/>
      <c r="L262" s="64"/>
      <c r="M262" s="64"/>
      <c r="N262" s="64"/>
      <c r="O262" s="64"/>
      <c r="P262" s="64"/>
      <c r="Q262" s="64" t="str">
        <f>IFERROR(VLOOKUP('BMP P Tracking Table'!$P262,Dropdowns!$C$2:$E$15,3,FALSE),"")</f>
        <v/>
      </c>
      <c r="R262" s="64" t="str">
        <f>IFERROR(VLOOKUP('BMP P Tracking Table'!$Q262,Dropdowns!$P$3:$Q$23,2,FALSE),"")</f>
        <v/>
      </c>
      <c r="S262" s="64"/>
      <c r="T262" s="64"/>
      <c r="U262" s="64"/>
      <c r="V262" s="64"/>
      <c r="W262" s="64"/>
      <c r="X262" s="64"/>
      <c r="Y262" s="64"/>
      <c r="Z262" s="64"/>
      <c r="AA262" s="64"/>
      <c r="AB262" s="95"/>
      <c r="AC262" s="64"/>
      <c r="AD262" s="101" t="str">
        <f>IFERROR('BMP P Tracking Table'!$U262*VLOOKUP('BMP P Tracking Table'!$Q262,'Loading Rates'!$B$1:$L$24,4,FALSE)+IF('BMP P Tracking Table'!$V262="By HSG",'BMP P Tracking Table'!$W262*VLOOKUP('BMP P Tracking Table'!$Q262,'Loading Rates'!$B$1:$L$24,6,FALSE)+'BMP P Tracking Table'!$X262*VLOOKUP('BMP P Tracking Table'!$Q262,'Loading Rates'!$B$1:$L$24,7,FALSE)+'BMP P Tracking Table'!$Y262*VLOOKUP('BMP P Tracking Table'!$Q262,'Loading Rates'!$B$1:$L$24,8,FALSE)+'BMP P Tracking Table'!$Z262*VLOOKUP('BMP P Tracking Table'!$Q262,'Loading Rates'!$B$1:$L$24,9,FALSE),'BMP P Tracking Table'!$AA262*VLOOKUP('BMP P Tracking Table'!$Q262,'Loading Rates'!$B$1:$L$24,10,FALSE)),"")</f>
        <v/>
      </c>
      <c r="AE262" s="101" t="str">
        <f>IFERROR(MIN(2,IF('BMP P Tracking Table'!$V262="Total Pervious",(-(3630*'BMP P Tracking Table'!$U262+20.691*'BMP P Tracking Table'!$AA262)+SQRT((3630*'BMP P Tracking Table'!$U262+20.691*'BMP P Tracking Table'!$AA262)^2-(4*(996.798*'BMP P Tracking Table'!$AA262)*-'BMP P Tracking Table'!$AB262)))/(2*(996.798*'BMP P Tracking Table'!$AA262)),IF(SUM('BMP P Tracking Table'!$W262:$Z262)=0,'BMP P Tracking Table'!$AB262/(-3630*'BMP P Tracking Table'!$U262),(-(3630*'BMP P Tracking Table'!$U262+20.691*'BMP P Tracking Table'!$Z262-216.711*'BMP P Tracking Table'!$Y262-83.853*'BMP P Tracking Table'!$X262-42.834*'BMP P Tracking Table'!$W262)+SQRT((3630*'BMP P Tracking Table'!$U262+20.691*'BMP P Tracking Table'!$Z262-216.711*'BMP P Tracking Table'!$Y262-83.853*'BMP P Tracking Table'!$X262-42.834*'BMP P Tracking Table'!$W262)^2-(4*(149.919*'BMP P Tracking Table'!$W262+236.676*'BMP P Tracking Table'!$X262+726*'BMP P Tracking Table'!$Y262+996.798*'BMP P Tracking Table'!$Z262)*-'BMP P Tracking Table'!$AB262)))/(2*(149.919*'BMP P Tracking Table'!$W262+236.676*'BMP P Tracking Table'!$X262+726*'BMP P Tracking Table'!$Y262+996.798*'BMP P Tracking Table'!$Z262))))),"")</f>
        <v/>
      </c>
      <c r="AF262" s="101" t="str">
        <f>IFERROR((VLOOKUP(CONCATENATE('BMP P Tracking Table'!$T262," ",'BMP P Tracking Table'!$AC262),'Performance Curves'!$C$1:$L$45,MATCH('BMP P Tracking Table'!$AE262,'Performance Curves'!$E$1:$L$1,1)+2,FALSE)-VLOOKUP(CONCATENATE('BMP P Tracking Table'!$T262," ",'BMP P Tracking Table'!$AC262),'Performance Curves'!$C$1:$L$45,MATCH('BMP P Tracking Table'!$AE262,'Performance Curves'!$E$1:$L$1,1)+1,FALSE)),"")</f>
        <v/>
      </c>
      <c r="AG262" s="101" t="str">
        <f>IFERROR(('BMP P Tracking Table'!$AE262-INDEX('Performance Curves'!$E$1:$L$1,1,MATCH('BMP P Tracking Table'!$AE262,'Performance Curves'!$E$1:$L$1,1)))/(INDEX('Performance Curves'!$E$1:$L$1,1,MATCH('BMP P Tracking Table'!$AE262,'Performance Curves'!$E$1:$L$1,1)+1)-INDEX('Performance Curves'!$E$1:$L$1,1,MATCH('BMP P Tracking Table'!$AE262,'Performance Curves'!$E$1:$L$1,1))),"")</f>
        <v/>
      </c>
      <c r="AH262" s="102" t="str">
        <f>IFERROR(IF('BMP P Tracking Table'!$AE262=2,VLOOKUP(CONCATENATE('BMP P Tracking Table'!$T262," ",'BMP P Tracking Table'!$AC262),'Performance Curves'!$C$1:$L$45,MATCH('BMP P Tracking Table'!$AE262,'Performance Curves'!$E$1:$L$1,1)+1,FALSE),'BMP P Tracking Table'!$AF262*'BMP P Tracking Table'!$AG262+VLOOKUP(CONCATENATE('BMP P Tracking Table'!$T262," ",'BMP P Tracking Table'!$AC262),'Performance Curves'!$C$1:$L$45,MATCH('BMP P Tracking Table'!$AE262,'Performance Curves'!$E$1:$L$1,1)+1,FALSE)),"")</f>
        <v/>
      </c>
      <c r="AI262" s="101" t="str">
        <f>IFERROR('BMP P Tracking Table'!$AH262*'BMP P Tracking Table'!$AD262,"")</f>
        <v/>
      </c>
      <c r="AJ262" s="64"/>
      <c r="AK262" s="96"/>
      <c r="AL262" s="96"/>
      <c r="AM262" s="63"/>
      <c r="AN262" s="99" t="str">
        <f t="shared" si="18"/>
        <v/>
      </c>
      <c r="AO262" s="96"/>
      <c r="AP262" s="96"/>
      <c r="AQ262" s="96"/>
      <c r="AR262" s="96"/>
      <c r="AS262" s="96"/>
      <c r="AT262" s="96"/>
      <c r="AU262" s="96"/>
      <c r="AV262" s="64"/>
      <c r="AW262" s="97"/>
      <c r="AX262" s="97"/>
      <c r="AY262" s="101" t="str">
        <f>IF('BMP P Tracking Table'!$AK262="Yes",IF('BMP P Tracking Table'!$AL262="No",'BMP P Tracking Table'!$U262*VLOOKUP('BMP P Tracking Table'!$Q262,'Loading Rates'!$B$1:$L$24,4,FALSE)+IF('BMP P Tracking Table'!$V262="By HSG",'BMP P Tracking Table'!$W262*VLOOKUP('BMP P Tracking Table'!$Q262,'Loading Rates'!$B$1:$L$24,6,FALSE)+'BMP P Tracking Table'!$X262*VLOOKUP('BMP P Tracking Table'!$Q262,'Loading Rates'!$B$1:$L$24,7,FALSE)+'BMP P Tracking Table'!$Y262*VLOOKUP('BMP P Tracking Table'!$Q262,'Loading Rates'!$B$1:$L$24,8,FALSE)+'BMP P Tracking Table'!$Z262*VLOOKUP('BMP P Tracking Table'!$Q262,'Loading Rates'!$B$1:$L$24,9,FALSE),'BMP P Tracking Table'!$AA262*VLOOKUP('BMP P Tracking Table'!$Q262,'Loading Rates'!$B$1:$L$24,10,FALSE)),'BMP P Tracking Table'!$AO262*VLOOKUP('BMP P Tracking Table'!$Q262,'Loading Rates'!$B$1:$L$24,4,FALSE)+IF('BMP P Tracking Table'!$AP262="By HSG",'BMP P Tracking Table'!$AQ262*VLOOKUP('BMP P Tracking Table'!$Q262,'Loading Rates'!$B$1:$L$24,6,FALSE)+'BMP P Tracking Table'!$AR262*VLOOKUP('BMP P Tracking Table'!$Q262,'Loading Rates'!$B$1:$L$24,7,FALSE)+'BMP P Tracking Table'!$AS262*VLOOKUP('BMP P Tracking Table'!$Q262,'Loading Rates'!$B$1:$L$24,8,FALSE)+'BMP P Tracking Table'!$AT262*VLOOKUP('BMP P Tracking Table'!$Q262,'Loading Rates'!$B$1:$L$24,9,FALSE),'BMP P Tracking Table'!$AU262*VLOOKUP('BMP P Tracking Table'!$Q262,'Loading Rates'!$B$1:$L$24,10,FALSE))),"")</f>
        <v/>
      </c>
      <c r="AZ262" s="101" t="str">
        <f>IFERROR(IF('BMP P Tracking Table'!$AL262="Yes",MIN(2,IF('BMP P Tracking Table'!$AP262="Total Pervious",(-(3630*'BMP P Tracking Table'!$AO262+20.691*'BMP P Tracking Table'!$AU262)+SQRT((3630*'BMP P Tracking Table'!$AO262+20.691*'BMP P Tracking Table'!$AU262)^2-(4*(996.798*'BMP P Tracking Table'!$AU262)*-'BMP P Tracking Table'!$AW262)))/(2*(996.798*'BMP P Tracking Table'!$AU262)),IF(SUM('BMP P Tracking Table'!$AQ262:$AT262)=0,'BMP P Tracking Table'!$AU262/(-3630*'BMP P Tracking Table'!$AO262),(-(3630*'BMP P Tracking Table'!$AO262+20.691*'BMP P Tracking Table'!$AT262-216.711*'BMP P Tracking Table'!$AS262-83.853*'BMP P Tracking Table'!$AR262-42.834*'BMP P Tracking Table'!$AQ262)+SQRT((3630*'BMP P Tracking Table'!$AO262+20.691*'BMP P Tracking Table'!$AT262-216.711*'BMP P Tracking Table'!$AS262-83.853*'BMP P Tracking Table'!$AR262-42.834*'BMP P Tracking Table'!$AQ262)^2-(4*(149.919*'BMP P Tracking Table'!$AQ262+236.676*'BMP P Tracking Table'!$AR262+726*'BMP P Tracking Table'!$AS262+996.798*'BMP P Tracking Table'!$AT262)*-'BMP P Tracking Table'!$AW262)))/(2*(149.919*'BMP P Tracking Table'!$AQ262+236.676*'BMP P Tracking Table'!$AR262+726*'BMP P Tracking Table'!$AS262+996.798*'BMP P Tracking Table'!$AT262))))),MIN(2,IF('BMP P Tracking Table'!$AP262="Total Pervious",(-(3630*'BMP P Tracking Table'!$U262+20.691*'BMP P Tracking Table'!$AA262)+SQRT((3630*'BMP P Tracking Table'!$U262+20.691*'BMP P Tracking Table'!$AA262)^2-(4*(996.798*'BMP P Tracking Table'!$AA262)*-'BMP P Tracking Table'!$AW262)))/(2*(996.798*'BMP P Tracking Table'!$AA262)),IF(SUM('BMP P Tracking Table'!$W262:$Z262)=0,'BMP P Tracking Table'!$AW262/(-3630*'BMP P Tracking Table'!$U262),(-(3630*'BMP P Tracking Table'!$U262+20.691*'BMP P Tracking Table'!$Z262-216.711*'BMP P Tracking Table'!$Y262-83.853*'BMP P Tracking Table'!$X262-42.834*'BMP P Tracking Table'!$W262)+SQRT((3630*'BMP P Tracking Table'!$U262+20.691*'BMP P Tracking Table'!$Z262-216.711*'BMP P Tracking Table'!$Y262-83.853*'BMP P Tracking Table'!$X262-42.834*'BMP P Tracking Table'!$W262)^2-(4*(149.919*'BMP P Tracking Table'!$W262+236.676*'BMP P Tracking Table'!$X262+726*'BMP P Tracking Table'!$Y262+996.798*'BMP P Tracking Table'!$Z262)*-'BMP P Tracking Table'!$AW262)))/(2*(149.919*'BMP P Tracking Table'!$W262+236.676*'BMP P Tracking Table'!$X262+726*'BMP P Tracking Table'!$Y262+996.798*'BMP P Tracking Table'!$Z262)))))),"")</f>
        <v/>
      </c>
      <c r="BA262" s="101" t="str">
        <f>IFERROR((VLOOKUP(CONCATENATE('BMP P Tracking Table'!$AV262," ",'BMP P Tracking Table'!$AX262),'Performance Curves'!$C$1:$L$45,MATCH('BMP P Tracking Table'!$AZ262,'Performance Curves'!$E$1:$L$1,1)+2,FALSE)-VLOOKUP(CONCATENATE('BMP P Tracking Table'!$AV262," ",'BMP P Tracking Table'!$AX262),'Performance Curves'!$C$1:$L$45,MATCH('BMP P Tracking Table'!$AZ262,'Performance Curves'!$E$1:$L$1,1)+1,FALSE)),"")</f>
        <v/>
      </c>
      <c r="BB262" s="101" t="str">
        <f>IFERROR(('BMP P Tracking Table'!$AZ262-INDEX('Performance Curves'!$E$1:$L$1,1,MATCH('BMP P Tracking Table'!$AZ262,'Performance Curves'!$E$1:$L$1,1)))/(INDEX('Performance Curves'!$E$1:$L$1,1,MATCH('BMP P Tracking Table'!$AZ262,'Performance Curves'!$E$1:$L$1,1)+1)-INDEX('Performance Curves'!$E$1:$L$1,1,MATCH('BMP P Tracking Table'!$AZ262,'Performance Curves'!$E$1:$L$1,1))),"")</f>
        <v/>
      </c>
      <c r="BC262" s="102" t="str">
        <f>IFERROR(IF('BMP P Tracking Table'!$AZ262=2,VLOOKUP(CONCATENATE('BMP P Tracking Table'!$AV262," ",'BMP P Tracking Table'!$AX262),'Performance Curves'!$C$1:$L$44,MATCH('BMP P Tracking Table'!$AZ262,'Performance Curves'!$E$1:$L$1,1)+1,FALSE),'BMP P Tracking Table'!$BA262*'BMP P Tracking Table'!$BB262+VLOOKUP(CONCATENATE('BMP P Tracking Table'!$AV262," ",'BMP P Tracking Table'!$AX262),'Performance Curves'!$C$1:$L$44,MATCH('BMP P Tracking Table'!$AZ262,'Performance Curves'!$E$1:$L$1,1)+1,FALSE)),"")</f>
        <v/>
      </c>
      <c r="BD262" s="101" t="str">
        <f>IFERROR('BMP P Tracking Table'!$BC262*'BMP P Tracking Table'!$AY262,"")</f>
        <v/>
      </c>
      <c r="BE262" s="96"/>
      <c r="BF262" s="37">
        <f t="shared" si="19"/>
        <v>0</v>
      </c>
    </row>
    <row r="263" spans="1:58" x14ac:dyDescent="0.3">
      <c r="A263" s="64"/>
      <c r="B263" s="64"/>
      <c r="C263" s="64"/>
      <c r="D263" s="64"/>
      <c r="E263" s="93"/>
      <c r="F263" s="93"/>
      <c r="G263" s="64"/>
      <c r="H263" s="64"/>
      <c r="I263" s="64"/>
      <c r="J263" s="94"/>
      <c r="K263" s="64"/>
      <c r="L263" s="64"/>
      <c r="M263" s="64"/>
      <c r="N263" s="64"/>
      <c r="O263" s="64"/>
      <c r="P263" s="64"/>
      <c r="Q263" s="64" t="str">
        <f>IFERROR(VLOOKUP('BMP P Tracking Table'!$P263,Dropdowns!$C$2:$E$15,3,FALSE),"")</f>
        <v/>
      </c>
      <c r="R263" s="64" t="str">
        <f>IFERROR(VLOOKUP('BMP P Tracking Table'!$Q263,Dropdowns!$P$3:$Q$23,2,FALSE),"")</f>
        <v/>
      </c>
      <c r="S263" s="64"/>
      <c r="T263" s="64"/>
      <c r="U263" s="64"/>
      <c r="V263" s="64"/>
      <c r="W263" s="64"/>
      <c r="X263" s="64"/>
      <c r="Y263" s="64"/>
      <c r="Z263" s="64"/>
      <c r="AA263" s="64"/>
      <c r="AB263" s="95"/>
      <c r="AC263" s="64"/>
      <c r="AD263" s="101" t="str">
        <f>IFERROR('BMP P Tracking Table'!$U263*VLOOKUP('BMP P Tracking Table'!$Q263,'Loading Rates'!$B$1:$L$24,4,FALSE)+IF('BMP P Tracking Table'!$V263="By HSG",'BMP P Tracking Table'!$W263*VLOOKUP('BMP P Tracking Table'!$Q263,'Loading Rates'!$B$1:$L$24,6,FALSE)+'BMP P Tracking Table'!$X263*VLOOKUP('BMP P Tracking Table'!$Q263,'Loading Rates'!$B$1:$L$24,7,FALSE)+'BMP P Tracking Table'!$Y263*VLOOKUP('BMP P Tracking Table'!$Q263,'Loading Rates'!$B$1:$L$24,8,FALSE)+'BMP P Tracking Table'!$Z263*VLOOKUP('BMP P Tracking Table'!$Q263,'Loading Rates'!$B$1:$L$24,9,FALSE),'BMP P Tracking Table'!$AA263*VLOOKUP('BMP P Tracking Table'!$Q263,'Loading Rates'!$B$1:$L$24,10,FALSE)),"")</f>
        <v/>
      </c>
      <c r="AE263" s="101" t="str">
        <f>IFERROR(MIN(2,IF('BMP P Tracking Table'!$V263="Total Pervious",(-(3630*'BMP P Tracking Table'!$U263+20.691*'BMP P Tracking Table'!$AA263)+SQRT((3630*'BMP P Tracking Table'!$U263+20.691*'BMP P Tracking Table'!$AA263)^2-(4*(996.798*'BMP P Tracking Table'!$AA263)*-'BMP P Tracking Table'!$AB263)))/(2*(996.798*'BMP P Tracking Table'!$AA263)),IF(SUM('BMP P Tracking Table'!$W263:$Z263)=0,'BMP P Tracking Table'!$AB263/(-3630*'BMP P Tracking Table'!$U263),(-(3630*'BMP P Tracking Table'!$U263+20.691*'BMP P Tracking Table'!$Z263-216.711*'BMP P Tracking Table'!$Y263-83.853*'BMP P Tracking Table'!$X263-42.834*'BMP P Tracking Table'!$W263)+SQRT((3630*'BMP P Tracking Table'!$U263+20.691*'BMP P Tracking Table'!$Z263-216.711*'BMP P Tracking Table'!$Y263-83.853*'BMP P Tracking Table'!$X263-42.834*'BMP P Tracking Table'!$W263)^2-(4*(149.919*'BMP P Tracking Table'!$W263+236.676*'BMP P Tracking Table'!$X263+726*'BMP P Tracking Table'!$Y263+996.798*'BMP P Tracking Table'!$Z263)*-'BMP P Tracking Table'!$AB263)))/(2*(149.919*'BMP P Tracking Table'!$W263+236.676*'BMP P Tracking Table'!$X263+726*'BMP P Tracking Table'!$Y263+996.798*'BMP P Tracking Table'!$Z263))))),"")</f>
        <v/>
      </c>
      <c r="AF263" s="101" t="str">
        <f>IFERROR((VLOOKUP(CONCATENATE('BMP P Tracking Table'!$T263," ",'BMP P Tracking Table'!$AC263),'Performance Curves'!$C$1:$L$45,MATCH('BMP P Tracking Table'!$AE263,'Performance Curves'!$E$1:$L$1,1)+2,FALSE)-VLOOKUP(CONCATENATE('BMP P Tracking Table'!$T263," ",'BMP P Tracking Table'!$AC263),'Performance Curves'!$C$1:$L$45,MATCH('BMP P Tracking Table'!$AE263,'Performance Curves'!$E$1:$L$1,1)+1,FALSE)),"")</f>
        <v/>
      </c>
      <c r="AG263" s="101" t="str">
        <f>IFERROR(('BMP P Tracking Table'!$AE263-INDEX('Performance Curves'!$E$1:$L$1,1,MATCH('BMP P Tracking Table'!$AE263,'Performance Curves'!$E$1:$L$1,1)))/(INDEX('Performance Curves'!$E$1:$L$1,1,MATCH('BMP P Tracking Table'!$AE263,'Performance Curves'!$E$1:$L$1,1)+1)-INDEX('Performance Curves'!$E$1:$L$1,1,MATCH('BMP P Tracking Table'!$AE263,'Performance Curves'!$E$1:$L$1,1))),"")</f>
        <v/>
      </c>
      <c r="AH263" s="102" t="str">
        <f>IFERROR(IF('BMP P Tracking Table'!$AE263=2,VLOOKUP(CONCATENATE('BMP P Tracking Table'!$T263," ",'BMP P Tracking Table'!$AC263),'Performance Curves'!$C$1:$L$45,MATCH('BMP P Tracking Table'!$AE263,'Performance Curves'!$E$1:$L$1,1)+1,FALSE),'BMP P Tracking Table'!$AF263*'BMP P Tracking Table'!$AG263+VLOOKUP(CONCATENATE('BMP P Tracking Table'!$T263," ",'BMP P Tracking Table'!$AC263),'Performance Curves'!$C$1:$L$45,MATCH('BMP P Tracking Table'!$AE263,'Performance Curves'!$E$1:$L$1,1)+1,FALSE)),"")</f>
        <v/>
      </c>
      <c r="AI263" s="101" t="str">
        <f>IFERROR('BMP P Tracking Table'!$AH263*'BMP P Tracking Table'!$AD263,"")</f>
        <v/>
      </c>
      <c r="AJ263" s="64"/>
      <c r="AK263" s="96"/>
      <c r="AL263" s="96"/>
      <c r="AM263" s="63"/>
      <c r="AN263" s="99" t="str">
        <f t="shared" si="18"/>
        <v/>
      </c>
      <c r="AO263" s="96"/>
      <c r="AP263" s="96"/>
      <c r="AQ263" s="96"/>
      <c r="AR263" s="96"/>
      <c r="AS263" s="96"/>
      <c r="AT263" s="96"/>
      <c r="AU263" s="96"/>
      <c r="AV263" s="64"/>
      <c r="AW263" s="97"/>
      <c r="AX263" s="97"/>
      <c r="AY263" s="101" t="str">
        <f>IF('BMP P Tracking Table'!$AK263="Yes",IF('BMP P Tracking Table'!$AL263="No",'BMP P Tracking Table'!$U263*VLOOKUP('BMP P Tracking Table'!$Q263,'Loading Rates'!$B$1:$L$24,4,FALSE)+IF('BMP P Tracking Table'!$V263="By HSG",'BMP P Tracking Table'!$W263*VLOOKUP('BMP P Tracking Table'!$Q263,'Loading Rates'!$B$1:$L$24,6,FALSE)+'BMP P Tracking Table'!$X263*VLOOKUP('BMP P Tracking Table'!$Q263,'Loading Rates'!$B$1:$L$24,7,FALSE)+'BMP P Tracking Table'!$Y263*VLOOKUP('BMP P Tracking Table'!$Q263,'Loading Rates'!$B$1:$L$24,8,FALSE)+'BMP P Tracking Table'!$Z263*VLOOKUP('BMP P Tracking Table'!$Q263,'Loading Rates'!$B$1:$L$24,9,FALSE),'BMP P Tracking Table'!$AA263*VLOOKUP('BMP P Tracking Table'!$Q263,'Loading Rates'!$B$1:$L$24,10,FALSE)),'BMP P Tracking Table'!$AO263*VLOOKUP('BMP P Tracking Table'!$Q263,'Loading Rates'!$B$1:$L$24,4,FALSE)+IF('BMP P Tracking Table'!$AP263="By HSG",'BMP P Tracking Table'!$AQ263*VLOOKUP('BMP P Tracking Table'!$Q263,'Loading Rates'!$B$1:$L$24,6,FALSE)+'BMP P Tracking Table'!$AR263*VLOOKUP('BMP P Tracking Table'!$Q263,'Loading Rates'!$B$1:$L$24,7,FALSE)+'BMP P Tracking Table'!$AS263*VLOOKUP('BMP P Tracking Table'!$Q263,'Loading Rates'!$B$1:$L$24,8,FALSE)+'BMP P Tracking Table'!$AT263*VLOOKUP('BMP P Tracking Table'!$Q263,'Loading Rates'!$B$1:$L$24,9,FALSE),'BMP P Tracking Table'!$AU263*VLOOKUP('BMP P Tracking Table'!$Q263,'Loading Rates'!$B$1:$L$24,10,FALSE))),"")</f>
        <v/>
      </c>
      <c r="AZ263" s="101" t="str">
        <f>IFERROR(IF('BMP P Tracking Table'!$AL263="Yes",MIN(2,IF('BMP P Tracking Table'!$AP263="Total Pervious",(-(3630*'BMP P Tracking Table'!$AO263+20.691*'BMP P Tracking Table'!$AU263)+SQRT((3630*'BMP P Tracking Table'!$AO263+20.691*'BMP P Tracking Table'!$AU263)^2-(4*(996.798*'BMP P Tracking Table'!$AU263)*-'BMP P Tracking Table'!$AW263)))/(2*(996.798*'BMP P Tracking Table'!$AU263)),IF(SUM('BMP P Tracking Table'!$AQ263:$AT263)=0,'BMP P Tracking Table'!$AU263/(-3630*'BMP P Tracking Table'!$AO263),(-(3630*'BMP P Tracking Table'!$AO263+20.691*'BMP P Tracking Table'!$AT263-216.711*'BMP P Tracking Table'!$AS263-83.853*'BMP P Tracking Table'!$AR263-42.834*'BMP P Tracking Table'!$AQ263)+SQRT((3630*'BMP P Tracking Table'!$AO263+20.691*'BMP P Tracking Table'!$AT263-216.711*'BMP P Tracking Table'!$AS263-83.853*'BMP P Tracking Table'!$AR263-42.834*'BMP P Tracking Table'!$AQ263)^2-(4*(149.919*'BMP P Tracking Table'!$AQ263+236.676*'BMP P Tracking Table'!$AR263+726*'BMP P Tracking Table'!$AS263+996.798*'BMP P Tracking Table'!$AT263)*-'BMP P Tracking Table'!$AW263)))/(2*(149.919*'BMP P Tracking Table'!$AQ263+236.676*'BMP P Tracking Table'!$AR263+726*'BMP P Tracking Table'!$AS263+996.798*'BMP P Tracking Table'!$AT263))))),MIN(2,IF('BMP P Tracking Table'!$AP263="Total Pervious",(-(3630*'BMP P Tracking Table'!$U263+20.691*'BMP P Tracking Table'!$AA263)+SQRT((3630*'BMP P Tracking Table'!$U263+20.691*'BMP P Tracking Table'!$AA263)^2-(4*(996.798*'BMP P Tracking Table'!$AA263)*-'BMP P Tracking Table'!$AW263)))/(2*(996.798*'BMP P Tracking Table'!$AA263)),IF(SUM('BMP P Tracking Table'!$W263:$Z263)=0,'BMP P Tracking Table'!$AW263/(-3630*'BMP P Tracking Table'!$U263),(-(3630*'BMP P Tracking Table'!$U263+20.691*'BMP P Tracking Table'!$Z263-216.711*'BMP P Tracking Table'!$Y263-83.853*'BMP P Tracking Table'!$X263-42.834*'BMP P Tracking Table'!$W263)+SQRT((3630*'BMP P Tracking Table'!$U263+20.691*'BMP P Tracking Table'!$Z263-216.711*'BMP P Tracking Table'!$Y263-83.853*'BMP P Tracking Table'!$X263-42.834*'BMP P Tracking Table'!$W263)^2-(4*(149.919*'BMP P Tracking Table'!$W263+236.676*'BMP P Tracking Table'!$X263+726*'BMP P Tracking Table'!$Y263+996.798*'BMP P Tracking Table'!$Z263)*-'BMP P Tracking Table'!$AW263)))/(2*(149.919*'BMP P Tracking Table'!$W263+236.676*'BMP P Tracking Table'!$X263+726*'BMP P Tracking Table'!$Y263+996.798*'BMP P Tracking Table'!$Z263)))))),"")</f>
        <v/>
      </c>
      <c r="BA263" s="101" t="str">
        <f>IFERROR((VLOOKUP(CONCATENATE('BMP P Tracking Table'!$AV263," ",'BMP P Tracking Table'!$AX263),'Performance Curves'!$C$1:$L$45,MATCH('BMP P Tracking Table'!$AZ263,'Performance Curves'!$E$1:$L$1,1)+2,FALSE)-VLOOKUP(CONCATENATE('BMP P Tracking Table'!$AV263," ",'BMP P Tracking Table'!$AX263),'Performance Curves'!$C$1:$L$45,MATCH('BMP P Tracking Table'!$AZ263,'Performance Curves'!$E$1:$L$1,1)+1,FALSE)),"")</f>
        <v/>
      </c>
      <c r="BB263" s="101" t="str">
        <f>IFERROR(('BMP P Tracking Table'!$AZ263-INDEX('Performance Curves'!$E$1:$L$1,1,MATCH('BMP P Tracking Table'!$AZ263,'Performance Curves'!$E$1:$L$1,1)))/(INDEX('Performance Curves'!$E$1:$L$1,1,MATCH('BMP P Tracking Table'!$AZ263,'Performance Curves'!$E$1:$L$1,1)+1)-INDEX('Performance Curves'!$E$1:$L$1,1,MATCH('BMP P Tracking Table'!$AZ263,'Performance Curves'!$E$1:$L$1,1))),"")</f>
        <v/>
      </c>
      <c r="BC263" s="102" t="str">
        <f>IFERROR(IF('BMP P Tracking Table'!$AZ263=2,VLOOKUP(CONCATENATE('BMP P Tracking Table'!$AV263," ",'BMP P Tracking Table'!$AX263),'Performance Curves'!$C$1:$L$44,MATCH('BMP P Tracking Table'!$AZ263,'Performance Curves'!$E$1:$L$1,1)+1,FALSE),'BMP P Tracking Table'!$BA263*'BMP P Tracking Table'!$BB263+VLOOKUP(CONCATENATE('BMP P Tracking Table'!$AV263," ",'BMP P Tracking Table'!$AX263),'Performance Curves'!$C$1:$L$44,MATCH('BMP P Tracking Table'!$AZ263,'Performance Curves'!$E$1:$L$1,1)+1,FALSE)),"")</f>
        <v/>
      </c>
      <c r="BD263" s="101" t="str">
        <f>IFERROR('BMP P Tracking Table'!$BC263*'BMP P Tracking Table'!$AY263,"")</f>
        <v/>
      </c>
      <c r="BE263" s="96"/>
      <c r="BF263" s="37">
        <f t="shared" si="19"/>
        <v>0</v>
      </c>
    </row>
    <row r="264" spans="1:58" x14ac:dyDescent="0.3">
      <c r="A264" s="64"/>
      <c r="B264" s="64"/>
      <c r="C264" s="64"/>
      <c r="D264" s="64"/>
      <c r="E264" s="93"/>
      <c r="F264" s="93"/>
      <c r="G264" s="64"/>
      <c r="H264" s="64"/>
      <c r="I264" s="64"/>
      <c r="J264" s="94"/>
      <c r="K264" s="64"/>
      <c r="L264" s="64"/>
      <c r="M264" s="64"/>
      <c r="N264" s="64"/>
      <c r="O264" s="64"/>
      <c r="P264" s="64"/>
      <c r="Q264" s="64" t="str">
        <f>IFERROR(VLOOKUP('BMP P Tracking Table'!$P264,Dropdowns!$C$2:$E$15,3,FALSE),"")</f>
        <v/>
      </c>
      <c r="R264" s="64" t="str">
        <f>IFERROR(VLOOKUP('BMP P Tracking Table'!$Q264,Dropdowns!$P$3:$Q$23,2,FALSE),"")</f>
        <v/>
      </c>
      <c r="S264" s="64"/>
      <c r="T264" s="64"/>
      <c r="U264" s="64"/>
      <c r="V264" s="64"/>
      <c r="W264" s="64"/>
      <c r="X264" s="64"/>
      <c r="Y264" s="64"/>
      <c r="Z264" s="64"/>
      <c r="AA264" s="64"/>
      <c r="AB264" s="95"/>
      <c r="AC264" s="64"/>
      <c r="AD264" s="101" t="str">
        <f>IFERROR('BMP P Tracking Table'!$U264*VLOOKUP('BMP P Tracking Table'!$Q264,'Loading Rates'!$B$1:$L$24,4,FALSE)+IF('BMP P Tracking Table'!$V264="By HSG",'BMP P Tracking Table'!$W264*VLOOKUP('BMP P Tracking Table'!$Q264,'Loading Rates'!$B$1:$L$24,6,FALSE)+'BMP P Tracking Table'!$X264*VLOOKUP('BMP P Tracking Table'!$Q264,'Loading Rates'!$B$1:$L$24,7,FALSE)+'BMP P Tracking Table'!$Y264*VLOOKUP('BMP P Tracking Table'!$Q264,'Loading Rates'!$B$1:$L$24,8,FALSE)+'BMP P Tracking Table'!$Z264*VLOOKUP('BMP P Tracking Table'!$Q264,'Loading Rates'!$B$1:$L$24,9,FALSE),'BMP P Tracking Table'!$AA264*VLOOKUP('BMP P Tracking Table'!$Q264,'Loading Rates'!$B$1:$L$24,10,FALSE)),"")</f>
        <v/>
      </c>
      <c r="AE264" s="101" t="str">
        <f>IFERROR(MIN(2,IF('BMP P Tracking Table'!$V264="Total Pervious",(-(3630*'BMP P Tracking Table'!$U264+20.691*'BMP P Tracking Table'!$AA264)+SQRT((3630*'BMP P Tracking Table'!$U264+20.691*'BMP P Tracking Table'!$AA264)^2-(4*(996.798*'BMP P Tracking Table'!$AA264)*-'BMP P Tracking Table'!$AB264)))/(2*(996.798*'BMP P Tracking Table'!$AA264)),IF(SUM('BMP P Tracking Table'!$W264:$Z264)=0,'BMP P Tracking Table'!$AB264/(-3630*'BMP P Tracking Table'!$U264),(-(3630*'BMP P Tracking Table'!$U264+20.691*'BMP P Tracking Table'!$Z264-216.711*'BMP P Tracking Table'!$Y264-83.853*'BMP P Tracking Table'!$X264-42.834*'BMP P Tracking Table'!$W264)+SQRT((3630*'BMP P Tracking Table'!$U264+20.691*'BMP P Tracking Table'!$Z264-216.711*'BMP P Tracking Table'!$Y264-83.853*'BMP P Tracking Table'!$X264-42.834*'BMP P Tracking Table'!$W264)^2-(4*(149.919*'BMP P Tracking Table'!$W264+236.676*'BMP P Tracking Table'!$X264+726*'BMP P Tracking Table'!$Y264+996.798*'BMP P Tracking Table'!$Z264)*-'BMP P Tracking Table'!$AB264)))/(2*(149.919*'BMP P Tracking Table'!$W264+236.676*'BMP P Tracking Table'!$X264+726*'BMP P Tracking Table'!$Y264+996.798*'BMP P Tracking Table'!$Z264))))),"")</f>
        <v/>
      </c>
      <c r="AF264" s="101" t="str">
        <f>IFERROR((VLOOKUP(CONCATENATE('BMP P Tracking Table'!$T264," ",'BMP P Tracking Table'!$AC264),'Performance Curves'!$C$1:$L$45,MATCH('BMP P Tracking Table'!$AE264,'Performance Curves'!$E$1:$L$1,1)+2,FALSE)-VLOOKUP(CONCATENATE('BMP P Tracking Table'!$T264," ",'BMP P Tracking Table'!$AC264),'Performance Curves'!$C$1:$L$45,MATCH('BMP P Tracking Table'!$AE264,'Performance Curves'!$E$1:$L$1,1)+1,FALSE)),"")</f>
        <v/>
      </c>
      <c r="AG264" s="101" t="str">
        <f>IFERROR(('BMP P Tracking Table'!$AE264-INDEX('Performance Curves'!$E$1:$L$1,1,MATCH('BMP P Tracking Table'!$AE264,'Performance Curves'!$E$1:$L$1,1)))/(INDEX('Performance Curves'!$E$1:$L$1,1,MATCH('BMP P Tracking Table'!$AE264,'Performance Curves'!$E$1:$L$1,1)+1)-INDEX('Performance Curves'!$E$1:$L$1,1,MATCH('BMP P Tracking Table'!$AE264,'Performance Curves'!$E$1:$L$1,1))),"")</f>
        <v/>
      </c>
      <c r="AH264" s="102" t="str">
        <f>IFERROR(IF('BMP P Tracking Table'!$AE264=2,VLOOKUP(CONCATENATE('BMP P Tracking Table'!$T264," ",'BMP P Tracking Table'!$AC264),'Performance Curves'!$C$1:$L$45,MATCH('BMP P Tracking Table'!$AE264,'Performance Curves'!$E$1:$L$1,1)+1,FALSE),'BMP P Tracking Table'!$AF264*'BMP P Tracking Table'!$AG264+VLOOKUP(CONCATENATE('BMP P Tracking Table'!$T264," ",'BMP P Tracking Table'!$AC264),'Performance Curves'!$C$1:$L$45,MATCH('BMP P Tracking Table'!$AE264,'Performance Curves'!$E$1:$L$1,1)+1,FALSE)),"")</f>
        <v/>
      </c>
      <c r="AI264" s="101" t="str">
        <f>IFERROR('BMP P Tracking Table'!$AH264*'BMP P Tracking Table'!$AD264,"")</f>
        <v/>
      </c>
      <c r="AJ264" s="64"/>
      <c r="AK264" s="96"/>
      <c r="AL264" s="96"/>
      <c r="AM264" s="63"/>
      <c r="AN264" s="99" t="str">
        <f t="shared" si="18"/>
        <v/>
      </c>
      <c r="AO264" s="96"/>
      <c r="AP264" s="96"/>
      <c r="AQ264" s="96"/>
      <c r="AR264" s="96"/>
      <c r="AS264" s="96"/>
      <c r="AT264" s="96"/>
      <c r="AU264" s="96"/>
      <c r="AV264" s="64"/>
      <c r="AW264" s="97"/>
      <c r="AX264" s="97"/>
      <c r="AY264" s="101" t="str">
        <f>IF('BMP P Tracking Table'!$AK264="Yes",IF('BMP P Tracking Table'!$AL264="No",'BMP P Tracking Table'!$U264*VLOOKUP('BMP P Tracking Table'!$Q264,'Loading Rates'!$B$1:$L$24,4,FALSE)+IF('BMP P Tracking Table'!$V264="By HSG",'BMP P Tracking Table'!$W264*VLOOKUP('BMP P Tracking Table'!$Q264,'Loading Rates'!$B$1:$L$24,6,FALSE)+'BMP P Tracking Table'!$X264*VLOOKUP('BMP P Tracking Table'!$Q264,'Loading Rates'!$B$1:$L$24,7,FALSE)+'BMP P Tracking Table'!$Y264*VLOOKUP('BMP P Tracking Table'!$Q264,'Loading Rates'!$B$1:$L$24,8,FALSE)+'BMP P Tracking Table'!$Z264*VLOOKUP('BMP P Tracking Table'!$Q264,'Loading Rates'!$B$1:$L$24,9,FALSE),'BMP P Tracking Table'!$AA264*VLOOKUP('BMP P Tracking Table'!$Q264,'Loading Rates'!$B$1:$L$24,10,FALSE)),'BMP P Tracking Table'!$AO264*VLOOKUP('BMP P Tracking Table'!$Q264,'Loading Rates'!$B$1:$L$24,4,FALSE)+IF('BMP P Tracking Table'!$AP264="By HSG",'BMP P Tracking Table'!$AQ264*VLOOKUP('BMP P Tracking Table'!$Q264,'Loading Rates'!$B$1:$L$24,6,FALSE)+'BMP P Tracking Table'!$AR264*VLOOKUP('BMP P Tracking Table'!$Q264,'Loading Rates'!$B$1:$L$24,7,FALSE)+'BMP P Tracking Table'!$AS264*VLOOKUP('BMP P Tracking Table'!$Q264,'Loading Rates'!$B$1:$L$24,8,FALSE)+'BMP P Tracking Table'!$AT264*VLOOKUP('BMP P Tracking Table'!$Q264,'Loading Rates'!$B$1:$L$24,9,FALSE),'BMP P Tracking Table'!$AU264*VLOOKUP('BMP P Tracking Table'!$Q264,'Loading Rates'!$B$1:$L$24,10,FALSE))),"")</f>
        <v/>
      </c>
      <c r="AZ264" s="101" t="str">
        <f>IFERROR(IF('BMP P Tracking Table'!$AL264="Yes",MIN(2,IF('BMP P Tracking Table'!$AP264="Total Pervious",(-(3630*'BMP P Tracking Table'!$AO264+20.691*'BMP P Tracking Table'!$AU264)+SQRT((3630*'BMP P Tracking Table'!$AO264+20.691*'BMP P Tracking Table'!$AU264)^2-(4*(996.798*'BMP P Tracking Table'!$AU264)*-'BMP P Tracking Table'!$AW264)))/(2*(996.798*'BMP P Tracking Table'!$AU264)),IF(SUM('BMP P Tracking Table'!$AQ264:$AT264)=0,'BMP P Tracking Table'!$AU264/(-3630*'BMP P Tracking Table'!$AO264),(-(3630*'BMP P Tracking Table'!$AO264+20.691*'BMP P Tracking Table'!$AT264-216.711*'BMP P Tracking Table'!$AS264-83.853*'BMP P Tracking Table'!$AR264-42.834*'BMP P Tracking Table'!$AQ264)+SQRT((3630*'BMP P Tracking Table'!$AO264+20.691*'BMP P Tracking Table'!$AT264-216.711*'BMP P Tracking Table'!$AS264-83.853*'BMP P Tracking Table'!$AR264-42.834*'BMP P Tracking Table'!$AQ264)^2-(4*(149.919*'BMP P Tracking Table'!$AQ264+236.676*'BMP P Tracking Table'!$AR264+726*'BMP P Tracking Table'!$AS264+996.798*'BMP P Tracking Table'!$AT264)*-'BMP P Tracking Table'!$AW264)))/(2*(149.919*'BMP P Tracking Table'!$AQ264+236.676*'BMP P Tracking Table'!$AR264+726*'BMP P Tracking Table'!$AS264+996.798*'BMP P Tracking Table'!$AT264))))),MIN(2,IF('BMP P Tracking Table'!$AP264="Total Pervious",(-(3630*'BMP P Tracking Table'!$U264+20.691*'BMP P Tracking Table'!$AA264)+SQRT((3630*'BMP P Tracking Table'!$U264+20.691*'BMP P Tracking Table'!$AA264)^2-(4*(996.798*'BMP P Tracking Table'!$AA264)*-'BMP P Tracking Table'!$AW264)))/(2*(996.798*'BMP P Tracking Table'!$AA264)),IF(SUM('BMP P Tracking Table'!$W264:$Z264)=0,'BMP P Tracking Table'!$AW264/(-3630*'BMP P Tracking Table'!$U264),(-(3630*'BMP P Tracking Table'!$U264+20.691*'BMP P Tracking Table'!$Z264-216.711*'BMP P Tracking Table'!$Y264-83.853*'BMP P Tracking Table'!$X264-42.834*'BMP P Tracking Table'!$W264)+SQRT((3630*'BMP P Tracking Table'!$U264+20.691*'BMP P Tracking Table'!$Z264-216.711*'BMP P Tracking Table'!$Y264-83.853*'BMP P Tracking Table'!$X264-42.834*'BMP P Tracking Table'!$W264)^2-(4*(149.919*'BMP P Tracking Table'!$W264+236.676*'BMP P Tracking Table'!$X264+726*'BMP P Tracking Table'!$Y264+996.798*'BMP P Tracking Table'!$Z264)*-'BMP P Tracking Table'!$AW264)))/(2*(149.919*'BMP P Tracking Table'!$W264+236.676*'BMP P Tracking Table'!$X264+726*'BMP P Tracking Table'!$Y264+996.798*'BMP P Tracking Table'!$Z264)))))),"")</f>
        <v/>
      </c>
      <c r="BA264" s="101" t="str">
        <f>IFERROR((VLOOKUP(CONCATENATE('BMP P Tracking Table'!$AV264," ",'BMP P Tracking Table'!$AX264),'Performance Curves'!$C$1:$L$45,MATCH('BMP P Tracking Table'!$AZ264,'Performance Curves'!$E$1:$L$1,1)+2,FALSE)-VLOOKUP(CONCATENATE('BMP P Tracking Table'!$AV264," ",'BMP P Tracking Table'!$AX264),'Performance Curves'!$C$1:$L$45,MATCH('BMP P Tracking Table'!$AZ264,'Performance Curves'!$E$1:$L$1,1)+1,FALSE)),"")</f>
        <v/>
      </c>
      <c r="BB264" s="101" t="str">
        <f>IFERROR(('BMP P Tracking Table'!$AZ264-INDEX('Performance Curves'!$E$1:$L$1,1,MATCH('BMP P Tracking Table'!$AZ264,'Performance Curves'!$E$1:$L$1,1)))/(INDEX('Performance Curves'!$E$1:$L$1,1,MATCH('BMP P Tracking Table'!$AZ264,'Performance Curves'!$E$1:$L$1,1)+1)-INDEX('Performance Curves'!$E$1:$L$1,1,MATCH('BMP P Tracking Table'!$AZ264,'Performance Curves'!$E$1:$L$1,1))),"")</f>
        <v/>
      </c>
      <c r="BC264" s="102" t="str">
        <f>IFERROR(IF('BMP P Tracking Table'!$AZ264=2,VLOOKUP(CONCATENATE('BMP P Tracking Table'!$AV264," ",'BMP P Tracking Table'!$AX264),'Performance Curves'!$C$1:$L$44,MATCH('BMP P Tracking Table'!$AZ264,'Performance Curves'!$E$1:$L$1,1)+1,FALSE),'BMP P Tracking Table'!$BA264*'BMP P Tracking Table'!$BB264+VLOOKUP(CONCATENATE('BMP P Tracking Table'!$AV264," ",'BMP P Tracking Table'!$AX264),'Performance Curves'!$C$1:$L$44,MATCH('BMP P Tracking Table'!$AZ264,'Performance Curves'!$E$1:$L$1,1)+1,FALSE)),"")</f>
        <v/>
      </c>
      <c r="BD264" s="101" t="str">
        <f>IFERROR('BMP P Tracking Table'!$BC264*'BMP P Tracking Table'!$AY264,"")</f>
        <v/>
      </c>
      <c r="BE264" s="96"/>
      <c r="BF264" s="37">
        <f t="shared" si="19"/>
        <v>0</v>
      </c>
    </row>
    <row r="265" spans="1:58" x14ac:dyDescent="0.3">
      <c r="A265" s="64"/>
      <c r="B265" s="64"/>
      <c r="C265" s="64"/>
      <c r="D265" s="64"/>
      <c r="E265" s="93"/>
      <c r="F265" s="93"/>
      <c r="G265" s="64"/>
      <c r="H265" s="64"/>
      <c r="I265" s="64"/>
      <c r="J265" s="94"/>
      <c r="K265" s="64"/>
      <c r="L265" s="64"/>
      <c r="M265" s="64"/>
      <c r="N265" s="64"/>
      <c r="O265" s="64"/>
      <c r="P265" s="64"/>
      <c r="Q265" s="64" t="str">
        <f>IFERROR(VLOOKUP('BMP P Tracking Table'!$P265,Dropdowns!$C$2:$E$15,3,FALSE),"")</f>
        <v/>
      </c>
      <c r="R265" s="64" t="str">
        <f>IFERROR(VLOOKUP('BMP P Tracking Table'!$Q265,Dropdowns!$P$3:$Q$23,2,FALSE),"")</f>
        <v/>
      </c>
      <c r="S265" s="64"/>
      <c r="T265" s="64"/>
      <c r="U265" s="64"/>
      <c r="V265" s="64"/>
      <c r="W265" s="64"/>
      <c r="X265" s="64"/>
      <c r="Y265" s="64"/>
      <c r="Z265" s="64"/>
      <c r="AA265" s="64"/>
      <c r="AB265" s="95"/>
      <c r="AC265" s="64"/>
      <c r="AD265" s="101" t="str">
        <f>IFERROR('BMP P Tracking Table'!$U265*VLOOKUP('BMP P Tracking Table'!$Q265,'Loading Rates'!$B$1:$L$24,4,FALSE)+IF('BMP P Tracking Table'!$V265="By HSG",'BMP P Tracking Table'!$W265*VLOOKUP('BMP P Tracking Table'!$Q265,'Loading Rates'!$B$1:$L$24,6,FALSE)+'BMP P Tracking Table'!$X265*VLOOKUP('BMP P Tracking Table'!$Q265,'Loading Rates'!$B$1:$L$24,7,FALSE)+'BMP P Tracking Table'!$Y265*VLOOKUP('BMP P Tracking Table'!$Q265,'Loading Rates'!$B$1:$L$24,8,FALSE)+'BMP P Tracking Table'!$Z265*VLOOKUP('BMP P Tracking Table'!$Q265,'Loading Rates'!$B$1:$L$24,9,FALSE),'BMP P Tracking Table'!$AA265*VLOOKUP('BMP P Tracking Table'!$Q265,'Loading Rates'!$B$1:$L$24,10,FALSE)),"")</f>
        <v/>
      </c>
      <c r="AE265" s="101" t="str">
        <f>IFERROR(MIN(2,IF('BMP P Tracking Table'!$V265="Total Pervious",(-(3630*'BMP P Tracking Table'!$U265+20.691*'BMP P Tracking Table'!$AA265)+SQRT((3630*'BMP P Tracking Table'!$U265+20.691*'BMP P Tracking Table'!$AA265)^2-(4*(996.798*'BMP P Tracking Table'!$AA265)*-'BMP P Tracking Table'!$AB265)))/(2*(996.798*'BMP P Tracking Table'!$AA265)),IF(SUM('BMP P Tracking Table'!$W265:$Z265)=0,'BMP P Tracking Table'!$AB265/(-3630*'BMP P Tracking Table'!$U265),(-(3630*'BMP P Tracking Table'!$U265+20.691*'BMP P Tracking Table'!$Z265-216.711*'BMP P Tracking Table'!$Y265-83.853*'BMP P Tracking Table'!$X265-42.834*'BMP P Tracking Table'!$W265)+SQRT((3630*'BMP P Tracking Table'!$U265+20.691*'BMP P Tracking Table'!$Z265-216.711*'BMP P Tracking Table'!$Y265-83.853*'BMP P Tracking Table'!$X265-42.834*'BMP P Tracking Table'!$W265)^2-(4*(149.919*'BMP P Tracking Table'!$W265+236.676*'BMP P Tracking Table'!$X265+726*'BMP P Tracking Table'!$Y265+996.798*'BMP P Tracking Table'!$Z265)*-'BMP P Tracking Table'!$AB265)))/(2*(149.919*'BMP P Tracking Table'!$W265+236.676*'BMP P Tracking Table'!$X265+726*'BMP P Tracking Table'!$Y265+996.798*'BMP P Tracking Table'!$Z265))))),"")</f>
        <v/>
      </c>
      <c r="AF265" s="101" t="str">
        <f>IFERROR((VLOOKUP(CONCATENATE('BMP P Tracking Table'!$T265," ",'BMP P Tracking Table'!$AC265),'Performance Curves'!$C$1:$L$45,MATCH('BMP P Tracking Table'!$AE265,'Performance Curves'!$E$1:$L$1,1)+2,FALSE)-VLOOKUP(CONCATENATE('BMP P Tracking Table'!$T265," ",'BMP P Tracking Table'!$AC265),'Performance Curves'!$C$1:$L$45,MATCH('BMP P Tracking Table'!$AE265,'Performance Curves'!$E$1:$L$1,1)+1,FALSE)),"")</f>
        <v/>
      </c>
      <c r="AG265" s="101" t="str">
        <f>IFERROR(('BMP P Tracking Table'!$AE265-INDEX('Performance Curves'!$E$1:$L$1,1,MATCH('BMP P Tracking Table'!$AE265,'Performance Curves'!$E$1:$L$1,1)))/(INDEX('Performance Curves'!$E$1:$L$1,1,MATCH('BMP P Tracking Table'!$AE265,'Performance Curves'!$E$1:$L$1,1)+1)-INDEX('Performance Curves'!$E$1:$L$1,1,MATCH('BMP P Tracking Table'!$AE265,'Performance Curves'!$E$1:$L$1,1))),"")</f>
        <v/>
      </c>
      <c r="AH265" s="102" t="str">
        <f>IFERROR(IF('BMP P Tracking Table'!$AE265=2,VLOOKUP(CONCATENATE('BMP P Tracking Table'!$T265," ",'BMP P Tracking Table'!$AC265),'Performance Curves'!$C$1:$L$45,MATCH('BMP P Tracking Table'!$AE265,'Performance Curves'!$E$1:$L$1,1)+1,FALSE),'BMP P Tracking Table'!$AF265*'BMP P Tracking Table'!$AG265+VLOOKUP(CONCATENATE('BMP P Tracking Table'!$T265," ",'BMP P Tracking Table'!$AC265),'Performance Curves'!$C$1:$L$45,MATCH('BMP P Tracking Table'!$AE265,'Performance Curves'!$E$1:$L$1,1)+1,FALSE)),"")</f>
        <v/>
      </c>
      <c r="AI265" s="101" t="str">
        <f>IFERROR('BMP P Tracking Table'!$AH265*'BMP P Tracking Table'!$AD265,"")</f>
        <v/>
      </c>
      <c r="AJ265" s="64"/>
      <c r="AK265" s="96"/>
      <c r="AL265" s="96"/>
      <c r="AM265" s="63"/>
      <c r="AN265" s="99" t="str">
        <f t="shared" si="18"/>
        <v/>
      </c>
      <c r="AO265" s="96"/>
      <c r="AP265" s="96"/>
      <c r="AQ265" s="96"/>
      <c r="AR265" s="96"/>
      <c r="AS265" s="96"/>
      <c r="AT265" s="96"/>
      <c r="AU265" s="96"/>
      <c r="AV265" s="64"/>
      <c r="AW265" s="97"/>
      <c r="AX265" s="97"/>
      <c r="AY265" s="101" t="str">
        <f>IF('BMP P Tracking Table'!$AK265="Yes",IF('BMP P Tracking Table'!$AL265="No",'BMP P Tracking Table'!$U265*VLOOKUP('BMP P Tracking Table'!$Q265,'Loading Rates'!$B$1:$L$24,4,FALSE)+IF('BMP P Tracking Table'!$V265="By HSG",'BMP P Tracking Table'!$W265*VLOOKUP('BMP P Tracking Table'!$Q265,'Loading Rates'!$B$1:$L$24,6,FALSE)+'BMP P Tracking Table'!$X265*VLOOKUP('BMP P Tracking Table'!$Q265,'Loading Rates'!$B$1:$L$24,7,FALSE)+'BMP P Tracking Table'!$Y265*VLOOKUP('BMP P Tracking Table'!$Q265,'Loading Rates'!$B$1:$L$24,8,FALSE)+'BMP P Tracking Table'!$Z265*VLOOKUP('BMP P Tracking Table'!$Q265,'Loading Rates'!$B$1:$L$24,9,FALSE),'BMP P Tracking Table'!$AA265*VLOOKUP('BMP P Tracking Table'!$Q265,'Loading Rates'!$B$1:$L$24,10,FALSE)),'BMP P Tracking Table'!$AO265*VLOOKUP('BMP P Tracking Table'!$Q265,'Loading Rates'!$B$1:$L$24,4,FALSE)+IF('BMP P Tracking Table'!$AP265="By HSG",'BMP P Tracking Table'!$AQ265*VLOOKUP('BMP P Tracking Table'!$Q265,'Loading Rates'!$B$1:$L$24,6,FALSE)+'BMP P Tracking Table'!$AR265*VLOOKUP('BMP P Tracking Table'!$Q265,'Loading Rates'!$B$1:$L$24,7,FALSE)+'BMP P Tracking Table'!$AS265*VLOOKUP('BMP P Tracking Table'!$Q265,'Loading Rates'!$B$1:$L$24,8,FALSE)+'BMP P Tracking Table'!$AT265*VLOOKUP('BMP P Tracking Table'!$Q265,'Loading Rates'!$B$1:$L$24,9,FALSE),'BMP P Tracking Table'!$AU265*VLOOKUP('BMP P Tracking Table'!$Q265,'Loading Rates'!$B$1:$L$24,10,FALSE))),"")</f>
        <v/>
      </c>
      <c r="AZ265" s="101" t="str">
        <f>IFERROR(IF('BMP P Tracking Table'!$AL265="Yes",MIN(2,IF('BMP P Tracking Table'!$AP265="Total Pervious",(-(3630*'BMP P Tracking Table'!$AO265+20.691*'BMP P Tracking Table'!$AU265)+SQRT((3630*'BMP P Tracking Table'!$AO265+20.691*'BMP P Tracking Table'!$AU265)^2-(4*(996.798*'BMP P Tracking Table'!$AU265)*-'BMP P Tracking Table'!$AW265)))/(2*(996.798*'BMP P Tracking Table'!$AU265)),IF(SUM('BMP P Tracking Table'!$AQ265:$AT265)=0,'BMP P Tracking Table'!$AU265/(-3630*'BMP P Tracking Table'!$AO265),(-(3630*'BMP P Tracking Table'!$AO265+20.691*'BMP P Tracking Table'!$AT265-216.711*'BMP P Tracking Table'!$AS265-83.853*'BMP P Tracking Table'!$AR265-42.834*'BMP P Tracking Table'!$AQ265)+SQRT((3630*'BMP P Tracking Table'!$AO265+20.691*'BMP P Tracking Table'!$AT265-216.711*'BMP P Tracking Table'!$AS265-83.853*'BMP P Tracking Table'!$AR265-42.834*'BMP P Tracking Table'!$AQ265)^2-(4*(149.919*'BMP P Tracking Table'!$AQ265+236.676*'BMP P Tracking Table'!$AR265+726*'BMP P Tracking Table'!$AS265+996.798*'BMP P Tracking Table'!$AT265)*-'BMP P Tracking Table'!$AW265)))/(2*(149.919*'BMP P Tracking Table'!$AQ265+236.676*'BMP P Tracking Table'!$AR265+726*'BMP P Tracking Table'!$AS265+996.798*'BMP P Tracking Table'!$AT265))))),MIN(2,IF('BMP P Tracking Table'!$AP265="Total Pervious",(-(3630*'BMP P Tracking Table'!$U265+20.691*'BMP P Tracking Table'!$AA265)+SQRT((3630*'BMP P Tracking Table'!$U265+20.691*'BMP P Tracking Table'!$AA265)^2-(4*(996.798*'BMP P Tracking Table'!$AA265)*-'BMP P Tracking Table'!$AW265)))/(2*(996.798*'BMP P Tracking Table'!$AA265)),IF(SUM('BMP P Tracking Table'!$W265:$Z265)=0,'BMP P Tracking Table'!$AW265/(-3630*'BMP P Tracking Table'!$U265),(-(3630*'BMP P Tracking Table'!$U265+20.691*'BMP P Tracking Table'!$Z265-216.711*'BMP P Tracking Table'!$Y265-83.853*'BMP P Tracking Table'!$X265-42.834*'BMP P Tracking Table'!$W265)+SQRT((3630*'BMP P Tracking Table'!$U265+20.691*'BMP P Tracking Table'!$Z265-216.711*'BMP P Tracking Table'!$Y265-83.853*'BMP P Tracking Table'!$X265-42.834*'BMP P Tracking Table'!$W265)^2-(4*(149.919*'BMP P Tracking Table'!$W265+236.676*'BMP P Tracking Table'!$X265+726*'BMP P Tracking Table'!$Y265+996.798*'BMP P Tracking Table'!$Z265)*-'BMP P Tracking Table'!$AW265)))/(2*(149.919*'BMP P Tracking Table'!$W265+236.676*'BMP P Tracking Table'!$X265+726*'BMP P Tracking Table'!$Y265+996.798*'BMP P Tracking Table'!$Z265)))))),"")</f>
        <v/>
      </c>
      <c r="BA265" s="101" t="str">
        <f>IFERROR((VLOOKUP(CONCATENATE('BMP P Tracking Table'!$AV265," ",'BMP P Tracking Table'!$AX265),'Performance Curves'!$C$1:$L$45,MATCH('BMP P Tracking Table'!$AZ265,'Performance Curves'!$E$1:$L$1,1)+2,FALSE)-VLOOKUP(CONCATENATE('BMP P Tracking Table'!$AV265," ",'BMP P Tracking Table'!$AX265),'Performance Curves'!$C$1:$L$45,MATCH('BMP P Tracking Table'!$AZ265,'Performance Curves'!$E$1:$L$1,1)+1,FALSE)),"")</f>
        <v/>
      </c>
      <c r="BB265" s="101" t="str">
        <f>IFERROR(('BMP P Tracking Table'!$AZ265-INDEX('Performance Curves'!$E$1:$L$1,1,MATCH('BMP P Tracking Table'!$AZ265,'Performance Curves'!$E$1:$L$1,1)))/(INDEX('Performance Curves'!$E$1:$L$1,1,MATCH('BMP P Tracking Table'!$AZ265,'Performance Curves'!$E$1:$L$1,1)+1)-INDEX('Performance Curves'!$E$1:$L$1,1,MATCH('BMP P Tracking Table'!$AZ265,'Performance Curves'!$E$1:$L$1,1))),"")</f>
        <v/>
      </c>
      <c r="BC265" s="102" t="str">
        <f>IFERROR(IF('BMP P Tracking Table'!$AZ265=2,VLOOKUP(CONCATENATE('BMP P Tracking Table'!$AV265," ",'BMP P Tracking Table'!$AX265),'Performance Curves'!$C$1:$L$44,MATCH('BMP P Tracking Table'!$AZ265,'Performance Curves'!$E$1:$L$1,1)+1,FALSE),'BMP P Tracking Table'!$BA265*'BMP P Tracking Table'!$BB265+VLOOKUP(CONCATENATE('BMP P Tracking Table'!$AV265," ",'BMP P Tracking Table'!$AX265),'Performance Curves'!$C$1:$L$44,MATCH('BMP P Tracking Table'!$AZ265,'Performance Curves'!$E$1:$L$1,1)+1,FALSE)),"")</f>
        <v/>
      </c>
      <c r="BD265" s="101" t="str">
        <f>IFERROR('BMP P Tracking Table'!$BC265*'BMP P Tracking Table'!$AY265,"")</f>
        <v/>
      </c>
      <c r="BE265" s="96"/>
      <c r="BF265" s="37">
        <f t="shared" si="19"/>
        <v>0</v>
      </c>
    </row>
    <row r="266" spans="1:58" x14ac:dyDescent="0.3">
      <c r="A266" s="64"/>
      <c r="B266" s="64"/>
      <c r="C266" s="64"/>
      <c r="D266" s="64"/>
      <c r="E266" s="93"/>
      <c r="F266" s="93"/>
      <c r="G266" s="64"/>
      <c r="H266" s="64"/>
      <c r="I266" s="64"/>
      <c r="J266" s="94"/>
      <c r="K266" s="64"/>
      <c r="L266" s="64"/>
      <c r="M266" s="64"/>
      <c r="N266" s="64"/>
      <c r="O266" s="64"/>
      <c r="P266" s="64"/>
      <c r="Q266" s="64" t="str">
        <f>IFERROR(VLOOKUP('BMP P Tracking Table'!$P266,Dropdowns!$C$2:$E$15,3,FALSE),"")</f>
        <v/>
      </c>
      <c r="R266" s="64" t="str">
        <f>IFERROR(VLOOKUP('BMP P Tracking Table'!$Q266,Dropdowns!$P$3:$Q$23,2,FALSE),"")</f>
        <v/>
      </c>
      <c r="S266" s="64"/>
      <c r="T266" s="64"/>
      <c r="U266" s="64"/>
      <c r="V266" s="64"/>
      <c r="W266" s="64"/>
      <c r="X266" s="64"/>
      <c r="Y266" s="64"/>
      <c r="Z266" s="64"/>
      <c r="AA266" s="64"/>
      <c r="AB266" s="95"/>
      <c r="AC266" s="64"/>
      <c r="AD266" s="101" t="str">
        <f>IFERROR('BMP P Tracking Table'!$U266*VLOOKUP('BMP P Tracking Table'!$Q266,'Loading Rates'!$B$1:$L$24,4,FALSE)+IF('BMP P Tracking Table'!$V266="By HSG",'BMP P Tracking Table'!$W266*VLOOKUP('BMP P Tracking Table'!$Q266,'Loading Rates'!$B$1:$L$24,6,FALSE)+'BMP P Tracking Table'!$X266*VLOOKUP('BMP P Tracking Table'!$Q266,'Loading Rates'!$B$1:$L$24,7,FALSE)+'BMP P Tracking Table'!$Y266*VLOOKUP('BMP P Tracking Table'!$Q266,'Loading Rates'!$B$1:$L$24,8,FALSE)+'BMP P Tracking Table'!$Z266*VLOOKUP('BMP P Tracking Table'!$Q266,'Loading Rates'!$B$1:$L$24,9,FALSE),'BMP P Tracking Table'!$AA266*VLOOKUP('BMP P Tracking Table'!$Q266,'Loading Rates'!$B$1:$L$24,10,FALSE)),"")</f>
        <v/>
      </c>
      <c r="AE266" s="101" t="str">
        <f>IFERROR(MIN(2,IF('BMP P Tracking Table'!$V266="Total Pervious",(-(3630*'BMP P Tracking Table'!$U266+20.691*'BMP P Tracking Table'!$AA266)+SQRT((3630*'BMP P Tracking Table'!$U266+20.691*'BMP P Tracking Table'!$AA266)^2-(4*(996.798*'BMP P Tracking Table'!$AA266)*-'BMP P Tracking Table'!$AB266)))/(2*(996.798*'BMP P Tracking Table'!$AA266)),IF(SUM('BMP P Tracking Table'!$W266:$Z266)=0,'BMP P Tracking Table'!$AB266/(-3630*'BMP P Tracking Table'!$U266),(-(3630*'BMP P Tracking Table'!$U266+20.691*'BMP P Tracking Table'!$Z266-216.711*'BMP P Tracking Table'!$Y266-83.853*'BMP P Tracking Table'!$X266-42.834*'BMP P Tracking Table'!$W266)+SQRT((3630*'BMP P Tracking Table'!$U266+20.691*'BMP P Tracking Table'!$Z266-216.711*'BMP P Tracking Table'!$Y266-83.853*'BMP P Tracking Table'!$X266-42.834*'BMP P Tracking Table'!$W266)^2-(4*(149.919*'BMP P Tracking Table'!$W266+236.676*'BMP P Tracking Table'!$X266+726*'BMP P Tracking Table'!$Y266+996.798*'BMP P Tracking Table'!$Z266)*-'BMP P Tracking Table'!$AB266)))/(2*(149.919*'BMP P Tracking Table'!$W266+236.676*'BMP P Tracking Table'!$X266+726*'BMP P Tracking Table'!$Y266+996.798*'BMP P Tracking Table'!$Z266))))),"")</f>
        <v/>
      </c>
      <c r="AF266" s="101" t="str">
        <f>IFERROR((VLOOKUP(CONCATENATE('BMP P Tracking Table'!$T266," ",'BMP P Tracking Table'!$AC266),'Performance Curves'!$C$1:$L$45,MATCH('BMP P Tracking Table'!$AE266,'Performance Curves'!$E$1:$L$1,1)+2,FALSE)-VLOOKUP(CONCATENATE('BMP P Tracking Table'!$T266," ",'BMP P Tracking Table'!$AC266),'Performance Curves'!$C$1:$L$45,MATCH('BMP P Tracking Table'!$AE266,'Performance Curves'!$E$1:$L$1,1)+1,FALSE)),"")</f>
        <v/>
      </c>
      <c r="AG266" s="101" t="str">
        <f>IFERROR(('BMP P Tracking Table'!$AE266-INDEX('Performance Curves'!$E$1:$L$1,1,MATCH('BMP P Tracking Table'!$AE266,'Performance Curves'!$E$1:$L$1,1)))/(INDEX('Performance Curves'!$E$1:$L$1,1,MATCH('BMP P Tracking Table'!$AE266,'Performance Curves'!$E$1:$L$1,1)+1)-INDEX('Performance Curves'!$E$1:$L$1,1,MATCH('BMP P Tracking Table'!$AE266,'Performance Curves'!$E$1:$L$1,1))),"")</f>
        <v/>
      </c>
      <c r="AH266" s="102" t="str">
        <f>IFERROR(IF('BMP P Tracking Table'!$AE266=2,VLOOKUP(CONCATENATE('BMP P Tracking Table'!$T266," ",'BMP P Tracking Table'!$AC266),'Performance Curves'!$C$1:$L$45,MATCH('BMP P Tracking Table'!$AE266,'Performance Curves'!$E$1:$L$1,1)+1,FALSE),'BMP P Tracking Table'!$AF266*'BMP P Tracking Table'!$AG266+VLOOKUP(CONCATENATE('BMP P Tracking Table'!$T266," ",'BMP P Tracking Table'!$AC266),'Performance Curves'!$C$1:$L$45,MATCH('BMP P Tracking Table'!$AE266,'Performance Curves'!$E$1:$L$1,1)+1,FALSE)),"")</f>
        <v/>
      </c>
      <c r="AI266" s="101" t="str">
        <f>IFERROR('BMP P Tracking Table'!$AH266*'BMP P Tracking Table'!$AD266,"")</f>
        <v/>
      </c>
      <c r="AJ266" s="64"/>
      <c r="AK266" s="96"/>
      <c r="AL266" s="96"/>
      <c r="AM266" s="63"/>
      <c r="AN266" s="99" t="str">
        <f t="shared" si="18"/>
        <v/>
      </c>
      <c r="AO266" s="96"/>
      <c r="AP266" s="96"/>
      <c r="AQ266" s="96"/>
      <c r="AR266" s="96"/>
      <c r="AS266" s="96"/>
      <c r="AT266" s="96"/>
      <c r="AU266" s="96"/>
      <c r="AV266" s="64"/>
      <c r="AW266" s="97"/>
      <c r="AX266" s="97"/>
      <c r="AY266" s="101" t="str">
        <f>IF('BMP P Tracking Table'!$AK266="Yes",IF('BMP P Tracking Table'!$AL266="No",'BMP P Tracking Table'!$U266*VLOOKUP('BMP P Tracking Table'!$Q266,'Loading Rates'!$B$1:$L$24,4,FALSE)+IF('BMP P Tracking Table'!$V266="By HSG",'BMP P Tracking Table'!$W266*VLOOKUP('BMP P Tracking Table'!$Q266,'Loading Rates'!$B$1:$L$24,6,FALSE)+'BMP P Tracking Table'!$X266*VLOOKUP('BMP P Tracking Table'!$Q266,'Loading Rates'!$B$1:$L$24,7,FALSE)+'BMP P Tracking Table'!$Y266*VLOOKUP('BMP P Tracking Table'!$Q266,'Loading Rates'!$B$1:$L$24,8,FALSE)+'BMP P Tracking Table'!$Z266*VLOOKUP('BMP P Tracking Table'!$Q266,'Loading Rates'!$B$1:$L$24,9,FALSE),'BMP P Tracking Table'!$AA266*VLOOKUP('BMP P Tracking Table'!$Q266,'Loading Rates'!$B$1:$L$24,10,FALSE)),'BMP P Tracking Table'!$AO266*VLOOKUP('BMP P Tracking Table'!$Q266,'Loading Rates'!$B$1:$L$24,4,FALSE)+IF('BMP P Tracking Table'!$AP266="By HSG",'BMP P Tracking Table'!$AQ266*VLOOKUP('BMP P Tracking Table'!$Q266,'Loading Rates'!$B$1:$L$24,6,FALSE)+'BMP P Tracking Table'!$AR266*VLOOKUP('BMP P Tracking Table'!$Q266,'Loading Rates'!$B$1:$L$24,7,FALSE)+'BMP P Tracking Table'!$AS266*VLOOKUP('BMP P Tracking Table'!$Q266,'Loading Rates'!$B$1:$L$24,8,FALSE)+'BMP P Tracking Table'!$AT266*VLOOKUP('BMP P Tracking Table'!$Q266,'Loading Rates'!$B$1:$L$24,9,FALSE),'BMP P Tracking Table'!$AU266*VLOOKUP('BMP P Tracking Table'!$Q266,'Loading Rates'!$B$1:$L$24,10,FALSE))),"")</f>
        <v/>
      </c>
      <c r="AZ266" s="101" t="str">
        <f>IFERROR(IF('BMP P Tracking Table'!$AL266="Yes",MIN(2,IF('BMP P Tracking Table'!$AP266="Total Pervious",(-(3630*'BMP P Tracking Table'!$AO266+20.691*'BMP P Tracking Table'!$AU266)+SQRT((3630*'BMP P Tracking Table'!$AO266+20.691*'BMP P Tracking Table'!$AU266)^2-(4*(996.798*'BMP P Tracking Table'!$AU266)*-'BMP P Tracking Table'!$AW266)))/(2*(996.798*'BMP P Tracking Table'!$AU266)),IF(SUM('BMP P Tracking Table'!$AQ266:$AT266)=0,'BMP P Tracking Table'!$AU266/(-3630*'BMP P Tracking Table'!$AO266),(-(3630*'BMP P Tracking Table'!$AO266+20.691*'BMP P Tracking Table'!$AT266-216.711*'BMP P Tracking Table'!$AS266-83.853*'BMP P Tracking Table'!$AR266-42.834*'BMP P Tracking Table'!$AQ266)+SQRT((3630*'BMP P Tracking Table'!$AO266+20.691*'BMP P Tracking Table'!$AT266-216.711*'BMP P Tracking Table'!$AS266-83.853*'BMP P Tracking Table'!$AR266-42.834*'BMP P Tracking Table'!$AQ266)^2-(4*(149.919*'BMP P Tracking Table'!$AQ266+236.676*'BMP P Tracking Table'!$AR266+726*'BMP P Tracking Table'!$AS266+996.798*'BMP P Tracking Table'!$AT266)*-'BMP P Tracking Table'!$AW266)))/(2*(149.919*'BMP P Tracking Table'!$AQ266+236.676*'BMP P Tracking Table'!$AR266+726*'BMP P Tracking Table'!$AS266+996.798*'BMP P Tracking Table'!$AT266))))),MIN(2,IF('BMP P Tracking Table'!$AP266="Total Pervious",(-(3630*'BMP P Tracking Table'!$U266+20.691*'BMP P Tracking Table'!$AA266)+SQRT((3630*'BMP P Tracking Table'!$U266+20.691*'BMP P Tracking Table'!$AA266)^2-(4*(996.798*'BMP P Tracking Table'!$AA266)*-'BMP P Tracking Table'!$AW266)))/(2*(996.798*'BMP P Tracking Table'!$AA266)),IF(SUM('BMP P Tracking Table'!$W266:$Z266)=0,'BMP P Tracking Table'!$AW266/(-3630*'BMP P Tracking Table'!$U266),(-(3630*'BMP P Tracking Table'!$U266+20.691*'BMP P Tracking Table'!$Z266-216.711*'BMP P Tracking Table'!$Y266-83.853*'BMP P Tracking Table'!$X266-42.834*'BMP P Tracking Table'!$W266)+SQRT((3630*'BMP P Tracking Table'!$U266+20.691*'BMP P Tracking Table'!$Z266-216.711*'BMP P Tracking Table'!$Y266-83.853*'BMP P Tracking Table'!$X266-42.834*'BMP P Tracking Table'!$W266)^2-(4*(149.919*'BMP P Tracking Table'!$W266+236.676*'BMP P Tracking Table'!$X266+726*'BMP P Tracking Table'!$Y266+996.798*'BMP P Tracking Table'!$Z266)*-'BMP P Tracking Table'!$AW266)))/(2*(149.919*'BMP P Tracking Table'!$W266+236.676*'BMP P Tracking Table'!$X266+726*'BMP P Tracking Table'!$Y266+996.798*'BMP P Tracking Table'!$Z266)))))),"")</f>
        <v/>
      </c>
      <c r="BA266" s="101" t="str">
        <f>IFERROR((VLOOKUP(CONCATENATE('BMP P Tracking Table'!$AV266," ",'BMP P Tracking Table'!$AX266),'Performance Curves'!$C$1:$L$45,MATCH('BMP P Tracking Table'!$AZ266,'Performance Curves'!$E$1:$L$1,1)+2,FALSE)-VLOOKUP(CONCATENATE('BMP P Tracking Table'!$AV266," ",'BMP P Tracking Table'!$AX266),'Performance Curves'!$C$1:$L$45,MATCH('BMP P Tracking Table'!$AZ266,'Performance Curves'!$E$1:$L$1,1)+1,FALSE)),"")</f>
        <v/>
      </c>
      <c r="BB266" s="101" t="str">
        <f>IFERROR(('BMP P Tracking Table'!$AZ266-INDEX('Performance Curves'!$E$1:$L$1,1,MATCH('BMP P Tracking Table'!$AZ266,'Performance Curves'!$E$1:$L$1,1)))/(INDEX('Performance Curves'!$E$1:$L$1,1,MATCH('BMP P Tracking Table'!$AZ266,'Performance Curves'!$E$1:$L$1,1)+1)-INDEX('Performance Curves'!$E$1:$L$1,1,MATCH('BMP P Tracking Table'!$AZ266,'Performance Curves'!$E$1:$L$1,1))),"")</f>
        <v/>
      </c>
      <c r="BC266" s="102" t="str">
        <f>IFERROR(IF('BMP P Tracking Table'!$AZ266=2,VLOOKUP(CONCATENATE('BMP P Tracking Table'!$AV266," ",'BMP P Tracking Table'!$AX266),'Performance Curves'!$C$1:$L$44,MATCH('BMP P Tracking Table'!$AZ266,'Performance Curves'!$E$1:$L$1,1)+1,FALSE),'BMP P Tracking Table'!$BA266*'BMP P Tracking Table'!$BB266+VLOOKUP(CONCATENATE('BMP P Tracking Table'!$AV266," ",'BMP P Tracking Table'!$AX266),'Performance Curves'!$C$1:$L$44,MATCH('BMP P Tracking Table'!$AZ266,'Performance Curves'!$E$1:$L$1,1)+1,FALSE)),"")</f>
        <v/>
      </c>
      <c r="BD266" s="101" t="str">
        <f>IFERROR('BMP P Tracking Table'!$BC266*'BMP P Tracking Table'!$AY266,"")</f>
        <v/>
      </c>
      <c r="BE266" s="91"/>
      <c r="BF266" s="37">
        <f t="shared" si="19"/>
        <v>0</v>
      </c>
    </row>
    <row r="267" spans="1:58" x14ac:dyDescent="0.3">
      <c r="A267" s="64"/>
      <c r="B267" s="64"/>
      <c r="C267" s="64"/>
      <c r="D267" s="64"/>
      <c r="E267" s="93"/>
      <c r="F267" s="93"/>
      <c r="G267" s="64"/>
      <c r="H267" s="64"/>
      <c r="I267" s="64"/>
      <c r="J267" s="94"/>
      <c r="K267" s="64"/>
      <c r="L267" s="64"/>
      <c r="M267" s="64"/>
      <c r="N267" s="64"/>
      <c r="O267" s="64"/>
      <c r="P267" s="64"/>
      <c r="Q267" s="64" t="str">
        <f>IFERROR(VLOOKUP('BMP P Tracking Table'!$P267,Dropdowns!$C$2:$E$15,3,FALSE),"")</f>
        <v/>
      </c>
      <c r="R267" s="64" t="str">
        <f>IFERROR(VLOOKUP('BMP P Tracking Table'!$Q267,Dropdowns!$P$3:$Q$23,2,FALSE),"")</f>
        <v/>
      </c>
      <c r="S267" s="64"/>
      <c r="T267" s="64"/>
      <c r="U267" s="64"/>
      <c r="V267" s="64"/>
      <c r="W267" s="64"/>
      <c r="X267" s="64"/>
      <c r="Y267" s="64"/>
      <c r="Z267" s="64"/>
      <c r="AA267" s="64"/>
      <c r="AB267" s="95"/>
      <c r="AC267" s="64"/>
      <c r="AD267" s="101" t="str">
        <f>IFERROR('BMP P Tracking Table'!$U267*VLOOKUP('BMP P Tracking Table'!$Q267,'Loading Rates'!$B$1:$L$24,4,FALSE)+IF('BMP P Tracking Table'!$V267="By HSG",'BMP P Tracking Table'!$W267*VLOOKUP('BMP P Tracking Table'!$Q267,'Loading Rates'!$B$1:$L$24,6,FALSE)+'BMP P Tracking Table'!$X267*VLOOKUP('BMP P Tracking Table'!$Q267,'Loading Rates'!$B$1:$L$24,7,FALSE)+'BMP P Tracking Table'!$Y267*VLOOKUP('BMP P Tracking Table'!$Q267,'Loading Rates'!$B$1:$L$24,8,FALSE)+'BMP P Tracking Table'!$Z267*VLOOKUP('BMP P Tracking Table'!$Q267,'Loading Rates'!$B$1:$L$24,9,FALSE),'BMP P Tracking Table'!$AA267*VLOOKUP('BMP P Tracking Table'!$Q267,'Loading Rates'!$B$1:$L$24,10,FALSE)),"")</f>
        <v/>
      </c>
      <c r="AE267" s="101" t="str">
        <f>IFERROR(MIN(2,IF('BMP P Tracking Table'!$V267="Total Pervious",(-(3630*'BMP P Tracking Table'!$U267+20.691*'BMP P Tracking Table'!$AA267)+SQRT((3630*'BMP P Tracking Table'!$U267+20.691*'BMP P Tracking Table'!$AA267)^2-(4*(996.798*'BMP P Tracking Table'!$AA267)*-'BMP P Tracking Table'!$AB267)))/(2*(996.798*'BMP P Tracking Table'!$AA267)),IF(SUM('BMP P Tracking Table'!$W267:$Z267)=0,'BMP P Tracking Table'!$AB267/(-3630*'BMP P Tracking Table'!$U267),(-(3630*'BMP P Tracking Table'!$U267+20.691*'BMP P Tracking Table'!$Z267-216.711*'BMP P Tracking Table'!$Y267-83.853*'BMP P Tracking Table'!$X267-42.834*'BMP P Tracking Table'!$W267)+SQRT((3630*'BMP P Tracking Table'!$U267+20.691*'BMP P Tracking Table'!$Z267-216.711*'BMP P Tracking Table'!$Y267-83.853*'BMP P Tracking Table'!$X267-42.834*'BMP P Tracking Table'!$W267)^2-(4*(149.919*'BMP P Tracking Table'!$W267+236.676*'BMP P Tracking Table'!$X267+726*'BMP P Tracking Table'!$Y267+996.798*'BMP P Tracking Table'!$Z267)*-'BMP P Tracking Table'!$AB267)))/(2*(149.919*'BMP P Tracking Table'!$W267+236.676*'BMP P Tracking Table'!$X267+726*'BMP P Tracking Table'!$Y267+996.798*'BMP P Tracking Table'!$Z267))))),"")</f>
        <v/>
      </c>
      <c r="AF267" s="101" t="str">
        <f>IFERROR((VLOOKUP(CONCATENATE('BMP P Tracking Table'!$T267," ",'BMP P Tracking Table'!$AC267),'Performance Curves'!$C$1:$L$45,MATCH('BMP P Tracking Table'!$AE267,'Performance Curves'!$E$1:$L$1,1)+2,FALSE)-VLOOKUP(CONCATENATE('BMP P Tracking Table'!$T267," ",'BMP P Tracking Table'!$AC267),'Performance Curves'!$C$1:$L$45,MATCH('BMP P Tracking Table'!$AE267,'Performance Curves'!$E$1:$L$1,1)+1,FALSE)),"")</f>
        <v/>
      </c>
      <c r="AG267" s="101" t="str">
        <f>IFERROR(('BMP P Tracking Table'!$AE267-INDEX('Performance Curves'!$E$1:$L$1,1,MATCH('BMP P Tracking Table'!$AE267,'Performance Curves'!$E$1:$L$1,1)))/(INDEX('Performance Curves'!$E$1:$L$1,1,MATCH('BMP P Tracking Table'!$AE267,'Performance Curves'!$E$1:$L$1,1)+1)-INDEX('Performance Curves'!$E$1:$L$1,1,MATCH('BMP P Tracking Table'!$AE267,'Performance Curves'!$E$1:$L$1,1))),"")</f>
        <v/>
      </c>
      <c r="AH267" s="102" t="str">
        <f>IFERROR(IF('BMP P Tracking Table'!$AE267=2,VLOOKUP(CONCATENATE('BMP P Tracking Table'!$T267," ",'BMP P Tracking Table'!$AC267),'Performance Curves'!$C$1:$L$45,MATCH('BMP P Tracking Table'!$AE267,'Performance Curves'!$E$1:$L$1,1)+1,FALSE),'BMP P Tracking Table'!$AF267*'BMP P Tracking Table'!$AG267+VLOOKUP(CONCATENATE('BMP P Tracking Table'!$T267," ",'BMP P Tracking Table'!$AC267),'Performance Curves'!$C$1:$L$45,MATCH('BMP P Tracking Table'!$AE267,'Performance Curves'!$E$1:$L$1,1)+1,FALSE)),"")</f>
        <v/>
      </c>
      <c r="AI267" s="101" t="str">
        <f>IFERROR('BMP P Tracking Table'!$AH267*'BMP P Tracking Table'!$AD267,"")</f>
        <v/>
      </c>
      <c r="AJ267" s="64"/>
      <c r="AK267" s="96"/>
      <c r="AL267" s="96"/>
      <c r="AM267" s="63"/>
      <c r="AN267" s="99" t="str">
        <f t="shared" si="18"/>
        <v/>
      </c>
      <c r="AO267" s="96"/>
      <c r="AP267" s="96"/>
      <c r="AQ267" s="96"/>
      <c r="AR267" s="96"/>
      <c r="AS267" s="96"/>
      <c r="AT267" s="96"/>
      <c r="AU267" s="96"/>
      <c r="AV267" s="64"/>
      <c r="AW267" s="97"/>
      <c r="AX267" s="97"/>
      <c r="AY267" s="101" t="str">
        <f>IF('BMP P Tracking Table'!$AK267="Yes",IF('BMP P Tracking Table'!$AL267="No",'BMP P Tracking Table'!$U267*VLOOKUP('BMP P Tracking Table'!$Q267,'Loading Rates'!$B$1:$L$24,4,FALSE)+IF('BMP P Tracking Table'!$V267="By HSG",'BMP P Tracking Table'!$W267*VLOOKUP('BMP P Tracking Table'!$Q267,'Loading Rates'!$B$1:$L$24,6,FALSE)+'BMP P Tracking Table'!$X267*VLOOKUP('BMP P Tracking Table'!$Q267,'Loading Rates'!$B$1:$L$24,7,FALSE)+'BMP P Tracking Table'!$Y267*VLOOKUP('BMP P Tracking Table'!$Q267,'Loading Rates'!$B$1:$L$24,8,FALSE)+'BMP P Tracking Table'!$Z267*VLOOKUP('BMP P Tracking Table'!$Q267,'Loading Rates'!$B$1:$L$24,9,FALSE),'BMP P Tracking Table'!$AA267*VLOOKUP('BMP P Tracking Table'!$Q267,'Loading Rates'!$B$1:$L$24,10,FALSE)),'BMP P Tracking Table'!$AO267*VLOOKUP('BMP P Tracking Table'!$Q267,'Loading Rates'!$B$1:$L$24,4,FALSE)+IF('BMP P Tracking Table'!$AP267="By HSG",'BMP P Tracking Table'!$AQ267*VLOOKUP('BMP P Tracking Table'!$Q267,'Loading Rates'!$B$1:$L$24,6,FALSE)+'BMP P Tracking Table'!$AR267*VLOOKUP('BMP P Tracking Table'!$Q267,'Loading Rates'!$B$1:$L$24,7,FALSE)+'BMP P Tracking Table'!$AS267*VLOOKUP('BMP P Tracking Table'!$Q267,'Loading Rates'!$B$1:$L$24,8,FALSE)+'BMP P Tracking Table'!$AT267*VLOOKUP('BMP P Tracking Table'!$Q267,'Loading Rates'!$B$1:$L$24,9,FALSE),'BMP P Tracking Table'!$AU267*VLOOKUP('BMP P Tracking Table'!$Q267,'Loading Rates'!$B$1:$L$24,10,FALSE))),"")</f>
        <v/>
      </c>
      <c r="AZ267" s="101" t="str">
        <f>IFERROR(IF('BMP P Tracking Table'!$AL267="Yes",MIN(2,IF('BMP P Tracking Table'!$AP267="Total Pervious",(-(3630*'BMP P Tracking Table'!$AO267+20.691*'BMP P Tracking Table'!$AU267)+SQRT((3630*'BMP P Tracking Table'!$AO267+20.691*'BMP P Tracking Table'!$AU267)^2-(4*(996.798*'BMP P Tracking Table'!$AU267)*-'BMP P Tracking Table'!$AW267)))/(2*(996.798*'BMP P Tracking Table'!$AU267)),IF(SUM('BMP P Tracking Table'!$AQ267:$AT267)=0,'BMP P Tracking Table'!$AU267/(-3630*'BMP P Tracking Table'!$AO267),(-(3630*'BMP P Tracking Table'!$AO267+20.691*'BMP P Tracking Table'!$AT267-216.711*'BMP P Tracking Table'!$AS267-83.853*'BMP P Tracking Table'!$AR267-42.834*'BMP P Tracking Table'!$AQ267)+SQRT((3630*'BMP P Tracking Table'!$AO267+20.691*'BMP P Tracking Table'!$AT267-216.711*'BMP P Tracking Table'!$AS267-83.853*'BMP P Tracking Table'!$AR267-42.834*'BMP P Tracking Table'!$AQ267)^2-(4*(149.919*'BMP P Tracking Table'!$AQ267+236.676*'BMP P Tracking Table'!$AR267+726*'BMP P Tracking Table'!$AS267+996.798*'BMP P Tracking Table'!$AT267)*-'BMP P Tracking Table'!$AW267)))/(2*(149.919*'BMP P Tracking Table'!$AQ267+236.676*'BMP P Tracking Table'!$AR267+726*'BMP P Tracking Table'!$AS267+996.798*'BMP P Tracking Table'!$AT267))))),MIN(2,IF('BMP P Tracking Table'!$AP267="Total Pervious",(-(3630*'BMP P Tracking Table'!$U267+20.691*'BMP P Tracking Table'!$AA267)+SQRT((3630*'BMP P Tracking Table'!$U267+20.691*'BMP P Tracking Table'!$AA267)^2-(4*(996.798*'BMP P Tracking Table'!$AA267)*-'BMP P Tracking Table'!$AW267)))/(2*(996.798*'BMP P Tracking Table'!$AA267)),IF(SUM('BMP P Tracking Table'!$W267:$Z267)=0,'BMP P Tracking Table'!$AW267/(-3630*'BMP P Tracking Table'!$U267),(-(3630*'BMP P Tracking Table'!$U267+20.691*'BMP P Tracking Table'!$Z267-216.711*'BMP P Tracking Table'!$Y267-83.853*'BMP P Tracking Table'!$X267-42.834*'BMP P Tracking Table'!$W267)+SQRT((3630*'BMP P Tracking Table'!$U267+20.691*'BMP P Tracking Table'!$Z267-216.711*'BMP P Tracking Table'!$Y267-83.853*'BMP P Tracking Table'!$X267-42.834*'BMP P Tracking Table'!$W267)^2-(4*(149.919*'BMP P Tracking Table'!$W267+236.676*'BMP P Tracking Table'!$X267+726*'BMP P Tracking Table'!$Y267+996.798*'BMP P Tracking Table'!$Z267)*-'BMP P Tracking Table'!$AW267)))/(2*(149.919*'BMP P Tracking Table'!$W267+236.676*'BMP P Tracking Table'!$X267+726*'BMP P Tracking Table'!$Y267+996.798*'BMP P Tracking Table'!$Z267)))))),"")</f>
        <v/>
      </c>
      <c r="BA267" s="101" t="str">
        <f>IFERROR((VLOOKUP(CONCATENATE('BMP P Tracking Table'!$AV267," ",'BMP P Tracking Table'!$AX267),'Performance Curves'!$C$1:$L$45,MATCH('BMP P Tracking Table'!$AZ267,'Performance Curves'!$E$1:$L$1,1)+2,FALSE)-VLOOKUP(CONCATENATE('BMP P Tracking Table'!$AV267," ",'BMP P Tracking Table'!$AX267),'Performance Curves'!$C$1:$L$45,MATCH('BMP P Tracking Table'!$AZ267,'Performance Curves'!$E$1:$L$1,1)+1,FALSE)),"")</f>
        <v/>
      </c>
      <c r="BB267" s="101" t="str">
        <f>IFERROR(('BMP P Tracking Table'!$AZ267-INDEX('Performance Curves'!$E$1:$L$1,1,MATCH('BMP P Tracking Table'!$AZ267,'Performance Curves'!$E$1:$L$1,1)))/(INDEX('Performance Curves'!$E$1:$L$1,1,MATCH('BMP P Tracking Table'!$AZ267,'Performance Curves'!$E$1:$L$1,1)+1)-INDEX('Performance Curves'!$E$1:$L$1,1,MATCH('BMP P Tracking Table'!$AZ267,'Performance Curves'!$E$1:$L$1,1))),"")</f>
        <v/>
      </c>
      <c r="BC267" s="102" t="str">
        <f>IFERROR(IF('BMP P Tracking Table'!$AZ267=2,VLOOKUP(CONCATENATE('BMP P Tracking Table'!$AV267," ",'BMP P Tracking Table'!$AX267),'Performance Curves'!$C$1:$L$44,MATCH('BMP P Tracking Table'!$AZ267,'Performance Curves'!$E$1:$L$1,1)+1,FALSE),'BMP P Tracking Table'!$BA267*'BMP P Tracking Table'!$BB267+VLOOKUP(CONCATENATE('BMP P Tracking Table'!$AV267," ",'BMP P Tracking Table'!$AX267),'Performance Curves'!$C$1:$L$44,MATCH('BMP P Tracking Table'!$AZ267,'Performance Curves'!$E$1:$L$1,1)+1,FALSE)),"")</f>
        <v/>
      </c>
      <c r="BD267" s="101" t="str">
        <f>IFERROR('BMP P Tracking Table'!$BC267*'BMP P Tracking Table'!$AY267,"")</f>
        <v/>
      </c>
      <c r="BE267" s="96"/>
      <c r="BF267" s="37">
        <f t="shared" si="19"/>
        <v>0</v>
      </c>
    </row>
    <row r="268" spans="1:58" x14ac:dyDescent="0.3">
      <c r="A268" s="64"/>
      <c r="B268" s="64"/>
      <c r="C268" s="64"/>
      <c r="D268" s="64"/>
      <c r="E268" s="93"/>
      <c r="F268" s="93"/>
      <c r="G268" s="64"/>
      <c r="H268" s="64"/>
      <c r="I268" s="64"/>
      <c r="J268" s="94"/>
      <c r="K268" s="64"/>
      <c r="L268" s="64"/>
      <c r="M268" s="64"/>
      <c r="N268" s="64"/>
      <c r="O268" s="64"/>
      <c r="P268" s="64"/>
      <c r="Q268" s="64" t="str">
        <f>IFERROR(VLOOKUP('BMP P Tracking Table'!$P268,Dropdowns!$C$2:$E$15,3,FALSE),"")</f>
        <v/>
      </c>
      <c r="R268" s="64" t="str">
        <f>IFERROR(VLOOKUP('BMP P Tracking Table'!$Q268,Dropdowns!$P$3:$Q$23,2,FALSE),"")</f>
        <v/>
      </c>
      <c r="S268" s="64"/>
      <c r="T268" s="64"/>
      <c r="U268" s="64"/>
      <c r="V268" s="64"/>
      <c r="W268" s="64"/>
      <c r="X268" s="64"/>
      <c r="Y268" s="64"/>
      <c r="Z268" s="64"/>
      <c r="AA268" s="64"/>
      <c r="AB268" s="95"/>
      <c r="AC268" s="64"/>
      <c r="AD268" s="101" t="str">
        <f>IFERROR('BMP P Tracking Table'!$U268*VLOOKUP('BMP P Tracking Table'!$Q268,'Loading Rates'!$B$1:$L$24,4,FALSE)+IF('BMP P Tracking Table'!$V268="By HSG",'BMP P Tracking Table'!$W268*VLOOKUP('BMP P Tracking Table'!$Q268,'Loading Rates'!$B$1:$L$24,6,FALSE)+'BMP P Tracking Table'!$X268*VLOOKUP('BMP P Tracking Table'!$Q268,'Loading Rates'!$B$1:$L$24,7,FALSE)+'BMP P Tracking Table'!$Y268*VLOOKUP('BMP P Tracking Table'!$Q268,'Loading Rates'!$B$1:$L$24,8,FALSE)+'BMP P Tracking Table'!$Z268*VLOOKUP('BMP P Tracking Table'!$Q268,'Loading Rates'!$B$1:$L$24,9,FALSE),'BMP P Tracking Table'!$AA268*VLOOKUP('BMP P Tracking Table'!$Q268,'Loading Rates'!$B$1:$L$24,10,FALSE)),"")</f>
        <v/>
      </c>
      <c r="AE268" s="101" t="str">
        <f>IFERROR(MIN(2,IF('BMP P Tracking Table'!$V268="Total Pervious",(-(3630*'BMP P Tracking Table'!$U268+20.691*'BMP P Tracking Table'!$AA268)+SQRT((3630*'BMP P Tracking Table'!$U268+20.691*'BMP P Tracking Table'!$AA268)^2-(4*(996.798*'BMP P Tracking Table'!$AA268)*-'BMP P Tracking Table'!$AB268)))/(2*(996.798*'BMP P Tracking Table'!$AA268)),IF(SUM('BMP P Tracking Table'!$W268:$Z268)=0,'BMP P Tracking Table'!$AB268/(-3630*'BMP P Tracking Table'!$U268),(-(3630*'BMP P Tracking Table'!$U268+20.691*'BMP P Tracking Table'!$Z268-216.711*'BMP P Tracking Table'!$Y268-83.853*'BMP P Tracking Table'!$X268-42.834*'BMP P Tracking Table'!$W268)+SQRT((3630*'BMP P Tracking Table'!$U268+20.691*'BMP P Tracking Table'!$Z268-216.711*'BMP P Tracking Table'!$Y268-83.853*'BMP P Tracking Table'!$X268-42.834*'BMP P Tracking Table'!$W268)^2-(4*(149.919*'BMP P Tracking Table'!$W268+236.676*'BMP P Tracking Table'!$X268+726*'BMP P Tracking Table'!$Y268+996.798*'BMP P Tracking Table'!$Z268)*-'BMP P Tracking Table'!$AB268)))/(2*(149.919*'BMP P Tracking Table'!$W268+236.676*'BMP P Tracking Table'!$X268+726*'BMP P Tracking Table'!$Y268+996.798*'BMP P Tracking Table'!$Z268))))),"")</f>
        <v/>
      </c>
      <c r="AF268" s="101" t="str">
        <f>IFERROR((VLOOKUP(CONCATENATE('BMP P Tracking Table'!$T268," ",'BMP P Tracking Table'!$AC268),'Performance Curves'!$C$1:$L$45,MATCH('BMP P Tracking Table'!$AE268,'Performance Curves'!$E$1:$L$1,1)+2,FALSE)-VLOOKUP(CONCATENATE('BMP P Tracking Table'!$T268," ",'BMP P Tracking Table'!$AC268),'Performance Curves'!$C$1:$L$45,MATCH('BMP P Tracking Table'!$AE268,'Performance Curves'!$E$1:$L$1,1)+1,FALSE)),"")</f>
        <v/>
      </c>
      <c r="AG268" s="101" t="str">
        <f>IFERROR(('BMP P Tracking Table'!$AE268-INDEX('Performance Curves'!$E$1:$L$1,1,MATCH('BMP P Tracking Table'!$AE268,'Performance Curves'!$E$1:$L$1,1)))/(INDEX('Performance Curves'!$E$1:$L$1,1,MATCH('BMP P Tracking Table'!$AE268,'Performance Curves'!$E$1:$L$1,1)+1)-INDEX('Performance Curves'!$E$1:$L$1,1,MATCH('BMP P Tracking Table'!$AE268,'Performance Curves'!$E$1:$L$1,1))),"")</f>
        <v/>
      </c>
      <c r="AH268" s="102" t="str">
        <f>IFERROR(IF('BMP P Tracking Table'!$AE268=2,VLOOKUP(CONCATENATE('BMP P Tracking Table'!$T268," ",'BMP P Tracking Table'!$AC268),'Performance Curves'!$C$1:$L$45,MATCH('BMP P Tracking Table'!$AE268,'Performance Curves'!$E$1:$L$1,1)+1,FALSE),'BMP P Tracking Table'!$AF268*'BMP P Tracking Table'!$AG268+VLOOKUP(CONCATENATE('BMP P Tracking Table'!$T268," ",'BMP P Tracking Table'!$AC268),'Performance Curves'!$C$1:$L$45,MATCH('BMP P Tracking Table'!$AE268,'Performance Curves'!$E$1:$L$1,1)+1,FALSE)),"")</f>
        <v/>
      </c>
      <c r="AI268" s="101" t="str">
        <f>IFERROR('BMP P Tracking Table'!$AH268*'BMP P Tracking Table'!$AD268,"")</f>
        <v/>
      </c>
      <c r="AJ268" s="64"/>
      <c r="AK268" s="96"/>
      <c r="AL268" s="96"/>
      <c r="AM268" s="63"/>
      <c r="AN268" s="99" t="str">
        <f t="shared" si="18"/>
        <v/>
      </c>
      <c r="AO268" s="96"/>
      <c r="AP268" s="96"/>
      <c r="AQ268" s="96"/>
      <c r="AR268" s="96"/>
      <c r="AS268" s="96"/>
      <c r="AT268" s="96"/>
      <c r="AU268" s="96"/>
      <c r="AV268" s="64"/>
      <c r="AW268" s="97"/>
      <c r="AX268" s="97"/>
      <c r="AY268" s="101" t="str">
        <f>IF('BMP P Tracking Table'!$AK268="Yes",IF('BMP P Tracking Table'!$AL268="No",'BMP P Tracking Table'!$U268*VLOOKUP('BMP P Tracking Table'!$Q268,'Loading Rates'!$B$1:$L$24,4,FALSE)+IF('BMP P Tracking Table'!$V268="By HSG",'BMP P Tracking Table'!$W268*VLOOKUP('BMP P Tracking Table'!$Q268,'Loading Rates'!$B$1:$L$24,6,FALSE)+'BMP P Tracking Table'!$X268*VLOOKUP('BMP P Tracking Table'!$Q268,'Loading Rates'!$B$1:$L$24,7,FALSE)+'BMP P Tracking Table'!$Y268*VLOOKUP('BMP P Tracking Table'!$Q268,'Loading Rates'!$B$1:$L$24,8,FALSE)+'BMP P Tracking Table'!$Z268*VLOOKUP('BMP P Tracking Table'!$Q268,'Loading Rates'!$B$1:$L$24,9,FALSE),'BMP P Tracking Table'!$AA268*VLOOKUP('BMP P Tracking Table'!$Q268,'Loading Rates'!$B$1:$L$24,10,FALSE)),'BMP P Tracking Table'!$AO268*VLOOKUP('BMP P Tracking Table'!$Q268,'Loading Rates'!$B$1:$L$24,4,FALSE)+IF('BMP P Tracking Table'!$AP268="By HSG",'BMP P Tracking Table'!$AQ268*VLOOKUP('BMP P Tracking Table'!$Q268,'Loading Rates'!$B$1:$L$24,6,FALSE)+'BMP P Tracking Table'!$AR268*VLOOKUP('BMP P Tracking Table'!$Q268,'Loading Rates'!$B$1:$L$24,7,FALSE)+'BMP P Tracking Table'!$AS268*VLOOKUP('BMP P Tracking Table'!$Q268,'Loading Rates'!$B$1:$L$24,8,FALSE)+'BMP P Tracking Table'!$AT268*VLOOKUP('BMP P Tracking Table'!$Q268,'Loading Rates'!$B$1:$L$24,9,FALSE),'BMP P Tracking Table'!$AU268*VLOOKUP('BMP P Tracking Table'!$Q268,'Loading Rates'!$B$1:$L$24,10,FALSE))),"")</f>
        <v/>
      </c>
      <c r="AZ268" s="101" t="str">
        <f>IFERROR(IF('BMP P Tracking Table'!$AL268="Yes",MIN(2,IF('BMP P Tracking Table'!$AP268="Total Pervious",(-(3630*'BMP P Tracking Table'!$AO268+20.691*'BMP P Tracking Table'!$AU268)+SQRT((3630*'BMP P Tracking Table'!$AO268+20.691*'BMP P Tracking Table'!$AU268)^2-(4*(996.798*'BMP P Tracking Table'!$AU268)*-'BMP P Tracking Table'!$AW268)))/(2*(996.798*'BMP P Tracking Table'!$AU268)),IF(SUM('BMP P Tracking Table'!$AQ268:$AT268)=0,'BMP P Tracking Table'!$AU268/(-3630*'BMP P Tracking Table'!$AO268),(-(3630*'BMP P Tracking Table'!$AO268+20.691*'BMP P Tracking Table'!$AT268-216.711*'BMP P Tracking Table'!$AS268-83.853*'BMP P Tracking Table'!$AR268-42.834*'BMP P Tracking Table'!$AQ268)+SQRT((3630*'BMP P Tracking Table'!$AO268+20.691*'BMP P Tracking Table'!$AT268-216.711*'BMP P Tracking Table'!$AS268-83.853*'BMP P Tracking Table'!$AR268-42.834*'BMP P Tracking Table'!$AQ268)^2-(4*(149.919*'BMP P Tracking Table'!$AQ268+236.676*'BMP P Tracking Table'!$AR268+726*'BMP P Tracking Table'!$AS268+996.798*'BMP P Tracking Table'!$AT268)*-'BMP P Tracking Table'!$AW268)))/(2*(149.919*'BMP P Tracking Table'!$AQ268+236.676*'BMP P Tracking Table'!$AR268+726*'BMP P Tracking Table'!$AS268+996.798*'BMP P Tracking Table'!$AT268))))),MIN(2,IF('BMP P Tracking Table'!$AP268="Total Pervious",(-(3630*'BMP P Tracking Table'!$U268+20.691*'BMP P Tracking Table'!$AA268)+SQRT((3630*'BMP P Tracking Table'!$U268+20.691*'BMP P Tracking Table'!$AA268)^2-(4*(996.798*'BMP P Tracking Table'!$AA268)*-'BMP P Tracking Table'!$AW268)))/(2*(996.798*'BMP P Tracking Table'!$AA268)),IF(SUM('BMP P Tracking Table'!$W268:$Z268)=0,'BMP P Tracking Table'!$AW268/(-3630*'BMP P Tracking Table'!$U268),(-(3630*'BMP P Tracking Table'!$U268+20.691*'BMP P Tracking Table'!$Z268-216.711*'BMP P Tracking Table'!$Y268-83.853*'BMP P Tracking Table'!$X268-42.834*'BMP P Tracking Table'!$W268)+SQRT((3630*'BMP P Tracking Table'!$U268+20.691*'BMP P Tracking Table'!$Z268-216.711*'BMP P Tracking Table'!$Y268-83.853*'BMP P Tracking Table'!$X268-42.834*'BMP P Tracking Table'!$W268)^2-(4*(149.919*'BMP P Tracking Table'!$W268+236.676*'BMP P Tracking Table'!$X268+726*'BMP P Tracking Table'!$Y268+996.798*'BMP P Tracking Table'!$Z268)*-'BMP P Tracking Table'!$AW268)))/(2*(149.919*'BMP P Tracking Table'!$W268+236.676*'BMP P Tracking Table'!$X268+726*'BMP P Tracking Table'!$Y268+996.798*'BMP P Tracking Table'!$Z268)))))),"")</f>
        <v/>
      </c>
      <c r="BA268" s="101" t="str">
        <f>IFERROR((VLOOKUP(CONCATENATE('BMP P Tracking Table'!$AV268," ",'BMP P Tracking Table'!$AX268),'Performance Curves'!$C$1:$L$45,MATCH('BMP P Tracking Table'!$AZ268,'Performance Curves'!$E$1:$L$1,1)+2,FALSE)-VLOOKUP(CONCATENATE('BMP P Tracking Table'!$AV268," ",'BMP P Tracking Table'!$AX268),'Performance Curves'!$C$1:$L$45,MATCH('BMP P Tracking Table'!$AZ268,'Performance Curves'!$E$1:$L$1,1)+1,FALSE)),"")</f>
        <v/>
      </c>
      <c r="BB268" s="101" t="str">
        <f>IFERROR(('BMP P Tracking Table'!$AZ268-INDEX('Performance Curves'!$E$1:$L$1,1,MATCH('BMP P Tracking Table'!$AZ268,'Performance Curves'!$E$1:$L$1,1)))/(INDEX('Performance Curves'!$E$1:$L$1,1,MATCH('BMP P Tracking Table'!$AZ268,'Performance Curves'!$E$1:$L$1,1)+1)-INDEX('Performance Curves'!$E$1:$L$1,1,MATCH('BMP P Tracking Table'!$AZ268,'Performance Curves'!$E$1:$L$1,1))),"")</f>
        <v/>
      </c>
      <c r="BC268" s="102" t="str">
        <f>IFERROR(IF('BMP P Tracking Table'!$AZ268=2,VLOOKUP(CONCATENATE('BMP P Tracking Table'!$AV268," ",'BMP P Tracking Table'!$AX268),'Performance Curves'!$C$1:$L$44,MATCH('BMP P Tracking Table'!$AZ268,'Performance Curves'!$E$1:$L$1,1)+1,FALSE),'BMP P Tracking Table'!$BA268*'BMP P Tracking Table'!$BB268+VLOOKUP(CONCATENATE('BMP P Tracking Table'!$AV268," ",'BMP P Tracking Table'!$AX268),'Performance Curves'!$C$1:$L$44,MATCH('BMP P Tracking Table'!$AZ268,'Performance Curves'!$E$1:$L$1,1)+1,FALSE)),"")</f>
        <v/>
      </c>
      <c r="BD268" s="101" t="str">
        <f>IFERROR('BMP P Tracking Table'!$BC268*'BMP P Tracking Table'!$AY268,"")</f>
        <v/>
      </c>
      <c r="BE268" s="96"/>
      <c r="BF268" s="37">
        <f t="shared" si="19"/>
        <v>0</v>
      </c>
    </row>
    <row r="269" spans="1:58" x14ac:dyDescent="0.3">
      <c r="A269" s="64"/>
      <c r="B269" s="64"/>
      <c r="C269" s="64"/>
      <c r="D269" s="64"/>
      <c r="E269" s="93"/>
      <c r="F269" s="93"/>
      <c r="G269" s="64"/>
      <c r="H269" s="64"/>
      <c r="I269" s="64"/>
      <c r="J269" s="94"/>
      <c r="K269" s="64"/>
      <c r="L269" s="64"/>
      <c r="M269" s="64"/>
      <c r="N269" s="64"/>
      <c r="O269" s="64"/>
      <c r="P269" s="64"/>
      <c r="Q269" s="64" t="str">
        <f>IFERROR(VLOOKUP('BMP P Tracking Table'!$P269,Dropdowns!$C$2:$E$15,3,FALSE),"")</f>
        <v/>
      </c>
      <c r="R269" s="64" t="str">
        <f>IFERROR(VLOOKUP('BMP P Tracking Table'!$Q269,Dropdowns!$P$3:$Q$23,2,FALSE),"")</f>
        <v/>
      </c>
      <c r="S269" s="64"/>
      <c r="T269" s="64"/>
      <c r="U269" s="64"/>
      <c r="V269" s="64"/>
      <c r="W269" s="64"/>
      <c r="X269" s="64"/>
      <c r="Y269" s="64"/>
      <c r="Z269" s="64"/>
      <c r="AA269" s="64"/>
      <c r="AB269" s="95"/>
      <c r="AC269" s="64"/>
      <c r="AD269" s="101" t="str">
        <f>IFERROR('BMP P Tracking Table'!$U269*VLOOKUP('BMP P Tracking Table'!$Q269,'Loading Rates'!$B$1:$L$24,4,FALSE)+IF('BMP P Tracking Table'!$V269="By HSG",'BMP P Tracking Table'!$W269*VLOOKUP('BMP P Tracking Table'!$Q269,'Loading Rates'!$B$1:$L$24,6,FALSE)+'BMP P Tracking Table'!$X269*VLOOKUP('BMP P Tracking Table'!$Q269,'Loading Rates'!$B$1:$L$24,7,FALSE)+'BMP P Tracking Table'!$Y269*VLOOKUP('BMP P Tracking Table'!$Q269,'Loading Rates'!$B$1:$L$24,8,FALSE)+'BMP P Tracking Table'!$Z269*VLOOKUP('BMP P Tracking Table'!$Q269,'Loading Rates'!$B$1:$L$24,9,FALSE),'BMP P Tracking Table'!$AA269*VLOOKUP('BMP P Tracking Table'!$Q269,'Loading Rates'!$B$1:$L$24,10,FALSE)),"")</f>
        <v/>
      </c>
      <c r="AE269" s="101" t="str">
        <f>IFERROR(MIN(2,IF('BMP P Tracking Table'!$V269="Total Pervious",(-(3630*'BMP P Tracking Table'!$U269+20.691*'BMP P Tracking Table'!$AA269)+SQRT((3630*'BMP P Tracking Table'!$U269+20.691*'BMP P Tracking Table'!$AA269)^2-(4*(996.798*'BMP P Tracking Table'!$AA269)*-'BMP P Tracking Table'!$AB269)))/(2*(996.798*'BMP P Tracking Table'!$AA269)),IF(SUM('BMP P Tracking Table'!$W269:$Z269)=0,'BMP P Tracking Table'!$AB269/(-3630*'BMP P Tracking Table'!$U269),(-(3630*'BMP P Tracking Table'!$U269+20.691*'BMP P Tracking Table'!$Z269-216.711*'BMP P Tracking Table'!$Y269-83.853*'BMP P Tracking Table'!$X269-42.834*'BMP P Tracking Table'!$W269)+SQRT((3630*'BMP P Tracking Table'!$U269+20.691*'BMP P Tracking Table'!$Z269-216.711*'BMP P Tracking Table'!$Y269-83.853*'BMP P Tracking Table'!$X269-42.834*'BMP P Tracking Table'!$W269)^2-(4*(149.919*'BMP P Tracking Table'!$W269+236.676*'BMP P Tracking Table'!$X269+726*'BMP P Tracking Table'!$Y269+996.798*'BMP P Tracking Table'!$Z269)*-'BMP P Tracking Table'!$AB269)))/(2*(149.919*'BMP P Tracking Table'!$W269+236.676*'BMP P Tracking Table'!$X269+726*'BMP P Tracking Table'!$Y269+996.798*'BMP P Tracking Table'!$Z269))))),"")</f>
        <v/>
      </c>
      <c r="AF269" s="101" t="str">
        <f>IFERROR((VLOOKUP(CONCATENATE('BMP P Tracking Table'!$T269," ",'BMP P Tracking Table'!$AC269),'Performance Curves'!$C$1:$L$45,MATCH('BMP P Tracking Table'!$AE269,'Performance Curves'!$E$1:$L$1,1)+2,FALSE)-VLOOKUP(CONCATENATE('BMP P Tracking Table'!$T269," ",'BMP P Tracking Table'!$AC269),'Performance Curves'!$C$1:$L$45,MATCH('BMP P Tracking Table'!$AE269,'Performance Curves'!$E$1:$L$1,1)+1,FALSE)),"")</f>
        <v/>
      </c>
      <c r="AG269" s="101" t="str">
        <f>IFERROR(('BMP P Tracking Table'!$AE269-INDEX('Performance Curves'!$E$1:$L$1,1,MATCH('BMP P Tracking Table'!$AE269,'Performance Curves'!$E$1:$L$1,1)))/(INDEX('Performance Curves'!$E$1:$L$1,1,MATCH('BMP P Tracking Table'!$AE269,'Performance Curves'!$E$1:$L$1,1)+1)-INDEX('Performance Curves'!$E$1:$L$1,1,MATCH('BMP P Tracking Table'!$AE269,'Performance Curves'!$E$1:$L$1,1))),"")</f>
        <v/>
      </c>
      <c r="AH269" s="102" t="str">
        <f>IFERROR(IF('BMP P Tracking Table'!$AE269=2,VLOOKUP(CONCATENATE('BMP P Tracking Table'!$T269," ",'BMP P Tracking Table'!$AC269),'Performance Curves'!$C$1:$L$45,MATCH('BMP P Tracking Table'!$AE269,'Performance Curves'!$E$1:$L$1,1)+1,FALSE),'BMP P Tracking Table'!$AF269*'BMP P Tracking Table'!$AG269+VLOOKUP(CONCATENATE('BMP P Tracking Table'!$T269," ",'BMP P Tracking Table'!$AC269),'Performance Curves'!$C$1:$L$45,MATCH('BMP P Tracking Table'!$AE269,'Performance Curves'!$E$1:$L$1,1)+1,FALSE)),"")</f>
        <v/>
      </c>
      <c r="AI269" s="101" t="str">
        <f>IFERROR('BMP P Tracking Table'!$AH269*'BMP P Tracking Table'!$AD269,"")</f>
        <v/>
      </c>
      <c r="AJ269" s="64"/>
      <c r="AK269" s="96"/>
      <c r="AL269" s="96"/>
      <c r="AM269" s="63"/>
      <c r="AN269" s="99" t="str">
        <f t="shared" si="18"/>
        <v/>
      </c>
      <c r="AO269" s="96"/>
      <c r="AP269" s="96"/>
      <c r="AQ269" s="96"/>
      <c r="AR269" s="96"/>
      <c r="AS269" s="96"/>
      <c r="AT269" s="96"/>
      <c r="AU269" s="96"/>
      <c r="AV269" s="64"/>
      <c r="AW269" s="97"/>
      <c r="AX269" s="97"/>
      <c r="AY269" s="101" t="str">
        <f>IF('BMP P Tracking Table'!$AK269="Yes",IF('BMP P Tracking Table'!$AL269="No",'BMP P Tracking Table'!$U269*VLOOKUP('BMP P Tracking Table'!$Q269,'Loading Rates'!$B$1:$L$24,4,FALSE)+IF('BMP P Tracking Table'!$V269="By HSG",'BMP P Tracking Table'!$W269*VLOOKUP('BMP P Tracking Table'!$Q269,'Loading Rates'!$B$1:$L$24,6,FALSE)+'BMP P Tracking Table'!$X269*VLOOKUP('BMP P Tracking Table'!$Q269,'Loading Rates'!$B$1:$L$24,7,FALSE)+'BMP P Tracking Table'!$Y269*VLOOKUP('BMP P Tracking Table'!$Q269,'Loading Rates'!$B$1:$L$24,8,FALSE)+'BMP P Tracking Table'!$Z269*VLOOKUP('BMP P Tracking Table'!$Q269,'Loading Rates'!$B$1:$L$24,9,FALSE),'BMP P Tracking Table'!$AA269*VLOOKUP('BMP P Tracking Table'!$Q269,'Loading Rates'!$B$1:$L$24,10,FALSE)),'BMP P Tracking Table'!$AO269*VLOOKUP('BMP P Tracking Table'!$Q269,'Loading Rates'!$B$1:$L$24,4,FALSE)+IF('BMP P Tracking Table'!$AP269="By HSG",'BMP P Tracking Table'!$AQ269*VLOOKUP('BMP P Tracking Table'!$Q269,'Loading Rates'!$B$1:$L$24,6,FALSE)+'BMP P Tracking Table'!$AR269*VLOOKUP('BMP P Tracking Table'!$Q269,'Loading Rates'!$B$1:$L$24,7,FALSE)+'BMP P Tracking Table'!$AS269*VLOOKUP('BMP P Tracking Table'!$Q269,'Loading Rates'!$B$1:$L$24,8,FALSE)+'BMP P Tracking Table'!$AT269*VLOOKUP('BMP P Tracking Table'!$Q269,'Loading Rates'!$B$1:$L$24,9,FALSE),'BMP P Tracking Table'!$AU269*VLOOKUP('BMP P Tracking Table'!$Q269,'Loading Rates'!$B$1:$L$24,10,FALSE))),"")</f>
        <v/>
      </c>
      <c r="AZ269" s="101" t="str">
        <f>IFERROR(IF('BMP P Tracking Table'!$AL269="Yes",MIN(2,IF('BMP P Tracking Table'!$AP269="Total Pervious",(-(3630*'BMP P Tracking Table'!$AO269+20.691*'BMP P Tracking Table'!$AU269)+SQRT((3630*'BMP P Tracking Table'!$AO269+20.691*'BMP P Tracking Table'!$AU269)^2-(4*(996.798*'BMP P Tracking Table'!$AU269)*-'BMP P Tracking Table'!$AW269)))/(2*(996.798*'BMP P Tracking Table'!$AU269)),IF(SUM('BMP P Tracking Table'!$AQ269:$AT269)=0,'BMP P Tracking Table'!$AU269/(-3630*'BMP P Tracking Table'!$AO269),(-(3630*'BMP P Tracking Table'!$AO269+20.691*'BMP P Tracking Table'!$AT269-216.711*'BMP P Tracking Table'!$AS269-83.853*'BMP P Tracking Table'!$AR269-42.834*'BMP P Tracking Table'!$AQ269)+SQRT((3630*'BMP P Tracking Table'!$AO269+20.691*'BMP P Tracking Table'!$AT269-216.711*'BMP P Tracking Table'!$AS269-83.853*'BMP P Tracking Table'!$AR269-42.834*'BMP P Tracking Table'!$AQ269)^2-(4*(149.919*'BMP P Tracking Table'!$AQ269+236.676*'BMP P Tracking Table'!$AR269+726*'BMP P Tracking Table'!$AS269+996.798*'BMP P Tracking Table'!$AT269)*-'BMP P Tracking Table'!$AW269)))/(2*(149.919*'BMP P Tracking Table'!$AQ269+236.676*'BMP P Tracking Table'!$AR269+726*'BMP P Tracking Table'!$AS269+996.798*'BMP P Tracking Table'!$AT269))))),MIN(2,IF('BMP P Tracking Table'!$AP269="Total Pervious",(-(3630*'BMP P Tracking Table'!$U269+20.691*'BMP P Tracking Table'!$AA269)+SQRT((3630*'BMP P Tracking Table'!$U269+20.691*'BMP P Tracking Table'!$AA269)^2-(4*(996.798*'BMP P Tracking Table'!$AA269)*-'BMP P Tracking Table'!$AW269)))/(2*(996.798*'BMP P Tracking Table'!$AA269)),IF(SUM('BMP P Tracking Table'!$W269:$Z269)=0,'BMP P Tracking Table'!$AW269/(-3630*'BMP P Tracking Table'!$U269),(-(3630*'BMP P Tracking Table'!$U269+20.691*'BMP P Tracking Table'!$Z269-216.711*'BMP P Tracking Table'!$Y269-83.853*'BMP P Tracking Table'!$X269-42.834*'BMP P Tracking Table'!$W269)+SQRT((3630*'BMP P Tracking Table'!$U269+20.691*'BMP P Tracking Table'!$Z269-216.711*'BMP P Tracking Table'!$Y269-83.853*'BMP P Tracking Table'!$X269-42.834*'BMP P Tracking Table'!$W269)^2-(4*(149.919*'BMP P Tracking Table'!$W269+236.676*'BMP P Tracking Table'!$X269+726*'BMP P Tracking Table'!$Y269+996.798*'BMP P Tracking Table'!$Z269)*-'BMP P Tracking Table'!$AW269)))/(2*(149.919*'BMP P Tracking Table'!$W269+236.676*'BMP P Tracking Table'!$X269+726*'BMP P Tracking Table'!$Y269+996.798*'BMP P Tracking Table'!$Z269)))))),"")</f>
        <v/>
      </c>
      <c r="BA269" s="101" t="str">
        <f>IFERROR((VLOOKUP(CONCATENATE('BMP P Tracking Table'!$AV269," ",'BMP P Tracking Table'!$AX269),'Performance Curves'!$C$1:$L$45,MATCH('BMP P Tracking Table'!$AZ269,'Performance Curves'!$E$1:$L$1,1)+2,FALSE)-VLOOKUP(CONCATENATE('BMP P Tracking Table'!$AV269," ",'BMP P Tracking Table'!$AX269),'Performance Curves'!$C$1:$L$45,MATCH('BMP P Tracking Table'!$AZ269,'Performance Curves'!$E$1:$L$1,1)+1,FALSE)),"")</f>
        <v/>
      </c>
      <c r="BB269" s="101" t="str">
        <f>IFERROR(('BMP P Tracking Table'!$AZ269-INDEX('Performance Curves'!$E$1:$L$1,1,MATCH('BMP P Tracking Table'!$AZ269,'Performance Curves'!$E$1:$L$1,1)))/(INDEX('Performance Curves'!$E$1:$L$1,1,MATCH('BMP P Tracking Table'!$AZ269,'Performance Curves'!$E$1:$L$1,1)+1)-INDEX('Performance Curves'!$E$1:$L$1,1,MATCH('BMP P Tracking Table'!$AZ269,'Performance Curves'!$E$1:$L$1,1))),"")</f>
        <v/>
      </c>
      <c r="BC269" s="102" t="str">
        <f>IFERROR(IF('BMP P Tracking Table'!$AZ269=2,VLOOKUP(CONCATENATE('BMP P Tracking Table'!$AV269," ",'BMP P Tracking Table'!$AX269),'Performance Curves'!$C$1:$L$44,MATCH('BMP P Tracking Table'!$AZ269,'Performance Curves'!$E$1:$L$1,1)+1,FALSE),'BMP P Tracking Table'!$BA269*'BMP P Tracking Table'!$BB269+VLOOKUP(CONCATENATE('BMP P Tracking Table'!$AV269," ",'BMP P Tracking Table'!$AX269),'Performance Curves'!$C$1:$L$44,MATCH('BMP P Tracking Table'!$AZ269,'Performance Curves'!$E$1:$L$1,1)+1,FALSE)),"")</f>
        <v/>
      </c>
      <c r="BD269" s="101" t="str">
        <f>IFERROR('BMP P Tracking Table'!$BC269*'BMP P Tracking Table'!$AY269,"")</f>
        <v/>
      </c>
      <c r="BE269" s="96"/>
      <c r="BF269" s="37">
        <f t="shared" si="19"/>
        <v>0</v>
      </c>
    </row>
    <row r="270" spans="1:58" x14ac:dyDescent="0.3">
      <c r="A270" s="64"/>
      <c r="B270" s="64"/>
      <c r="C270" s="64"/>
      <c r="D270" s="64"/>
      <c r="E270" s="93"/>
      <c r="F270" s="93"/>
      <c r="G270" s="64"/>
      <c r="H270" s="64"/>
      <c r="I270" s="64"/>
      <c r="J270" s="94"/>
      <c r="K270" s="64"/>
      <c r="L270" s="64"/>
      <c r="M270" s="64"/>
      <c r="N270" s="64"/>
      <c r="O270" s="64"/>
      <c r="P270" s="64"/>
      <c r="Q270" s="64" t="str">
        <f>IFERROR(VLOOKUP('BMP P Tracking Table'!$P270,Dropdowns!$C$2:$E$15,3,FALSE),"")</f>
        <v/>
      </c>
      <c r="R270" s="64" t="str">
        <f>IFERROR(VLOOKUP('BMP P Tracking Table'!$Q270,Dropdowns!$P$3:$Q$23,2,FALSE),"")</f>
        <v/>
      </c>
      <c r="S270" s="64"/>
      <c r="T270" s="64"/>
      <c r="U270" s="64"/>
      <c r="V270" s="64"/>
      <c r="W270" s="64"/>
      <c r="X270" s="64"/>
      <c r="Y270" s="64"/>
      <c r="Z270" s="64"/>
      <c r="AA270" s="64"/>
      <c r="AB270" s="95"/>
      <c r="AC270" s="64"/>
      <c r="AD270" s="101" t="str">
        <f>IFERROR('BMP P Tracking Table'!$U270*VLOOKUP('BMP P Tracking Table'!$Q270,'Loading Rates'!$B$1:$L$24,4,FALSE)+IF('BMP P Tracking Table'!$V270="By HSG",'BMP P Tracking Table'!$W270*VLOOKUP('BMP P Tracking Table'!$Q270,'Loading Rates'!$B$1:$L$24,6,FALSE)+'BMP P Tracking Table'!$X270*VLOOKUP('BMP P Tracking Table'!$Q270,'Loading Rates'!$B$1:$L$24,7,FALSE)+'BMP P Tracking Table'!$Y270*VLOOKUP('BMP P Tracking Table'!$Q270,'Loading Rates'!$B$1:$L$24,8,FALSE)+'BMP P Tracking Table'!$Z270*VLOOKUP('BMP P Tracking Table'!$Q270,'Loading Rates'!$B$1:$L$24,9,FALSE),'BMP P Tracking Table'!$AA270*VLOOKUP('BMP P Tracking Table'!$Q270,'Loading Rates'!$B$1:$L$24,10,FALSE)),"")</f>
        <v/>
      </c>
      <c r="AE270" s="101" t="str">
        <f>IFERROR(MIN(2,IF('BMP P Tracking Table'!$V270="Total Pervious",(-(3630*'BMP P Tracking Table'!$U270+20.691*'BMP P Tracking Table'!$AA270)+SQRT((3630*'BMP P Tracking Table'!$U270+20.691*'BMP P Tracking Table'!$AA270)^2-(4*(996.798*'BMP P Tracking Table'!$AA270)*-'BMP P Tracking Table'!$AB270)))/(2*(996.798*'BMP P Tracking Table'!$AA270)),IF(SUM('BMP P Tracking Table'!$W270:$Z270)=0,'BMP P Tracking Table'!$AB270/(-3630*'BMP P Tracking Table'!$U270),(-(3630*'BMP P Tracking Table'!$U270+20.691*'BMP P Tracking Table'!$Z270-216.711*'BMP P Tracking Table'!$Y270-83.853*'BMP P Tracking Table'!$X270-42.834*'BMP P Tracking Table'!$W270)+SQRT((3630*'BMP P Tracking Table'!$U270+20.691*'BMP P Tracking Table'!$Z270-216.711*'BMP P Tracking Table'!$Y270-83.853*'BMP P Tracking Table'!$X270-42.834*'BMP P Tracking Table'!$W270)^2-(4*(149.919*'BMP P Tracking Table'!$W270+236.676*'BMP P Tracking Table'!$X270+726*'BMP P Tracking Table'!$Y270+996.798*'BMP P Tracking Table'!$Z270)*-'BMP P Tracking Table'!$AB270)))/(2*(149.919*'BMP P Tracking Table'!$W270+236.676*'BMP P Tracking Table'!$X270+726*'BMP P Tracking Table'!$Y270+996.798*'BMP P Tracking Table'!$Z270))))),"")</f>
        <v/>
      </c>
      <c r="AF270" s="101" t="str">
        <f>IFERROR((VLOOKUP(CONCATENATE('BMP P Tracking Table'!$T270," ",'BMP P Tracking Table'!$AC270),'Performance Curves'!$C$1:$L$45,MATCH('BMP P Tracking Table'!$AE270,'Performance Curves'!$E$1:$L$1,1)+2,FALSE)-VLOOKUP(CONCATENATE('BMP P Tracking Table'!$T270," ",'BMP P Tracking Table'!$AC270),'Performance Curves'!$C$1:$L$45,MATCH('BMP P Tracking Table'!$AE270,'Performance Curves'!$E$1:$L$1,1)+1,FALSE)),"")</f>
        <v/>
      </c>
      <c r="AG270" s="101" t="str">
        <f>IFERROR(('BMP P Tracking Table'!$AE270-INDEX('Performance Curves'!$E$1:$L$1,1,MATCH('BMP P Tracking Table'!$AE270,'Performance Curves'!$E$1:$L$1,1)))/(INDEX('Performance Curves'!$E$1:$L$1,1,MATCH('BMP P Tracking Table'!$AE270,'Performance Curves'!$E$1:$L$1,1)+1)-INDEX('Performance Curves'!$E$1:$L$1,1,MATCH('BMP P Tracking Table'!$AE270,'Performance Curves'!$E$1:$L$1,1))),"")</f>
        <v/>
      </c>
      <c r="AH270" s="102" t="str">
        <f>IFERROR(IF('BMP P Tracking Table'!$AE270=2,VLOOKUP(CONCATENATE('BMP P Tracking Table'!$T270," ",'BMP P Tracking Table'!$AC270),'Performance Curves'!$C$1:$L$45,MATCH('BMP P Tracking Table'!$AE270,'Performance Curves'!$E$1:$L$1,1)+1,FALSE),'BMP P Tracking Table'!$AF270*'BMP P Tracking Table'!$AG270+VLOOKUP(CONCATENATE('BMP P Tracking Table'!$T270," ",'BMP P Tracking Table'!$AC270),'Performance Curves'!$C$1:$L$45,MATCH('BMP P Tracking Table'!$AE270,'Performance Curves'!$E$1:$L$1,1)+1,FALSE)),"")</f>
        <v/>
      </c>
      <c r="AI270" s="101" t="str">
        <f>IFERROR('BMP P Tracking Table'!$AH270*'BMP P Tracking Table'!$AD270,"")</f>
        <v/>
      </c>
      <c r="AJ270" s="64"/>
      <c r="AK270" s="96"/>
      <c r="AL270" s="96"/>
      <c r="AM270" s="63"/>
      <c r="AN270" s="99" t="str">
        <f t="shared" si="18"/>
        <v/>
      </c>
      <c r="AO270" s="96"/>
      <c r="AP270" s="96"/>
      <c r="AQ270" s="96"/>
      <c r="AR270" s="96"/>
      <c r="AS270" s="96"/>
      <c r="AT270" s="96"/>
      <c r="AU270" s="96"/>
      <c r="AV270" s="64"/>
      <c r="AW270" s="97"/>
      <c r="AX270" s="97"/>
      <c r="AY270" s="101" t="str">
        <f>IF('BMP P Tracking Table'!$AK270="Yes",IF('BMP P Tracking Table'!$AL270="No",'BMP P Tracking Table'!$U270*VLOOKUP('BMP P Tracking Table'!$Q270,'Loading Rates'!$B$1:$L$24,4,FALSE)+IF('BMP P Tracking Table'!$V270="By HSG",'BMP P Tracking Table'!$W270*VLOOKUP('BMP P Tracking Table'!$Q270,'Loading Rates'!$B$1:$L$24,6,FALSE)+'BMP P Tracking Table'!$X270*VLOOKUP('BMP P Tracking Table'!$Q270,'Loading Rates'!$B$1:$L$24,7,FALSE)+'BMP P Tracking Table'!$Y270*VLOOKUP('BMP P Tracking Table'!$Q270,'Loading Rates'!$B$1:$L$24,8,FALSE)+'BMP P Tracking Table'!$Z270*VLOOKUP('BMP P Tracking Table'!$Q270,'Loading Rates'!$B$1:$L$24,9,FALSE),'BMP P Tracking Table'!$AA270*VLOOKUP('BMP P Tracking Table'!$Q270,'Loading Rates'!$B$1:$L$24,10,FALSE)),'BMP P Tracking Table'!$AO270*VLOOKUP('BMP P Tracking Table'!$Q270,'Loading Rates'!$B$1:$L$24,4,FALSE)+IF('BMP P Tracking Table'!$AP270="By HSG",'BMP P Tracking Table'!$AQ270*VLOOKUP('BMP P Tracking Table'!$Q270,'Loading Rates'!$B$1:$L$24,6,FALSE)+'BMP P Tracking Table'!$AR270*VLOOKUP('BMP P Tracking Table'!$Q270,'Loading Rates'!$B$1:$L$24,7,FALSE)+'BMP P Tracking Table'!$AS270*VLOOKUP('BMP P Tracking Table'!$Q270,'Loading Rates'!$B$1:$L$24,8,FALSE)+'BMP P Tracking Table'!$AT270*VLOOKUP('BMP P Tracking Table'!$Q270,'Loading Rates'!$B$1:$L$24,9,FALSE),'BMP P Tracking Table'!$AU270*VLOOKUP('BMP P Tracking Table'!$Q270,'Loading Rates'!$B$1:$L$24,10,FALSE))),"")</f>
        <v/>
      </c>
      <c r="AZ270" s="101" t="str">
        <f>IFERROR(IF('BMP P Tracking Table'!$AL270="Yes",MIN(2,IF('BMP P Tracking Table'!$AP270="Total Pervious",(-(3630*'BMP P Tracking Table'!$AO270+20.691*'BMP P Tracking Table'!$AU270)+SQRT((3630*'BMP P Tracking Table'!$AO270+20.691*'BMP P Tracking Table'!$AU270)^2-(4*(996.798*'BMP P Tracking Table'!$AU270)*-'BMP P Tracking Table'!$AW270)))/(2*(996.798*'BMP P Tracking Table'!$AU270)),IF(SUM('BMP P Tracking Table'!$AQ270:$AT270)=0,'BMP P Tracking Table'!$AU270/(-3630*'BMP P Tracking Table'!$AO270),(-(3630*'BMP P Tracking Table'!$AO270+20.691*'BMP P Tracking Table'!$AT270-216.711*'BMP P Tracking Table'!$AS270-83.853*'BMP P Tracking Table'!$AR270-42.834*'BMP P Tracking Table'!$AQ270)+SQRT((3630*'BMP P Tracking Table'!$AO270+20.691*'BMP P Tracking Table'!$AT270-216.711*'BMP P Tracking Table'!$AS270-83.853*'BMP P Tracking Table'!$AR270-42.834*'BMP P Tracking Table'!$AQ270)^2-(4*(149.919*'BMP P Tracking Table'!$AQ270+236.676*'BMP P Tracking Table'!$AR270+726*'BMP P Tracking Table'!$AS270+996.798*'BMP P Tracking Table'!$AT270)*-'BMP P Tracking Table'!$AW270)))/(2*(149.919*'BMP P Tracking Table'!$AQ270+236.676*'BMP P Tracking Table'!$AR270+726*'BMP P Tracking Table'!$AS270+996.798*'BMP P Tracking Table'!$AT270))))),MIN(2,IF('BMP P Tracking Table'!$AP270="Total Pervious",(-(3630*'BMP P Tracking Table'!$U270+20.691*'BMP P Tracking Table'!$AA270)+SQRT((3630*'BMP P Tracking Table'!$U270+20.691*'BMP P Tracking Table'!$AA270)^2-(4*(996.798*'BMP P Tracking Table'!$AA270)*-'BMP P Tracking Table'!$AW270)))/(2*(996.798*'BMP P Tracking Table'!$AA270)),IF(SUM('BMP P Tracking Table'!$W270:$Z270)=0,'BMP P Tracking Table'!$AW270/(-3630*'BMP P Tracking Table'!$U270),(-(3630*'BMP P Tracking Table'!$U270+20.691*'BMP P Tracking Table'!$Z270-216.711*'BMP P Tracking Table'!$Y270-83.853*'BMP P Tracking Table'!$X270-42.834*'BMP P Tracking Table'!$W270)+SQRT((3630*'BMP P Tracking Table'!$U270+20.691*'BMP P Tracking Table'!$Z270-216.711*'BMP P Tracking Table'!$Y270-83.853*'BMP P Tracking Table'!$X270-42.834*'BMP P Tracking Table'!$W270)^2-(4*(149.919*'BMP P Tracking Table'!$W270+236.676*'BMP P Tracking Table'!$X270+726*'BMP P Tracking Table'!$Y270+996.798*'BMP P Tracking Table'!$Z270)*-'BMP P Tracking Table'!$AW270)))/(2*(149.919*'BMP P Tracking Table'!$W270+236.676*'BMP P Tracking Table'!$X270+726*'BMP P Tracking Table'!$Y270+996.798*'BMP P Tracking Table'!$Z270)))))),"")</f>
        <v/>
      </c>
      <c r="BA270" s="101" t="str">
        <f>IFERROR((VLOOKUP(CONCATENATE('BMP P Tracking Table'!$AV270," ",'BMP P Tracking Table'!$AX270),'Performance Curves'!$C$1:$L$45,MATCH('BMP P Tracking Table'!$AZ270,'Performance Curves'!$E$1:$L$1,1)+2,FALSE)-VLOOKUP(CONCATENATE('BMP P Tracking Table'!$AV270," ",'BMP P Tracking Table'!$AX270),'Performance Curves'!$C$1:$L$45,MATCH('BMP P Tracking Table'!$AZ270,'Performance Curves'!$E$1:$L$1,1)+1,FALSE)),"")</f>
        <v/>
      </c>
      <c r="BB270" s="101" t="str">
        <f>IFERROR(('BMP P Tracking Table'!$AZ270-INDEX('Performance Curves'!$E$1:$L$1,1,MATCH('BMP P Tracking Table'!$AZ270,'Performance Curves'!$E$1:$L$1,1)))/(INDEX('Performance Curves'!$E$1:$L$1,1,MATCH('BMP P Tracking Table'!$AZ270,'Performance Curves'!$E$1:$L$1,1)+1)-INDEX('Performance Curves'!$E$1:$L$1,1,MATCH('BMP P Tracking Table'!$AZ270,'Performance Curves'!$E$1:$L$1,1))),"")</f>
        <v/>
      </c>
      <c r="BC270" s="102" t="str">
        <f>IFERROR(IF('BMP P Tracking Table'!$AZ270=2,VLOOKUP(CONCATENATE('BMP P Tracking Table'!$AV270," ",'BMP P Tracking Table'!$AX270),'Performance Curves'!$C$1:$L$44,MATCH('BMP P Tracking Table'!$AZ270,'Performance Curves'!$E$1:$L$1,1)+1,FALSE),'BMP P Tracking Table'!$BA270*'BMP P Tracking Table'!$BB270+VLOOKUP(CONCATENATE('BMP P Tracking Table'!$AV270," ",'BMP P Tracking Table'!$AX270),'Performance Curves'!$C$1:$L$44,MATCH('BMP P Tracking Table'!$AZ270,'Performance Curves'!$E$1:$L$1,1)+1,FALSE)),"")</f>
        <v/>
      </c>
      <c r="BD270" s="101" t="str">
        <f>IFERROR('BMP P Tracking Table'!$BC270*'BMP P Tracking Table'!$AY270,"")</f>
        <v/>
      </c>
      <c r="BE270" s="96"/>
      <c r="BF270" s="37">
        <f t="shared" si="19"/>
        <v>0</v>
      </c>
    </row>
    <row r="271" spans="1:58" x14ac:dyDescent="0.3">
      <c r="A271" s="64"/>
      <c r="B271" s="64"/>
      <c r="C271" s="64"/>
      <c r="D271" s="64"/>
      <c r="E271" s="93"/>
      <c r="F271" s="93"/>
      <c r="G271" s="64"/>
      <c r="H271" s="64"/>
      <c r="I271" s="64"/>
      <c r="J271" s="94"/>
      <c r="K271" s="64"/>
      <c r="L271" s="64"/>
      <c r="M271" s="64"/>
      <c r="N271" s="64"/>
      <c r="O271" s="64"/>
      <c r="P271" s="64"/>
      <c r="Q271" s="64" t="str">
        <f>IFERROR(VLOOKUP('BMP P Tracking Table'!$P271,Dropdowns!$C$2:$E$15,3,FALSE),"")</f>
        <v/>
      </c>
      <c r="R271" s="64" t="str">
        <f>IFERROR(VLOOKUP('BMP P Tracking Table'!$Q271,Dropdowns!$P$3:$Q$23,2,FALSE),"")</f>
        <v/>
      </c>
      <c r="S271" s="64"/>
      <c r="T271" s="64"/>
      <c r="U271" s="64"/>
      <c r="V271" s="64"/>
      <c r="W271" s="64"/>
      <c r="X271" s="64"/>
      <c r="Y271" s="64"/>
      <c r="Z271" s="64"/>
      <c r="AA271" s="64"/>
      <c r="AB271" s="95"/>
      <c r="AC271" s="64"/>
      <c r="AD271" s="101" t="str">
        <f>IFERROR('BMP P Tracking Table'!$U271*VLOOKUP('BMP P Tracking Table'!$Q271,'Loading Rates'!$B$1:$L$24,4,FALSE)+IF('BMP P Tracking Table'!$V271="By HSG",'BMP P Tracking Table'!$W271*VLOOKUP('BMP P Tracking Table'!$Q271,'Loading Rates'!$B$1:$L$24,6,FALSE)+'BMP P Tracking Table'!$X271*VLOOKUP('BMP P Tracking Table'!$Q271,'Loading Rates'!$B$1:$L$24,7,FALSE)+'BMP P Tracking Table'!$Y271*VLOOKUP('BMP P Tracking Table'!$Q271,'Loading Rates'!$B$1:$L$24,8,FALSE)+'BMP P Tracking Table'!$Z271*VLOOKUP('BMP P Tracking Table'!$Q271,'Loading Rates'!$B$1:$L$24,9,FALSE),'BMP P Tracking Table'!$AA271*VLOOKUP('BMP P Tracking Table'!$Q271,'Loading Rates'!$B$1:$L$24,10,FALSE)),"")</f>
        <v/>
      </c>
      <c r="AE271" s="101" t="str">
        <f>IFERROR(MIN(2,IF('BMP P Tracking Table'!$V271="Total Pervious",(-(3630*'BMP P Tracking Table'!$U271+20.691*'BMP P Tracking Table'!$AA271)+SQRT((3630*'BMP P Tracking Table'!$U271+20.691*'BMP P Tracking Table'!$AA271)^2-(4*(996.798*'BMP P Tracking Table'!$AA271)*-'BMP P Tracking Table'!$AB271)))/(2*(996.798*'BMP P Tracking Table'!$AA271)),IF(SUM('BMP P Tracking Table'!$W271:$Z271)=0,'BMP P Tracking Table'!$AB271/(-3630*'BMP P Tracking Table'!$U271),(-(3630*'BMP P Tracking Table'!$U271+20.691*'BMP P Tracking Table'!$Z271-216.711*'BMP P Tracking Table'!$Y271-83.853*'BMP P Tracking Table'!$X271-42.834*'BMP P Tracking Table'!$W271)+SQRT((3630*'BMP P Tracking Table'!$U271+20.691*'BMP P Tracking Table'!$Z271-216.711*'BMP P Tracking Table'!$Y271-83.853*'BMP P Tracking Table'!$X271-42.834*'BMP P Tracking Table'!$W271)^2-(4*(149.919*'BMP P Tracking Table'!$W271+236.676*'BMP P Tracking Table'!$X271+726*'BMP P Tracking Table'!$Y271+996.798*'BMP P Tracking Table'!$Z271)*-'BMP P Tracking Table'!$AB271)))/(2*(149.919*'BMP P Tracking Table'!$W271+236.676*'BMP P Tracking Table'!$X271+726*'BMP P Tracking Table'!$Y271+996.798*'BMP P Tracking Table'!$Z271))))),"")</f>
        <v/>
      </c>
      <c r="AF271" s="101" t="str">
        <f>IFERROR((VLOOKUP(CONCATENATE('BMP P Tracking Table'!$T271," ",'BMP P Tracking Table'!$AC271),'Performance Curves'!$C$1:$L$45,MATCH('BMP P Tracking Table'!$AE271,'Performance Curves'!$E$1:$L$1,1)+2,FALSE)-VLOOKUP(CONCATENATE('BMP P Tracking Table'!$T271," ",'BMP P Tracking Table'!$AC271),'Performance Curves'!$C$1:$L$45,MATCH('BMP P Tracking Table'!$AE271,'Performance Curves'!$E$1:$L$1,1)+1,FALSE)),"")</f>
        <v/>
      </c>
      <c r="AG271" s="101" t="str">
        <f>IFERROR(('BMP P Tracking Table'!$AE271-INDEX('Performance Curves'!$E$1:$L$1,1,MATCH('BMP P Tracking Table'!$AE271,'Performance Curves'!$E$1:$L$1,1)))/(INDEX('Performance Curves'!$E$1:$L$1,1,MATCH('BMP P Tracking Table'!$AE271,'Performance Curves'!$E$1:$L$1,1)+1)-INDEX('Performance Curves'!$E$1:$L$1,1,MATCH('BMP P Tracking Table'!$AE271,'Performance Curves'!$E$1:$L$1,1))),"")</f>
        <v/>
      </c>
      <c r="AH271" s="102" t="str">
        <f>IFERROR(IF('BMP P Tracking Table'!$AE271=2,VLOOKUP(CONCATENATE('BMP P Tracking Table'!$T271," ",'BMP P Tracking Table'!$AC271),'Performance Curves'!$C$1:$L$45,MATCH('BMP P Tracking Table'!$AE271,'Performance Curves'!$E$1:$L$1,1)+1,FALSE),'BMP P Tracking Table'!$AF271*'BMP P Tracking Table'!$AG271+VLOOKUP(CONCATENATE('BMP P Tracking Table'!$T271," ",'BMP P Tracking Table'!$AC271),'Performance Curves'!$C$1:$L$45,MATCH('BMP P Tracking Table'!$AE271,'Performance Curves'!$E$1:$L$1,1)+1,FALSE)),"")</f>
        <v/>
      </c>
      <c r="AI271" s="101" t="str">
        <f>IFERROR('BMP P Tracking Table'!$AH271*'BMP P Tracking Table'!$AD271,"")</f>
        <v/>
      </c>
      <c r="AJ271" s="64"/>
      <c r="AK271" s="96"/>
      <c r="AL271" s="96"/>
      <c r="AM271" s="63"/>
      <c r="AN271" s="99" t="str">
        <f t="shared" si="18"/>
        <v/>
      </c>
      <c r="AO271" s="96"/>
      <c r="AP271" s="96"/>
      <c r="AQ271" s="96"/>
      <c r="AR271" s="96"/>
      <c r="AS271" s="96"/>
      <c r="AT271" s="96"/>
      <c r="AU271" s="96"/>
      <c r="AV271" s="64"/>
      <c r="AW271" s="97"/>
      <c r="AX271" s="97"/>
      <c r="AY271" s="101" t="str">
        <f>IF('BMP P Tracking Table'!$AK271="Yes",IF('BMP P Tracking Table'!$AL271="No",'BMP P Tracking Table'!$U271*VLOOKUP('BMP P Tracking Table'!$Q271,'Loading Rates'!$B$1:$L$24,4,FALSE)+IF('BMP P Tracking Table'!$V271="By HSG",'BMP P Tracking Table'!$W271*VLOOKUP('BMP P Tracking Table'!$Q271,'Loading Rates'!$B$1:$L$24,6,FALSE)+'BMP P Tracking Table'!$X271*VLOOKUP('BMP P Tracking Table'!$Q271,'Loading Rates'!$B$1:$L$24,7,FALSE)+'BMP P Tracking Table'!$Y271*VLOOKUP('BMP P Tracking Table'!$Q271,'Loading Rates'!$B$1:$L$24,8,FALSE)+'BMP P Tracking Table'!$Z271*VLOOKUP('BMP P Tracking Table'!$Q271,'Loading Rates'!$B$1:$L$24,9,FALSE),'BMP P Tracking Table'!$AA271*VLOOKUP('BMP P Tracking Table'!$Q271,'Loading Rates'!$B$1:$L$24,10,FALSE)),'BMP P Tracking Table'!$AO271*VLOOKUP('BMP P Tracking Table'!$Q271,'Loading Rates'!$B$1:$L$24,4,FALSE)+IF('BMP P Tracking Table'!$AP271="By HSG",'BMP P Tracking Table'!$AQ271*VLOOKUP('BMP P Tracking Table'!$Q271,'Loading Rates'!$B$1:$L$24,6,FALSE)+'BMP P Tracking Table'!$AR271*VLOOKUP('BMP P Tracking Table'!$Q271,'Loading Rates'!$B$1:$L$24,7,FALSE)+'BMP P Tracking Table'!$AS271*VLOOKUP('BMP P Tracking Table'!$Q271,'Loading Rates'!$B$1:$L$24,8,FALSE)+'BMP P Tracking Table'!$AT271*VLOOKUP('BMP P Tracking Table'!$Q271,'Loading Rates'!$B$1:$L$24,9,FALSE),'BMP P Tracking Table'!$AU271*VLOOKUP('BMP P Tracking Table'!$Q271,'Loading Rates'!$B$1:$L$24,10,FALSE))),"")</f>
        <v/>
      </c>
      <c r="AZ271" s="101" t="str">
        <f>IFERROR(IF('BMP P Tracking Table'!$AL271="Yes",MIN(2,IF('BMP P Tracking Table'!$AP271="Total Pervious",(-(3630*'BMP P Tracking Table'!$AO271+20.691*'BMP P Tracking Table'!$AU271)+SQRT((3630*'BMP P Tracking Table'!$AO271+20.691*'BMP P Tracking Table'!$AU271)^2-(4*(996.798*'BMP P Tracking Table'!$AU271)*-'BMP P Tracking Table'!$AW271)))/(2*(996.798*'BMP P Tracking Table'!$AU271)),IF(SUM('BMP P Tracking Table'!$AQ271:$AT271)=0,'BMP P Tracking Table'!$AU271/(-3630*'BMP P Tracking Table'!$AO271),(-(3630*'BMP P Tracking Table'!$AO271+20.691*'BMP P Tracking Table'!$AT271-216.711*'BMP P Tracking Table'!$AS271-83.853*'BMP P Tracking Table'!$AR271-42.834*'BMP P Tracking Table'!$AQ271)+SQRT((3630*'BMP P Tracking Table'!$AO271+20.691*'BMP P Tracking Table'!$AT271-216.711*'BMP P Tracking Table'!$AS271-83.853*'BMP P Tracking Table'!$AR271-42.834*'BMP P Tracking Table'!$AQ271)^2-(4*(149.919*'BMP P Tracking Table'!$AQ271+236.676*'BMP P Tracking Table'!$AR271+726*'BMP P Tracking Table'!$AS271+996.798*'BMP P Tracking Table'!$AT271)*-'BMP P Tracking Table'!$AW271)))/(2*(149.919*'BMP P Tracking Table'!$AQ271+236.676*'BMP P Tracking Table'!$AR271+726*'BMP P Tracking Table'!$AS271+996.798*'BMP P Tracking Table'!$AT271))))),MIN(2,IF('BMP P Tracking Table'!$AP271="Total Pervious",(-(3630*'BMP P Tracking Table'!$U271+20.691*'BMP P Tracking Table'!$AA271)+SQRT((3630*'BMP P Tracking Table'!$U271+20.691*'BMP P Tracking Table'!$AA271)^2-(4*(996.798*'BMP P Tracking Table'!$AA271)*-'BMP P Tracking Table'!$AW271)))/(2*(996.798*'BMP P Tracking Table'!$AA271)),IF(SUM('BMP P Tracking Table'!$W271:$Z271)=0,'BMP P Tracking Table'!$AW271/(-3630*'BMP P Tracking Table'!$U271),(-(3630*'BMP P Tracking Table'!$U271+20.691*'BMP P Tracking Table'!$Z271-216.711*'BMP P Tracking Table'!$Y271-83.853*'BMP P Tracking Table'!$X271-42.834*'BMP P Tracking Table'!$W271)+SQRT((3630*'BMP P Tracking Table'!$U271+20.691*'BMP P Tracking Table'!$Z271-216.711*'BMP P Tracking Table'!$Y271-83.853*'BMP P Tracking Table'!$X271-42.834*'BMP P Tracking Table'!$W271)^2-(4*(149.919*'BMP P Tracking Table'!$W271+236.676*'BMP P Tracking Table'!$X271+726*'BMP P Tracking Table'!$Y271+996.798*'BMP P Tracking Table'!$Z271)*-'BMP P Tracking Table'!$AW271)))/(2*(149.919*'BMP P Tracking Table'!$W271+236.676*'BMP P Tracking Table'!$X271+726*'BMP P Tracking Table'!$Y271+996.798*'BMP P Tracking Table'!$Z271)))))),"")</f>
        <v/>
      </c>
      <c r="BA271" s="101" t="str">
        <f>IFERROR((VLOOKUP(CONCATENATE('BMP P Tracking Table'!$AV271," ",'BMP P Tracking Table'!$AX271),'Performance Curves'!$C$1:$L$45,MATCH('BMP P Tracking Table'!$AZ271,'Performance Curves'!$E$1:$L$1,1)+2,FALSE)-VLOOKUP(CONCATENATE('BMP P Tracking Table'!$AV271," ",'BMP P Tracking Table'!$AX271),'Performance Curves'!$C$1:$L$45,MATCH('BMP P Tracking Table'!$AZ271,'Performance Curves'!$E$1:$L$1,1)+1,FALSE)),"")</f>
        <v/>
      </c>
      <c r="BB271" s="101" t="str">
        <f>IFERROR(('BMP P Tracking Table'!$AZ271-INDEX('Performance Curves'!$E$1:$L$1,1,MATCH('BMP P Tracking Table'!$AZ271,'Performance Curves'!$E$1:$L$1,1)))/(INDEX('Performance Curves'!$E$1:$L$1,1,MATCH('BMP P Tracking Table'!$AZ271,'Performance Curves'!$E$1:$L$1,1)+1)-INDEX('Performance Curves'!$E$1:$L$1,1,MATCH('BMP P Tracking Table'!$AZ271,'Performance Curves'!$E$1:$L$1,1))),"")</f>
        <v/>
      </c>
      <c r="BC271" s="102" t="str">
        <f>IFERROR(IF('BMP P Tracking Table'!$AZ271=2,VLOOKUP(CONCATENATE('BMP P Tracking Table'!$AV271," ",'BMP P Tracking Table'!$AX271),'Performance Curves'!$C$1:$L$44,MATCH('BMP P Tracking Table'!$AZ271,'Performance Curves'!$E$1:$L$1,1)+1,FALSE),'BMP P Tracking Table'!$BA271*'BMP P Tracking Table'!$BB271+VLOOKUP(CONCATENATE('BMP P Tracking Table'!$AV271," ",'BMP P Tracking Table'!$AX271),'Performance Curves'!$C$1:$L$44,MATCH('BMP P Tracking Table'!$AZ271,'Performance Curves'!$E$1:$L$1,1)+1,FALSE)),"")</f>
        <v/>
      </c>
      <c r="BD271" s="101" t="str">
        <f>IFERROR('BMP P Tracking Table'!$BC271*'BMP P Tracking Table'!$AY271,"")</f>
        <v/>
      </c>
      <c r="BE271" s="96"/>
      <c r="BF271" s="37">
        <f t="shared" si="19"/>
        <v>0</v>
      </c>
    </row>
    <row r="272" spans="1:58" x14ac:dyDescent="0.3">
      <c r="A272" s="64"/>
      <c r="B272" s="64"/>
      <c r="C272" s="64"/>
      <c r="D272" s="64"/>
      <c r="E272" s="93"/>
      <c r="F272" s="93"/>
      <c r="G272" s="64"/>
      <c r="H272" s="64"/>
      <c r="I272" s="64"/>
      <c r="J272" s="94"/>
      <c r="K272" s="64"/>
      <c r="L272" s="64"/>
      <c r="M272" s="64"/>
      <c r="N272" s="64"/>
      <c r="O272" s="64"/>
      <c r="P272" s="64"/>
      <c r="Q272" s="64" t="str">
        <f>IFERROR(VLOOKUP('BMP P Tracking Table'!$P272,Dropdowns!$C$2:$E$15,3,FALSE),"")</f>
        <v/>
      </c>
      <c r="R272" s="64" t="str">
        <f>IFERROR(VLOOKUP('BMP P Tracking Table'!$Q272,Dropdowns!$P$3:$Q$23,2,FALSE),"")</f>
        <v/>
      </c>
      <c r="S272" s="64"/>
      <c r="T272" s="64"/>
      <c r="U272" s="64"/>
      <c r="V272" s="64"/>
      <c r="W272" s="64"/>
      <c r="X272" s="64"/>
      <c r="Y272" s="64"/>
      <c r="Z272" s="64"/>
      <c r="AA272" s="64"/>
      <c r="AB272" s="95"/>
      <c r="AC272" s="64"/>
      <c r="AD272" s="101" t="str">
        <f>IFERROR('BMP P Tracking Table'!$U272*VLOOKUP('BMP P Tracking Table'!$Q272,'Loading Rates'!$B$1:$L$24,4,FALSE)+IF('BMP P Tracking Table'!$V272="By HSG",'BMP P Tracking Table'!$W272*VLOOKUP('BMP P Tracking Table'!$Q272,'Loading Rates'!$B$1:$L$24,6,FALSE)+'BMP P Tracking Table'!$X272*VLOOKUP('BMP P Tracking Table'!$Q272,'Loading Rates'!$B$1:$L$24,7,FALSE)+'BMP P Tracking Table'!$Y272*VLOOKUP('BMP P Tracking Table'!$Q272,'Loading Rates'!$B$1:$L$24,8,FALSE)+'BMP P Tracking Table'!$Z272*VLOOKUP('BMP P Tracking Table'!$Q272,'Loading Rates'!$B$1:$L$24,9,FALSE),'BMP P Tracking Table'!$AA272*VLOOKUP('BMP P Tracking Table'!$Q272,'Loading Rates'!$B$1:$L$24,10,FALSE)),"")</f>
        <v/>
      </c>
      <c r="AE272" s="101" t="str">
        <f>IFERROR(MIN(2,IF('BMP P Tracking Table'!$V272="Total Pervious",(-(3630*'BMP P Tracking Table'!$U272+20.691*'BMP P Tracking Table'!$AA272)+SQRT((3630*'BMP P Tracking Table'!$U272+20.691*'BMP P Tracking Table'!$AA272)^2-(4*(996.798*'BMP P Tracking Table'!$AA272)*-'BMP P Tracking Table'!$AB272)))/(2*(996.798*'BMP P Tracking Table'!$AA272)),IF(SUM('BMP P Tracking Table'!$W272:$Z272)=0,'BMP P Tracking Table'!$AB272/(-3630*'BMP P Tracking Table'!$U272),(-(3630*'BMP P Tracking Table'!$U272+20.691*'BMP P Tracking Table'!$Z272-216.711*'BMP P Tracking Table'!$Y272-83.853*'BMP P Tracking Table'!$X272-42.834*'BMP P Tracking Table'!$W272)+SQRT((3630*'BMP P Tracking Table'!$U272+20.691*'BMP P Tracking Table'!$Z272-216.711*'BMP P Tracking Table'!$Y272-83.853*'BMP P Tracking Table'!$X272-42.834*'BMP P Tracking Table'!$W272)^2-(4*(149.919*'BMP P Tracking Table'!$W272+236.676*'BMP P Tracking Table'!$X272+726*'BMP P Tracking Table'!$Y272+996.798*'BMP P Tracking Table'!$Z272)*-'BMP P Tracking Table'!$AB272)))/(2*(149.919*'BMP P Tracking Table'!$W272+236.676*'BMP P Tracking Table'!$X272+726*'BMP P Tracking Table'!$Y272+996.798*'BMP P Tracking Table'!$Z272))))),"")</f>
        <v/>
      </c>
      <c r="AF272" s="101" t="str">
        <f>IFERROR((VLOOKUP(CONCATENATE('BMP P Tracking Table'!$T272," ",'BMP P Tracking Table'!$AC272),'Performance Curves'!$C$1:$L$45,MATCH('BMP P Tracking Table'!$AE272,'Performance Curves'!$E$1:$L$1,1)+2,FALSE)-VLOOKUP(CONCATENATE('BMP P Tracking Table'!$T272," ",'BMP P Tracking Table'!$AC272),'Performance Curves'!$C$1:$L$45,MATCH('BMP P Tracking Table'!$AE272,'Performance Curves'!$E$1:$L$1,1)+1,FALSE)),"")</f>
        <v/>
      </c>
      <c r="AG272" s="101" t="str">
        <f>IFERROR(('BMP P Tracking Table'!$AE272-INDEX('Performance Curves'!$E$1:$L$1,1,MATCH('BMP P Tracking Table'!$AE272,'Performance Curves'!$E$1:$L$1,1)))/(INDEX('Performance Curves'!$E$1:$L$1,1,MATCH('BMP P Tracking Table'!$AE272,'Performance Curves'!$E$1:$L$1,1)+1)-INDEX('Performance Curves'!$E$1:$L$1,1,MATCH('BMP P Tracking Table'!$AE272,'Performance Curves'!$E$1:$L$1,1))),"")</f>
        <v/>
      </c>
      <c r="AH272" s="102" t="str">
        <f>IFERROR(IF('BMP P Tracking Table'!$AE272=2,VLOOKUP(CONCATENATE('BMP P Tracking Table'!$T272," ",'BMP P Tracking Table'!$AC272),'Performance Curves'!$C$1:$L$45,MATCH('BMP P Tracking Table'!$AE272,'Performance Curves'!$E$1:$L$1,1)+1,FALSE),'BMP P Tracking Table'!$AF272*'BMP P Tracking Table'!$AG272+VLOOKUP(CONCATENATE('BMP P Tracking Table'!$T272," ",'BMP P Tracking Table'!$AC272),'Performance Curves'!$C$1:$L$45,MATCH('BMP P Tracking Table'!$AE272,'Performance Curves'!$E$1:$L$1,1)+1,FALSE)),"")</f>
        <v/>
      </c>
      <c r="AI272" s="101" t="str">
        <f>IFERROR('BMP P Tracking Table'!$AH272*'BMP P Tracking Table'!$AD272,"")</f>
        <v/>
      </c>
      <c r="AJ272" s="64"/>
      <c r="AK272" s="96"/>
      <c r="AL272" s="96"/>
      <c r="AM272" s="63"/>
      <c r="AN272" s="99" t="str">
        <f t="shared" si="18"/>
        <v/>
      </c>
      <c r="AO272" s="96"/>
      <c r="AP272" s="96"/>
      <c r="AQ272" s="96"/>
      <c r="AR272" s="96"/>
      <c r="AS272" s="96"/>
      <c r="AT272" s="96"/>
      <c r="AU272" s="96"/>
      <c r="AV272" s="64"/>
      <c r="AW272" s="97"/>
      <c r="AX272" s="97"/>
      <c r="AY272" s="101" t="str">
        <f>IF('BMP P Tracking Table'!$AK272="Yes",IF('BMP P Tracking Table'!$AL272="No",'BMP P Tracking Table'!$U272*VLOOKUP('BMP P Tracking Table'!$Q272,'Loading Rates'!$B$1:$L$24,4,FALSE)+IF('BMP P Tracking Table'!$V272="By HSG",'BMP P Tracking Table'!$W272*VLOOKUP('BMP P Tracking Table'!$Q272,'Loading Rates'!$B$1:$L$24,6,FALSE)+'BMP P Tracking Table'!$X272*VLOOKUP('BMP P Tracking Table'!$Q272,'Loading Rates'!$B$1:$L$24,7,FALSE)+'BMP P Tracking Table'!$Y272*VLOOKUP('BMP P Tracking Table'!$Q272,'Loading Rates'!$B$1:$L$24,8,FALSE)+'BMP P Tracking Table'!$Z272*VLOOKUP('BMP P Tracking Table'!$Q272,'Loading Rates'!$B$1:$L$24,9,FALSE),'BMP P Tracking Table'!$AA272*VLOOKUP('BMP P Tracking Table'!$Q272,'Loading Rates'!$B$1:$L$24,10,FALSE)),'BMP P Tracking Table'!$AO272*VLOOKUP('BMP P Tracking Table'!$Q272,'Loading Rates'!$B$1:$L$24,4,FALSE)+IF('BMP P Tracking Table'!$AP272="By HSG",'BMP P Tracking Table'!$AQ272*VLOOKUP('BMP P Tracking Table'!$Q272,'Loading Rates'!$B$1:$L$24,6,FALSE)+'BMP P Tracking Table'!$AR272*VLOOKUP('BMP P Tracking Table'!$Q272,'Loading Rates'!$B$1:$L$24,7,FALSE)+'BMP P Tracking Table'!$AS272*VLOOKUP('BMP P Tracking Table'!$Q272,'Loading Rates'!$B$1:$L$24,8,FALSE)+'BMP P Tracking Table'!$AT272*VLOOKUP('BMP P Tracking Table'!$Q272,'Loading Rates'!$B$1:$L$24,9,FALSE),'BMP P Tracking Table'!$AU272*VLOOKUP('BMP P Tracking Table'!$Q272,'Loading Rates'!$B$1:$L$24,10,FALSE))),"")</f>
        <v/>
      </c>
      <c r="AZ272" s="101" t="str">
        <f>IFERROR(IF('BMP P Tracking Table'!$AL272="Yes",MIN(2,IF('BMP P Tracking Table'!$AP272="Total Pervious",(-(3630*'BMP P Tracking Table'!$AO272+20.691*'BMP P Tracking Table'!$AU272)+SQRT((3630*'BMP P Tracking Table'!$AO272+20.691*'BMP P Tracking Table'!$AU272)^2-(4*(996.798*'BMP P Tracking Table'!$AU272)*-'BMP P Tracking Table'!$AW272)))/(2*(996.798*'BMP P Tracking Table'!$AU272)),IF(SUM('BMP P Tracking Table'!$AQ272:$AT272)=0,'BMP P Tracking Table'!$AU272/(-3630*'BMP P Tracking Table'!$AO272),(-(3630*'BMP P Tracking Table'!$AO272+20.691*'BMP P Tracking Table'!$AT272-216.711*'BMP P Tracking Table'!$AS272-83.853*'BMP P Tracking Table'!$AR272-42.834*'BMP P Tracking Table'!$AQ272)+SQRT((3630*'BMP P Tracking Table'!$AO272+20.691*'BMP P Tracking Table'!$AT272-216.711*'BMP P Tracking Table'!$AS272-83.853*'BMP P Tracking Table'!$AR272-42.834*'BMP P Tracking Table'!$AQ272)^2-(4*(149.919*'BMP P Tracking Table'!$AQ272+236.676*'BMP P Tracking Table'!$AR272+726*'BMP P Tracking Table'!$AS272+996.798*'BMP P Tracking Table'!$AT272)*-'BMP P Tracking Table'!$AW272)))/(2*(149.919*'BMP P Tracking Table'!$AQ272+236.676*'BMP P Tracking Table'!$AR272+726*'BMP P Tracking Table'!$AS272+996.798*'BMP P Tracking Table'!$AT272))))),MIN(2,IF('BMP P Tracking Table'!$AP272="Total Pervious",(-(3630*'BMP P Tracking Table'!$U272+20.691*'BMP P Tracking Table'!$AA272)+SQRT((3630*'BMP P Tracking Table'!$U272+20.691*'BMP P Tracking Table'!$AA272)^2-(4*(996.798*'BMP P Tracking Table'!$AA272)*-'BMP P Tracking Table'!$AW272)))/(2*(996.798*'BMP P Tracking Table'!$AA272)),IF(SUM('BMP P Tracking Table'!$W272:$Z272)=0,'BMP P Tracking Table'!$AW272/(-3630*'BMP P Tracking Table'!$U272),(-(3630*'BMP P Tracking Table'!$U272+20.691*'BMP P Tracking Table'!$Z272-216.711*'BMP P Tracking Table'!$Y272-83.853*'BMP P Tracking Table'!$X272-42.834*'BMP P Tracking Table'!$W272)+SQRT((3630*'BMP P Tracking Table'!$U272+20.691*'BMP P Tracking Table'!$Z272-216.711*'BMP P Tracking Table'!$Y272-83.853*'BMP P Tracking Table'!$X272-42.834*'BMP P Tracking Table'!$W272)^2-(4*(149.919*'BMP P Tracking Table'!$W272+236.676*'BMP P Tracking Table'!$X272+726*'BMP P Tracking Table'!$Y272+996.798*'BMP P Tracking Table'!$Z272)*-'BMP P Tracking Table'!$AW272)))/(2*(149.919*'BMP P Tracking Table'!$W272+236.676*'BMP P Tracking Table'!$X272+726*'BMP P Tracking Table'!$Y272+996.798*'BMP P Tracking Table'!$Z272)))))),"")</f>
        <v/>
      </c>
      <c r="BA272" s="101" t="str">
        <f>IFERROR((VLOOKUP(CONCATENATE('BMP P Tracking Table'!$AV272," ",'BMP P Tracking Table'!$AX272),'Performance Curves'!$C$1:$L$45,MATCH('BMP P Tracking Table'!$AZ272,'Performance Curves'!$E$1:$L$1,1)+2,FALSE)-VLOOKUP(CONCATENATE('BMP P Tracking Table'!$AV272," ",'BMP P Tracking Table'!$AX272),'Performance Curves'!$C$1:$L$45,MATCH('BMP P Tracking Table'!$AZ272,'Performance Curves'!$E$1:$L$1,1)+1,FALSE)),"")</f>
        <v/>
      </c>
      <c r="BB272" s="101" t="str">
        <f>IFERROR(('BMP P Tracking Table'!$AZ272-INDEX('Performance Curves'!$E$1:$L$1,1,MATCH('BMP P Tracking Table'!$AZ272,'Performance Curves'!$E$1:$L$1,1)))/(INDEX('Performance Curves'!$E$1:$L$1,1,MATCH('BMP P Tracking Table'!$AZ272,'Performance Curves'!$E$1:$L$1,1)+1)-INDEX('Performance Curves'!$E$1:$L$1,1,MATCH('BMP P Tracking Table'!$AZ272,'Performance Curves'!$E$1:$L$1,1))),"")</f>
        <v/>
      </c>
      <c r="BC272" s="102" t="str">
        <f>IFERROR(IF('BMP P Tracking Table'!$AZ272=2,VLOOKUP(CONCATENATE('BMP P Tracking Table'!$AV272," ",'BMP P Tracking Table'!$AX272),'Performance Curves'!$C$1:$L$44,MATCH('BMP P Tracking Table'!$AZ272,'Performance Curves'!$E$1:$L$1,1)+1,FALSE),'BMP P Tracking Table'!$BA272*'BMP P Tracking Table'!$BB272+VLOOKUP(CONCATENATE('BMP P Tracking Table'!$AV272," ",'BMP P Tracking Table'!$AX272),'Performance Curves'!$C$1:$L$44,MATCH('BMP P Tracking Table'!$AZ272,'Performance Curves'!$E$1:$L$1,1)+1,FALSE)),"")</f>
        <v/>
      </c>
      <c r="BD272" s="101" t="str">
        <f>IFERROR('BMP P Tracking Table'!$BC272*'BMP P Tracking Table'!$AY272,"")</f>
        <v/>
      </c>
      <c r="BE272" s="96"/>
      <c r="BF272" s="37">
        <f t="shared" si="19"/>
        <v>0</v>
      </c>
    </row>
    <row r="273" spans="1:58" x14ac:dyDescent="0.3">
      <c r="A273" s="64"/>
      <c r="B273" s="64"/>
      <c r="C273" s="64"/>
      <c r="D273" s="64"/>
      <c r="E273" s="93"/>
      <c r="F273" s="93"/>
      <c r="G273" s="64"/>
      <c r="H273" s="64"/>
      <c r="I273" s="64"/>
      <c r="J273" s="94"/>
      <c r="K273" s="64"/>
      <c r="L273" s="64"/>
      <c r="M273" s="64"/>
      <c r="N273" s="64"/>
      <c r="O273" s="64"/>
      <c r="P273" s="64"/>
      <c r="Q273" s="64" t="str">
        <f>IFERROR(VLOOKUP('BMP P Tracking Table'!$P273,Dropdowns!$C$2:$E$15,3,FALSE),"")</f>
        <v/>
      </c>
      <c r="R273" s="64" t="str">
        <f>IFERROR(VLOOKUP('BMP P Tracking Table'!$Q273,Dropdowns!$P$3:$Q$23,2,FALSE),"")</f>
        <v/>
      </c>
      <c r="S273" s="64"/>
      <c r="T273" s="64"/>
      <c r="U273" s="64"/>
      <c r="V273" s="64"/>
      <c r="W273" s="64"/>
      <c r="X273" s="64"/>
      <c r="Y273" s="64"/>
      <c r="Z273" s="64"/>
      <c r="AA273" s="64"/>
      <c r="AB273" s="95"/>
      <c r="AC273" s="64"/>
      <c r="AD273" s="101" t="str">
        <f>IFERROR('BMP P Tracking Table'!$U273*VLOOKUP('BMP P Tracking Table'!$Q273,'Loading Rates'!$B$1:$L$24,4,FALSE)+IF('BMP P Tracking Table'!$V273="By HSG",'BMP P Tracking Table'!$W273*VLOOKUP('BMP P Tracking Table'!$Q273,'Loading Rates'!$B$1:$L$24,6,FALSE)+'BMP P Tracking Table'!$X273*VLOOKUP('BMP P Tracking Table'!$Q273,'Loading Rates'!$B$1:$L$24,7,FALSE)+'BMP P Tracking Table'!$Y273*VLOOKUP('BMP P Tracking Table'!$Q273,'Loading Rates'!$B$1:$L$24,8,FALSE)+'BMP P Tracking Table'!$Z273*VLOOKUP('BMP P Tracking Table'!$Q273,'Loading Rates'!$B$1:$L$24,9,FALSE),'BMP P Tracking Table'!$AA273*VLOOKUP('BMP P Tracking Table'!$Q273,'Loading Rates'!$B$1:$L$24,10,FALSE)),"")</f>
        <v/>
      </c>
      <c r="AE273" s="101" t="str">
        <f>IFERROR(MIN(2,IF('BMP P Tracking Table'!$V273="Total Pervious",(-(3630*'BMP P Tracking Table'!$U273+20.691*'BMP P Tracking Table'!$AA273)+SQRT((3630*'BMP P Tracking Table'!$U273+20.691*'BMP P Tracking Table'!$AA273)^2-(4*(996.798*'BMP P Tracking Table'!$AA273)*-'BMP P Tracking Table'!$AB273)))/(2*(996.798*'BMP P Tracking Table'!$AA273)),IF(SUM('BMP P Tracking Table'!$W273:$Z273)=0,'BMP P Tracking Table'!$AB273/(-3630*'BMP P Tracking Table'!$U273),(-(3630*'BMP P Tracking Table'!$U273+20.691*'BMP P Tracking Table'!$Z273-216.711*'BMP P Tracking Table'!$Y273-83.853*'BMP P Tracking Table'!$X273-42.834*'BMP P Tracking Table'!$W273)+SQRT((3630*'BMP P Tracking Table'!$U273+20.691*'BMP P Tracking Table'!$Z273-216.711*'BMP P Tracking Table'!$Y273-83.853*'BMP P Tracking Table'!$X273-42.834*'BMP P Tracking Table'!$W273)^2-(4*(149.919*'BMP P Tracking Table'!$W273+236.676*'BMP P Tracking Table'!$X273+726*'BMP P Tracking Table'!$Y273+996.798*'BMP P Tracking Table'!$Z273)*-'BMP P Tracking Table'!$AB273)))/(2*(149.919*'BMP P Tracking Table'!$W273+236.676*'BMP P Tracking Table'!$X273+726*'BMP P Tracking Table'!$Y273+996.798*'BMP P Tracking Table'!$Z273))))),"")</f>
        <v/>
      </c>
      <c r="AF273" s="101" t="str">
        <f>IFERROR((VLOOKUP(CONCATENATE('BMP P Tracking Table'!$T273," ",'BMP P Tracking Table'!$AC273),'Performance Curves'!$C$1:$L$45,MATCH('BMP P Tracking Table'!$AE273,'Performance Curves'!$E$1:$L$1,1)+2,FALSE)-VLOOKUP(CONCATENATE('BMP P Tracking Table'!$T273," ",'BMP P Tracking Table'!$AC273),'Performance Curves'!$C$1:$L$45,MATCH('BMP P Tracking Table'!$AE273,'Performance Curves'!$E$1:$L$1,1)+1,FALSE)),"")</f>
        <v/>
      </c>
      <c r="AG273" s="101" t="str">
        <f>IFERROR(('BMP P Tracking Table'!$AE273-INDEX('Performance Curves'!$E$1:$L$1,1,MATCH('BMP P Tracking Table'!$AE273,'Performance Curves'!$E$1:$L$1,1)))/(INDEX('Performance Curves'!$E$1:$L$1,1,MATCH('BMP P Tracking Table'!$AE273,'Performance Curves'!$E$1:$L$1,1)+1)-INDEX('Performance Curves'!$E$1:$L$1,1,MATCH('BMP P Tracking Table'!$AE273,'Performance Curves'!$E$1:$L$1,1))),"")</f>
        <v/>
      </c>
      <c r="AH273" s="102" t="str">
        <f>IFERROR(IF('BMP P Tracking Table'!$AE273=2,VLOOKUP(CONCATENATE('BMP P Tracking Table'!$T273," ",'BMP P Tracking Table'!$AC273),'Performance Curves'!$C$1:$L$45,MATCH('BMP P Tracking Table'!$AE273,'Performance Curves'!$E$1:$L$1,1)+1,FALSE),'BMP P Tracking Table'!$AF273*'BMP P Tracking Table'!$AG273+VLOOKUP(CONCATENATE('BMP P Tracking Table'!$T273," ",'BMP P Tracking Table'!$AC273),'Performance Curves'!$C$1:$L$45,MATCH('BMP P Tracking Table'!$AE273,'Performance Curves'!$E$1:$L$1,1)+1,FALSE)),"")</f>
        <v/>
      </c>
      <c r="AI273" s="101" t="str">
        <f>IFERROR('BMP P Tracking Table'!$AH273*'BMP P Tracking Table'!$AD273,"")</f>
        <v/>
      </c>
      <c r="AJ273" s="64"/>
      <c r="AK273" s="96"/>
      <c r="AL273" s="96"/>
      <c r="AM273" s="63"/>
      <c r="AN273" s="99" t="str">
        <f t="shared" si="18"/>
        <v/>
      </c>
      <c r="AO273" s="96"/>
      <c r="AP273" s="96"/>
      <c r="AQ273" s="96"/>
      <c r="AR273" s="96"/>
      <c r="AS273" s="96"/>
      <c r="AT273" s="96"/>
      <c r="AU273" s="96"/>
      <c r="AV273" s="64"/>
      <c r="AW273" s="97"/>
      <c r="AX273" s="97"/>
      <c r="AY273" s="101" t="str">
        <f>IF('BMP P Tracking Table'!$AK273="Yes",IF('BMP P Tracking Table'!$AL273="No",'BMP P Tracking Table'!$U273*VLOOKUP('BMP P Tracking Table'!$Q273,'Loading Rates'!$B$1:$L$24,4,FALSE)+IF('BMP P Tracking Table'!$V273="By HSG",'BMP P Tracking Table'!$W273*VLOOKUP('BMP P Tracking Table'!$Q273,'Loading Rates'!$B$1:$L$24,6,FALSE)+'BMP P Tracking Table'!$X273*VLOOKUP('BMP P Tracking Table'!$Q273,'Loading Rates'!$B$1:$L$24,7,FALSE)+'BMP P Tracking Table'!$Y273*VLOOKUP('BMP P Tracking Table'!$Q273,'Loading Rates'!$B$1:$L$24,8,FALSE)+'BMP P Tracking Table'!$Z273*VLOOKUP('BMP P Tracking Table'!$Q273,'Loading Rates'!$B$1:$L$24,9,FALSE),'BMP P Tracking Table'!$AA273*VLOOKUP('BMP P Tracking Table'!$Q273,'Loading Rates'!$B$1:$L$24,10,FALSE)),'BMP P Tracking Table'!$AO273*VLOOKUP('BMP P Tracking Table'!$Q273,'Loading Rates'!$B$1:$L$24,4,FALSE)+IF('BMP P Tracking Table'!$AP273="By HSG",'BMP P Tracking Table'!$AQ273*VLOOKUP('BMP P Tracking Table'!$Q273,'Loading Rates'!$B$1:$L$24,6,FALSE)+'BMP P Tracking Table'!$AR273*VLOOKUP('BMP P Tracking Table'!$Q273,'Loading Rates'!$B$1:$L$24,7,FALSE)+'BMP P Tracking Table'!$AS273*VLOOKUP('BMP P Tracking Table'!$Q273,'Loading Rates'!$B$1:$L$24,8,FALSE)+'BMP P Tracking Table'!$AT273*VLOOKUP('BMP P Tracking Table'!$Q273,'Loading Rates'!$B$1:$L$24,9,FALSE),'BMP P Tracking Table'!$AU273*VLOOKUP('BMP P Tracking Table'!$Q273,'Loading Rates'!$B$1:$L$24,10,FALSE))),"")</f>
        <v/>
      </c>
      <c r="AZ273" s="101" t="str">
        <f>IFERROR(IF('BMP P Tracking Table'!$AL273="Yes",MIN(2,IF('BMP P Tracking Table'!$AP273="Total Pervious",(-(3630*'BMP P Tracking Table'!$AO273+20.691*'BMP P Tracking Table'!$AU273)+SQRT((3630*'BMP P Tracking Table'!$AO273+20.691*'BMP P Tracking Table'!$AU273)^2-(4*(996.798*'BMP P Tracking Table'!$AU273)*-'BMP P Tracking Table'!$AW273)))/(2*(996.798*'BMP P Tracking Table'!$AU273)),IF(SUM('BMP P Tracking Table'!$AQ273:$AT273)=0,'BMP P Tracking Table'!$AU273/(-3630*'BMP P Tracking Table'!$AO273),(-(3630*'BMP P Tracking Table'!$AO273+20.691*'BMP P Tracking Table'!$AT273-216.711*'BMP P Tracking Table'!$AS273-83.853*'BMP P Tracking Table'!$AR273-42.834*'BMP P Tracking Table'!$AQ273)+SQRT((3630*'BMP P Tracking Table'!$AO273+20.691*'BMP P Tracking Table'!$AT273-216.711*'BMP P Tracking Table'!$AS273-83.853*'BMP P Tracking Table'!$AR273-42.834*'BMP P Tracking Table'!$AQ273)^2-(4*(149.919*'BMP P Tracking Table'!$AQ273+236.676*'BMP P Tracking Table'!$AR273+726*'BMP P Tracking Table'!$AS273+996.798*'BMP P Tracking Table'!$AT273)*-'BMP P Tracking Table'!$AW273)))/(2*(149.919*'BMP P Tracking Table'!$AQ273+236.676*'BMP P Tracking Table'!$AR273+726*'BMP P Tracking Table'!$AS273+996.798*'BMP P Tracking Table'!$AT273))))),MIN(2,IF('BMP P Tracking Table'!$AP273="Total Pervious",(-(3630*'BMP P Tracking Table'!$U273+20.691*'BMP P Tracking Table'!$AA273)+SQRT((3630*'BMP P Tracking Table'!$U273+20.691*'BMP P Tracking Table'!$AA273)^2-(4*(996.798*'BMP P Tracking Table'!$AA273)*-'BMP P Tracking Table'!$AW273)))/(2*(996.798*'BMP P Tracking Table'!$AA273)),IF(SUM('BMP P Tracking Table'!$W273:$Z273)=0,'BMP P Tracking Table'!$AW273/(-3630*'BMP P Tracking Table'!$U273),(-(3630*'BMP P Tracking Table'!$U273+20.691*'BMP P Tracking Table'!$Z273-216.711*'BMP P Tracking Table'!$Y273-83.853*'BMP P Tracking Table'!$X273-42.834*'BMP P Tracking Table'!$W273)+SQRT((3630*'BMP P Tracking Table'!$U273+20.691*'BMP P Tracking Table'!$Z273-216.711*'BMP P Tracking Table'!$Y273-83.853*'BMP P Tracking Table'!$X273-42.834*'BMP P Tracking Table'!$W273)^2-(4*(149.919*'BMP P Tracking Table'!$W273+236.676*'BMP P Tracking Table'!$X273+726*'BMP P Tracking Table'!$Y273+996.798*'BMP P Tracking Table'!$Z273)*-'BMP P Tracking Table'!$AW273)))/(2*(149.919*'BMP P Tracking Table'!$W273+236.676*'BMP P Tracking Table'!$X273+726*'BMP P Tracking Table'!$Y273+996.798*'BMP P Tracking Table'!$Z273)))))),"")</f>
        <v/>
      </c>
      <c r="BA273" s="101" t="str">
        <f>IFERROR((VLOOKUP(CONCATENATE('BMP P Tracking Table'!$AV273," ",'BMP P Tracking Table'!$AX273),'Performance Curves'!$C$1:$L$45,MATCH('BMP P Tracking Table'!$AZ273,'Performance Curves'!$E$1:$L$1,1)+2,FALSE)-VLOOKUP(CONCATENATE('BMP P Tracking Table'!$AV273," ",'BMP P Tracking Table'!$AX273),'Performance Curves'!$C$1:$L$45,MATCH('BMP P Tracking Table'!$AZ273,'Performance Curves'!$E$1:$L$1,1)+1,FALSE)),"")</f>
        <v/>
      </c>
      <c r="BB273" s="101" t="str">
        <f>IFERROR(('BMP P Tracking Table'!$AZ273-INDEX('Performance Curves'!$E$1:$L$1,1,MATCH('BMP P Tracking Table'!$AZ273,'Performance Curves'!$E$1:$L$1,1)))/(INDEX('Performance Curves'!$E$1:$L$1,1,MATCH('BMP P Tracking Table'!$AZ273,'Performance Curves'!$E$1:$L$1,1)+1)-INDEX('Performance Curves'!$E$1:$L$1,1,MATCH('BMP P Tracking Table'!$AZ273,'Performance Curves'!$E$1:$L$1,1))),"")</f>
        <v/>
      </c>
      <c r="BC273" s="102" t="str">
        <f>IFERROR(IF('BMP P Tracking Table'!$AZ273=2,VLOOKUP(CONCATENATE('BMP P Tracking Table'!$AV273," ",'BMP P Tracking Table'!$AX273),'Performance Curves'!$C$1:$L$44,MATCH('BMP P Tracking Table'!$AZ273,'Performance Curves'!$E$1:$L$1,1)+1,FALSE),'BMP P Tracking Table'!$BA273*'BMP P Tracking Table'!$BB273+VLOOKUP(CONCATENATE('BMP P Tracking Table'!$AV273," ",'BMP P Tracking Table'!$AX273),'Performance Curves'!$C$1:$L$44,MATCH('BMP P Tracking Table'!$AZ273,'Performance Curves'!$E$1:$L$1,1)+1,FALSE)),"")</f>
        <v/>
      </c>
      <c r="BD273" s="101" t="str">
        <f>IFERROR('BMP P Tracking Table'!$BC273*'BMP P Tracking Table'!$AY273,"")</f>
        <v/>
      </c>
      <c r="BE273" s="96"/>
      <c r="BF273" s="37">
        <f t="shared" si="19"/>
        <v>0</v>
      </c>
    </row>
    <row r="274" spans="1:58" x14ac:dyDescent="0.3">
      <c r="A274" s="64"/>
      <c r="B274" s="64"/>
      <c r="C274" s="64"/>
      <c r="D274" s="64"/>
      <c r="E274" s="93"/>
      <c r="F274" s="93"/>
      <c r="G274" s="64"/>
      <c r="H274" s="64"/>
      <c r="I274" s="64"/>
      <c r="J274" s="94"/>
      <c r="K274" s="64"/>
      <c r="L274" s="64"/>
      <c r="M274" s="64"/>
      <c r="N274" s="64"/>
      <c r="O274" s="64"/>
      <c r="P274" s="64"/>
      <c r="Q274" s="64" t="str">
        <f>IFERROR(VLOOKUP('BMP P Tracking Table'!$P274,Dropdowns!$C$2:$E$15,3,FALSE),"")</f>
        <v/>
      </c>
      <c r="R274" s="64" t="str">
        <f>IFERROR(VLOOKUP('BMP P Tracking Table'!$Q274,Dropdowns!$P$3:$Q$23,2,FALSE),"")</f>
        <v/>
      </c>
      <c r="S274" s="64"/>
      <c r="T274" s="64"/>
      <c r="U274" s="64"/>
      <c r="V274" s="64"/>
      <c r="W274" s="64"/>
      <c r="X274" s="64"/>
      <c r="Y274" s="64"/>
      <c r="Z274" s="64"/>
      <c r="AA274" s="64"/>
      <c r="AB274" s="95"/>
      <c r="AC274" s="64"/>
      <c r="AD274" s="101" t="str">
        <f>IFERROR('BMP P Tracking Table'!$U274*VLOOKUP('BMP P Tracking Table'!$Q274,'Loading Rates'!$B$1:$L$24,4,FALSE)+IF('BMP P Tracking Table'!$V274="By HSG",'BMP P Tracking Table'!$W274*VLOOKUP('BMP P Tracking Table'!$Q274,'Loading Rates'!$B$1:$L$24,6,FALSE)+'BMP P Tracking Table'!$X274*VLOOKUP('BMP P Tracking Table'!$Q274,'Loading Rates'!$B$1:$L$24,7,FALSE)+'BMP P Tracking Table'!$Y274*VLOOKUP('BMP P Tracking Table'!$Q274,'Loading Rates'!$B$1:$L$24,8,FALSE)+'BMP P Tracking Table'!$Z274*VLOOKUP('BMP P Tracking Table'!$Q274,'Loading Rates'!$B$1:$L$24,9,FALSE),'BMP P Tracking Table'!$AA274*VLOOKUP('BMP P Tracking Table'!$Q274,'Loading Rates'!$B$1:$L$24,10,FALSE)),"")</f>
        <v/>
      </c>
      <c r="AE274" s="101" t="str">
        <f>IFERROR(MIN(2,IF('BMP P Tracking Table'!$V274="Total Pervious",(-(3630*'BMP P Tracking Table'!$U274+20.691*'BMP P Tracking Table'!$AA274)+SQRT((3630*'BMP P Tracking Table'!$U274+20.691*'BMP P Tracking Table'!$AA274)^2-(4*(996.798*'BMP P Tracking Table'!$AA274)*-'BMP P Tracking Table'!$AB274)))/(2*(996.798*'BMP P Tracking Table'!$AA274)),IF(SUM('BMP P Tracking Table'!$W274:$Z274)=0,'BMP P Tracking Table'!$AB274/(-3630*'BMP P Tracking Table'!$U274),(-(3630*'BMP P Tracking Table'!$U274+20.691*'BMP P Tracking Table'!$Z274-216.711*'BMP P Tracking Table'!$Y274-83.853*'BMP P Tracking Table'!$X274-42.834*'BMP P Tracking Table'!$W274)+SQRT((3630*'BMP P Tracking Table'!$U274+20.691*'BMP P Tracking Table'!$Z274-216.711*'BMP P Tracking Table'!$Y274-83.853*'BMP P Tracking Table'!$X274-42.834*'BMP P Tracking Table'!$W274)^2-(4*(149.919*'BMP P Tracking Table'!$W274+236.676*'BMP P Tracking Table'!$X274+726*'BMP P Tracking Table'!$Y274+996.798*'BMP P Tracking Table'!$Z274)*-'BMP P Tracking Table'!$AB274)))/(2*(149.919*'BMP P Tracking Table'!$W274+236.676*'BMP P Tracking Table'!$X274+726*'BMP P Tracking Table'!$Y274+996.798*'BMP P Tracking Table'!$Z274))))),"")</f>
        <v/>
      </c>
      <c r="AF274" s="101" t="str">
        <f>IFERROR((VLOOKUP(CONCATENATE('BMP P Tracking Table'!$T274," ",'BMP P Tracking Table'!$AC274),'Performance Curves'!$C$1:$L$45,MATCH('BMP P Tracking Table'!$AE274,'Performance Curves'!$E$1:$L$1,1)+2,FALSE)-VLOOKUP(CONCATENATE('BMP P Tracking Table'!$T274," ",'BMP P Tracking Table'!$AC274),'Performance Curves'!$C$1:$L$45,MATCH('BMP P Tracking Table'!$AE274,'Performance Curves'!$E$1:$L$1,1)+1,FALSE)),"")</f>
        <v/>
      </c>
      <c r="AG274" s="101" t="str">
        <f>IFERROR(('BMP P Tracking Table'!$AE274-INDEX('Performance Curves'!$E$1:$L$1,1,MATCH('BMP P Tracking Table'!$AE274,'Performance Curves'!$E$1:$L$1,1)))/(INDEX('Performance Curves'!$E$1:$L$1,1,MATCH('BMP P Tracking Table'!$AE274,'Performance Curves'!$E$1:$L$1,1)+1)-INDEX('Performance Curves'!$E$1:$L$1,1,MATCH('BMP P Tracking Table'!$AE274,'Performance Curves'!$E$1:$L$1,1))),"")</f>
        <v/>
      </c>
      <c r="AH274" s="102" t="str">
        <f>IFERROR(IF('BMP P Tracking Table'!$AE274=2,VLOOKUP(CONCATENATE('BMP P Tracking Table'!$T274," ",'BMP P Tracking Table'!$AC274),'Performance Curves'!$C$1:$L$45,MATCH('BMP P Tracking Table'!$AE274,'Performance Curves'!$E$1:$L$1,1)+1,FALSE),'BMP P Tracking Table'!$AF274*'BMP P Tracking Table'!$AG274+VLOOKUP(CONCATENATE('BMP P Tracking Table'!$T274," ",'BMP P Tracking Table'!$AC274),'Performance Curves'!$C$1:$L$45,MATCH('BMP P Tracking Table'!$AE274,'Performance Curves'!$E$1:$L$1,1)+1,FALSE)),"")</f>
        <v/>
      </c>
      <c r="AI274" s="101" t="str">
        <f>IFERROR('BMP P Tracking Table'!$AH274*'BMP P Tracking Table'!$AD274,"")</f>
        <v/>
      </c>
      <c r="AJ274" s="64"/>
      <c r="AK274" s="96"/>
      <c r="AL274" s="96"/>
      <c r="AM274" s="63"/>
      <c r="AN274" s="99" t="str">
        <f t="shared" si="18"/>
        <v/>
      </c>
      <c r="AO274" s="96"/>
      <c r="AP274" s="96"/>
      <c r="AQ274" s="96"/>
      <c r="AR274" s="96"/>
      <c r="AS274" s="96"/>
      <c r="AT274" s="96"/>
      <c r="AU274" s="96"/>
      <c r="AV274" s="64"/>
      <c r="AW274" s="97"/>
      <c r="AX274" s="97"/>
      <c r="AY274" s="101" t="str">
        <f>IF('BMP P Tracking Table'!$AK274="Yes",IF('BMP P Tracking Table'!$AL274="No",'BMP P Tracking Table'!$U274*VLOOKUP('BMP P Tracking Table'!$Q274,'Loading Rates'!$B$1:$L$24,4,FALSE)+IF('BMP P Tracking Table'!$V274="By HSG",'BMP P Tracking Table'!$W274*VLOOKUP('BMP P Tracking Table'!$Q274,'Loading Rates'!$B$1:$L$24,6,FALSE)+'BMP P Tracking Table'!$X274*VLOOKUP('BMP P Tracking Table'!$Q274,'Loading Rates'!$B$1:$L$24,7,FALSE)+'BMP P Tracking Table'!$Y274*VLOOKUP('BMP P Tracking Table'!$Q274,'Loading Rates'!$B$1:$L$24,8,FALSE)+'BMP P Tracking Table'!$Z274*VLOOKUP('BMP P Tracking Table'!$Q274,'Loading Rates'!$B$1:$L$24,9,FALSE),'BMP P Tracking Table'!$AA274*VLOOKUP('BMP P Tracking Table'!$Q274,'Loading Rates'!$B$1:$L$24,10,FALSE)),'BMP P Tracking Table'!$AO274*VLOOKUP('BMP P Tracking Table'!$Q274,'Loading Rates'!$B$1:$L$24,4,FALSE)+IF('BMP P Tracking Table'!$AP274="By HSG",'BMP P Tracking Table'!$AQ274*VLOOKUP('BMP P Tracking Table'!$Q274,'Loading Rates'!$B$1:$L$24,6,FALSE)+'BMP P Tracking Table'!$AR274*VLOOKUP('BMP P Tracking Table'!$Q274,'Loading Rates'!$B$1:$L$24,7,FALSE)+'BMP P Tracking Table'!$AS274*VLOOKUP('BMP P Tracking Table'!$Q274,'Loading Rates'!$B$1:$L$24,8,FALSE)+'BMP P Tracking Table'!$AT274*VLOOKUP('BMP P Tracking Table'!$Q274,'Loading Rates'!$B$1:$L$24,9,FALSE),'BMP P Tracking Table'!$AU274*VLOOKUP('BMP P Tracking Table'!$Q274,'Loading Rates'!$B$1:$L$24,10,FALSE))),"")</f>
        <v/>
      </c>
      <c r="AZ274" s="101" t="str">
        <f>IFERROR(IF('BMP P Tracking Table'!$AL274="Yes",MIN(2,IF('BMP P Tracking Table'!$AP274="Total Pervious",(-(3630*'BMP P Tracking Table'!$AO274+20.691*'BMP P Tracking Table'!$AU274)+SQRT((3630*'BMP P Tracking Table'!$AO274+20.691*'BMP P Tracking Table'!$AU274)^2-(4*(996.798*'BMP P Tracking Table'!$AU274)*-'BMP P Tracking Table'!$AW274)))/(2*(996.798*'BMP P Tracking Table'!$AU274)),IF(SUM('BMP P Tracking Table'!$AQ274:$AT274)=0,'BMP P Tracking Table'!$AU274/(-3630*'BMP P Tracking Table'!$AO274),(-(3630*'BMP P Tracking Table'!$AO274+20.691*'BMP P Tracking Table'!$AT274-216.711*'BMP P Tracking Table'!$AS274-83.853*'BMP P Tracking Table'!$AR274-42.834*'BMP P Tracking Table'!$AQ274)+SQRT((3630*'BMP P Tracking Table'!$AO274+20.691*'BMP P Tracking Table'!$AT274-216.711*'BMP P Tracking Table'!$AS274-83.853*'BMP P Tracking Table'!$AR274-42.834*'BMP P Tracking Table'!$AQ274)^2-(4*(149.919*'BMP P Tracking Table'!$AQ274+236.676*'BMP P Tracking Table'!$AR274+726*'BMP P Tracking Table'!$AS274+996.798*'BMP P Tracking Table'!$AT274)*-'BMP P Tracking Table'!$AW274)))/(2*(149.919*'BMP P Tracking Table'!$AQ274+236.676*'BMP P Tracking Table'!$AR274+726*'BMP P Tracking Table'!$AS274+996.798*'BMP P Tracking Table'!$AT274))))),MIN(2,IF('BMP P Tracking Table'!$AP274="Total Pervious",(-(3630*'BMP P Tracking Table'!$U274+20.691*'BMP P Tracking Table'!$AA274)+SQRT((3630*'BMP P Tracking Table'!$U274+20.691*'BMP P Tracking Table'!$AA274)^2-(4*(996.798*'BMP P Tracking Table'!$AA274)*-'BMP P Tracking Table'!$AW274)))/(2*(996.798*'BMP P Tracking Table'!$AA274)),IF(SUM('BMP P Tracking Table'!$W274:$Z274)=0,'BMP P Tracking Table'!$AW274/(-3630*'BMP P Tracking Table'!$U274),(-(3630*'BMP P Tracking Table'!$U274+20.691*'BMP P Tracking Table'!$Z274-216.711*'BMP P Tracking Table'!$Y274-83.853*'BMP P Tracking Table'!$X274-42.834*'BMP P Tracking Table'!$W274)+SQRT((3630*'BMP P Tracking Table'!$U274+20.691*'BMP P Tracking Table'!$Z274-216.711*'BMP P Tracking Table'!$Y274-83.853*'BMP P Tracking Table'!$X274-42.834*'BMP P Tracking Table'!$W274)^2-(4*(149.919*'BMP P Tracking Table'!$W274+236.676*'BMP P Tracking Table'!$X274+726*'BMP P Tracking Table'!$Y274+996.798*'BMP P Tracking Table'!$Z274)*-'BMP P Tracking Table'!$AW274)))/(2*(149.919*'BMP P Tracking Table'!$W274+236.676*'BMP P Tracking Table'!$X274+726*'BMP P Tracking Table'!$Y274+996.798*'BMP P Tracking Table'!$Z274)))))),"")</f>
        <v/>
      </c>
      <c r="BA274" s="101" t="str">
        <f>IFERROR((VLOOKUP(CONCATENATE('BMP P Tracking Table'!$AV274," ",'BMP P Tracking Table'!$AX274),'Performance Curves'!$C$1:$L$45,MATCH('BMP P Tracking Table'!$AZ274,'Performance Curves'!$E$1:$L$1,1)+2,FALSE)-VLOOKUP(CONCATENATE('BMP P Tracking Table'!$AV274," ",'BMP P Tracking Table'!$AX274),'Performance Curves'!$C$1:$L$45,MATCH('BMP P Tracking Table'!$AZ274,'Performance Curves'!$E$1:$L$1,1)+1,FALSE)),"")</f>
        <v/>
      </c>
      <c r="BB274" s="101" t="str">
        <f>IFERROR(('BMP P Tracking Table'!$AZ274-INDEX('Performance Curves'!$E$1:$L$1,1,MATCH('BMP P Tracking Table'!$AZ274,'Performance Curves'!$E$1:$L$1,1)))/(INDEX('Performance Curves'!$E$1:$L$1,1,MATCH('BMP P Tracking Table'!$AZ274,'Performance Curves'!$E$1:$L$1,1)+1)-INDEX('Performance Curves'!$E$1:$L$1,1,MATCH('BMP P Tracking Table'!$AZ274,'Performance Curves'!$E$1:$L$1,1))),"")</f>
        <v/>
      </c>
      <c r="BC274" s="102" t="str">
        <f>IFERROR(IF('BMP P Tracking Table'!$AZ274=2,VLOOKUP(CONCATENATE('BMP P Tracking Table'!$AV274," ",'BMP P Tracking Table'!$AX274),'Performance Curves'!$C$1:$L$44,MATCH('BMP P Tracking Table'!$AZ274,'Performance Curves'!$E$1:$L$1,1)+1,FALSE),'BMP P Tracking Table'!$BA274*'BMP P Tracking Table'!$BB274+VLOOKUP(CONCATENATE('BMP P Tracking Table'!$AV274," ",'BMP P Tracking Table'!$AX274),'Performance Curves'!$C$1:$L$44,MATCH('BMP P Tracking Table'!$AZ274,'Performance Curves'!$E$1:$L$1,1)+1,FALSE)),"")</f>
        <v/>
      </c>
      <c r="BD274" s="101" t="str">
        <f>IFERROR('BMP P Tracking Table'!$BC274*'BMP P Tracking Table'!$AY274,"")</f>
        <v/>
      </c>
      <c r="BE274" s="96"/>
      <c r="BF274" s="37">
        <f t="shared" si="19"/>
        <v>0</v>
      </c>
    </row>
    <row r="275" spans="1:58" x14ac:dyDescent="0.3">
      <c r="A275" s="64"/>
      <c r="B275" s="64"/>
      <c r="C275" s="64"/>
      <c r="D275" s="64"/>
      <c r="E275" s="93"/>
      <c r="F275" s="93"/>
      <c r="G275" s="64"/>
      <c r="H275" s="64"/>
      <c r="I275" s="64"/>
      <c r="J275" s="94"/>
      <c r="K275" s="64"/>
      <c r="L275" s="64"/>
      <c r="M275" s="64"/>
      <c r="N275" s="64"/>
      <c r="O275" s="64"/>
      <c r="P275" s="64"/>
      <c r="Q275" s="64" t="str">
        <f>IFERROR(VLOOKUP('BMP P Tracking Table'!$P275,Dropdowns!$C$2:$E$15,3,FALSE),"")</f>
        <v/>
      </c>
      <c r="R275" s="64" t="str">
        <f>IFERROR(VLOOKUP('BMP P Tracking Table'!$Q275,Dropdowns!$P$3:$Q$23,2,FALSE),"")</f>
        <v/>
      </c>
      <c r="S275" s="64"/>
      <c r="T275" s="64"/>
      <c r="U275" s="64"/>
      <c r="V275" s="64"/>
      <c r="W275" s="64"/>
      <c r="X275" s="64"/>
      <c r="Y275" s="64"/>
      <c r="Z275" s="64"/>
      <c r="AA275" s="64"/>
      <c r="AB275" s="95"/>
      <c r="AC275" s="64"/>
      <c r="AD275" s="101" t="str">
        <f>IFERROR('BMP P Tracking Table'!$U275*VLOOKUP('BMP P Tracking Table'!$Q275,'Loading Rates'!$B$1:$L$24,4,FALSE)+IF('BMP P Tracking Table'!$V275="By HSG",'BMP P Tracking Table'!$W275*VLOOKUP('BMP P Tracking Table'!$Q275,'Loading Rates'!$B$1:$L$24,6,FALSE)+'BMP P Tracking Table'!$X275*VLOOKUP('BMP P Tracking Table'!$Q275,'Loading Rates'!$B$1:$L$24,7,FALSE)+'BMP P Tracking Table'!$Y275*VLOOKUP('BMP P Tracking Table'!$Q275,'Loading Rates'!$B$1:$L$24,8,FALSE)+'BMP P Tracking Table'!$Z275*VLOOKUP('BMP P Tracking Table'!$Q275,'Loading Rates'!$B$1:$L$24,9,FALSE),'BMP P Tracking Table'!$AA275*VLOOKUP('BMP P Tracking Table'!$Q275,'Loading Rates'!$B$1:$L$24,10,FALSE)),"")</f>
        <v/>
      </c>
      <c r="AE275" s="101" t="str">
        <f>IFERROR(MIN(2,IF('BMP P Tracking Table'!$V275="Total Pervious",(-(3630*'BMP P Tracking Table'!$U275+20.691*'BMP P Tracking Table'!$AA275)+SQRT((3630*'BMP P Tracking Table'!$U275+20.691*'BMP P Tracking Table'!$AA275)^2-(4*(996.798*'BMP P Tracking Table'!$AA275)*-'BMP P Tracking Table'!$AB275)))/(2*(996.798*'BMP P Tracking Table'!$AA275)),IF(SUM('BMP P Tracking Table'!$W275:$Z275)=0,'BMP P Tracking Table'!$AB275/(-3630*'BMP P Tracking Table'!$U275),(-(3630*'BMP P Tracking Table'!$U275+20.691*'BMP P Tracking Table'!$Z275-216.711*'BMP P Tracking Table'!$Y275-83.853*'BMP P Tracking Table'!$X275-42.834*'BMP P Tracking Table'!$W275)+SQRT((3630*'BMP P Tracking Table'!$U275+20.691*'BMP P Tracking Table'!$Z275-216.711*'BMP P Tracking Table'!$Y275-83.853*'BMP P Tracking Table'!$X275-42.834*'BMP P Tracking Table'!$W275)^2-(4*(149.919*'BMP P Tracking Table'!$W275+236.676*'BMP P Tracking Table'!$X275+726*'BMP P Tracking Table'!$Y275+996.798*'BMP P Tracking Table'!$Z275)*-'BMP P Tracking Table'!$AB275)))/(2*(149.919*'BMP P Tracking Table'!$W275+236.676*'BMP P Tracking Table'!$X275+726*'BMP P Tracking Table'!$Y275+996.798*'BMP P Tracking Table'!$Z275))))),"")</f>
        <v/>
      </c>
      <c r="AF275" s="101" t="str">
        <f>IFERROR((VLOOKUP(CONCATENATE('BMP P Tracking Table'!$T275," ",'BMP P Tracking Table'!$AC275),'Performance Curves'!$C$1:$L$45,MATCH('BMP P Tracking Table'!$AE275,'Performance Curves'!$E$1:$L$1,1)+2,FALSE)-VLOOKUP(CONCATENATE('BMP P Tracking Table'!$T275," ",'BMP P Tracking Table'!$AC275),'Performance Curves'!$C$1:$L$45,MATCH('BMP P Tracking Table'!$AE275,'Performance Curves'!$E$1:$L$1,1)+1,FALSE)),"")</f>
        <v/>
      </c>
      <c r="AG275" s="101" t="str">
        <f>IFERROR(('BMP P Tracking Table'!$AE275-INDEX('Performance Curves'!$E$1:$L$1,1,MATCH('BMP P Tracking Table'!$AE275,'Performance Curves'!$E$1:$L$1,1)))/(INDEX('Performance Curves'!$E$1:$L$1,1,MATCH('BMP P Tracking Table'!$AE275,'Performance Curves'!$E$1:$L$1,1)+1)-INDEX('Performance Curves'!$E$1:$L$1,1,MATCH('BMP P Tracking Table'!$AE275,'Performance Curves'!$E$1:$L$1,1))),"")</f>
        <v/>
      </c>
      <c r="AH275" s="102" t="str">
        <f>IFERROR(IF('BMP P Tracking Table'!$AE275=2,VLOOKUP(CONCATENATE('BMP P Tracking Table'!$T275," ",'BMP P Tracking Table'!$AC275),'Performance Curves'!$C$1:$L$45,MATCH('BMP P Tracking Table'!$AE275,'Performance Curves'!$E$1:$L$1,1)+1,FALSE),'BMP P Tracking Table'!$AF275*'BMP P Tracking Table'!$AG275+VLOOKUP(CONCATENATE('BMP P Tracking Table'!$T275," ",'BMP P Tracking Table'!$AC275),'Performance Curves'!$C$1:$L$45,MATCH('BMP P Tracking Table'!$AE275,'Performance Curves'!$E$1:$L$1,1)+1,FALSE)),"")</f>
        <v/>
      </c>
      <c r="AI275" s="101" t="str">
        <f>IFERROR('BMP P Tracking Table'!$AH275*'BMP P Tracking Table'!$AD275,"")</f>
        <v/>
      </c>
      <c r="AJ275" s="64"/>
      <c r="AK275" s="96"/>
      <c r="AL275" s="96"/>
      <c r="AM275" s="63"/>
      <c r="AN275" s="99" t="str">
        <f t="shared" si="18"/>
        <v/>
      </c>
      <c r="AO275" s="96"/>
      <c r="AP275" s="96"/>
      <c r="AQ275" s="96"/>
      <c r="AR275" s="96"/>
      <c r="AS275" s="96"/>
      <c r="AT275" s="96"/>
      <c r="AU275" s="96"/>
      <c r="AV275" s="64"/>
      <c r="AW275" s="97"/>
      <c r="AX275" s="97"/>
      <c r="AY275" s="101" t="str">
        <f>IF('BMP P Tracking Table'!$AK275="Yes",IF('BMP P Tracking Table'!$AL275="No",'BMP P Tracking Table'!$U275*VLOOKUP('BMP P Tracking Table'!$Q275,'Loading Rates'!$B$1:$L$24,4,FALSE)+IF('BMP P Tracking Table'!$V275="By HSG",'BMP P Tracking Table'!$W275*VLOOKUP('BMP P Tracking Table'!$Q275,'Loading Rates'!$B$1:$L$24,6,FALSE)+'BMP P Tracking Table'!$X275*VLOOKUP('BMP P Tracking Table'!$Q275,'Loading Rates'!$B$1:$L$24,7,FALSE)+'BMP P Tracking Table'!$Y275*VLOOKUP('BMP P Tracking Table'!$Q275,'Loading Rates'!$B$1:$L$24,8,FALSE)+'BMP P Tracking Table'!$Z275*VLOOKUP('BMP P Tracking Table'!$Q275,'Loading Rates'!$B$1:$L$24,9,FALSE),'BMP P Tracking Table'!$AA275*VLOOKUP('BMP P Tracking Table'!$Q275,'Loading Rates'!$B$1:$L$24,10,FALSE)),'BMP P Tracking Table'!$AO275*VLOOKUP('BMP P Tracking Table'!$Q275,'Loading Rates'!$B$1:$L$24,4,FALSE)+IF('BMP P Tracking Table'!$AP275="By HSG",'BMP P Tracking Table'!$AQ275*VLOOKUP('BMP P Tracking Table'!$Q275,'Loading Rates'!$B$1:$L$24,6,FALSE)+'BMP P Tracking Table'!$AR275*VLOOKUP('BMP P Tracking Table'!$Q275,'Loading Rates'!$B$1:$L$24,7,FALSE)+'BMP P Tracking Table'!$AS275*VLOOKUP('BMP P Tracking Table'!$Q275,'Loading Rates'!$B$1:$L$24,8,FALSE)+'BMP P Tracking Table'!$AT275*VLOOKUP('BMP P Tracking Table'!$Q275,'Loading Rates'!$B$1:$L$24,9,FALSE),'BMP P Tracking Table'!$AU275*VLOOKUP('BMP P Tracking Table'!$Q275,'Loading Rates'!$B$1:$L$24,10,FALSE))),"")</f>
        <v/>
      </c>
      <c r="AZ275" s="101" t="str">
        <f>IFERROR(IF('BMP P Tracking Table'!$AL275="Yes",MIN(2,IF('BMP P Tracking Table'!$AP275="Total Pervious",(-(3630*'BMP P Tracking Table'!$AO275+20.691*'BMP P Tracking Table'!$AU275)+SQRT((3630*'BMP P Tracking Table'!$AO275+20.691*'BMP P Tracking Table'!$AU275)^2-(4*(996.798*'BMP P Tracking Table'!$AU275)*-'BMP P Tracking Table'!$AW275)))/(2*(996.798*'BMP P Tracking Table'!$AU275)),IF(SUM('BMP P Tracking Table'!$AQ275:$AT275)=0,'BMP P Tracking Table'!$AU275/(-3630*'BMP P Tracking Table'!$AO275),(-(3630*'BMP P Tracking Table'!$AO275+20.691*'BMP P Tracking Table'!$AT275-216.711*'BMP P Tracking Table'!$AS275-83.853*'BMP P Tracking Table'!$AR275-42.834*'BMP P Tracking Table'!$AQ275)+SQRT((3630*'BMP P Tracking Table'!$AO275+20.691*'BMP P Tracking Table'!$AT275-216.711*'BMP P Tracking Table'!$AS275-83.853*'BMP P Tracking Table'!$AR275-42.834*'BMP P Tracking Table'!$AQ275)^2-(4*(149.919*'BMP P Tracking Table'!$AQ275+236.676*'BMP P Tracking Table'!$AR275+726*'BMP P Tracking Table'!$AS275+996.798*'BMP P Tracking Table'!$AT275)*-'BMP P Tracking Table'!$AW275)))/(2*(149.919*'BMP P Tracking Table'!$AQ275+236.676*'BMP P Tracking Table'!$AR275+726*'BMP P Tracking Table'!$AS275+996.798*'BMP P Tracking Table'!$AT275))))),MIN(2,IF('BMP P Tracking Table'!$AP275="Total Pervious",(-(3630*'BMP P Tracking Table'!$U275+20.691*'BMP P Tracking Table'!$AA275)+SQRT((3630*'BMP P Tracking Table'!$U275+20.691*'BMP P Tracking Table'!$AA275)^2-(4*(996.798*'BMP P Tracking Table'!$AA275)*-'BMP P Tracking Table'!$AW275)))/(2*(996.798*'BMP P Tracking Table'!$AA275)),IF(SUM('BMP P Tracking Table'!$W275:$Z275)=0,'BMP P Tracking Table'!$AW275/(-3630*'BMP P Tracking Table'!$U275),(-(3630*'BMP P Tracking Table'!$U275+20.691*'BMP P Tracking Table'!$Z275-216.711*'BMP P Tracking Table'!$Y275-83.853*'BMP P Tracking Table'!$X275-42.834*'BMP P Tracking Table'!$W275)+SQRT((3630*'BMP P Tracking Table'!$U275+20.691*'BMP P Tracking Table'!$Z275-216.711*'BMP P Tracking Table'!$Y275-83.853*'BMP P Tracking Table'!$X275-42.834*'BMP P Tracking Table'!$W275)^2-(4*(149.919*'BMP P Tracking Table'!$W275+236.676*'BMP P Tracking Table'!$X275+726*'BMP P Tracking Table'!$Y275+996.798*'BMP P Tracking Table'!$Z275)*-'BMP P Tracking Table'!$AW275)))/(2*(149.919*'BMP P Tracking Table'!$W275+236.676*'BMP P Tracking Table'!$X275+726*'BMP P Tracking Table'!$Y275+996.798*'BMP P Tracking Table'!$Z275)))))),"")</f>
        <v/>
      </c>
      <c r="BA275" s="101" t="str">
        <f>IFERROR((VLOOKUP(CONCATENATE('BMP P Tracking Table'!$AV275," ",'BMP P Tracking Table'!$AX275),'Performance Curves'!$C$1:$L$45,MATCH('BMP P Tracking Table'!$AZ275,'Performance Curves'!$E$1:$L$1,1)+2,FALSE)-VLOOKUP(CONCATENATE('BMP P Tracking Table'!$AV275," ",'BMP P Tracking Table'!$AX275),'Performance Curves'!$C$1:$L$45,MATCH('BMP P Tracking Table'!$AZ275,'Performance Curves'!$E$1:$L$1,1)+1,FALSE)),"")</f>
        <v/>
      </c>
      <c r="BB275" s="101" t="str">
        <f>IFERROR(('BMP P Tracking Table'!$AZ275-INDEX('Performance Curves'!$E$1:$L$1,1,MATCH('BMP P Tracking Table'!$AZ275,'Performance Curves'!$E$1:$L$1,1)))/(INDEX('Performance Curves'!$E$1:$L$1,1,MATCH('BMP P Tracking Table'!$AZ275,'Performance Curves'!$E$1:$L$1,1)+1)-INDEX('Performance Curves'!$E$1:$L$1,1,MATCH('BMP P Tracking Table'!$AZ275,'Performance Curves'!$E$1:$L$1,1))),"")</f>
        <v/>
      </c>
      <c r="BC275" s="102" t="str">
        <f>IFERROR(IF('BMP P Tracking Table'!$AZ275=2,VLOOKUP(CONCATENATE('BMP P Tracking Table'!$AV275," ",'BMP P Tracking Table'!$AX275),'Performance Curves'!$C$1:$L$44,MATCH('BMP P Tracking Table'!$AZ275,'Performance Curves'!$E$1:$L$1,1)+1,FALSE),'BMP P Tracking Table'!$BA275*'BMP P Tracking Table'!$BB275+VLOOKUP(CONCATENATE('BMP P Tracking Table'!$AV275," ",'BMP P Tracking Table'!$AX275),'Performance Curves'!$C$1:$L$44,MATCH('BMP P Tracking Table'!$AZ275,'Performance Curves'!$E$1:$L$1,1)+1,FALSE)),"")</f>
        <v/>
      </c>
      <c r="BD275" s="101" t="str">
        <f>IFERROR('BMP P Tracking Table'!$BC275*'BMP P Tracking Table'!$AY275,"")</f>
        <v/>
      </c>
      <c r="BE275" s="96"/>
      <c r="BF275" s="37">
        <f t="shared" si="19"/>
        <v>0</v>
      </c>
    </row>
    <row r="276" spans="1:58" x14ac:dyDescent="0.3">
      <c r="A276" s="64"/>
      <c r="B276" s="64"/>
      <c r="C276" s="64"/>
      <c r="D276" s="64"/>
      <c r="E276" s="93"/>
      <c r="F276" s="93"/>
      <c r="G276" s="64"/>
      <c r="H276" s="64"/>
      <c r="I276" s="64"/>
      <c r="J276" s="94"/>
      <c r="K276" s="64"/>
      <c r="L276" s="64"/>
      <c r="M276" s="64"/>
      <c r="N276" s="64"/>
      <c r="O276" s="64"/>
      <c r="P276" s="64"/>
      <c r="Q276" s="64" t="str">
        <f>IFERROR(VLOOKUP('BMP P Tracking Table'!$P276,Dropdowns!$C$2:$E$15,3,FALSE),"")</f>
        <v/>
      </c>
      <c r="R276" s="64" t="str">
        <f>IFERROR(VLOOKUP('BMP P Tracking Table'!$Q276,Dropdowns!$P$3:$Q$23,2,FALSE),"")</f>
        <v/>
      </c>
      <c r="S276" s="64"/>
      <c r="T276" s="64"/>
      <c r="U276" s="64"/>
      <c r="V276" s="64"/>
      <c r="W276" s="64"/>
      <c r="X276" s="64"/>
      <c r="Y276" s="64"/>
      <c r="Z276" s="64"/>
      <c r="AA276" s="64"/>
      <c r="AB276" s="95"/>
      <c r="AC276" s="64"/>
      <c r="AD276" s="101" t="str">
        <f>IFERROR('BMP P Tracking Table'!$U276*VLOOKUP('BMP P Tracking Table'!$Q276,'Loading Rates'!$B$1:$L$24,4,FALSE)+IF('BMP P Tracking Table'!$V276="By HSG",'BMP P Tracking Table'!$W276*VLOOKUP('BMP P Tracking Table'!$Q276,'Loading Rates'!$B$1:$L$24,6,FALSE)+'BMP P Tracking Table'!$X276*VLOOKUP('BMP P Tracking Table'!$Q276,'Loading Rates'!$B$1:$L$24,7,FALSE)+'BMP P Tracking Table'!$Y276*VLOOKUP('BMP P Tracking Table'!$Q276,'Loading Rates'!$B$1:$L$24,8,FALSE)+'BMP P Tracking Table'!$Z276*VLOOKUP('BMP P Tracking Table'!$Q276,'Loading Rates'!$B$1:$L$24,9,FALSE),'BMP P Tracking Table'!$AA276*VLOOKUP('BMP P Tracking Table'!$Q276,'Loading Rates'!$B$1:$L$24,10,FALSE)),"")</f>
        <v/>
      </c>
      <c r="AE276" s="101" t="str">
        <f>IFERROR(MIN(2,IF('BMP P Tracking Table'!$V276="Total Pervious",(-(3630*'BMP P Tracking Table'!$U276+20.691*'BMP P Tracking Table'!$AA276)+SQRT((3630*'BMP P Tracking Table'!$U276+20.691*'BMP P Tracking Table'!$AA276)^2-(4*(996.798*'BMP P Tracking Table'!$AA276)*-'BMP P Tracking Table'!$AB276)))/(2*(996.798*'BMP P Tracking Table'!$AA276)),IF(SUM('BMP P Tracking Table'!$W276:$Z276)=0,'BMP P Tracking Table'!$AB276/(-3630*'BMP P Tracking Table'!$U276),(-(3630*'BMP P Tracking Table'!$U276+20.691*'BMP P Tracking Table'!$Z276-216.711*'BMP P Tracking Table'!$Y276-83.853*'BMP P Tracking Table'!$X276-42.834*'BMP P Tracking Table'!$W276)+SQRT((3630*'BMP P Tracking Table'!$U276+20.691*'BMP P Tracking Table'!$Z276-216.711*'BMP P Tracking Table'!$Y276-83.853*'BMP P Tracking Table'!$X276-42.834*'BMP P Tracking Table'!$W276)^2-(4*(149.919*'BMP P Tracking Table'!$W276+236.676*'BMP P Tracking Table'!$X276+726*'BMP P Tracking Table'!$Y276+996.798*'BMP P Tracking Table'!$Z276)*-'BMP P Tracking Table'!$AB276)))/(2*(149.919*'BMP P Tracking Table'!$W276+236.676*'BMP P Tracking Table'!$X276+726*'BMP P Tracking Table'!$Y276+996.798*'BMP P Tracking Table'!$Z276))))),"")</f>
        <v/>
      </c>
      <c r="AF276" s="101" t="str">
        <f>IFERROR((VLOOKUP(CONCATENATE('BMP P Tracking Table'!$T276," ",'BMP P Tracking Table'!$AC276),'Performance Curves'!$C$1:$L$45,MATCH('BMP P Tracking Table'!$AE276,'Performance Curves'!$E$1:$L$1,1)+2,FALSE)-VLOOKUP(CONCATENATE('BMP P Tracking Table'!$T276," ",'BMP P Tracking Table'!$AC276),'Performance Curves'!$C$1:$L$45,MATCH('BMP P Tracking Table'!$AE276,'Performance Curves'!$E$1:$L$1,1)+1,FALSE)),"")</f>
        <v/>
      </c>
      <c r="AG276" s="101" t="str">
        <f>IFERROR(('BMP P Tracking Table'!$AE276-INDEX('Performance Curves'!$E$1:$L$1,1,MATCH('BMP P Tracking Table'!$AE276,'Performance Curves'!$E$1:$L$1,1)))/(INDEX('Performance Curves'!$E$1:$L$1,1,MATCH('BMP P Tracking Table'!$AE276,'Performance Curves'!$E$1:$L$1,1)+1)-INDEX('Performance Curves'!$E$1:$L$1,1,MATCH('BMP P Tracking Table'!$AE276,'Performance Curves'!$E$1:$L$1,1))),"")</f>
        <v/>
      </c>
      <c r="AH276" s="102" t="str">
        <f>IFERROR(IF('BMP P Tracking Table'!$AE276=2,VLOOKUP(CONCATENATE('BMP P Tracking Table'!$T276," ",'BMP P Tracking Table'!$AC276),'Performance Curves'!$C$1:$L$45,MATCH('BMP P Tracking Table'!$AE276,'Performance Curves'!$E$1:$L$1,1)+1,FALSE),'BMP P Tracking Table'!$AF276*'BMP P Tracking Table'!$AG276+VLOOKUP(CONCATENATE('BMP P Tracking Table'!$T276," ",'BMP P Tracking Table'!$AC276),'Performance Curves'!$C$1:$L$45,MATCH('BMP P Tracking Table'!$AE276,'Performance Curves'!$E$1:$L$1,1)+1,FALSE)),"")</f>
        <v/>
      </c>
      <c r="AI276" s="101" t="str">
        <f>IFERROR('BMP P Tracking Table'!$AH276*'BMP P Tracking Table'!$AD276,"")</f>
        <v/>
      </c>
      <c r="AJ276" s="64"/>
      <c r="AK276" s="96"/>
      <c r="AL276" s="96"/>
      <c r="AM276" s="63"/>
      <c r="AN276" s="99" t="str">
        <f t="shared" si="18"/>
        <v/>
      </c>
      <c r="AO276" s="96"/>
      <c r="AP276" s="96"/>
      <c r="AQ276" s="96"/>
      <c r="AR276" s="96"/>
      <c r="AS276" s="96"/>
      <c r="AT276" s="96"/>
      <c r="AU276" s="96"/>
      <c r="AV276" s="64"/>
      <c r="AW276" s="97"/>
      <c r="AX276" s="97"/>
      <c r="AY276" s="101" t="str">
        <f>IF('BMP P Tracking Table'!$AK276="Yes",IF('BMP P Tracking Table'!$AL276="No",'BMP P Tracking Table'!$U276*VLOOKUP('BMP P Tracking Table'!$Q276,'Loading Rates'!$B$1:$L$24,4,FALSE)+IF('BMP P Tracking Table'!$V276="By HSG",'BMP P Tracking Table'!$W276*VLOOKUP('BMP P Tracking Table'!$Q276,'Loading Rates'!$B$1:$L$24,6,FALSE)+'BMP P Tracking Table'!$X276*VLOOKUP('BMP P Tracking Table'!$Q276,'Loading Rates'!$B$1:$L$24,7,FALSE)+'BMP P Tracking Table'!$Y276*VLOOKUP('BMP P Tracking Table'!$Q276,'Loading Rates'!$B$1:$L$24,8,FALSE)+'BMP P Tracking Table'!$Z276*VLOOKUP('BMP P Tracking Table'!$Q276,'Loading Rates'!$B$1:$L$24,9,FALSE),'BMP P Tracking Table'!$AA276*VLOOKUP('BMP P Tracking Table'!$Q276,'Loading Rates'!$B$1:$L$24,10,FALSE)),'BMP P Tracking Table'!$AO276*VLOOKUP('BMP P Tracking Table'!$Q276,'Loading Rates'!$B$1:$L$24,4,FALSE)+IF('BMP P Tracking Table'!$AP276="By HSG",'BMP P Tracking Table'!$AQ276*VLOOKUP('BMP P Tracking Table'!$Q276,'Loading Rates'!$B$1:$L$24,6,FALSE)+'BMP P Tracking Table'!$AR276*VLOOKUP('BMP P Tracking Table'!$Q276,'Loading Rates'!$B$1:$L$24,7,FALSE)+'BMP P Tracking Table'!$AS276*VLOOKUP('BMP P Tracking Table'!$Q276,'Loading Rates'!$B$1:$L$24,8,FALSE)+'BMP P Tracking Table'!$AT276*VLOOKUP('BMP P Tracking Table'!$Q276,'Loading Rates'!$B$1:$L$24,9,FALSE),'BMP P Tracking Table'!$AU276*VLOOKUP('BMP P Tracking Table'!$Q276,'Loading Rates'!$B$1:$L$24,10,FALSE))),"")</f>
        <v/>
      </c>
      <c r="AZ276" s="101" t="str">
        <f>IFERROR(IF('BMP P Tracking Table'!$AL276="Yes",MIN(2,IF('BMP P Tracking Table'!$AP276="Total Pervious",(-(3630*'BMP P Tracking Table'!$AO276+20.691*'BMP P Tracking Table'!$AU276)+SQRT((3630*'BMP P Tracking Table'!$AO276+20.691*'BMP P Tracking Table'!$AU276)^2-(4*(996.798*'BMP P Tracking Table'!$AU276)*-'BMP P Tracking Table'!$AW276)))/(2*(996.798*'BMP P Tracking Table'!$AU276)),IF(SUM('BMP P Tracking Table'!$AQ276:$AT276)=0,'BMP P Tracking Table'!$AU276/(-3630*'BMP P Tracking Table'!$AO276),(-(3630*'BMP P Tracking Table'!$AO276+20.691*'BMP P Tracking Table'!$AT276-216.711*'BMP P Tracking Table'!$AS276-83.853*'BMP P Tracking Table'!$AR276-42.834*'BMP P Tracking Table'!$AQ276)+SQRT((3630*'BMP P Tracking Table'!$AO276+20.691*'BMP P Tracking Table'!$AT276-216.711*'BMP P Tracking Table'!$AS276-83.853*'BMP P Tracking Table'!$AR276-42.834*'BMP P Tracking Table'!$AQ276)^2-(4*(149.919*'BMP P Tracking Table'!$AQ276+236.676*'BMP P Tracking Table'!$AR276+726*'BMP P Tracking Table'!$AS276+996.798*'BMP P Tracking Table'!$AT276)*-'BMP P Tracking Table'!$AW276)))/(2*(149.919*'BMP P Tracking Table'!$AQ276+236.676*'BMP P Tracking Table'!$AR276+726*'BMP P Tracking Table'!$AS276+996.798*'BMP P Tracking Table'!$AT276))))),MIN(2,IF('BMP P Tracking Table'!$AP276="Total Pervious",(-(3630*'BMP P Tracking Table'!$U276+20.691*'BMP P Tracking Table'!$AA276)+SQRT((3630*'BMP P Tracking Table'!$U276+20.691*'BMP P Tracking Table'!$AA276)^2-(4*(996.798*'BMP P Tracking Table'!$AA276)*-'BMP P Tracking Table'!$AW276)))/(2*(996.798*'BMP P Tracking Table'!$AA276)),IF(SUM('BMP P Tracking Table'!$W276:$Z276)=0,'BMP P Tracking Table'!$AW276/(-3630*'BMP P Tracking Table'!$U276),(-(3630*'BMP P Tracking Table'!$U276+20.691*'BMP P Tracking Table'!$Z276-216.711*'BMP P Tracking Table'!$Y276-83.853*'BMP P Tracking Table'!$X276-42.834*'BMP P Tracking Table'!$W276)+SQRT((3630*'BMP P Tracking Table'!$U276+20.691*'BMP P Tracking Table'!$Z276-216.711*'BMP P Tracking Table'!$Y276-83.853*'BMP P Tracking Table'!$X276-42.834*'BMP P Tracking Table'!$W276)^2-(4*(149.919*'BMP P Tracking Table'!$W276+236.676*'BMP P Tracking Table'!$X276+726*'BMP P Tracking Table'!$Y276+996.798*'BMP P Tracking Table'!$Z276)*-'BMP P Tracking Table'!$AW276)))/(2*(149.919*'BMP P Tracking Table'!$W276+236.676*'BMP P Tracking Table'!$X276+726*'BMP P Tracking Table'!$Y276+996.798*'BMP P Tracking Table'!$Z276)))))),"")</f>
        <v/>
      </c>
      <c r="BA276" s="101" t="str">
        <f>IFERROR((VLOOKUP(CONCATENATE('BMP P Tracking Table'!$AV276," ",'BMP P Tracking Table'!$AX276),'Performance Curves'!$C$1:$L$45,MATCH('BMP P Tracking Table'!$AZ276,'Performance Curves'!$E$1:$L$1,1)+2,FALSE)-VLOOKUP(CONCATENATE('BMP P Tracking Table'!$AV276," ",'BMP P Tracking Table'!$AX276),'Performance Curves'!$C$1:$L$45,MATCH('BMP P Tracking Table'!$AZ276,'Performance Curves'!$E$1:$L$1,1)+1,FALSE)),"")</f>
        <v/>
      </c>
      <c r="BB276" s="101" t="str">
        <f>IFERROR(('BMP P Tracking Table'!$AZ276-INDEX('Performance Curves'!$E$1:$L$1,1,MATCH('BMP P Tracking Table'!$AZ276,'Performance Curves'!$E$1:$L$1,1)))/(INDEX('Performance Curves'!$E$1:$L$1,1,MATCH('BMP P Tracking Table'!$AZ276,'Performance Curves'!$E$1:$L$1,1)+1)-INDEX('Performance Curves'!$E$1:$L$1,1,MATCH('BMP P Tracking Table'!$AZ276,'Performance Curves'!$E$1:$L$1,1))),"")</f>
        <v/>
      </c>
      <c r="BC276" s="102" t="str">
        <f>IFERROR(IF('BMP P Tracking Table'!$AZ276=2,VLOOKUP(CONCATENATE('BMP P Tracking Table'!$AV276," ",'BMP P Tracking Table'!$AX276),'Performance Curves'!$C$1:$L$44,MATCH('BMP P Tracking Table'!$AZ276,'Performance Curves'!$E$1:$L$1,1)+1,FALSE),'BMP P Tracking Table'!$BA276*'BMP P Tracking Table'!$BB276+VLOOKUP(CONCATENATE('BMP P Tracking Table'!$AV276," ",'BMP P Tracking Table'!$AX276),'Performance Curves'!$C$1:$L$44,MATCH('BMP P Tracking Table'!$AZ276,'Performance Curves'!$E$1:$L$1,1)+1,FALSE)),"")</f>
        <v/>
      </c>
      <c r="BD276" s="101" t="str">
        <f>IFERROR('BMP P Tracking Table'!$BC276*'BMP P Tracking Table'!$AY276,"")</f>
        <v/>
      </c>
      <c r="BE276" s="96"/>
      <c r="BF276" s="37">
        <f t="shared" si="19"/>
        <v>0</v>
      </c>
    </row>
    <row r="277" spans="1:58" x14ac:dyDescent="0.3">
      <c r="A277" s="64"/>
      <c r="B277" s="64"/>
      <c r="C277" s="64"/>
      <c r="D277" s="64"/>
      <c r="E277" s="93"/>
      <c r="F277" s="93"/>
      <c r="G277" s="64"/>
      <c r="H277" s="64"/>
      <c r="I277" s="64"/>
      <c r="J277" s="94"/>
      <c r="K277" s="64"/>
      <c r="L277" s="64"/>
      <c r="M277" s="64"/>
      <c r="N277" s="64"/>
      <c r="O277" s="64"/>
      <c r="P277" s="64"/>
      <c r="Q277" s="64" t="str">
        <f>IFERROR(VLOOKUP('BMP P Tracking Table'!$P277,Dropdowns!$C$2:$E$15,3,FALSE),"")</f>
        <v/>
      </c>
      <c r="R277" s="64" t="str">
        <f>IFERROR(VLOOKUP('BMP P Tracking Table'!$Q277,Dropdowns!$P$3:$Q$23,2,FALSE),"")</f>
        <v/>
      </c>
      <c r="S277" s="64"/>
      <c r="T277" s="64"/>
      <c r="U277" s="64"/>
      <c r="V277" s="64"/>
      <c r="W277" s="64"/>
      <c r="X277" s="64"/>
      <c r="Y277" s="64"/>
      <c r="Z277" s="64"/>
      <c r="AA277" s="64"/>
      <c r="AB277" s="95"/>
      <c r="AC277" s="64"/>
      <c r="AD277" s="101" t="str">
        <f>IFERROR('BMP P Tracking Table'!$U277*VLOOKUP('BMP P Tracking Table'!$Q277,'Loading Rates'!$B$1:$L$24,4,FALSE)+IF('BMP P Tracking Table'!$V277="By HSG",'BMP P Tracking Table'!$W277*VLOOKUP('BMP P Tracking Table'!$Q277,'Loading Rates'!$B$1:$L$24,6,FALSE)+'BMP P Tracking Table'!$X277*VLOOKUP('BMP P Tracking Table'!$Q277,'Loading Rates'!$B$1:$L$24,7,FALSE)+'BMP P Tracking Table'!$Y277*VLOOKUP('BMP P Tracking Table'!$Q277,'Loading Rates'!$B$1:$L$24,8,FALSE)+'BMP P Tracking Table'!$Z277*VLOOKUP('BMP P Tracking Table'!$Q277,'Loading Rates'!$B$1:$L$24,9,FALSE),'BMP P Tracking Table'!$AA277*VLOOKUP('BMP P Tracking Table'!$Q277,'Loading Rates'!$B$1:$L$24,10,FALSE)),"")</f>
        <v/>
      </c>
      <c r="AE277" s="101" t="str">
        <f>IFERROR(MIN(2,IF('BMP P Tracking Table'!$V277="Total Pervious",(-(3630*'BMP P Tracking Table'!$U277+20.691*'BMP P Tracking Table'!$AA277)+SQRT((3630*'BMP P Tracking Table'!$U277+20.691*'BMP P Tracking Table'!$AA277)^2-(4*(996.798*'BMP P Tracking Table'!$AA277)*-'BMP P Tracking Table'!$AB277)))/(2*(996.798*'BMP P Tracking Table'!$AA277)),IF(SUM('BMP P Tracking Table'!$W277:$Z277)=0,'BMP P Tracking Table'!$AB277/(-3630*'BMP P Tracking Table'!$U277),(-(3630*'BMP P Tracking Table'!$U277+20.691*'BMP P Tracking Table'!$Z277-216.711*'BMP P Tracking Table'!$Y277-83.853*'BMP P Tracking Table'!$X277-42.834*'BMP P Tracking Table'!$W277)+SQRT((3630*'BMP P Tracking Table'!$U277+20.691*'BMP P Tracking Table'!$Z277-216.711*'BMP P Tracking Table'!$Y277-83.853*'BMP P Tracking Table'!$X277-42.834*'BMP P Tracking Table'!$W277)^2-(4*(149.919*'BMP P Tracking Table'!$W277+236.676*'BMP P Tracking Table'!$X277+726*'BMP P Tracking Table'!$Y277+996.798*'BMP P Tracking Table'!$Z277)*-'BMP P Tracking Table'!$AB277)))/(2*(149.919*'BMP P Tracking Table'!$W277+236.676*'BMP P Tracking Table'!$X277+726*'BMP P Tracking Table'!$Y277+996.798*'BMP P Tracking Table'!$Z277))))),"")</f>
        <v/>
      </c>
      <c r="AF277" s="101" t="str">
        <f>IFERROR((VLOOKUP(CONCATENATE('BMP P Tracking Table'!$T277," ",'BMP P Tracking Table'!$AC277),'Performance Curves'!$C$1:$L$45,MATCH('BMP P Tracking Table'!$AE277,'Performance Curves'!$E$1:$L$1,1)+2,FALSE)-VLOOKUP(CONCATENATE('BMP P Tracking Table'!$T277," ",'BMP P Tracking Table'!$AC277),'Performance Curves'!$C$1:$L$45,MATCH('BMP P Tracking Table'!$AE277,'Performance Curves'!$E$1:$L$1,1)+1,FALSE)),"")</f>
        <v/>
      </c>
      <c r="AG277" s="101" t="str">
        <f>IFERROR(('BMP P Tracking Table'!$AE277-INDEX('Performance Curves'!$E$1:$L$1,1,MATCH('BMP P Tracking Table'!$AE277,'Performance Curves'!$E$1:$L$1,1)))/(INDEX('Performance Curves'!$E$1:$L$1,1,MATCH('BMP P Tracking Table'!$AE277,'Performance Curves'!$E$1:$L$1,1)+1)-INDEX('Performance Curves'!$E$1:$L$1,1,MATCH('BMP P Tracking Table'!$AE277,'Performance Curves'!$E$1:$L$1,1))),"")</f>
        <v/>
      </c>
      <c r="AH277" s="102" t="str">
        <f>IFERROR(IF('BMP P Tracking Table'!$AE277=2,VLOOKUP(CONCATENATE('BMP P Tracking Table'!$T277," ",'BMP P Tracking Table'!$AC277),'Performance Curves'!$C$1:$L$45,MATCH('BMP P Tracking Table'!$AE277,'Performance Curves'!$E$1:$L$1,1)+1,FALSE),'BMP P Tracking Table'!$AF277*'BMP P Tracking Table'!$AG277+VLOOKUP(CONCATENATE('BMP P Tracking Table'!$T277," ",'BMP P Tracking Table'!$AC277),'Performance Curves'!$C$1:$L$45,MATCH('BMP P Tracking Table'!$AE277,'Performance Curves'!$E$1:$L$1,1)+1,FALSE)),"")</f>
        <v/>
      </c>
      <c r="AI277" s="101" t="str">
        <f>IFERROR('BMP P Tracking Table'!$AH277*'BMP P Tracking Table'!$AD277,"")</f>
        <v/>
      </c>
      <c r="AJ277" s="64"/>
      <c r="AK277" s="96"/>
      <c r="AL277" s="96"/>
      <c r="AM277" s="63"/>
      <c r="AN277" s="99" t="str">
        <f t="shared" si="18"/>
        <v/>
      </c>
      <c r="AO277" s="96"/>
      <c r="AP277" s="96"/>
      <c r="AQ277" s="96"/>
      <c r="AR277" s="96"/>
      <c r="AS277" s="96"/>
      <c r="AT277" s="96"/>
      <c r="AU277" s="96"/>
      <c r="AV277" s="64"/>
      <c r="AW277" s="97"/>
      <c r="AX277" s="97"/>
      <c r="AY277" s="101" t="str">
        <f>IF('BMP P Tracking Table'!$AK277="Yes",IF('BMP P Tracking Table'!$AL277="No",'BMP P Tracking Table'!$U277*VLOOKUP('BMP P Tracking Table'!$Q277,'Loading Rates'!$B$1:$L$24,4,FALSE)+IF('BMP P Tracking Table'!$V277="By HSG",'BMP P Tracking Table'!$W277*VLOOKUP('BMP P Tracking Table'!$Q277,'Loading Rates'!$B$1:$L$24,6,FALSE)+'BMP P Tracking Table'!$X277*VLOOKUP('BMP P Tracking Table'!$Q277,'Loading Rates'!$B$1:$L$24,7,FALSE)+'BMP P Tracking Table'!$Y277*VLOOKUP('BMP P Tracking Table'!$Q277,'Loading Rates'!$B$1:$L$24,8,FALSE)+'BMP P Tracking Table'!$Z277*VLOOKUP('BMP P Tracking Table'!$Q277,'Loading Rates'!$B$1:$L$24,9,FALSE),'BMP P Tracking Table'!$AA277*VLOOKUP('BMP P Tracking Table'!$Q277,'Loading Rates'!$B$1:$L$24,10,FALSE)),'BMP P Tracking Table'!$AO277*VLOOKUP('BMP P Tracking Table'!$Q277,'Loading Rates'!$B$1:$L$24,4,FALSE)+IF('BMP P Tracking Table'!$AP277="By HSG",'BMP P Tracking Table'!$AQ277*VLOOKUP('BMP P Tracking Table'!$Q277,'Loading Rates'!$B$1:$L$24,6,FALSE)+'BMP P Tracking Table'!$AR277*VLOOKUP('BMP P Tracking Table'!$Q277,'Loading Rates'!$B$1:$L$24,7,FALSE)+'BMP P Tracking Table'!$AS277*VLOOKUP('BMP P Tracking Table'!$Q277,'Loading Rates'!$B$1:$L$24,8,FALSE)+'BMP P Tracking Table'!$AT277*VLOOKUP('BMP P Tracking Table'!$Q277,'Loading Rates'!$B$1:$L$24,9,FALSE),'BMP P Tracking Table'!$AU277*VLOOKUP('BMP P Tracking Table'!$Q277,'Loading Rates'!$B$1:$L$24,10,FALSE))),"")</f>
        <v/>
      </c>
      <c r="AZ277" s="101" t="str">
        <f>IFERROR(IF('BMP P Tracking Table'!$AL277="Yes",MIN(2,IF('BMP P Tracking Table'!$AP277="Total Pervious",(-(3630*'BMP P Tracking Table'!$AO277+20.691*'BMP P Tracking Table'!$AU277)+SQRT((3630*'BMP P Tracking Table'!$AO277+20.691*'BMP P Tracking Table'!$AU277)^2-(4*(996.798*'BMP P Tracking Table'!$AU277)*-'BMP P Tracking Table'!$AW277)))/(2*(996.798*'BMP P Tracking Table'!$AU277)),IF(SUM('BMP P Tracking Table'!$AQ277:$AT277)=0,'BMP P Tracking Table'!$AU277/(-3630*'BMP P Tracking Table'!$AO277),(-(3630*'BMP P Tracking Table'!$AO277+20.691*'BMP P Tracking Table'!$AT277-216.711*'BMP P Tracking Table'!$AS277-83.853*'BMP P Tracking Table'!$AR277-42.834*'BMP P Tracking Table'!$AQ277)+SQRT((3630*'BMP P Tracking Table'!$AO277+20.691*'BMP P Tracking Table'!$AT277-216.711*'BMP P Tracking Table'!$AS277-83.853*'BMP P Tracking Table'!$AR277-42.834*'BMP P Tracking Table'!$AQ277)^2-(4*(149.919*'BMP P Tracking Table'!$AQ277+236.676*'BMP P Tracking Table'!$AR277+726*'BMP P Tracking Table'!$AS277+996.798*'BMP P Tracking Table'!$AT277)*-'BMP P Tracking Table'!$AW277)))/(2*(149.919*'BMP P Tracking Table'!$AQ277+236.676*'BMP P Tracking Table'!$AR277+726*'BMP P Tracking Table'!$AS277+996.798*'BMP P Tracking Table'!$AT277))))),MIN(2,IF('BMP P Tracking Table'!$AP277="Total Pervious",(-(3630*'BMP P Tracking Table'!$U277+20.691*'BMP P Tracking Table'!$AA277)+SQRT((3630*'BMP P Tracking Table'!$U277+20.691*'BMP P Tracking Table'!$AA277)^2-(4*(996.798*'BMP P Tracking Table'!$AA277)*-'BMP P Tracking Table'!$AW277)))/(2*(996.798*'BMP P Tracking Table'!$AA277)),IF(SUM('BMP P Tracking Table'!$W277:$Z277)=0,'BMP P Tracking Table'!$AW277/(-3630*'BMP P Tracking Table'!$U277),(-(3630*'BMP P Tracking Table'!$U277+20.691*'BMP P Tracking Table'!$Z277-216.711*'BMP P Tracking Table'!$Y277-83.853*'BMP P Tracking Table'!$X277-42.834*'BMP P Tracking Table'!$W277)+SQRT((3630*'BMP P Tracking Table'!$U277+20.691*'BMP P Tracking Table'!$Z277-216.711*'BMP P Tracking Table'!$Y277-83.853*'BMP P Tracking Table'!$X277-42.834*'BMP P Tracking Table'!$W277)^2-(4*(149.919*'BMP P Tracking Table'!$W277+236.676*'BMP P Tracking Table'!$X277+726*'BMP P Tracking Table'!$Y277+996.798*'BMP P Tracking Table'!$Z277)*-'BMP P Tracking Table'!$AW277)))/(2*(149.919*'BMP P Tracking Table'!$W277+236.676*'BMP P Tracking Table'!$X277+726*'BMP P Tracking Table'!$Y277+996.798*'BMP P Tracking Table'!$Z277)))))),"")</f>
        <v/>
      </c>
      <c r="BA277" s="101" t="str">
        <f>IFERROR((VLOOKUP(CONCATENATE('BMP P Tracking Table'!$AV277," ",'BMP P Tracking Table'!$AX277),'Performance Curves'!$C$1:$L$45,MATCH('BMP P Tracking Table'!$AZ277,'Performance Curves'!$E$1:$L$1,1)+2,FALSE)-VLOOKUP(CONCATENATE('BMP P Tracking Table'!$AV277," ",'BMP P Tracking Table'!$AX277),'Performance Curves'!$C$1:$L$45,MATCH('BMP P Tracking Table'!$AZ277,'Performance Curves'!$E$1:$L$1,1)+1,FALSE)),"")</f>
        <v/>
      </c>
      <c r="BB277" s="101" t="str">
        <f>IFERROR(('BMP P Tracking Table'!$AZ277-INDEX('Performance Curves'!$E$1:$L$1,1,MATCH('BMP P Tracking Table'!$AZ277,'Performance Curves'!$E$1:$L$1,1)))/(INDEX('Performance Curves'!$E$1:$L$1,1,MATCH('BMP P Tracking Table'!$AZ277,'Performance Curves'!$E$1:$L$1,1)+1)-INDEX('Performance Curves'!$E$1:$L$1,1,MATCH('BMP P Tracking Table'!$AZ277,'Performance Curves'!$E$1:$L$1,1))),"")</f>
        <v/>
      </c>
      <c r="BC277" s="102" t="str">
        <f>IFERROR(IF('BMP P Tracking Table'!$AZ277=2,VLOOKUP(CONCATENATE('BMP P Tracking Table'!$AV277," ",'BMP P Tracking Table'!$AX277),'Performance Curves'!$C$1:$L$44,MATCH('BMP P Tracking Table'!$AZ277,'Performance Curves'!$E$1:$L$1,1)+1,FALSE),'BMP P Tracking Table'!$BA277*'BMP P Tracking Table'!$BB277+VLOOKUP(CONCATENATE('BMP P Tracking Table'!$AV277," ",'BMP P Tracking Table'!$AX277),'Performance Curves'!$C$1:$L$44,MATCH('BMP P Tracking Table'!$AZ277,'Performance Curves'!$E$1:$L$1,1)+1,FALSE)),"")</f>
        <v/>
      </c>
      <c r="BD277" s="101" t="str">
        <f>IFERROR('BMP P Tracking Table'!$BC277*'BMP P Tracking Table'!$AY277,"")</f>
        <v/>
      </c>
      <c r="BE277" s="96"/>
      <c r="BF277" s="37">
        <f t="shared" si="19"/>
        <v>0</v>
      </c>
    </row>
    <row r="278" spans="1:58" x14ac:dyDescent="0.3">
      <c r="A278" s="64"/>
      <c r="B278" s="64"/>
      <c r="C278" s="64"/>
      <c r="D278" s="64"/>
      <c r="E278" s="93"/>
      <c r="F278" s="93"/>
      <c r="G278" s="64"/>
      <c r="H278" s="64"/>
      <c r="I278" s="64"/>
      <c r="J278" s="94"/>
      <c r="K278" s="64"/>
      <c r="L278" s="64"/>
      <c r="M278" s="64"/>
      <c r="N278" s="64"/>
      <c r="O278" s="64"/>
      <c r="P278" s="64"/>
      <c r="Q278" s="64" t="str">
        <f>IFERROR(VLOOKUP('BMP P Tracking Table'!$P278,Dropdowns!$C$2:$E$15,3,FALSE),"")</f>
        <v/>
      </c>
      <c r="R278" s="64" t="str">
        <f>IFERROR(VLOOKUP('BMP P Tracking Table'!$Q278,Dropdowns!$P$3:$Q$23,2,FALSE),"")</f>
        <v/>
      </c>
      <c r="S278" s="64"/>
      <c r="T278" s="64"/>
      <c r="U278" s="64"/>
      <c r="V278" s="64"/>
      <c r="W278" s="64"/>
      <c r="X278" s="64"/>
      <c r="Y278" s="64"/>
      <c r="Z278" s="64"/>
      <c r="AA278" s="64"/>
      <c r="AB278" s="95"/>
      <c r="AC278" s="64"/>
      <c r="AD278" s="101" t="str">
        <f>IFERROR('BMP P Tracking Table'!$U278*VLOOKUP('BMP P Tracking Table'!$Q278,'Loading Rates'!$B$1:$L$24,4,FALSE)+IF('BMP P Tracking Table'!$V278="By HSG",'BMP P Tracking Table'!$W278*VLOOKUP('BMP P Tracking Table'!$Q278,'Loading Rates'!$B$1:$L$24,6,FALSE)+'BMP P Tracking Table'!$X278*VLOOKUP('BMP P Tracking Table'!$Q278,'Loading Rates'!$B$1:$L$24,7,FALSE)+'BMP P Tracking Table'!$Y278*VLOOKUP('BMP P Tracking Table'!$Q278,'Loading Rates'!$B$1:$L$24,8,FALSE)+'BMP P Tracking Table'!$Z278*VLOOKUP('BMP P Tracking Table'!$Q278,'Loading Rates'!$B$1:$L$24,9,FALSE),'BMP P Tracking Table'!$AA278*VLOOKUP('BMP P Tracking Table'!$Q278,'Loading Rates'!$B$1:$L$24,10,FALSE)),"")</f>
        <v/>
      </c>
      <c r="AE278" s="101" t="str">
        <f>IFERROR(MIN(2,IF('BMP P Tracking Table'!$V278="Total Pervious",(-(3630*'BMP P Tracking Table'!$U278+20.691*'BMP P Tracking Table'!$AA278)+SQRT((3630*'BMP P Tracking Table'!$U278+20.691*'BMP P Tracking Table'!$AA278)^2-(4*(996.798*'BMP P Tracking Table'!$AA278)*-'BMP P Tracking Table'!$AB278)))/(2*(996.798*'BMP P Tracking Table'!$AA278)),IF(SUM('BMP P Tracking Table'!$W278:$Z278)=0,'BMP P Tracking Table'!$AB278/(-3630*'BMP P Tracking Table'!$U278),(-(3630*'BMP P Tracking Table'!$U278+20.691*'BMP P Tracking Table'!$Z278-216.711*'BMP P Tracking Table'!$Y278-83.853*'BMP P Tracking Table'!$X278-42.834*'BMP P Tracking Table'!$W278)+SQRT((3630*'BMP P Tracking Table'!$U278+20.691*'BMP P Tracking Table'!$Z278-216.711*'BMP P Tracking Table'!$Y278-83.853*'BMP P Tracking Table'!$X278-42.834*'BMP P Tracking Table'!$W278)^2-(4*(149.919*'BMP P Tracking Table'!$W278+236.676*'BMP P Tracking Table'!$X278+726*'BMP P Tracking Table'!$Y278+996.798*'BMP P Tracking Table'!$Z278)*-'BMP P Tracking Table'!$AB278)))/(2*(149.919*'BMP P Tracking Table'!$W278+236.676*'BMP P Tracking Table'!$X278+726*'BMP P Tracking Table'!$Y278+996.798*'BMP P Tracking Table'!$Z278))))),"")</f>
        <v/>
      </c>
      <c r="AF278" s="101" t="str">
        <f>IFERROR((VLOOKUP(CONCATENATE('BMP P Tracking Table'!$T278," ",'BMP P Tracking Table'!$AC278),'Performance Curves'!$C$1:$L$45,MATCH('BMP P Tracking Table'!$AE278,'Performance Curves'!$E$1:$L$1,1)+2,FALSE)-VLOOKUP(CONCATENATE('BMP P Tracking Table'!$T278," ",'BMP P Tracking Table'!$AC278),'Performance Curves'!$C$1:$L$45,MATCH('BMP P Tracking Table'!$AE278,'Performance Curves'!$E$1:$L$1,1)+1,FALSE)),"")</f>
        <v/>
      </c>
      <c r="AG278" s="101" t="str">
        <f>IFERROR(('BMP P Tracking Table'!$AE278-INDEX('Performance Curves'!$E$1:$L$1,1,MATCH('BMP P Tracking Table'!$AE278,'Performance Curves'!$E$1:$L$1,1)))/(INDEX('Performance Curves'!$E$1:$L$1,1,MATCH('BMP P Tracking Table'!$AE278,'Performance Curves'!$E$1:$L$1,1)+1)-INDEX('Performance Curves'!$E$1:$L$1,1,MATCH('BMP P Tracking Table'!$AE278,'Performance Curves'!$E$1:$L$1,1))),"")</f>
        <v/>
      </c>
      <c r="AH278" s="102" t="str">
        <f>IFERROR(IF('BMP P Tracking Table'!$AE278=2,VLOOKUP(CONCATENATE('BMP P Tracking Table'!$T278," ",'BMP P Tracking Table'!$AC278),'Performance Curves'!$C$1:$L$45,MATCH('BMP P Tracking Table'!$AE278,'Performance Curves'!$E$1:$L$1,1)+1,FALSE),'BMP P Tracking Table'!$AF278*'BMP P Tracking Table'!$AG278+VLOOKUP(CONCATENATE('BMP P Tracking Table'!$T278," ",'BMP P Tracking Table'!$AC278),'Performance Curves'!$C$1:$L$45,MATCH('BMP P Tracking Table'!$AE278,'Performance Curves'!$E$1:$L$1,1)+1,FALSE)),"")</f>
        <v/>
      </c>
      <c r="AI278" s="101" t="str">
        <f>IFERROR('BMP P Tracking Table'!$AH278*'BMP P Tracking Table'!$AD278,"")</f>
        <v/>
      </c>
      <c r="AJ278" s="64"/>
      <c r="AK278" s="96"/>
      <c r="AL278" s="96"/>
      <c r="AM278" s="63"/>
      <c r="AN278" s="99" t="str">
        <f t="shared" si="18"/>
        <v/>
      </c>
      <c r="AO278" s="96"/>
      <c r="AP278" s="96"/>
      <c r="AQ278" s="96"/>
      <c r="AR278" s="96"/>
      <c r="AS278" s="96"/>
      <c r="AT278" s="96"/>
      <c r="AU278" s="96"/>
      <c r="AV278" s="64"/>
      <c r="AW278" s="97"/>
      <c r="AX278" s="97"/>
      <c r="AY278" s="101" t="str">
        <f>IF('BMP P Tracking Table'!$AK278="Yes",IF('BMP P Tracking Table'!$AL278="No",'BMP P Tracking Table'!$U278*VLOOKUP('BMP P Tracking Table'!$Q278,'Loading Rates'!$B$1:$L$24,4,FALSE)+IF('BMP P Tracking Table'!$V278="By HSG",'BMP P Tracking Table'!$W278*VLOOKUP('BMP P Tracking Table'!$Q278,'Loading Rates'!$B$1:$L$24,6,FALSE)+'BMP P Tracking Table'!$X278*VLOOKUP('BMP P Tracking Table'!$Q278,'Loading Rates'!$B$1:$L$24,7,FALSE)+'BMP P Tracking Table'!$Y278*VLOOKUP('BMP P Tracking Table'!$Q278,'Loading Rates'!$B$1:$L$24,8,FALSE)+'BMP P Tracking Table'!$Z278*VLOOKUP('BMP P Tracking Table'!$Q278,'Loading Rates'!$B$1:$L$24,9,FALSE),'BMP P Tracking Table'!$AA278*VLOOKUP('BMP P Tracking Table'!$Q278,'Loading Rates'!$B$1:$L$24,10,FALSE)),'BMP P Tracking Table'!$AO278*VLOOKUP('BMP P Tracking Table'!$Q278,'Loading Rates'!$B$1:$L$24,4,FALSE)+IF('BMP P Tracking Table'!$AP278="By HSG",'BMP P Tracking Table'!$AQ278*VLOOKUP('BMP P Tracking Table'!$Q278,'Loading Rates'!$B$1:$L$24,6,FALSE)+'BMP P Tracking Table'!$AR278*VLOOKUP('BMP P Tracking Table'!$Q278,'Loading Rates'!$B$1:$L$24,7,FALSE)+'BMP P Tracking Table'!$AS278*VLOOKUP('BMP P Tracking Table'!$Q278,'Loading Rates'!$B$1:$L$24,8,FALSE)+'BMP P Tracking Table'!$AT278*VLOOKUP('BMP P Tracking Table'!$Q278,'Loading Rates'!$B$1:$L$24,9,FALSE),'BMP P Tracking Table'!$AU278*VLOOKUP('BMP P Tracking Table'!$Q278,'Loading Rates'!$B$1:$L$24,10,FALSE))),"")</f>
        <v/>
      </c>
      <c r="AZ278" s="101" t="str">
        <f>IFERROR(IF('BMP P Tracking Table'!$AL278="Yes",MIN(2,IF('BMP P Tracking Table'!$AP278="Total Pervious",(-(3630*'BMP P Tracking Table'!$AO278+20.691*'BMP P Tracking Table'!$AU278)+SQRT((3630*'BMP P Tracking Table'!$AO278+20.691*'BMP P Tracking Table'!$AU278)^2-(4*(996.798*'BMP P Tracking Table'!$AU278)*-'BMP P Tracking Table'!$AW278)))/(2*(996.798*'BMP P Tracking Table'!$AU278)),IF(SUM('BMP P Tracking Table'!$AQ278:$AT278)=0,'BMP P Tracking Table'!$AU278/(-3630*'BMP P Tracking Table'!$AO278),(-(3630*'BMP P Tracking Table'!$AO278+20.691*'BMP P Tracking Table'!$AT278-216.711*'BMP P Tracking Table'!$AS278-83.853*'BMP P Tracking Table'!$AR278-42.834*'BMP P Tracking Table'!$AQ278)+SQRT((3630*'BMP P Tracking Table'!$AO278+20.691*'BMP P Tracking Table'!$AT278-216.711*'BMP P Tracking Table'!$AS278-83.853*'BMP P Tracking Table'!$AR278-42.834*'BMP P Tracking Table'!$AQ278)^2-(4*(149.919*'BMP P Tracking Table'!$AQ278+236.676*'BMP P Tracking Table'!$AR278+726*'BMP P Tracking Table'!$AS278+996.798*'BMP P Tracking Table'!$AT278)*-'BMP P Tracking Table'!$AW278)))/(2*(149.919*'BMP P Tracking Table'!$AQ278+236.676*'BMP P Tracking Table'!$AR278+726*'BMP P Tracking Table'!$AS278+996.798*'BMP P Tracking Table'!$AT278))))),MIN(2,IF('BMP P Tracking Table'!$AP278="Total Pervious",(-(3630*'BMP P Tracking Table'!$U278+20.691*'BMP P Tracking Table'!$AA278)+SQRT((3630*'BMP P Tracking Table'!$U278+20.691*'BMP P Tracking Table'!$AA278)^2-(4*(996.798*'BMP P Tracking Table'!$AA278)*-'BMP P Tracking Table'!$AW278)))/(2*(996.798*'BMP P Tracking Table'!$AA278)),IF(SUM('BMP P Tracking Table'!$W278:$Z278)=0,'BMP P Tracking Table'!$AW278/(-3630*'BMP P Tracking Table'!$U278),(-(3630*'BMP P Tracking Table'!$U278+20.691*'BMP P Tracking Table'!$Z278-216.711*'BMP P Tracking Table'!$Y278-83.853*'BMP P Tracking Table'!$X278-42.834*'BMP P Tracking Table'!$W278)+SQRT((3630*'BMP P Tracking Table'!$U278+20.691*'BMP P Tracking Table'!$Z278-216.711*'BMP P Tracking Table'!$Y278-83.853*'BMP P Tracking Table'!$X278-42.834*'BMP P Tracking Table'!$W278)^2-(4*(149.919*'BMP P Tracking Table'!$W278+236.676*'BMP P Tracking Table'!$X278+726*'BMP P Tracking Table'!$Y278+996.798*'BMP P Tracking Table'!$Z278)*-'BMP P Tracking Table'!$AW278)))/(2*(149.919*'BMP P Tracking Table'!$W278+236.676*'BMP P Tracking Table'!$X278+726*'BMP P Tracking Table'!$Y278+996.798*'BMP P Tracking Table'!$Z278)))))),"")</f>
        <v/>
      </c>
      <c r="BA278" s="101" t="str">
        <f>IFERROR((VLOOKUP(CONCATENATE('BMP P Tracking Table'!$AV278," ",'BMP P Tracking Table'!$AX278),'Performance Curves'!$C$1:$L$45,MATCH('BMP P Tracking Table'!$AZ278,'Performance Curves'!$E$1:$L$1,1)+2,FALSE)-VLOOKUP(CONCATENATE('BMP P Tracking Table'!$AV278," ",'BMP P Tracking Table'!$AX278),'Performance Curves'!$C$1:$L$45,MATCH('BMP P Tracking Table'!$AZ278,'Performance Curves'!$E$1:$L$1,1)+1,FALSE)),"")</f>
        <v/>
      </c>
      <c r="BB278" s="101" t="str">
        <f>IFERROR(('BMP P Tracking Table'!$AZ278-INDEX('Performance Curves'!$E$1:$L$1,1,MATCH('BMP P Tracking Table'!$AZ278,'Performance Curves'!$E$1:$L$1,1)))/(INDEX('Performance Curves'!$E$1:$L$1,1,MATCH('BMP P Tracking Table'!$AZ278,'Performance Curves'!$E$1:$L$1,1)+1)-INDEX('Performance Curves'!$E$1:$L$1,1,MATCH('BMP P Tracking Table'!$AZ278,'Performance Curves'!$E$1:$L$1,1))),"")</f>
        <v/>
      </c>
      <c r="BC278" s="102" t="str">
        <f>IFERROR(IF('BMP P Tracking Table'!$AZ278=2,VLOOKUP(CONCATENATE('BMP P Tracking Table'!$AV278," ",'BMP P Tracking Table'!$AX278),'Performance Curves'!$C$1:$L$44,MATCH('BMP P Tracking Table'!$AZ278,'Performance Curves'!$E$1:$L$1,1)+1,FALSE),'BMP P Tracking Table'!$BA278*'BMP P Tracking Table'!$BB278+VLOOKUP(CONCATENATE('BMP P Tracking Table'!$AV278," ",'BMP P Tracking Table'!$AX278),'Performance Curves'!$C$1:$L$44,MATCH('BMP P Tracking Table'!$AZ278,'Performance Curves'!$E$1:$L$1,1)+1,FALSE)),"")</f>
        <v/>
      </c>
      <c r="BD278" s="101" t="str">
        <f>IFERROR('BMP P Tracking Table'!$BC278*'BMP P Tracking Table'!$AY278,"")</f>
        <v/>
      </c>
      <c r="BE278" s="96"/>
      <c r="BF278" s="37">
        <f t="shared" si="19"/>
        <v>0</v>
      </c>
    </row>
    <row r="279" spans="1:58" x14ac:dyDescent="0.3">
      <c r="A279" s="64"/>
      <c r="B279" s="64"/>
      <c r="C279" s="64"/>
      <c r="D279" s="64"/>
      <c r="E279" s="93"/>
      <c r="F279" s="93"/>
      <c r="G279" s="64"/>
      <c r="H279" s="64"/>
      <c r="I279" s="64"/>
      <c r="J279" s="94"/>
      <c r="K279" s="64"/>
      <c r="L279" s="64"/>
      <c r="M279" s="64"/>
      <c r="N279" s="64"/>
      <c r="O279" s="64"/>
      <c r="P279" s="64"/>
      <c r="Q279" s="64" t="str">
        <f>IFERROR(VLOOKUP('BMP P Tracking Table'!$P279,Dropdowns!$C$2:$E$15,3,FALSE),"")</f>
        <v/>
      </c>
      <c r="R279" s="64" t="str">
        <f>IFERROR(VLOOKUP('BMP P Tracking Table'!$Q279,Dropdowns!$P$3:$Q$23,2,FALSE),"")</f>
        <v/>
      </c>
      <c r="S279" s="64"/>
      <c r="T279" s="64"/>
      <c r="U279" s="64"/>
      <c r="V279" s="64"/>
      <c r="W279" s="64"/>
      <c r="X279" s="64"/>
      <c r="Y279" s="64"/>
      <c r="Z279" s="64"/>
      <c r="AA279" s="64"/>
      <c r="AB279" s="95"/>
      <c r="AC279" s="64"/>
      <c r="AD279" s="101" t="str">
        <f>IFERROR('BMP P Tracking Table'!$U279*VLOOKUP('BMP P Tracking Table'!$Q279,'Loading Rates'!$B$1:$L$24,4,FALSE)+IF('BMP P Tracking Table'!$V279="By HSG",'BMP P Tracking Table'!$W279*VLOOKUP('BMP P Tracking Table'!$Q279,'Loading Rates'!$B$1:$L$24,6,FALSE)+'BMP P Tracking Table'!$X279*VLOOKUP('BMP P Tracking Table'!$Q279,'Loading Rates'!$B$1:$L$24,7,FALSE)+'BMP P Tracking Table'!$Y279*VLOOKUP('BMP P Tracking Table'!$Q279,'Loading Rates'!$B$1:$L$24,8,FALSE)+'BMP P Tracking Table'!$Z279*VLOOKUP('BMP P Tracking Table'!$Q279,'Loading Rates'!$B$1:$L$24,9,FALSE),'BMP P Tracking Table'!$AA279*VLOOKUP('BMP P Tracking Table'!$Q279,'Loading Rates'!$B$1:$L$24,10,FALSE)),"")</f>
        <v/>
      </c>
      <c r="AE279" s="101" t="str">
        <f>IFERROR(MIN(2,IF('BMP P Tracking Table'!$V279="Total Pervious",(-(3630*'BMP P Tracking Table'!$U279+20.691*'BMP P Tracking Table'!$AA279)+SQRT((3630*'BMP P Tracking Table'!$U279+20.691*'BMP P Tracking Table'!$AA279)^2-(4*(996.798*'BMP P Tracking Table'!$AA279)*-'BMP P Tracking Table'!$AB279)))/(2*(996.798*'BMP P Tracking Table'!$AA279)),IF(SUM('BMP P Tracking Table'!$W279:$Z279)=0,'BMP P Tracking Table'!$AB279/(-3630*'BMP P Tracking Table'!$U279),(-(3630*'BMP P Tracking Table'!$U279+20.691*'BMP P Tracking Table'!$Z279-216.711*'BMP P Tracking Table'!$Y279-83.853*'BMP P Tracking Table'!$X279-42.834*'BMP P Tracking Table'!$W279)+SQRT((3630*'BMP P Tracking Table'!$U279+20.691*'BMP P Tracking Table'!$Z279-216.711*'BMP P Tracking Table'!$Y279-83.853*'BMP P Tracking Table'!$X279-42.834*'BMP P Tracking Table'!$W279)^2-(4*(149.919*'BMP P Tracking Table'!$W279+236.676*'BMP P Tracking Table'!$X279+726*'BMP P Tracking Table'!$Y279+996.798*'BMP P Tracking Table'!$Z279)*-'BMP P Tracking Table'!$AB279)))/(2*(149.919*'BMP P Tracking Table'!$W279+236.676*'BMP P Tracking Table'!$X279+726*'BMP P Tracking Table'!$Y279+996.798*'BMP P Tracking Table'!$Z279))))),"")</f>
        <v/>
      </c>
      <c r="AF279" s="101" t="str">
        <f>IFERROR((VLOOKUP(CONCATENATE('BMP P Tracking Table'!$T279," ",'BMP P Tracking Table'!$AC279),'Performance Curves'!$C$1:$L$45,MATCH('BMP P Tracking Table'!$AE279,'Performance Curves'!$E$1:$L$1,1)+2,FALSE)-VLOOKUP(CONCATENATE('BMP P Tracking Table'!$T279," ",'BMP P Tracking Table'!$AC279),'Performance Curves'!$C$1:$L$45,MATCH('BMP P Tracking Table'!$AE279,'Performance Curves'!$E$1:$L$1,1)+1,FALSE)),"")</f>
        <v/>
      </c>
      <c r="AG279" s="101" t="str">
        <f>IFERROR(('BMP P Tracking Table'!$AE279-INDEX('Performance Curves'!$E$1:$L$1,1,MATCH('BMP P Tracking Table'!$AE279,'Performance Curves'!$E$1:$L$1,1)))/(INDEX('Performance Curves'!$E$1:$L$1,1,MATCH('BMP P Tracking Table'!$AE279,'Performance Curves'!$E$1:$L$1,1)+1)-INDEX('Performance Curves'!$E$1:$L$1,1,MATCH('BMP P Tracking Table'!$AE279,'Performance Curves'!$E$1:$L$1,1))),"")</f>
        <v/>
      </c>
      <c r="AH279" s="102" t="str">
        <f>IFERROR(IF('BMP P Tracking Table'!$AE279=2,VLOOKUP(CONCATENATE('BMP P Tracking Table'!$T279," ",'BMP P Tracking Table'!$AC279),'Performance Curves'!$C$1:$L$45,MATCH('BMP P Tracking Table'!$AE279,'Performance Curves'!$E$1:$L$1,1)+1,FALSE),'BMP P Tracking Table'!$AF279*'BMP P Tracking Table'!$AG279+VLOOKUP(CONCATENATE('BMP P Tracking Table'!$T279," ",'BMP P Tracking Table'!$AC279),'Performance Curves'!$C$1:$L$45,MATCH('BMP P Tracking Table'!$AE279,'Performance Curves'!$E$1:$L$1,1)+1,FALSE)),"")</f>
        <v/>
      </c>
      <c r="AI279" s="101" t="str">
        <f>IFERROR('BMP P Tracking Table'!$AH279*'BMP P Tracking Table'!$AD279,"")</f>
        <v/>
      </c>
      <c r="AJ279" s="64"/>
      <c r="AK279" s="96"/>
      <c r="AL279" s="96"/>
      <c r="AM279" s="63"/>
      <c r="AN279" s="99" t="str">
        <f t="shared" si="18"/>
        <v/>
      </c>
      <c r="AO279" s="96"/>
      <c r="AP279" s="96"/>
      <c r="AQ279" s="96"/>
      <c r="AR279" s="96"/>
      <c r="AS279" s="96"/>
      <c r="AT279" s="96"/>
      <c r="AU279" s="96"/>
      <c r="AV279" s="64"/>
      <c r="AW279" s="97"/>
      <c r="AX279" s="97"/>
      <c r="AY279" s="101" t="str">
        <f>IF('BMP P Tracking Table'!$AK279="Yes",IF('BMP P Tracking Table'!$AL279="No",'BMP P Tracking Table'!$U279*VLOOKUP('BMP P Tracking Table'!$Q279,'Loading Rates'!$B$1:$L$24,4,FALSE)+IF('BMP P Tracking Table'!$V279="By HSG",'BMP P Tracking Table'!$W279*VLOOKUP('BMP P Tracking Table'!$Q279,'Loading Rates'!$B$1:$L$24,6,FALSE)+'BMP P Tracking Table'!$X279*VLOOKUP('BMP P Tracking Table'!$Q279,'Loading Rates'!$B$1:$L$24,7,FALSE)+'BMP P Tracking Table'!$Y279*VLOOKUP('BMP P Tracking Table'!$Q279,'Loading Rates'!$B$1:$L$24,8,FALSE)+'BMP P Tracking Table'!$Z279*VLOOKUP('BMP P Tracking Table'!$Q279,'Loading Rates'!$B$1:$L$24,9,FALSE),'BMP P Tracking Table'!$AA279*VLOOKUP('BMP P Tracking Table'!$Q279,'Loading Rates'!$B$1:$L$24,10,FALSE)),'BMP P Tracking Table'!$AO279*VLOOKUP('BMP P Tracking Table'!$Q279,'Loading Rates'!$B$1:$L$24,4,FALSE)+IF('BMP P Tracking Table'!$AP279="By HSG",'BMP P Tracking Table'!$AQ279*VLOOKUP('BMP P Tracking Table'!$Q279,'Loading Rates'!$B$1:$L$24,6,FALSE)+'BMP P Tracking Table'!$AR279*VLOOKUP('BMP P Tracking Table'!$Q279,'Loading Rates'!$B$1:$L$24,7,FALSE)+'BMP P Tracking Table'!$AS279*VLOOKUP('BMP P Tracking Table'!$Q279,'Loading Rates'!$B$1:$L$24,8,FALSE)+'BMP P Tracking Table'!$AT279*VLOOKUP('BMP P Tracking Table'!$Q279,'Loading Rates'!$B$1:$L$24,9,FALSE),'BMP P Tracking Table'!$AU279*VLOOKUP('BMP P Tracking Table'!$Q279,'Loading Rates'!$B$1:$L$24,10,FALSE))),"")</f>
        <v/>
      </c>
      <c r="AZ279" s="101" t="str">
        <f>IFERROR(IF('BMP P Tracking Table'!$AL279="Yes",MIN(2,IF('BMP P Tracking Table'!$AP279="Total Pervious",(-(3630*'BMP P Tracking Table'!$AO279+20.691*'BMP P Tracking Table'!$AU279)+SQRT((3630*'BMP P Tracking Table'!$AO279+20.691*'BMP P Tracking Table'!$AU279)^2-(4*(996.798*'BMP P Tracking Table'!$AU279)*-'BMP P Tracking Table'!$AW279)))/(2*(996.798*'BMP P Tracking Table'!$AU279)),IF(SUM('BMP P Tracking Table'!$AQ279:$AT279)=0,'BMP P Tracking Table'!$AU279/(-3630*'BMP P Tracking Table'!$AO279),(-(3630*'BMP P Tracking Table'!$AO279+20.691*'BMP P Tracking Table'!$AT279-216.711*'BMP P Tracking Table'!$AS279-83.853*'BMP P Tracking Table'!$AR279-42.834*'BMP P Tracking Table'!$AQ279)+SQRT((3630*'BMP P Tracking Table'!$AO279+20.691*'BMP P Tracking Table'!$AT279-216.711*'BMP P Tracking Table'!$AS279-83.853*'BMP P Tracking Table'!$AR279-42.834*'BMP P Tracking Table'!$AQ279)^2-(4*(149.919*'BMP P Tracking Table'!$AQ279+236.676*'BMP P Tracking Table'!$AR279+726*'BMP P Tracking Table'!$AS279+996.798*'BMP P Tracking Table'!$AT279)*-'BMP P Tracking Table'!$AW279)))/(2*(149.919*'BMP P Tracking Table'!$AQ279+236.676*'BMP P Tracking Table'!$AR279+726*'BMP P Tracking Table'!$AS279+996.798*'BMP P Tracking Table'!$AT279))))),MIN(2,IF('BMP P Tracking Table'!$AP279="Total Pervious",(-(3630*'BMP P Tracking Table'!$U279+20.691*'BMP P Tracking Table'!$AA279)+SQRT((3630*'BMP P Tracking Table'!$U279+20.691*'BMP P Tracking Table'!$AA279)^2-(4*(996.798*'BMP P Tracking Table'!$AA279)*-'BMP P Tracking Table'!$AW279)))/(2*(996.798*'BMP P Tracking Table'!$AA279)),IF(SUM('BMP P Tracking Table'!$W279:$Z279)=0,'BMP P Tracking Table'!$AW279/(-3630*'BMP P Tracking Table'!$U279),(-(3630*'BMP P Tracking Table'!$U279+20.691*'BMP P Tracking Table'!$Z279-216.711*'BMP P Tracking Table'!$Y279-83.853*'BMP P Tracking Table'!$X279-42.834*'BMP P Tracking Table'!$W279)+SQRT((3630*'BMP P Tracking Table'!$U279+20.691*'BMP P Tracking Table'!$Z279-216.711*'BMP P Tracking Table'!$Y279-83.853*'BMP P Tracking Table'!$X279-42.834*'BMP P Tracking Table'!$W279)^2-(4*(149.919*'BMP P Tracking Table'!$W279+236.676*'BMP P Tracking Table'!$X279+726*'BMP P Tracking Table'!$Y279+996.798*'BMP P Tracking Table'!$Z279)*-'BMP P Tracking Table'!$AW279)))/(2*(149.919*'BMP P Tracking Table'!$W279+236.676*'BMP P Tracking Table'!$X279+726*'BMP P Tracking Table'!$Y279+996.798*'BMP P Tracking Table'!$Z279)))))),"")</f>
        <v/>
      </c>
      <c r="BA279" s="101" t="str">
        <f>IFERROR((VLOOKUP(CONCATENATE('BMP P Tracking Table'!$AV279," ",'BMP P Tracking Table'!$AX279),'Performance Curves'!$C$1:$L$45,MATCH('BMP P Tracking Table'!$AZ279,'Performance Curves'!$E$1:$L$1,1)+2,FALSE)-VLOOKUP(CONCATENATE('BMP P Tracking Table'!$AV279," ",'BMP P Tracking Table'!$AX279),'Performance Curves'!$C$1:$L$45,MATCH('BMP P Tracking Table'!$AZ279,'Performance Curves'!$E$1:$L$1,1)+1,FALSE)),"")</f>
        <v/>
      </c>
      <c r="BB279" s="101" t="str">
        <f>IFERROR(('BMP P Tracking Table'!$AZ279-INDEX('Performance Curves'!$E$1:$L$1,1,MATCH('BMP P Tracking Table'!$AZ279,'Performance Curves'!$E$1:$L$1,1)))/(INDEX('Performance Curves'!$E$1:$L$1,1,MATCH('BMP P Tracking Table'!$AZ279,'Performance Curves'!$E$1:$L$1,1)+1)-INDEX('Performance Curves'!$E$1:$L$1,1,MATCH('BMP P Tracking Table'!$AZ279,'Performance Curves'!$E$1:$L$1,1))),"")</f>
        <v/>
      </c>
      <c r="BC279" s="102" t="str">
        <f>IFERROR(IF('BMP P Tracking Table'!$AZ279=2,VLOOKUP(CONCATENATE('BMP P Tracking Table'!$AV279," ",'BMP P Tracking Table'!$AX279),'Performance Curves'!$C$1:$L$44,MATCH('BMP P Tracking Table'!$AZ279,'Performance Curves'!$E$1:$L$1,1)+1,FALSE),'BMP P Tracking Table'!$BA279*'BMP P Tracking Table'!$BB279+VLOOKUP(CONCATENATE('BMP P Tracking Table'!$AV279," ",'BMP P Tracking Table'!$AX279),'Performance Curves'!$C$1:$L$44,MATCH('BMP P Tracking Table'!$AZ279,'Performance Curves'!$E$1:$L$1,1)+1,FALSE)),"")</f>
        <v/>
      </c>
      <c r="BD279" s="101" t="str">
        <f>IFERROR('BMP P Tracking Table'!$BC279*'BMP P Tracking Table'!$AY279,"")</f>
        <v/>
      </c>
      <c r="BE279" s="96"/>
      <c r="BF279" s="37">
        <f t="shared" si="19"/>
        <v>0</v>
      </c>
    </row>
    <row r="280" spans="1:58" x14ac:dyDescent="0.3">
      <c r="A280" s="64"/>
      <c r="B280" s="64"/>
      <c r="C280" s="64"/>
      <c r="D280" s="64"/>
      <c r="E280" s="93"/>
      <c r="F280" s="93"/>
      <c r="G280" s="64"/>
      <c r="H280" s="64"/>
      <c r="I280" s="64"/>
      <c r="J280" s="94"/>
      <c r="K280" s="64"/>
      <c r="L280" s="64"/>
      <c r="M280" s="64"/>
      <c r="N280" s="64"/>
      <c r="O280" s="64"/>
      <c r="P280" s="64"/>
      <c r="Q280" s="64" t="str">
        <f>IFERROR(VLOOKUP('BMP P Tracking Table'!$P280,Dropdowns!$C$2:$E$15,3,FALSE),"")</f>
        <v/>
      </c>
      <c r="R280" s="64" t="str">
        <f>IFERROR(VLOOKUP('BMP P Tracking Table'!$Q280,Dropdowns!$P$3:$Q$23,2,FALSE),"")</f>
        <v/>
      </c>
      <c r="S280" s="64"/>
      <c r="T280" s="64"/>
      <c r="U280" s="64"/>
      <c r="V280" s="64"/>
      <c r="W280" s="64"/>
      <c r="X280" s="64"/>
      <c r="Y280" s="64"/>
      <c r="Z280" s="64"/>
      <c r="AA280" s="64"/>
      <c r="AB280" s="95"/>
      <c r="AC280" s="64"/>
      <c r="AD280" s="101" t="str">
        <f>IFERROR('BMP P Tracking Table'!$U280*VLOOKUP('BMP P Tracking Table'!$Q280,'Loading Rates'!$B$1:$L$24,4,FALSE)+IF('BMP P Tracking Table'!$V280="By HSG",'BMP P Tracking Table'!$W280*VLOOKUP('BMP P Tracking Table'!$Q280,'Loading Rates'!$B$1:$L$24,6,FALSE)+'BMP P Tracking Table'!$X280*VLOOKUP('BMP P Tracking Table'!$Q280,'Loading Rates'!$B$1:$L$24,7,FALSE)+'BMP P Tracking Table'!$Y280*VLOOKUP('BMP P Tracking Table'!$Q280,'Loading Rates'!$B$1:$L$24,8,FALSE)+'BMP P Tracking Table'!$Z280*VLOOKUP('BMP P Tracking Table'!$Q280,'Loading Rates'!$B$1:$L$24,9,FALSE),'BMP P Tracking Table'!$AA280*VLOOKUP('BMP P Tracking Table'!$Q280,'Loading Rates'!$B$1:$L$24,10,FALSE)),"")</f>
        <v/>
      </c>
      <c r="AE280" s="101" t="str">
        <f>IFERROR(MIN(2,IF('BMP P Tracking Table'!$V280="Total Pervious",(-(3630*'BMP P Tracking Table'!$U280+20.691*'BMP P Tracking Table'!$AA280)+SQRT((3630*'BMP P Tracking Table'!$U280+20.691*'BMP P Tracking Table'!$AA280)^2-(4*(996.798*'BMP P Tracking Table'!$AA280)*-'BMP P Tracking Table'!$AB280)))/(2*(996.798*'BMP P Tracking Table'!$AA280)),IF(SUM('BMP P Tracking Table'!$W280:$Z280)=0,'BMP P Tracking Table'!$AB280/(-3630*'BMP P Tracking Table'!$U280),(-(3630*'BMP P Tracking Table'!$U280+20.691*'BMP P Tracking Table'!$Z280-216.711*'BMP P Tracking Table'!$Y280-83.853*'BMP P Tracking Table'!$X280-42.834*'BMP P Tracking Table'!$W280)+SQRT((3630*'BMP P Tracking Table'!$U280+20.691*'BMP P Tracking Table'!$Z280-216.711*'BMP P Tracking Table'!$Y280-83.853*'BMP P Tracking Table'!$X280-42.834*'BMP P Tracking Table'!$W280)^2-(4*(149.919*'BMP P Tracking Table'!$W280+236.676*'BMP P Tracking Table'!$X280+726*'BMP P Tracking Table'!$Y280+996.798*'BMP P Tracking Table'!$Z280)*-'BMP P Tracking Table'!$AB280)))/(2*(149.919*'BMP P Tracking Table'!$W280+236.676*'BMP P Tracking Table'!$X280+726*'BMP P Tracking Table'!$Y280+996.798*'BMP P Tracking Table'!$Z280))))),"")</f>
        <v/>
      </c>
      <c r="AF280" s="101" t="str">
        <f>IFERROR((VLOOKUP(CONCATENATE('BMP P Tracking Table'!$T280," ",'BMP P Tracking Table'!$AC280),'Performance Curves'!$C$1:$L$45,MATCH('BMP P Tracking Table'!$AE280,'Performance Curves'!$E$1:$L$1,1)+2,FALSE)-VLOOKUP(CONCATENATE('BMP P Tracking Table'!$T280," ",'BMP P Tracking Table'!$AC280),'Performance Curves'!$C$1:$L$45,MATCH('BMP P Tracking Table'!$AE280,'Performance Curves'!$E$1:$L$1,1)+1,FALSE)),"")</f>
        <v/>
      </c>
      <c r="AG280" s="101" t="str">
        <f>IFERROR(('BMP P Tracking Table'!$AE280-INDEX('Performance Curves'!$E$1:$L$1,1,MATCH('BMP P Tracking Table'!$AE280,'Performance Curves'!$E$1:$L$1,1)))/(INDEX('Performance Curves'!$E$1:$L$1,1,MATCH('BMP P Tracking Table'!$AE280,'Performance Curves'!$E$1:$L$1,1)+1)-INDEX('Performance Curves'!$E$1:$L$1,1,MATCH('BMP P Tracking Table'!$AE280,'Performance Curves'!$E$1:$L$1,1))),"")</f>
        <v/>
      </c>
      <c r="AH280" s="102" t="str">
        <f>IFERROR(IF('BMP P Tracking Table'!$AE280=2,VLOOKUP(CONCATENATE('BMP P Tracking Table'!$T280," ",'BMP P Tracking Table'!$AC280),'Performance Curves'!$C$1:$L$45,MATCH('BMP P Tracking Table'!$AE280,'Performance Curves'!$E$1:$L$1,1)+1,FALSE),'BMP P Tracking Table'!$AF280*'BMP P Tracking Table'!$AG280+VLOOKUP(CONCATENATE('BMP P Tracking Table'!$T280," ",'BMP P Tracking Table'!$AC280),'Performance Curves'!$C$1:$L$45,MATCH('BMP P Tracking Table'!$AE280,'Performance Curves'!$E$1:$L$1,1)+1,FALSE)),"")</f>
        <v/>
      </c>
      <c r="AI280" s="101" t="str">
        <f>IFERROR('BMP P Tracking Table'!$AH280*'BMP P Tracking Table'!$AD280,"")</f>
        <v/>
      </c>
      <c r="AJ280" s="64"/>
      <c r="AK280" s="96"/>
      <c r="AL280" s="96"/>
      <c r="AM280" s="63"/>
      <c r="AN280" s="99" t="str">
        <f t="shared" si="18"/>
        <v/>
      </c>
      <c r="AO280" s="96"/>
      <c r="AP280" s="96"/>
      <c r="AQ280" s="96"/>
      <c r="AR280" s="96"/>
      <c r="AS280" s="96"/>
      <c r="AT280" s="96"/>
      <c r="AU280" s="96"/>
      <c r="AV280" s="64"/>
      <c r="AW280" s="97"/>
      <c r="AX280" s="97"/>
      <c r="AY280" s="101" t="str">
        <f>IF('BMP P Tracking Table'!$AK280="Yes",IF('BMP P Tracking Table'!$AL280="No",'BMP P Tracking Table'!$U280*VLOOKUP('BMP P Tracking Table'!$Q280,'Loading Rates'!$B$1:$L$24,4,FALSE)+IF('BMP P Tracking Table'!$V280="By HSG",'BMP P Tracking Table'!$W280*VLOOKUP('BMP P Tracking Table'!$Q280,'Loading Rates'!$B$1:$L$24,6,FALSE)+'BMP P Tracking Table'!$X280*VLOOKUP('BMP P Tracking Table'!$Q280,'Loading Rates'!$B$1:$L$24,7,FALSE)+'BMP P Tracking Table'!$Y280*VLOOKUP('BMP P Tracking Table'!$Q280,'Loading Rates'!$B$1:$L$24,8,FALSE)+'BMP P Tracking Table'!$Z280*VLOOKUP('BMP P Tracking Table'!$Q280,'Loading Rates'!$B$1:$L$24,9,FALSE),'BMP P Tracking Table'!$AA280*VLOOKUP('BMP P Tracking Table'!$Q280,'Loading Rates'!$B$1:$L$24,10,FALSE)),'BMP P Tracking Table'!$AO280*VLOOKUP('BMP P Tracking Table'!$Q280,'Loading Rates'!$B$1:$L$24,4,FALSE)+IF('BMP P Tracking Table'!$AP280="By HSG",'BMP P Tracking Table'!$AQ280*VLOOKUP('BMP P Tracking Table'!$Q280,'Loading Rates'!$B$1:$L$24,6,FALSE)+'BMP P Tracking Table'!$AR280*VLOOKUP('BMP P Tracking Table'!$Q280,'Loading Rates'!$B$1:$L$24,7,FALSE)+'BMP P Tracking Table'!$AS280*VLOOKUP('BMP P Tracking Table'!$Q280,'Loading Rates'!$B$1:$L$24,8,FALSE)+'BMP P Tracking Table'!$AT280*VLOOKUP('BMP P Tracking Table'!$Q280,'Loading Rates'!$B$1:$L$24,9,FALSE),'BMP P Tracking Table'!$AU280*VLOOKUP('BMP P Tracking Table'!$Q280,'Loading Rates'!$B$1:$L$24,10,FALSE))),"")</f>
        <v/>
      </c>
      <c r="AZ280" s="101" t="str">
        <f>IFERROR(IF('BMP P Tracking Table'!$AL280="Yes",MIN(2,IF('BMP P Tracking Table'!$AP280="Total Pervious",(-(3630*'BMP P Tracking Table'!$AO280+20.691*'BMP P Tracking Table'!$AU280)+SQRT((3630*'BMP P Tracking Table'!$AO280+20.691*'BMP P Tracking Table'!$AU280)^2-(4*(996.798*'BMP P Tracking Table'!$AU280)*-'BMP P Tracking Table'!$AW280)))/(2*(996.798*'BMP P Tracking Table'!$AU280)),IF(SUM('BMP P Tracking Table'!$AQ280:$AT280)=0,'BMP P Tracking Table'!$AU280/(-3630*'BMP P Tracking Table'!$AO280),(-(3630*'BMP P Tracking Table'!$AO280+20.691*'BMP P Tracking Table'!$AT280-216.711*'BMP P Tracking Table'!$AS280-83.853*'BMP P Tracking Table'!$AR280-42.834*'BMP P Tracking Table'!$AQ280)+SQRT((3630*'BMP P Tracking Table'!$AO280+20.691*'BMP P Tracking Table'!$AT280-216.711*'BMP P Tracking Table'!$AS280-83.853*'BMP P Tracking Table'!$AR280-42.834*'BMP P Tracking Table'!$AQ280)^2-(4*(149.919*'BMP P Tracking Table'!$AQ280+236.676*'BMP P Tracking Table'!$AR280+726*'BMP P Tracking Table'!$AS280+996.798*'BMP P Tracking Table'!$AT280)*-'BMP P Tracking Table'!$AW280)))/(2*(149.919*'BMP P Tracking Table'!$AQ280+236.676*'BMP P Tracking Table'!$AR280+726*'BMP P Tracking Table'!$AS280+996.798*'BMP P Tracking Table'!$AT280))))),MIN(2,IF('BMP P Tracking Table'!$AP280="Total Pervious",(-(3630*'BMP P Tracking Table'!$U280+20.691*'BMP P Tracking Table'!$AA280)+SQRT((3630*'BMP P Tracking Table'!$U280+20.691*'BMP P Tracking Table'!$AA280)^2-(4*(996.798*'BMP P Tracking Table'!$AA280)*-'BMP P Tracking Table'!$AW280)))/(2*(996.798*'BMP P Tracking Table'!$AA280)),IF(SUM('BMP P Tracking Table'!$W280:$Z280)=0,'BMP P Tracking Table'!$AW280/(-3630*'BMP P Tracking Table'!$U280),(-(3630*'BMP P Tracking Table'!$U280+20.691*'BMP P Tracking Table'!$Z280-216.711*'BMP P Tracking Table'!$Y280-83.853*'BMP P Tracking Table'!$X280-42.834*'BMP P Tracking Table'!$W280)+SQRT((3630*'BMP P Tracking Table'!$U280+20.691*'BMP P Tracking Table'!$Z280-216.711*'BMP P Tracking Table'!$Y280-83.853*'BMP P Tracking Table'!$X280-42.834*'BMP P Tracking Table'!$W280)^2-(4*(149.919*'BMP P Tracking Table'!$W280+236.676*'BMP P Tracking Table'!$X280+726*'BMP P Tracking Table'!$Y280+996.798*'BMP P Tracking Table'!$Z280)*-'BMP P Tracking Table'!$AW280)))/(2*(149.919*'BMP P Tracking Table'!$W280+236.676*'BMP P Tracking Table'!$X280+726*'BMP P Tracking Table'!$Y280+996.798*'BMP P Tracking Table'!$Z280)))))),"")</f>
        <v/>
      </c>
      <c r="BA280" s="101" t="str">
        <f>IFERROR((VLOOKUP(CONCATENATE('BMP P Tracking Table'!$AV280," ",'BMP P Tracking Table'!$AX280),'Performance Curves'!$C$1:$L$45,MATCH('BMP P Tracking Table'!$AZ280,'Performance Curves'!$E$1:$L$1,1)+2,FALSE)-VLOOKUP(CONCATENATE('BMP P Tracking Table'!$AV280," ",'BMP P Tracking Table'!$AX280),'Performance Curves'!$C$1:$L$45,MATCH('BMP P Tracking Table'!$AZ280,'Performance Curves'!$E$1:$L$1,1)+1,FALSE)),"")</f>
        <v/>
      </c>
      <c r="BB280" s="101" t="str">
        <f>IFERROR(('BMP P Tracking Table'!$AZ280-INDEX('Performance Curves'!$E$1:$L$1,1,MATCH('BMP P Tracking Table'!$AZ280,'Performance Curves'!$E$1:$L$1,1)))/(INDEX('Performance Curves'!$E$1:$L$1,1,MATCH('BMP P Tracking Table'!$AZ280,'Performance Curves'!$E$1:$L$1,1)+1)-INDEX('Performance Curves'!$E$1:$L$1,1,MATCH('BMP P Tracking Table'!$AZ280,'Performance Curves'!$E$1:$L$1,1))),"")</f>
        <v/>
      </c>
      <c r="BC280" s="102" t="str">
        <f>IFERROR(IF('BMP P Tracking Table'!$AZ280=2,VLOOKUP(CONCATENATE('BMP P Tracking Table'!$AV280," ",'BMP P Tracking Table'!$AX280),'Performance Curves'!$C$1:$L$44,MATCH('BMP P Tracking Table'!$AZ280,'Performance Curves'!$E$1:$L$1,1)+1,FALSE),'BMP P Tracking Table'!$BA280*'BMP P Tracking Table'!$BB280+VLOOKUP(CONCATENATE('BMP P Tracking Table'!$AV280," ",'BMP P Tracking Table'!$AX280),'Performance Curves'!$C$1:$L$44,MATCH('BMP P Tracking Table'!$AZ280,'Performance Curves'!$E$1:$L$1,1)+1,FALSE)),"")</f>
        <v/>
      </c>
      <c r="BD280" s="101" t="str">
        <f>IFERROR('BMP P Tracking Table'!$BC280*'BMP P Tracking Table'!$AY280,"")</f>
        <v/>
      </c>
      <c r="BE280" s="96"/>
      <c r="BF280" s="37">
        <f t="shared" si="19"/>
        <v>0</v>
      </c>
    </row>
    <row r="281" spans="1:58" x14ac:dyDescent="0.3">
      <c r="A281" s="64"/>
      <c r="B281" s="64"/>
      <c r="C281" s="64"/>
      <c r="D281" s="64"/>
      <c r="E281" s="93"/>
      <c r="F281" s="93"/>
      <c r="G281" s="64"/>
      <c r="H281" s="64"/>
      <c r="I281" s="64"/>
      <c r="J281" s="94"/>
      <c r="K281" s="64"/>
      <c r="L281" s="64"/>
      <c r="M281" s="64"/>
      <c r="N281" s="64"/>
      <c r="O281" s="64"/>
      <c r="P281" s="64"/>
      <c r="Q281" s="64" t="str">
        <f>IFERROR(VLOOKUP('BMP P Tracking Table'!$P281,Dropdowns!$C$2:$E$15,3,FALSE),"")</f>
        <v/>
      </c>
      <c r="R281" s="64" t="str">
        <f>IFERROR(VLOOKUP('BMP P Tracking Table'!$Q281,Dropdowns!$P$3:$Q$23,2,FALSE),"")</f>
        <v/>
      </c>
      <c r="S281" s="64"/>
      <c r="T281" s="64"/>
      <c r="U281" s="64"/>
      <c r="V281" s="64"/>
      <c r="W281" s="64"/>
      <c r="X281" s="64"/>
      <c r="Y281" s="64"/>
      <c r="Z281" s="64"/>
      <c r="AA281" s="64"/>
      <c r="AB281" s="95"/>
      <c r="AC281" s="64"/>
      <c r="AD281" s="101" t="str">
        <f>IFERROR('BMP P Tracking Table'!$U281*VLOOKUP('BMP P Tracking Table'!$Q281,'Loading Rates'!$B$1:$L$24,4,FALSE)+IF('BMP P Tracking Table'!$V281="By HSG",'BMP P Tracking Table'!$W281*VLOOKUP('BMP P Tracking Table'!$Q281,'Loading Rates'!$B$1:$L$24,6,FALSE)+'BMP P Tracking Table'!$X281*VLOOKUP('BMP P Tracking Table'!$Q281,'Loading Rates'!$B$1:$L$24,7,FALSE)+'BMP P Tracking Table'!$Y281*VLOOKUP('BMP P Tracking Table'!$Q281,'Loading Rates'!$B$1:$L$24,8,FALSE)+'BMP P Tracking Table'!$Z281*VLOOKUP('BMP P Tracking Table'!$Q281,'Loading Rates'!$B$1:$L$24,9,FALSE),'BMP P Tracking Table'!$AA281*VLOOKUP('BMP P Tracking Table'!$Q281,'Loading Rates'!$B$1:$L$24,10,FALSE)),"")</f>
        <v/>
      </c>
      <c r="AE281" s="101" t="str">
        <f>IFERROR(MIN(2,IF('BMP P Tracking Table'!$V281="Total Pervious",(-(3630*'BMP P Tracking Table'!$U281+20.691*'BMP P Tracking Table'!$AA281)+SQRT((3630*'BMP P Tracking Table'!$U281+20.691*'BMP P Tracking Table'!$AA281)^2-(4*(996.798*'BMP P Tracking Table'!$AA281)*-'BMP P Tracking Table'!$AB281)))/(2*(996.798*'BMP P Tracking Table'!$AA281)),IF(SUM('BMP P Tracking Table'!$W281:$Z281)=0,'BMP P Tracking Table'!$AB281/(-3630*'BMP P Tracking Table'!$U281),(-(3630*'BMP P Tracking Table'!$U281+20.691*'BMP P Tracking Table'!$Z281-216.711*'BMP P Tracking Table'!$Y281-83.853*'BMP P Tracking Table'!$X281-42.834*'BMP P Tracking Table'!$W281)+SQRT((3630*'BMP P Tracking Table'!$U281+20.691*'BMP P Tracking Table'!$Z281-216.711*'BMP P Tracking Table'!$Y281-83.853*'BMP P Tracking Table'!$X281-42.834*'BMP P Tracking Table'!$W281)^2-(4*(149.919*'BMP P Tracking Table'!$W281+236.676*'BMP P Tracking Table'!$X281+726*'BMP P Tracking Table'!$Y281+996.798*'BMP P Tracking Table'!$Z281)*-'BMP P Tracking Table'!$AB281)))/(2*(149.919*'BMP P Tracking Table'!$W281+236.676*'BMP P Tracking Table'!$X281+726*'BMP P Tracking Table'!$Y281+996.798*'BMP P Tracking Table'!$Z281))))),"")</f>
        <v/>
      </c>
      <c r="AF281" s="101" t="str">
        <f>IFERROR((VLOOKUP(CONCATENATE('BMP P Tracking Table'!$T281," ",'BMP P Tracking Table'!$AC281),'Performance Curves'!$C$1:$L$45,MATCH('BMP P Tracking Table'!$AE281,'Performance Curves'!$E$1:$L$1,1)+2,FALSE)-VLOOKUP(CONCATENATE('BMP P Tracking Table'!$T281," ",'BMP P Tracking Table'!$AC281),'Performance Curves'!$C$1:$L$45,MATCH('BMP P Tracking Table'!$AE281,'Performance Curves'!$E$1:$L$1,1)+1,FALSE)),"")</f>
        <v/>
      </c>
      <c r="AG281" s="101" t="str">
        <f>IFERROR(('BMP P Tracking Table'!$AE281-INDEX('Performance Curves'!$E$1:$L$1,1,MATCH('BMP P Tracking Table'!$AE281,'Performance Curves'!$E$1:$L$1,1)))/(INDEX('Performance Curves'!$E$1:$L$1,1,MATCH('BMP P Tracking Table'!$AE281,'Performance Curves'!$E$1:$L$1,1)+1)-INDEX('Performance Curves'!$E$1:$L$1,1,MATCH('BMP P Tracking Table'!$AE281,'Performance Curves'!$E$1:$L$1,1))),"")</f>
        <v/>
      </c>
      <c r="AH281" s="102" t="str">
        <f>IFERROR(IF('BMP P Tracking Table'!$AE281=2,VLOOKUP(CONCATENATE('BMP P Tracking Table'!$T281," ",'BMP P Tracking Table'!$AC281),'Performance Curves'!$C$1:$L$45,MATCH('BMP P Tracking Table'!$AE281,'Performance Curves'!$E$1:$L$1,1)+1,FALSE),'BMP P Tracking Table'!$AF281*'BMP P Tracking Table'!$AG281+VLOOKUP(CONCATENATE('BMP P Tracking Table'!$T281," ",'BMP P Tracking Table'!$AC281),'Performance Curves'!$C$1:$L$45,MATCH('BMP P Tracking Table'!$AE281,'Performance Curves'!$E$1:$L$1,1)+1,FALSE)),"")</f>
        <v/>
      </c>
      <c r="AI281" s="101" t="str">
        <f>IFERROR('BMP P Tracking Table'!$AH281*'BMP P Tracking Table'!$AD281,"")</f>
        <v/>
      </c>
      <c r="AJ281" s="64"/>
      <c r="AK281" s="96"/>
      <c r="AL281" s="96"/>
      <c r="AM281" s="63"/>
      <c r="AN281" s="99" t="str">
        <f t="shared" si="18"/>
        <v/>
      </c>
      <c r="AO281" s="96"/>
      <c r="AP281" s="96"/>
      <c r="AQ281" s="96"/>
      <c r="AR281" s="96"/>
      <c r="AS281" s="96"/>
      <c r="AT281" s="96"/>
      <c r="AU281" s="96"/>
      <c r="AV281" s="64"/>
      <c r="AW281" s="97"/>
      <c r="AX281" s="97"/>
      <c r="AY281" s="101" t="str">
        <f>IF('BMP P Tracking Table'!$AK281="Yes",IF('BMP P Tracking Table'!$AL281="No",'BMP P Tracking Table'!$U281*VLOOKUP('BMP P Tracking Table'!$Q281,'Loading Rates'!$B$1:$L$24,4,FALSE)+IF('BMP P Tracking Table'!$V281="By HSG",'BMP P Tracking Table'!$W281*VLOOKUP('BMP P Tracking Table'!$Q281,'Loading Rates'!$B$1:$L$24,6,FALSE)+'BMP P Tracking Table'!$X281*VLOOKUP('BMP P Tracking Table'!$Q281,'Loading Rates'!$B$1:$L$24,7,FALSE)+'BMP P Tracking Table'!$Y281*VLOOKUP('BMP P Tracking Table'!$Q281,'Loading Rates'!$B$1:$L$24,8,FALSE)+'BMP P Tracking Table'!$Z281*VLOOKUP('BMP P Tracking Table'!$Q281,'Loading Rates'!$B$1:$L$24,9,FALSE),'BMP P Tracking Table'!$AA281*VLOOKUP('BMP P Tracking Table'!$Q281,'Loading Rates'!$B$1:$L$24,10,FALSE)),'BMP P Tracking Table'!$AO281*VLOOKUP('BMP P Tracking Table'!$Q281,'Loading Rates'!$B$1:$L$24,4,FALSE)+IF('BMP P Tracking Table'!$AP281="By HSG",'BMP P Tracking Table'!$AQ281*VLOOKUP('BMP P Tracking Table'!$Q281,'Loading Rates'!$B$1:$L$24,6,FALSE)+'BMP P Tracking Table'!$AR281*VLOOKUP('BMP P Tracking Table'!$Q281,'Loading Rates'!$B$1:$L$24,7,FALSE)+'BMP P Tracking Table'!$AS281*VLOOKUP('BMP P Tracking Table'!$Q281,'Loading Rates'!$B$1:$L$24,8,FALSE)+'BMP P Tracking Table'!$AT281*VLOOKUP('BMP P Tracking Table'!$Q281,'Loading Rates'!$B$1:$L$24,9,FALSE),'BMP P Tracking Table'!$AU281*VLOOKUP('BMP P Tracking Table'!$Q281,'Loading Rates'!$B$1:$L$24,10,FALSE))),"")</f>
        <v/>
      </c>
      <c r="AZ281" s="101" t="str">
        <f>IFERROR(IF('BMP P Tracking Table'!$AL281="Yes",MIN(2,IF('BMP P Tracking Table'!$AP281="Total Pervious",(-(3630*'BMP P Tracking Table'!$AO281+20.691*'BMP P Tracking Table'!$AU281)+SQRT((3630*'BMP P Tracking Table'!$AO281+20.691*'BMP P Tracking Table'!$AU281)^2-(4*(996.798*'BMP P Tracking Table'!$AU281)*-'BMP P Tracking Table'!$AW281)))/(2*(996.798*'BMP P Tracking Table'!$AU281)),IF(SUM('BMP P Tracking Table'!$AQ281:$AT281)=0,'BMP P Tracking Table'!$AU281/(-3630*'BMP P Tracking Table'!$AO281),(-(3630*'BMP P Tracking Table'!$AO281+20.691*'BMP P Tracking Table'!$AT281-216.711*'BMP P Tracking Table'!$AS281-83.853*'BMP P Tracking Table'!$AR281-42.834*'BMP P Tracking Table'!$AQ281)+SQRT((3630*'BMP P Tracking Table'!$AO281+20.691*'BMP P Tracking Table'!$AT281-216.711*'BMP P Tracking Table'!$AS281-83.853*'BMP P Tracking Table'!$AR281-42.834*'BMP P Tracking Table'!$AQ281)^2-(4*(149.919*'BMP P Tracking Table'!$AQ281+236.676*'BMP P Tracking Table'!$AR281+726*'BMP P Tracking Table'!$AS281+996.798*'BMP P Tracking Table'!$AT281)*-'BMP P Tracking Table'!$AW281)))/(2*(149.919*'BMP P Tracking Table'!$AQ281+236.676*'BMP P Tracking Table'!$AR281+726*'BMP P Tracking Table'!$AS281+996.798*'BMP P Tracking Table'!$AT281))))),MIN(2,IF('BMP P Tracking Table'!$AP281="Total Pervious",(-(3630*'BMP P Tracking Table'!$U281+20.691*'BMP P Tracking Table'!$AA281)+SQRT((3630*'BMP P Tracking Table'!$U281+20.691*'BMP P Tracking Table'!$AA281)^2-(4*(996.798*'BMP P Tracking Table'!$AA281)*-'BMP P Tracking Table'!$AW281)))/(2*(996.798*'BMP P Tracking Table'!$AA281)),IF(SUM('BMP P Tracking Table'!$W281:$Z281)=0,'BMP P Tracking Table'!$AW281/(-3630*'BMP P Tracking Table'!$U281),(-(3630*'BMP P Tracking Table'!$U281+20.691*'BMP P Tracking Table'!$Z281-216.711*'BMP P Tracking Table'!$Y281-83.853*'BMP P Tracking Table'!$X281-42.834*'BMP P Tracking Table'!$W281)+SQRT((3630*'BMP P Tracking Table'!$U281+20.691*'BMP P Tracking Table'!$Z281-216.711*'BMP P Tracking Table'!$Y281-83.853*'BMP P Tracking Table'!$X281-42.834*'BMP P Tracking Table'!$W281)^2-(4*(149.919*'BMP P Tracking Table'!$W281+236.676*'BMP P Tracking Table'!$X281+726*'BMP P Tracking Table'!$Y281+996.798*'BMP P Tracking Table'!$Z281)*-'BMP P Tracking Table'!$AW281)))/(2*(149.919*'BMP P Tracking Table'!$W281+236.676*'BMP P Tracking Table'!$X281+726*'BMP P Tracking Table'!$Y281+996.798*'BMP P Tracking Table'!$Z281)))))),"")</f>
        <v/>
      </c>
      <c r="BA281" s="101" t="str">
        <f>IFERROR((VLOOKUP(CONCATENATE('BMP P Tracking Table'!$AV281," ",'BMP P Tracking Table'!$AX281),'Performance Curves'!$C$1:$L$45,MATCH('BMP P Tracking Table'!$AZ281,'Performance Curves'!$E$1:$L$1,1)+2,FALSE)-VLOOKUP(CONCATENATE('BMP P Tracking Table'!$AV281," ",'BMP P Tracking Table'!$AX281),'Performance Curves'!$C$1:$L$45,MATCH('BMP P Tracking Table'!$AZ281,'Performance Curves'!$E$1:$L$1,1)+1,FALSE)),"")</f>
        <v/>
      </c>
      <c r="BB281" s="101" t="str">
        <f>IFERROR(('BMP P Tracking Table'!$AZ281-INDEX('Performance Curves'!$E$1:$L$1,1,MATCH('BMP P Tracking Table'!$AZ281,'Performance Curves'!$E$1:$L$1,1)))/(INDEX('Performance Curves'!$E$1:$L$1,1,MATCH('BMP P Tracking Table'!$AZ281,'Performance Curves'!$E$1:$L$1,1)+1)-INDEX('Performance Curves'!$E$1:$L$1,1,MATCH('BMP P Tracking Table'!$AZ281,'Performance Curves'!$E$1:$L$1,1))),"")</f>
        <v/>
      </c>
      <c r="BC281" s="102" t="str">
        <f>IFERROR(IF('BMP P Tracking Table'!$AZ281=2,VLOOKUP(CONCATENATE('BMP P Tracking Table'!$AV281," ",'BMP P Tracking Table'!$AX281),'Performance Curves'!$C$1:$L$44,MATCH('BMP P Tracking Table'!$AZ281,'Performance Curves'!$E$1:$L$1,1)+1,FALSE),'BMP P Tracking Table'!$BA281*'BMP P Tracking Table'!$BB281+VLOOKUP(CONCATENATE('BMP P Tracking Table'!$AV281," ",'BMP P Tracking Table'!$AX281),'Performance Curves'!$C$1:$L$44,MATCH('BMP P Tracking Table'!$AZ281,'Performance Curves'!$E$1:$L$1,1)+1,FALSE)),"")</f>
        <v/>
      </c>
      <c r="BD281" s="101" t="str">
        <f>IFERROR('BMP P Tracking Table'!$BC281*'BMP P Tracking Table'!$AY281,"")</f>
        <v/>
      </c>
      <c r="BE281" s="91"/>
      <c r="BF281" s="37">
        <f t="shared" si="19"/>
        <v>0</v>
      </c>
    </row>
    <row r="282" spans="1:58" x14ac:dyDescent="0.3">
      <c r="A282" s="64"/>
      <c r="B282" s="64"/>
      <c r="C282" s="64"/>
      <c r="D282" s="64"/>
      <c r="E282" s="93"/>
      <c r="F282" s="93"/>
      <c r="G282" s="64"/>
      <c r="H282" s="64"/>
      <c r="I282" s="64"/>
      <c r="J282" s="94"/>
      <c r="K282" s="64"/>
      <c r="L282" s="64"/>
      <c r="M282" s="64"/>
      <c r="N282" s="64"/>
      <c r="O282" s="64"/>
      <c r="P282" s="64"/>
      <c r="Q282" s="64" t="str">
        <f>IFERROR(VLOOKUP('BMP P Tracking Table'!$P282,Dropdowns!$C$2:$E$15,3,FALSE),"")</f>
        <v/>
      </c>
      <c r="R282" s="64" t="str">
        <f>IFERROR(VLOOKUP('BMP P Tracking Table'!$Q282,Dropdowns!$P$3:$Q$23,2,FALSE),"")</f>
        <v/>
      </c>
      <c r="S282" s="64"/>
      <c r="T282" s="64"/>
      <c r="U282" s="64"/>
      <c r="V282" s="64"/>
      <c r="W282" s="64"/>
      <c r="X282" s="64"/>
      <c r="Y282" s="64"/>
      <c r="Z282" s="64"/>
      <c r="AA282" s="64"/>
      <c r="AB282" s="95"/>
      <c r="AC282" s="64"/>
      <c r="AD282" s="101" t="str">
        <f>IFERROR('BMP P Tracking Table'!$U282*VLOOKUP('BMP P Tracking Table'!$Q282,'Loading Rates'!$B$1:$L$24,4,FALSE)+IF('BMP P Tracking Table'!$V282="By HSG",'BMP P Tracking Table'!$W282*VLOOKUP('BMP P Tracking Table'!$Q282,'Loading Rates'!$B$1:$L$24,6,FALSE)+'BMP P Tracking Table'!$X282*VLOOKUP('BMP P Tracking Table'!$Q282,'Loading Rates'!$B$1:$L$24,7,FALSE)+'BMP P Tracking Table'!$Y282*VLOOKUP('BMP P Tracking Table'!$Q282,'Loading Rates'!$B$1:$L$24,8,FALSE)+'BMP P Tracking Table'!$Z282*VLOOKUP('BMP P Tracking Table'!$Q282,'Loading Rates'!$B$1:$L$24,9,FALSE),'BMP P Tracking Table'!$AA282*VLOOKUP('BMP P Tracking Table'!$Q282,'Loading Rates'!$B$1:$L$24,10,FALSE)),"")</f>
        <v/>
      </c>
      <c r="AE282" s="101" t="str">
        <f>IFERROR(MIN(2,IF('BMP P Tracking Table'!$V282="Total Pervious",(-(3630*'BMP P Tracking Table'!$U282+20.691*'BMP P Tracking Table'!$AA282)+SQRT((3630*'BMP P Tracking Table'!$U282+20.691*'BMP P Tracking Table'!$AA282)^2-(4*(996.798*'BMP P Tracking Table'!$AA282)*-'BMP P Tracking Table'!$AB282)))/(2*(996.798*'BMP P Tracking Table'!$AA282)),IF(SUM('BMP P Tracking Table'!$W282:$Z282)=0,'BMP P Tracking Table'!$AB282/(-3630*'BMP P Tracking Table'!$U282),(-(3630*'BMP P Tracking Table'!$U282+20.691*'BMP P Tracking Table'!$Z282-216.711*'BMP P Tracking Table'!$Y282-83.853*'BMP P Tracking Table'!$X282-42.834*'BMP P Tracking Table'!$W282)+SQRT((3630*'BMP P Tracking Table'!$U282+20.691*'BMP P Tracking Table'!$Z282-216.711*'BMP P Tracking Table'!$Y282-83.853*'BMP P Tracking Table'!$X282-42.834*'BMP P Tracking Table'!$W282)^2-(4*(149.919*'BMP P Tracking Table'!$W282+236.676*'BMP P Tracking Table'!$X282+726*'BMP P Tracking Table'!$Y282+996.798*'BMP P Tracking Table'!$Z282)*-'BMP P Tracking Table'!$AB282)))/(2*(149.919*'BMP P Tracking Table'!$W282+236.676*'BMP P Tracking Table'!$X282+726*'BMP P Tracking Table'!$Y282+996.798*'BMP P Tracking Table'!$Z282))))),"")</f>
        <v/>
      </c>
      <c r="AF282" s="101" t="str">
        <f>IFERROR((VLOOKUP(CONCATENATE('BMP P Tracking Table'!$T282," ",'BMP P Tracking Table'!$AC282),'Performance Curves'!$C$1:$L$45,MATCH('BMP P Tracking Table'!$AE282,'Performance Curves'!$E$1:$L$1,1)+2,FALSE)-VLOOKUP(CONCATENATE('BMP P Tracking Table'!$T282," ",'BMP P Tracking Table'!$AC282),'Performance Curves'!$C$1:$L$45,MATCH('BMP P Tracking Table'!$AE282,'Performance Curves'!$E$1:$L$1,1)+1,FALSE)),"")</f>
        <v/>
      </c>
      <c r="AG282" s="101" t="str">
        <f>IFERROR(('BMP P Tracking Table'!$AE282-INDEX('Performance Curves'!$E$1:$L$1,1,MATCH('BMP P Tracking Table'!$AE282,'Performance Curves'!$E$1:$L$1,1)))/(INDEX('Performance Curves'!$E$1:$L$1,1,MATCH('BMP P Tracking Table'!$AE282,'Performance Curves'!$E$1:$L$1,1)+1)-INDEX('Performance Curves'!$E$1:$L$1,1,MATCH('BMP P Tracking Table'!$AE282,'Performance Curves'!$E$1:$L$1,1))),"")</f>
        <v/>
      </c>
      <c r="AH282" s="102" t="str">
        <f>IFERROR(IF('BMP P Tracking Table'!$AE282=2,VLOOKUP(CONCATENATE('BMP P Tracking Table'!$T282," ",'BMP P Tracking Table'!$AC282),'Performance Curves'!$C$1:$L$45,MATCH('BMP P Tracking Table'!$AE282,'Performance Curves'!$E$1:$L$1,1)+1,FALSE),'BMP P Tracking Table'!$AF282*'BMP P Tracking Table'!$AG282+VLOOKUP(CONCATENATE('BMP P Tracking Table'!$T282," ",'BMP P Tracking Table'!$AC282),'Performance Curves'!$C$1:$L$45,MATCH('BMP P Tracking Table'!$AE282,'Performance Curves'!$E$1:$L$1,1)+1,FALSE)),"")</f>
        <v/>
      </c>
      <c r="AI282" s="101" t="str">
        <f>IFERROR('BMP P Tracking Table'!$AH282*'BMP P Tracking Table'!$AD282,"")</f>
        <v/>
      </c>
      <c r="AJ282" s="64"/>
      <c r="AK282" s="96"/>
      <c r="AL282" s="96"/>
      <c r="AM282" s="63"/>
      <c r="AN282" s="99" t="str">
        <f t="shared" ref="AN282:AN345" si="20">IF(AK282="Yes",IF(BF282&gt;0,IF(ISBLANK(AJ282),AI282,AJ282)-IF(ISBLANK(BE282),BD282,BE282),"Enter Info --&gt;"),IF(ISBLANK(AJ282),AI282,AJ282))</f>
        <v/>
      </c>
      <c r="AO282" s="96"/>
      <c r="AP282" s="96"/>
      <c r="AQ282" s="96"/>
      <c r="AR282" s="96"/>
      <c r="AS282" s="96"/>
      <c r="AT282" s="96"/>
      <c r="AU282" s="96"/>
      <c r="AV282" s="64"/>
      <c r="AW282" s="97"/>
      <c r="AX282" s="97"/>
      <c r="AY282" s="101" t="str">
        <f>IF('BMP P Tracking Table'!$AK282="Yes",IF('BMP P Tracking Table'!$AL282="No",'BMP P Tracking Table'!$U282*VLOOKUP('BMP P Tracking Table'!$Q282,'Loading Rates'!$B$1:$L$24,4,FALSE)+IF('BMP P Tracking Table'!$V282="By HSG",'BMP P Tracking Table'!$W282*VLOOKUP('BMP P Tracking Table'!$Q282,'Loading Rates'!$B$1:$L$24,6,FALSE)+'BMP P Tracking Table'!$X282*VLOOKUP('BMP P Tracking Table'!$Q282,'Loading Rates'!$B$1:$L$24,7,FALSE)+'BMP P Tracking Table'!$Y282*VLOOKUP('BMP P Tracking Table'!$Q282,'Loading Rates'!$B$1:$L$24,8,FALSE)+'BMP P Tracking Table'!$Z282*VLOOKUP('BMP P Tracking Table'!$Q282,'Loading Rates'!$B$1:$L$24,9,FALSE),'BMP P Tracking Table'!$AA282*VLOOKUP('BMP P Tracking Table'!$Q282,'Loading Rates'!$B$1:$L$24,10,FALSE)),'BMP P Tracking Table'!$AO282*VLOOKUP('BMP P Tracking Table'!$Q282,'Loading Rates'!$B$1:$L$24,4,FALSE)+IF('BMP P Tracking Table'!$AP282="By HSG",'BMP P Tracking Table'!$AQ282*VLOOKUP('BMP P Tracking Table'!$Q282,'Loading Rates'!$B$1:$L$24,6,FALSE)+'BMP P Tracking Table'!$AR282*VLOOKUP('BMP P Tracking Table'!$Q282,'Loading Rates'!$B$1:$L$24,7,FALSE)+'BMP P Tracking Table'!$AS282*VLOOKUP('BMP P Tracking Table'!$Q282,'Loading Rates'!$B$1:$L$24,8,FALSE)+'BMP P Tracking Table'!$AT282*VLOOKUP('BMP P Tracking Table'!$Q282,'Loading Rates'!$B$1:$L$24,9,FALSE),'BMP P Tracking Table'!$AU282*VLOOKUP('BMP P Tracking Table'!$Q282,'Loading Rates'!$B$1:$L$24,10,FALSE))),"")</f>
        <v/>
      </c>
      <c r="AZ282" s="101" t="str">
        <f>IFERROR(IF('BMP P Tracking Table'!$AL282="Yes",MIN(2,IF('BMP P Tracking Table'!$AP282="Total Pervious",(-(3630*'BMP P Tracking Table'!$AO282+20.691*'BMP P Tracking Table'!$AU282)+SQRT((3630*'BMP P Tracking Table'!$AO282+20.691*'BMP P Tracking Table'!$AU282)^2-(4*(996.798*'BMP P Tracking Table'!$AU282)*-'BMP P Tracking Table'!$AW282)))/(2*(996.798*'BMP P Tracking Table'!$AU282)),IF(SUM('BMP P Tracking Table'!$AQ282:$AT282)=0,'BMP P Tracking Table'!$AU282/(-3630*'BMP P Tracking Table'!$AO282),(-(3630*'BMP P Tracking Table'!$AO282+20.691*'BMP P Tracking Table'!$AT282-216.711*'BMP P Tracking Table'!$AS282-83.853*'BMP P Tracking Table'!$AR282-42.834*'BMP P Tracking Table'!$AQ282)+SQRT((3630*'BMP P Tracking Table'!$AO282+20.691*'BMP P Tracking Table'!$AT282-216.711*'BMP P Tracking Table'!$AS282-83.853*'BMP P Tracking Table'!$AR282-42.834*'BMP P Tracking Table'!$AQ282)^2-(4*(149.919*'BMP P Tracking Table'!$AQ282+236.676*'BMP P Tracking Table'!$AR282+726*'BMP P Tracking Table'!$AS282+996.798*'BMP P Tracking Table'!$AT282)*-'BMP P Tracking Table'!$AW282)))/(2*(149.919*'BMP P Tracking Table'!$AQ282+236.676*'BMP P Tracking Table'!$AR282+726*'BMP P Tracking Table'!$AS282+996.798*'BMP P Tracking Table'!$AT282))))),MIN(2,IF('BMP P Tracking Table'!$AP282="Total Pervious",(-(3630*'BMP P Tracking Table'!$U282+20.691*'BMP P Tracking Table'!$AA282)+SQRT((3630*'BMP P Tracking Table'!$U282+20.691*'BMP P Tracking Table'!$AA282)^2-(4*(996.798*'BMP P Tracking Table'!$AA282)*-'BMP P Tracking Table'!$AW282)))/(2*(996.798*'BMP P Tracking Table'!$AA282)),IF(SUM('BMP P Tracking Table'!$W282:$Z282)=0,'BMP P Tracking Table'!$AW282/(-3630*'BMP P Tracking Table'!$U282),(-(3630*'BMP P Tracking Table'!$U282+20.691*'BMP P Tracking Table'!$Z282-216.711*'BMP P Tracking Table'!$Y282-83.853*'BMP P Tracking Table'!$X282-42.834*'BMP P Tracking Table'!$W282)+SQRT((3630*'BMP P Tracking Table'!$U282+20.691*'BMP P Tracking Table'!$Z282-216.711*'BMP P Tracking Table'!$Y282-83.853*'BMP P Tracking Table'!$X282-42.834*'BMP P Tracking Table'!$W282)^2-(4*(149.919*'BMP P Tracking Table'!$W282+236.676*'BMP P Tracking Table'!$X282+726*'BMP P Tracking Table'!$Y282+996.798*'BMP P Tracking Table'!$Z282)*-'BMP P Tracking Table'!$AW282)))/(2*(149.919*'BMP P Tracking Table'!$W282+236.676*'BMP P Tracking Table'!$X282+726*'BMP P Tracking Table'!$Y282+996.798*'BMP P Tracking Table'!$Z282)))))),"")</f>
        <v/>
      </c>
      <c r="BA282" s="101" t="str">
        <f>IFERROR((VLOOKUP(CONCATENATE('BMP P Tracking Table'!$AV282," ",'BMP P Tracking Table'!$AX282),'Performance Curves'!$C$1:$L$45,MATCH('BMP P Tracking Table'!$AZ282,'Performance Curves'!$E$1:$L$1,1)+2,FALSE)-VLOOKUP(CONCATENATE('BMP P Tracking Table'!$AV282," ",'BMP P Tracking Table'!$AX282),'Performance Curves'!$C$1:$L$45,MATCH('BMP P Tracking Table'!$AZ282,'Performance Curves'!$E$1:$L$1,1)+1,FALSE)),"")</f>
        <v/>
      </c>
      <c r="BB282" s="101" t="str">
        <f>IFERROR(('BMP P Tracking Table'!$AZ282-INDEX('Performance Curves'!$E$1:$L$1,1,MATCH('BMP P Tracking Table'!$AZ282,'Performance Curves'!$E$1:$L$1,1)))/(INDEX('Performance Curves'!$E$1:$L$1,1,MATCH('BMP P Tracking Table'!$AZ282,'Performance Curves'!$E$1:$L$1,1)+1)-INDEX('Performance Curves'!$E$1:$L$1,1,MATCH('BMP P Tracking Table'!$AZ282,'Performance Curves'!$E$1:$L$1,1))),"")</f>
        <v/>
      </c>
      <c r="BC282" s="102" t="str">
        <f>IFERROR(IF('BMP P Tracking Table'!$AZ282=2,VLOOKUP(CONCATENATE('BMP P Tracking Table'!$AV282," ",'BMP P Tracking Table'!$AX282),'Performance Curves'!$C$1:$L$44,MATCH('BMP P Tracking Table'!$AZ282,'Performance Curves'!$E$1:$L$1,1)+1,FALSE),'BMP P Tracking Table'!$BA282*'BMP P Tracking Table'!$BB282+VLOOKUP(CONCATENATE('BMP P Tracking Table'!$AV282," ",'BMP P Tracking Table'!$AX282),'Performance Curves'!$C$1:$L$44,MATCH('BMP P Tracking Table'!$AZ282,'Performance Curves'!$E$1:$L$1,1)+1,FALSE)),"")</f>
        <v/>
      </c>
      <c r="BD282" s="101" t="str">
        <f>IFERROR('BMP P Tracking Table'!$BC282*'BMP P Tracking Table'!$AY282,"")</f>
        <v/>
      </c>
      <c r="BE282" s="96"/>
      <c r="BF282" s="37">
        <f t="shared" si="19"/>
        <v>0</v>
      </c>
    </row>
    <row r="283" spans="1:58" x14ac:dyDescent="0.3">
      <c r="A283" s="64"/>
      <c r="B283" s="64"/>
      <c r="C283" s="64"/>
      <c r="D283" s="64"/>
      <c r="E283" s="93"/>
      <c r="F283" s="93"/>
      <c r="G283" s="64"/>
      <c r="H283" s="64"/>
      <c r="I283" s="64"/>
      <c r="J283" s="94"/>
      <c r="K283" s="64"/>
      <c r="L283" s="64"/>
      <c r="M283" s="64"/>
      <c r="N283" s="64"/>
      <c r="O283" s="64"/>
      <c r="P283" s="64"/>
      <c r="Q283" s="64" t="str">
        <f>IFERROR(VLOOKUP('BMP P Tracking Table'!$P283,Dropdowns!$C$2:$E$15,3,FALSE),"")</f>
        <v/>
      </c>
      <c r="R283" s="64" t="str">
        <f>IFERROR(VLOOKUP('BMP P Tracking Table'!$Q283,Dropdowns!$P$3:$Q$23,2,FALSE),"")</f>
        <v/>
      </c>
      <c r="S283" s="64"/>
      <c r="T283" s="64"/>
      <c r="U283" s="64"/>
      <c r="V283" s="64"/>
      <c r="W283" s="64"/>
      <c r="X283" s="64"/>
      <c r="Y283" s="64"/>
      <c r="Z283" s="64"/>
      <c r="AA283" s="64"/>
      <c r="AB283" s="95"/>
      <c r="AC283" s="64"/>
      <c r="AD283" s="101" t="str">
        <f>IFERROR('BMP P Tracking Table'!$U283*VLOOKUP('BMP P Tracking Table'!$Q283,'Loading Rates'!$B$1:$L$24,4,FALSE)+IF('BMP P Tracking Table'!$V283="By HSG",'BMP P Tracking Table'!$W283*VLOOKUP('BMP P Tracking Table'!$Q283,'Loading Rates'!$B$1:$L$24,6,FALSE)+'BMP P Tracking Table'!$X283*VLOOKUP('BMP P Tracking Table'!$Q283,'Loading Rates'!$B$1:$L$24,7,FALSE)+'BMP P Tracking Table'!$Y283*VLOOKUP('BMP P Tracking Table'!$Q283,'Loading Rates'!$B$1:$L$24,8,FALSE)+'BMP P Tracking Table'!$Z283*VLOOKUP('BMP P Tracking Table'!$Q283,'Loading Rates'!$B$1:$L$24,9,FALSE),'BMP P Tracking Table'!$AA283*VLOOKUP('BMP P Tracking Table'!$Q283,'Loading Rates'!$B$1:$L$24,10,FALSE)),"")</f>
        <v/>
      </c>
      <c r="AE283" s="101" t="str">
        <f>IFERROR(MIN(2,IF('BMP P Tracking Table'!$V283="Total Pervious",(-(3630*'BMP P Tracking Table'!$U283+20.691*'BMP P Tracking Table'!$AA283)+SQRT((3630*'BMP P Tracking Table'!$U283+20.691*'BMP P Tracking Table'!$AA283)^2-(4*(996.798*'BMP P Tracking Table'!$AA283)*-'BMP P Tracking Table'!$AB283)))/(2*(996.798*'BMP P Tracking Table'!$AA283)),IF(SUM('BMP P Tracking Table'!$W283:$Z283)=0,'BMP P Tracking Table'!$AB283/(-3630*'BMP P Tracking Table'!$U283),(-(3630*'BMP P Tracking Table'!$U283+20.691*'BMP P Tracking Table'!$Z283-216.711*'BMP P Tracking Table'!$Y283-83.853*'BMP P Tracking Table'!$X283-42.834*'BMP P Tracking Table'!$W283)+SQRT((3630*'BMP P Tracking Table'!$U283+20.691*'BMP P Tracking Table'!$Z283-216.711*'BMP P Tracking Table'!$Y283-83.853*'BMP P Tracking Table'!$X283-42.834*'BMP P Tracking Table'!$W283)^2-(4*(149.919*'BMP P Tracking Table'!$W283+236.676*'BMP P Tracking Table'!$X283+726*'BMP P Tracking Table'!$Y283+996.798*'BMP P Tracking Table'!$Z283)*-'BMP P Tracking Table'!$AB283)))/(2*(149.919*'BMP P Tracking Table'!$W283+236.676*'BMP P Tracking Table'!$X283+726*'BMP P Tracking Table'!$Y283+996.798*'BMP P Tracking Table'!$Z283))))),"")</f>
        <v/>
      </c>
      <c r="AF283" s="101" t="str">
        <f>IFERROR((VLOOKUP(CONCATENATE('BMP P Tracking Table'!$T283," ",'BMP P Tracking Table'!$AC283),'Performance Curves'!$C$1:$L$45,MATCH('BMP P Tracking Table'!$AE283,'Performance Curves'!$E$1:$L$1,1)+2,FALSE)-VLOOKUP(CONCATENATE('BMP P Tracking Table'!$T283," ",'BMP P Tracking Table'!$AC283),'Performance Curves'!$C$1:$L$45,MATCH('BMP P Tracking Table'!$AE283,'Performance Curves'!$E$1:$L$1,1)+1,FALSE)),"")</f>
        <v/>
      </c>
      <c r="AG283" s="101" t="str">
        <f>IFERROR(('BMP P Tracking Table'!$AE283-INDEX('Performance Curves'!$E$1:$L$1,1,MATCH('BMP P Tracking Table'!$AE283,'Performance Curves'!$E$1:$L$1,1)))/(INDEX('Performance Curves'!$E$1:$L$1,1,MATCH('BMP P Tracking Table'!$AE283,'Performance Curves'!$E$1:$L$1,1)+1)-INDEX('Performance Curves'!$E$1:$L$1,1,MATCH('BMP P Tracking Table'!$AE283,'Performance Curves'!$E$1:$L$1,1))),"")</f>
        <v/>
      </c>
      <c r="AH283" s="102" t="str">
        <f>IFERROR(IF('BMP P Tracking Table'!$AE283=2,VLOOKUP(CONCATENATE('BMP P Tracking Table'!$T283," ",'BMP P Tracking Table'!$AC283),'Performance Curves'!$C$1:$L$45,MATCH('BMP P Tracking Table'!$AE283,'Performance Curves'!$E$1:$L$1,1)+1,FALSE),'BMP P Tracking Table'!$AF283*'BMP P Tracking Table'!$AG283+VLOOKUP(CONCATENATE('BMP P Tracking Table'!$T283," ",'BMP P Tracking Table'!$AC283),'Performance Curves'!$C$1:$L$45,MATCH('BMP P Tracking Table'!$AE283,'Performance Curves'!$E$1:$L$1,1)+1,FALSE)),"")</f>
        <v/>
      </c>
      <c r="AI283" s="101" t="str">
        <f>IFERROR('BMP P Tracking Table'!$AH283*'BMP P Tracking Table'!$AD283,"")</f>
        <v/>
      </c>
      <c r="AJ283" s="64"/>
      <c r="AK283" s="96"/>
      <c r="AL283" s="96"/>
      <c r="AM283" s="63"/>
      <c r="AN283" s="99" t="str">
        <f t="shared" si="20"/>
        <v/>
      </c>
      <c r="AO283" s="96"/>
      <c r="AP283" s="96"/>
      <c r="AQ283" s="96"/>
      <c r="AR283" s="96"/>
      <c r="AS283" s="96"/>
      <c r="AT283" s="96"/>
      <c r="AU283" s="96"/>
      <c r="AV283" s="64"/>
      <c r="AW283" s="97"/>
      <c r="AX283" s="97"/>
      <c r="AY283" s="101" t="str">
        <f>IF('BMP P Tracking Table'!$AK283="Yes",IF('BMP P Tracking Table'!$AL283="No",'BMP P Tracking Table'!$U283*VLOOKUP('BMP P Tracking Table'!$Q283,'Loading Rates'!$B$1:$L$24,4,FALSE)+IF('BMP P Tracking Table'!$V283="By HSG",'BMP P Tracking Table'!$W283*VLOOKUP('BMP P Tracking Table'!$Q283,'Loading Rates'!$B$1:$L$24,6,FALSE)+'BMP P Tracking Table'!$X283*VLOOKUP('BMP P Tracking Table'!$Q283,'Loading Rates'!$B$1:$L$24,7,FALSE)+'BMP P Tracking Table'!$Y283*VLOOKUP('BMP P Tracking Table'!$Q283,'Loading Rates'!$B$1:$L$24,8,FALSE)+'BMP P Tracking Table'!$Z283*VLOOKUP('BMP P Tracking Table'!$Q283,'Loading Rates'!$B$1:$L$24,9,FALSE),'BMP P Tracking Table'!$AA283*VLOOKUP('BMP P Tracking Table'!$Q283,'Loading Rates'!$B$1:$L$24,10,FALSE)),'BMP P Tracking Table'!$AO283*VLOOKUP('BMP P Tracking Table'!$Q283,'Loading Rates'!$B$1:$L$24,4,FALSE)+IF('BMP P Tracking Table'!$AP283="By HSG",'BMP P Tracking Table'!$AQ283*VLOOKUP('BMP P Tracking Table'!$Q283,'Loading Rates'!$B$1:$L$24,6,FALSE)+'BMP P Tracking Table'!$AR283*VLOOKUP('BMP P Tracking Table'!$Q283,'Loading Rates'!$B$1:$L$24,7,FALSE)+'BMP P Tracking Table'!$AS283*VLOOKUP('BMP P Tracking Table'!$Q283,'Loading Rates'!$B$1:$L$24,8,FALSE)+'BMP P Tracking Table'!$AT283*VLOOKUP('BMP P Tracking Table'!$Q283,'Loading Rates'!$B$1:$L$24,9,FALSE),'BMP P Tracking Table'!$AU283*VLOOKUP('BMP P Tracking Table'!$Q283,'Loading Rates'!$B$1:$L$24,10,FALSE))),"")</f>
        <v/>
      </c>
      <c r="AZ283" s="101" t="str">
        <f>IFERROR(IF('BMP P Tracking Table'!$AL283="Yes",MIN(2,IF('BMP P Tracking Table'!$AP283="Total Pervious",(-(3630*'BMP P Tracking Table'!$AO283+20.691*'BMP P Tracking Table'!$AU283)+SQRT((3630*'BMP P Tracking Table'!$AO283+20.691*'BMP P Tracking Table'!$AU283)^2-(4*(996.798*'BMP P Tracking Table'!$AU283)*-'BMP P Tracking Table'!$AW283)))/(2*(996.798*'BMP P Tracking Table'!$AU283)),IF(SUM('BMP P Tracking Table'!$AQ283:$AT283)=0,'BMP P Tracking Table'!$AU283/(-3630*'BMP P Tracking Table'!$AO283),(-(3630*'BMP P Tracking Table'!$AO283+20.691*'BMP P Tracking Table'!$AT283-216.711*'BMP P Tracking Table'!$AS283-83.853*'BMP P Tracking Table'!$AR283-42.834*'BMP P Tracking Table'!$AQ283)+SQRT((3630*'BMP P Tracking Table'!$AO283+20.691*'BMP P Tracking Table'!$AT283-216.711*'BMP P Tracking Table'!$AS283-83.853*'BMP P Tracking Table'!$AR283-42.834*'BMP P Tracking Table'!$AQ283)^2-(4*(149.919*'BMP P Tracking Table'!$AQ283+236.676*'BMP P Tracking Table'!$AR283+726*'BMP P Tracking Table'!$AS283+996.798*'BMP P Tracking Table'!$AT283)*-'BMP P Tracking Table'!$AW283)))/(2*(149.919*'BMP P Tracking Table'!$AQ283+236.676*'BMP P Tracking Table'!$AR283+726*'BMP P Tracking Table'!$AS283+996.798*'BMP P Tracking Table'!$AT283))))),MIN(2,IF('BMP P Tracking Table'!$AP283="Total Pervious",(-(3630*'BMP P Tracking Table'!$U283+20.691*'BMP P Tracking Table'!$AA283)+SQRT((3630*'BMP P Tracking Table'!$U283+20.691*'BMP P Tracking Table'!$AA283)^2-(4*(996.798*'BMP P Tracking Table'!$AA283)*-'BMP P Tracking Table'!$AW283)))/(2*(996.798*'BMP P Tracking Table'!$AA283)),IF(SUM('BMP P Tracking Table'!$W283:$Z283)=0,'BMP P Tracking Table'!$AW283/(-3630*'BMP P Tracking Table'!$U283),(-(3630*'BMP P Tracking Table'!$U283+20.691*'BMP P Tracking Table'!$Z283-216.711*'BMP P Tracking Table'!$Y283-83.853*'BMP P Tracking Table'!$X283-42.834*'BMP P Tracking Table'!$W283)+SQRT((3630*'BMP P Tracking Table'!$U283+20.691*'BMP P Tracking Table'!$Z283-216.711*'BMP P Tracking Table'!$Y283-83.853*'BMP P Tracking Table'!$X283-42.834*'BMP P Tracking Table'!$W283)^2-(4*(149.919*'BMP P Tracking Table'!$W283+236.676*'BMP P Tracking Table'!$X283+726*'BMP P Tracking Table'!$Y283+996.798*'BMP P Tracking Table'!$Z283)*-'BMP P Tracking Table'!$AW283)))/(2*(149.919*'BMP P Tracking Table'!$W283+236.676*'BMP P Tracking Table'!$X283+726*'BMP P Tracking Table'!$Y283+996.798*'BMP P Tracking Table'!$Z283)))))),"")</f>
        <v/>
      </c>
      <c r="BA283" s="101" t="str">
        <f>IFERROR((VLOOKUP(CONCATENATE('BMP P Tracking Table'!$AV283," ",'BMP P Tracking Table'!$AX283),'Performance Curves'!$C$1:$L$45,MATCH('BMP P Tracking Table'!$AZ283,'Performance Curves'!$E$1:$L$1,1)+2,FALSE)-VLOOKUP(CONCATENATE('BMP P Tracking Table'!$AV283," ",'BMP P Tracking Table'!$AX283),'Performance Curves'!$C$1:$L$45,MATCH('BMP P Tracking Table'!$AZ283,'Performance Curves'!$E$1:$L$1,1)+1,FALSE)),"")</f>
        <v/>
      </c>
      <c r="BB283" s="101" t="str">
        <f>IFERROR(('BMP P Tracking Table'!$AZ283-INDEX('Performance Curves'!$E$1:$L$1,1,MATCH('BMP P Tracking Table'!$AZ283,'Performance Curves'!$E$1:$L$1,1)))/(INDEX('Performance Curves'!$E$1:$L$1,1,MATCH('BMP P Tracking Table'!$AZ283,'Performance Curves'!$E$1:$L$1,1)+1)-INDEX('Performance Curves'!$E$1:$L$1,1,MATCH('BMP P Tracking Table'!$AZ283,'Performance Curves'!$E$1:$L$1,1))),"")</f>
        <v/>
      </c>
      <c r="BC283" s="102" t="str">
        <f>IFERROR(IF('BMP P Tracking Table'!$AZ283=2,VLOOKUP(CONCATENATE('BMP P Tracking Table'!$AV283," ",'BMP P Tracking Table'!$AX283),'Performance Curves'!$C$1:$L$44,MATCH('BMP P Tracking Table'!$AZ283,'Performance Curves'!$E$1:$L$1,1)+1,FALSE),'BMP P Tracking Table'!$BA283*'BMP P Tracking Table'!$BB283+VLOOKUP(CONCATENATE('BMP P Tracking Table'!$AV283," ",'BMP P Tracking Table'!$AX283),'Performance Curves'!$C$1:$L$44,MATCH('BMP P Tracking Table'!$AZ283,'Performance Curves'!$E$1:$L$1,1)+1,FALSE)),"")</f>
        <v/>
      </c>
      <c r="BD283" s="101" t="str">
        <f>IFERROR('BMP P Tracking Table'!$BC283*'BMP P Tracking Table'!$AY283,"")</f>
        <v/>
      </c>
      <c r="BE283" s="96"/>
      <c r="BF283" s="37">
        <f t="shared" si="19"/>
        <v>0</v>
      </c>
    </row>
    <row r="284" spans="1:58" x14ac:dyDescent="0.3">
      <c r="A284" s="64"/>
      <c r="B284" s="64"/>
      <c r="C284" s="64"/>
      <c r="D284" s="64"/>
      <c r="E284" s="93"/>
      <c r="F284" s="93"/>
      <c r="G284" s="64"/>
      <c r="H284" s="64"/>
      <c r="I284" s="64"/>
      <c r="J284" s="94"/>
      <c r="K284" s="64"/>
      <c r="L284" s="64"/>
      <c r="M284" s="64"/>
      <c r="N284" s="64"/>
      <c r="O284" s="64"/>
      <c r="P284" s="64"/>
      <c r="Q284" s="64" t="str">
        <f>IFERROR(VLOOKUP('BMP P Tracking Table'!$P284,Dropdowns!$C$2:$E$15,3,FALSE),"")</f>
        <v/>
      </c>
      <c r="R284" s="64" t="str">
        <f>IFERROR(VLOOKUP('BMP P Tracking Table'!$Q284,Dropdowns!$P$3:$Q$23,2,FALSE),"")</f>
        <v/>
      </c>
      <c r="S284" s="64"/>
      <c r="T284" s="64"/>
      <c r="U284" s="64"/>
      <c r="V284" s="64"/>
      <c r="W284" s="64"/>
      <c r="X284" s="64"/>
      <c r="Y284" s="64"/>
      <c r="Z284" s="64"/>
      <c r="AA284" s="64"/>
      <c r="AB284" s="95"/>
      <c r="AC284" s="64"/>
      <c r="AD284" s="101" t="str">
        <f>IFERROR('BMP P Tracking Table'!$U284*VLOOKUP('BMP P Tracking Table'!$Q284,'Loading Rates'!$B$1:$L$24,4,FALSE)+IF('BMP P Tracking Table'!$V284="By HSG",'BMP P Tracking Table'!$W284*VLOOKUP('BMP P Tracking Table'!$Q284,'Loading Rates'!$B$1:$L$24,6,FALSE)+'BMP P Tracking Table'!$X284*VLOOKUP('BMP P Tracking Table'!$Q284,'Loading Rates'!$B$1:$L$24,7,FALSE)+'BMP P Tracking Table'!$Y284*VLOOKUP('BMP P Tracking Table'!$Q284,'Loading Rates'!$B$1:$L$24,8,FALSE)+'BMP P Tracking Table'!$Z284*VLOOKUP('BMP P Tracking Table'!$Q284,'Loading Rates'!$B$1:$L$24,9,FALSE),'BMP P Tracking Table'!$AA284*VLOOKUP('BMP P Tracking Table'!$Q284,'Loading Rates'!$B$1:$L$24,10,FALSE)),"")</f>
        <v/>
      </c>
      <c r="AE284" s="101" t="str">
        <f>IFERROR(MIN(2,IF('BMP P Tracking Table'!$V284="Total Pervious",(-(3630*'BMP P Tracking Table'!$U284+20.691*'BMP P Tracking Table'!$AA284)+SQRT((3630*'BMP P Tracking Table'!$U284+20.691*'BMP P Tracking Table'!$AA284)^2-(4*(996.798*'BMP P Tracking Table'!$AA284)*-'BMP P Tracking Table'!$AB284)))/(2*(996.798*'BMP P Tracking Table'!$AA284)),IF(SUM('BMP P Tracking Table'!$W284:$Z284)=0,'BMP P Tracking Table'!$AB284/(-3630*'BMP P Tracking Table'!$U284),(-(3630*'BMP P Tracking Table'!$U284+20.691*'BMP P Tracking Table'!$Z284-216.711*'BMP P Tracking Table'!$Y284-83.853*'BMP P Tracking Table'!$X284-42.834*'BMP P Tracking Table'!$W284)+SQRT((3630*'BMP P Tracking Table'!$U284+20.691*'BMP P Tracking Table'!$Z284-216.711*'BMP P Tracking Table'!$Y284-83.853*'BMP P Tracking Table'!$X284-42.834*'BMP P Tracking Table'!$W284)^2-(4*(149.919*'BMP P Tracking Table'!$W284+236.676*'BMP P Tracking Table'!$X284+726*'BMP P Tracking Table'!$Y284+996.798*'BMP P Tracking Table'!$Z284)*-'BMP P Tracking Table'!$AB284)))/(2*(149.919*'BMP P Tracking Table'!$W284+236.676*'BMP P Tracking Table'!$X284+726*'BMP P Tracking Table'!$Y284+996.798*'BMP P Tracking Table'!$Z284))))),"")</f>
        <v/>
      </c>
      <c r="AF284" s="101" t="str">
        <f>IFERROR((VLOOKUP(CONCATENATE('BMP P Tracking Table'!$T284," ",'BMP P Tracking Table'!$AC284),'Performance Curves'!$C$1:$L$45,MATCH('BMP P Tracking Table'!$AE284,'Performance Curves'!$E$1:$L$1,1)+2,FALSE)-VLOOKUP(CONCATENATE('BMP P Tracking Table'!$T284," ",'BMP P Tracking Table'!$AC284),'Performance Curves'!$C$1:$L$45,MATCH('BMP P Tracking Table'!$AE284,'Performance Curves'!$E$1:$L$1,1)+1,FALSE)),"")</f>
        <v/>
      </c>
      <c r="AG284" s="101" t="str">
        <f>IFERROR(('BMP P Tracking Table'!$AE284-INDEX('Performance Curves'!$E$1:$L$1,1,MATCH('BMP P Tracking Table'!$AE284,'Performance Curves'!$E$1:$L$1,1)))/(INDEX('Performance Curves'!$E$1:$L$1,1,MATCH('BMP P Tracking Table'!$AE284,'Performance Curves'!$E$1:$L$1,1)+1)-INDEX('Performance Curves'!$E$1:$L$1,1,MATCH('BMP P Tracking Table'!$AE284,'Performance Curves'!$E$1:$L$1,1))),"")</f>
        <v/>
      </c>
      <c r="AH284" s="102" t="str">
        <f>IFERROR(IF('BMP P Tracking Table'!$AE284=2,VLOOKUP(CONCATENATE('BMP P Tracking Table'!$T284," ",'BMP P Tracking Table'!$AC284),'Performance Curves'!$C$1:$L$45,MATCH('BMP P Tracking Table'!$AE284,'Performance Curves'!$E$1:$L$1,1)+1,FALSE),'BMP P Tracking Table'!$AF284*'BMP P Tracking Table'!$AG284+VLOOKUP(CONCATENATE('BMP P Tracking Table'!$T284," ",'BMP P Tracking Table'!$AC284),'Performance Curves'!$C$1:$L$45,MATCH('BMP P Tracking Table'!$AE284,'Performance Curves'!$E$1:$L$1,1)+1,FALSE)),"")</f>
        <v/>
      </c>
      <c r="AI284" s="101" t="str">
        <f>IFERROR('BMP P Tracking Table'!$AH284*'BMP P Tracking Table'!$AD284,"")</f>
        <v/>
      </c>
      <c r="AJ284" s="64"/>
      <c r="AK284" s="96"/>
      <c r="AL284" s="96"/>
      <c r="AM284" s="63"/>
      <c r="AN284" s="99" t="str">
        <f t="shared" si="20"/>
        <v/>
      </c>
      <c r="AO284" s="96"/>
      <c r="AP284" s="96"/>
      <c r="AQ284" s="96"/>
      <c r="AR284" s="96"/>
      <c r="AS284" s="96"/>
      <c r="AT284" s="96"/>
      <c r="AU284" s="96"/>
      <c r="AV284" s="64"/>
      <c r="AW284" s="97"/>
      <c r="AX284" s="97"/>
      <c r="AY284" s="101" t="str">
        <f>IF('BMP P Tracking Table'!$AK284="Yes",IF('BMP P Tracking Table'!$AL284="No",'BMP P Tracking Table'!$U284*VLOOKUP('BMP P Tracking Table'!$Q284,'Loading Rates'!$B$1:$L$24,4,FALSE)+IF('BMP P Tracking Table'!$V284="By HSG",'BMP P Tracking Table'!$W284*VLOOKUP('BMP P Tracking Table'!$Q284,'Loading Rates'!$B$1:$L$24,6,FALSE)+'BMP P Tracking Table'!$X284*VLOOKUP('BMP P Tracking Table'!$Q284,'Loading Rates'!$B$1:$L$24,7,FALSE)+'BMP P Tracking Table'!$Y284*VLOOKUP('BMP P Tracking Table'!$Q284,'Loading Rates'!$B$1:$L$24,8,FALSE)+'BMP P Tracking Table'!$Z284*VLOOKUP('BMP P Tracking Table'!$Q284,'Loading Rates'!$B$1:$L$24,9,FALSE),'BMP P Tracking Table'!$AA284*VLOOKUP('BMP P Tracking Table'!$Q284,'Loading Rates'!$B$1:$L$24,10,FALSE)),'BMP P Tracking Table'!$AO284*VLOOKUP('BMP P Tracking Table'!$Q284,'Loading Rates'!$B$1:$L$24,4,FALSE)+IF('BMP P Tracking Table'!$AP284="By HSG",'BMP P Tracking Table'!$AQ284*VLOOKUP('BMP P Tracking Table'!$Q284,'Loading Rates'!$B$1:$L$24,6,FALSE)+'BMP P Tracking Table'!$AR284*VLOOKUP('BMP P Tracking Table'!$Q284,'Loading Rates'!$B$1:$L$24,7,FALSE)+'BMP P Tracking Table'!$AS284*VLOOKUP('BMP P Tracking Table'!$Q284,'Loading Rates'!$B$1:$L$24,8,FALSE)+'BMP P Tracking Table'!$AT284*VLOOKUP('BMP P Tracking Table'!$Q284,'Loading Rates'!$B$1:$L$24,9,FALSE),'BMP P Tracking Table'!$AU284*VLOOKUP('BMP P Tracking Table'!$Q284,'Loading Rates'!$B$1:$L$24,10,FALSE))),"")</f>
        <v/>
      </c>
      <c r="AZ284" s="101" t="str">
        <f>IFERROR(IF('BMP P Tracking Table'!$AL284="Yes",MIN(2,IF('BMP P Tracking Table'!$AP284="Total Pervious",(-(3630*'BMP P Tracking Table'!$AO284+20.691*'BMP P Tracking Table'!$AU284)+SQRT((3630*'BMP P Tracking Table'!$AO284+20.691*'BMP P Tracking Table'!$AU284)^2-(4*(996.798*'BMP P Tracking Table'!$AU284)*-'BMP P Tracking Table'!$AW284)))/(2*(996.798*'BMP P Tracking Table'!$AU284)),IF(SUM('BMP P Tracking Table'!$AQ284:$AT284)=0,'BMP P Tracking Table'!$AU284/(-3630*'BMP P Tracking Table'!$AO284),(-(3630*'BMP P Tracking Table'!$AO284+20.691*'BMP P Tracking Table'!$AT284-216.711*'BMP P Tracking Table'!$AS284-83.853*'BMP P Tracking Table'!$AR284-42.834*'BMP P Tracking Table'!$AQ284)+SQRT((3630*'BMP P Tracking Table'!$AO284+20.691*'BMP P Tracking Table'!$AT284-216.711*'BMP P Tracking Table'!$AS284-83.853*'BMP P Tracking Table'!$AR284-42.834*'BMP P Tracking Table'!$AQ284)^2-(4*(149.919*'BMP P Tracking Table'!$AQ284+236.676*'BMP P Tracking Table'!$AR284+726*'BMP P Tracking Table'!$AS284+996.798*'BMP P Tracking Table'!$AT284)*-'BMP P Tracking Table'!$AW284)))/(2*(149.919*'BMP P Tracking Table'!$AQ284+236.676*'BMP P Tracking Table'!$AR284+726*'BMP P Tracking Table'!$AS284+996.798*'BMP P Tracking Table'!$AT284))))),MIN(2,IF('BMP P Tracking Table'!$AP284="Total Pervious",(-(3630*'BMP P Tracking Table'!$U284+20.691*'BMP P Tracking Table'!$AA284)+SQRT((3630*'BMP P Tracking Table'!$U284+20.691*'BMP P Tracking Table'!$AA284)^2-(4*(996.798*'BMP P Tracking Table'!$AA284)*-'BMP P Tracking Table'!$AW284)))/(2*(996.798*'BMP P Tracking Table'!$AA284)),IF(SUM('BMP P Tracking Table'!$W284:$Z284)=0,'BMP P Tracking Table'!$AW284/(-3630*'BMP P Tracking Table'!$U284),(-(3630*'BMP P Tracking Table'!$U284+20.691*'BMP P Tracking Table'!$Z284-216.711*'BMP P Tracking Table'!$Y284-83.853*'BMP P Tracking Table'!$X284-42.834*'BMP P Tracking Table'!$W284)+SQRT((3630*'BMP P Tracking Table'!$U284+20.691*'BMP P Tracking Table'!$Z284-216.711*'BMP P Tracking Table'!$Y284-83.853*'BMP P Tracking Table'!$X284-42.834*'BMP P Tracking Table'!$W284)^2-(4*(149.919*'BMP P Tracking Table'!$W284+236.676*'BMP P Tracking Table'!$X284+726*'BMP P Tracking Table'!$Y284+996.798*'BMP P Tracking Table'!$Z284)*-'BMP P Tracking Table'!$AW284)))/(2*(149.919*'BMP P Tracking Table'!$W284+236.676*'BMP P Tracking Table'!$X284+726*'BMP P Tracking Table'!$Y284+996.798*'BMP P Tracking Table'!$Z284)))))),"")</f>
        <v/>
      </c>
      <c r="BA284" s="101" t="str">
        <f>IFERROR((VLOOKUP(CONCATENATE('BMP P Tracking Table'!$AV284," ",'BMP P Tracking Table'!$AX284),'Performance Curves'!$C$1:$L$45,MATCH('BMP P Tracking Table'!$AZ284,'Performance Curves'!$E$1:$L$1,1)+2,FALSE)-VLOOKUP(CONCATENATE('BMP P Tracking Table'!$AV284," ",'BMP P Tracking Table'!$AX284),'Performance Curves'!$C$1:$L$45,MATCH('BMP P Tracking Table'!$AZ284,'Performance Curves'!$E$1:$L$1,1)+1,FALSE)),"")</f>
        <v/>
      </c>
      <c r="BB284" s="101" t="str">
        <f>IFERROR(('BMP P Tracking Table'!$AZ284-INDEX('Performance Curves'!$E$1:$L$1,1,MATCH('BMP P Tracking Table'!$AZ284,'Performance Curves'!$E$1:$L$1,1)))/(INDEX('Performance Curves'!$E$1:$L$1,1,MATCH('BMP P Tracking Table'!$AZ284,'Performance Curves'!$E$1:$L$1,1)+1)-INDEX('Performance Curves'!$E$1:$L$1,1,MATCH('BMP P Tracking Table'!$AZ284,'Performance Curves'!$E$1:$L$1,1))),"")</f>
        <v/>
      </c>
      <c r="BC284" s="102" t="str">
        <f>IFERROR(IF('BMP P Tracking Table'!$AZ284=2,VLOOKUP(CONCATENATE('BMP P Tracking Table'!$AV284," ",'BMP P Tracking Table'!$AX284),'Performance Curves'!$C$1:$L$44,MATCH('BMP P Tracking Table'!$AZ284,'Performance Curves'!$E$1:$L$1,1)+1,FALSE),'BMP P Tracking Table'!$BA284*'BMP P Tracking Table'!$BB284+VLOOKUP(CONCATENATE('BMP P Tracking Table'!$AV284," ",'BMP P Tracking Table'!$AX284),'Performance Curves'!$C$1:$L$44,MATCH('BMP P Tracking Table'!$AZ284,'Performance Curves'!$E$1:$L$1,1)+1,FALSE)),"")</f>
        <v/>
      </c>
      <c r="BD284" s="101" t="str">
        <f>IFERROR('BMP P Tracking Table'!$BC284*'BMP P Tracking Table'!$AY284,"")</f>
        <v/>
      </c>
      <c r="BE284" s="96"/>
      <c r="BF284" s="37">
        <f t="shared" ref="BF284:BF347" si="21">IFERROR(BD284+BE284,0)</f>
        <v>0</v>
      </c>
    </row>
    <row r="285" spans="1:58" x14ac:dyDescent="0.3">
      <c r="A285" s="64"/>
      <c r="B285" s="64"/>
      <c r="C285" s="64"/>
      <c r="D285" s="64"/>
      <c r="E285" s="93"/>
      <c r="F285" s="93"/>
      <c r="G285" s="64"/>
      <c r="H285" s="64"/>
      <c r="I285" s="64"/>
      <c r="J285" s="94"/>
      <c r="K285" s="64"/>
      <c r="L285" s="64"/>
      <c r="M285" s="64"/>
      <c r="N285" s="64"/>
      <c r="O285" s="64"/>
      <c r="P285" s="64"/>
      <c r="Q285" s="64" t="str">
        <f>IFERROR(VLOOKUP('BMP P Tracking Table'!$P285,Dropdowns!$C$2:$E$15,3,FALSE),"")</f>
        <v/>
      </c>
      <c r="R285" s="64" t="str">
        <f>IFERROR(VLOOKUP('BMP P Tracking Table'!$Q285,Dropdowns!$P$3:$Q$23,2,FALSE),"")</f>
        <v/>
      </c>
      <c r="S285" s="64"/>
      <c r="T285" s="64"/>
      <c r="U285" s="64"/>
      <c r="V285" s="64"/>
      <c r="W285" s="64"/>
      <c r="X285" s="64"/>
      <c r="Y285" s="64"/>
      <c r="Z285" s="64"/>
      <c r="AA285" s="64"/>
      <c r="AB285" s="95"/>
      <c r="AC285" s="64"/>
      <c r="AD285" s="101" t="str">
        <f>IFERROR('BMP P Tracking Table'!$U285*VLOOKUP('BMP P Tracking Table'!$Q285,'Loading Rates'!$B$1:$L$24,4,FALSE)+IF('BMP P Tracking Table'!$V285="By HSG",'BMP P Tracking Table'!$W285*VLOOKUP('BMP P Tracking Table'!$Q285,'Loading Rates'!$B$1:$L$24,6,FALSE)+'BMP P Tracking Table'!$X285*VLOOKUP('BMP P Tracking Table'!$Q285,'Loading Rates'!$B$1:$L$24,7,FALSE)+'BMP P Tracking Table'!$Y285*VLOOKUP('BMP P Tracking Table'!$Q285,'Loading Rates'!$B$1:$L$24,8,FALSE)+'BMP P Tracking Table'!$Z285*VLOOKUP('BMP P Tracking Table'!$Q285,'Loading Rates'!$B$1:$L$24,9,FALSE),'BMP P Tracking Table'!$AA285*VLOOKUP('BMP P Tracking Table'!$Q285,'Loading Rates'!$B$1:$L$24,10,FALSE)),"")</f>
        <v/>
      </c>
      <c r="AE285" s="101" t="str">
        <f>IFERROR(MIN(2,IF('BMP P Tracking Table'!$V285="Total Pervious",(-(3630*'BMP P Tracking Table'!$U285+20.691*'BMP P Tracking Table'!$AA285)+SQRT((3630*'BMP P Tracking Table'!$U285+20.691*'BMP P Tracking Table'!$AA285)^2-(4*(996.798*'BMP P Tracking Table'!$AA285)*-'BMP P Tracking Table'!$AB285)))/(2*(996.798*'BMP P Tracking Table'!$AA285)),IF(SUM('BMP P Tracking Table'!$W285:$Z285)=0,'BMP P Tracking Table'!$AB285/(-3630*'BMP P Tracking Table'!$U285),(-(3630*'BMP P Tracking Table'!$U285+20.691*'BMP P Tracking Table'!$Z285-216.711*'BMP P Tracking Table'!$Y285-83.853*'BMP P Tracking Table'!$X285-42.834*'BMP P Tracking Table'!$W285)+SQRT((3630*'BMP P Tracking Table'!$U285+20.691*'BMP P Tracking Table'!$Z285-216.711*'BMP P Tracking Table'!$Y285-83.853*'BMP P Tracking Table'!$X285-42.834*'BMP P Tracking Table'!$W285)^2-(4*(149.919*'BMP P Tracking Table'!$W285+236.676*'BMP P Tracking Table'!$X285+726*'BMP P Tracking Table'!$Y285+996.798*'BMP P Tracking Table'!$Z285)*-'BMP P Tracking Table'!$AB285)))/(2*(149.919*'BMP P Tracking Table'!$W285+236.676*'BMP P Tracking Table'!$X285+726*'BMP P Tracking Table'!$Y285+996.798*'BMP P Tracking Table'!$Z285))))),"")</f>
        <v/>
      </c>
      <c r="AF285" s="101" t="str">
        <f>IFERROR((VLOOKUP(CONCATENATE('BMP P Tracking Table'!$T285," ",'BMP P Tracking Table'!$AC285),'Performance Curves'!$C$1:$L$45,MATCH('BMP P Tracking Table'!$AE285,'Performance Curves'!$E$1:$L$1,1)+2,FALSE)-VLOOKUP(CONCATENATE('BMP P Tracking Table'!$T285," ",'BMP P Tracking Table'!$AC285),'Performance Curves'!$C$1:$L$45,MATCH('BMP P Tracking Table'!$AE285,'Performance Curves'!$E$1:$L$1,1)+1,FALSE)),"")</f>
        <v/>
      </c>
      <c r="AG285" s="101" t="str">
        <f>IFERROR(('BMP P Tracking Table'!$AE285-INDEX('Performance Curves'!$E$1:$L$1,1,MATCH('BMP P Tracking Table'!$AE285,'Performance Curves'!$E$1:$L$1,1)))/(INDEX('Performance Curves'!$E$1:$L$1,1,MATCH('BMP P Tracking Table'!$AE285,'Performance Curves'!$E$1:$L$1,1)+1)-INDEX('Performance Curves'!$E$1:$L$1,1,MATCH('BMP P Tracking Table'!$AE285,'Performance Curves'!$E$1:$L$1,1))),"")</f>
        <v/>
      </c>
      <c r="AH285" s="102" t="str">
        <f>IFERROR(IF('BMP P Tracking Table'!$AE285=2,VLOOKUP(CONCATENATE('BMP P Tracking Table'!$T285," ",'BMP P Tracking Table'!$AC285),'Performance Curves'!$C$1:$L$45,MATCH('BMP P Tracking Table'!$AE285,'Performance Curves'!$E$1:$L$1,1)+1,FALSE),'BMP P Tracking Table'!$AF285*'BMP P Tracking Table'!$AG285+VLOOKUP(CONCATENATE('BMP P Tracking Table'!$T285," ",'BMP P Tracking Table'!$AC285),'Performance Curves'!$C$1:$L$45,MATCH('BMP P Tracking Table'!$AE285,'Performance Curves'!$E$1:$L$1,1)+1,FALSE)),"")</f>
        <v/>
      </c>
      <c r="AI285" s="101" t="str">
        <f>IFERROR('BMP P Tracking Table'!$AH285*'BMP P Tracking Table'!$AD285,"")</f>
        <v/>
      </c>
      <c r="AJ285" s="64"/>
      <c r="AK285" s="96"/>
      <c r="AL285" s="96"/>
      <c r="AM285" s="63"/>
      <c r="AN285" s="99" t="str">
        <f t="shared" si="20"/>
        <v/>
      </c>
      <c r="AO285" s="96"/>
      <c r="AP285" s="96"/>
      <c r="AQ285" s="96"/>
      <c r="AR285" s="96"/>
      <c r="AS285" s="96"/>
      <c r="AT285" s="96"/>
      <c r="AU285" s="96"/>
      <c r="AV285" s="64"/>
      <c r="AW285" s="97"/>
      <c r="AX285" s="97"/>
      <c r="AY285" s="101" t="str">
        <f>IF('BMP P Tracking Table'!$AK285="Yes",IF('BMP P Tracking Table'!$AL285="No",'BMP P Tracking Table'!$U285*VLOOKUP('BMP P Tracking Table'!$Q285,'Loading Rates'!$B$1:$L$24,4,FALSE)+IF('BMP P Tracking Table'!$V285="By HSG",'BMP P Tracking Table'!$W285*VLOOKUP('BMP P Tracking Table'!$Q285,'Loading Rates'!$B$1:$L$24,6,FALSE)+'BMP P Tracking Table'!$X285*VLOOKUP('BMP P Tracking Table'!$Q285,'Loading Rates'!$B$1:$L$24,7,FALSE)+'BMP P Tracking Table'!$Y285*VLOOKUP('BMP P Tracking Table'!$Q285,'Loading Rates'!$B$1:$L$24,8,FALSE)+'BMP P Tracking Table'!$Z285*VLOOKUP('BMP P Tracking Table'!$Q285,'Loading Rates'!$B$1:$L$24,9,FALSE),'BMP P Tracking Table'!$AA285*VLOOKUP('BMP P Tracking Table'!$Q285,'Loading Rates'!$B$1:$L$24,10,FALSE)),'BMP P Tracking Table'!$AO285*VLOOKUP('BMP P Tracking Table'!$Q285,'Loading Rates'!$B$1:$L$24,4,FALSE)+IF('BMP P Tracking Table'!$AP285="By HSG",'BMP P Tracking Table'!$AQ285*VLOOKUP('BMP P Tracking Table'!$Q285,'Loading Rates'!$B$1:$L$24,6,FALSE)+'BMP P Tracking Table'!$AR285*VLOOKUP('BMP P Tracking Table'!$Q285,'Loading Rates'!$B$1:$L$24,7,FALSE)+'BMP P Tracking Table'!$AS285*VLOOKUP('BMP P Tracking Table'!$Q285,'Loading Rates'!$B$1:$L$24,8,FALSE)+'BMP P Tracking Table'!$AT285*VLOOKUP('BMP P Tracking Table'!$Q285,'Loading Rates'!$B$1:$L$24,9,FALSE),'BMP P Tracking Table'!$AU285*VLOOKUP('BMP P Tracking Table'!$Q285,'Loading Rates'!$B$1:$L$24,10,FALSE))),"")</f>
        <v/>
      </c>
      <c r="AZ285" s="101" t="str">
        <f>IFERROR(IF('BMP P Tracking Table'!$AL285="Yes",MIN(2,IF('BMP P Tracking Table'!$AP285="Total Pervious",(-(3630*'BMP P Tracking Table'!$AO285+20.691*'BMP P Tracking Table'!$AU285)+SQRT((3630*'BMP P Tracking Table'!$AO285+20.691*'BMP P Tracking Table'!$AU285)^2-(4*(996.798*'BMP P Tracking Table'!$AU285)*-'BMP P Tracking Table'!$AW285)))/(2*(996.798*'BMP P Tracking Table'!$AU285)),IF(SUM('BMP P Tracking Table'!$AQ285:$AT285)=0,'BMP P Tracking Table'!$AU285/(-3630*'BMP P Tracking Table'!$AO285),(-(3630*'BMP P Tracking Table'!$AO285+20.691*'BMP P Tracking Table'!$AT285-216.711*'BMP P Tracking Table'!$AS285-83.853*'BMP P Tracking Table'!$AR285-42.834*'BMP P Tracking Table'!$AQ285)+SQRT((3630*'BMP P Tracking Table'!$AO285+20.691*'BMP P Tracking Table'!$AT285-216.711*'BMP P Tracking Table'!$AS285-83.853*'BMP P Tracking Table'!$AR285-42.834*'BMP P Tracking Table'!$AQ285)^2-(4*(149.919*'BMP P Tracking Table'!$AQ285+236.676*'BMP P Tracking Table'!$AR285+726*'BMP P Tracking Table'!$AS285+996.798*'BMP P Tracking Table'!$AT285)*-'BMP P Tracking Table'!$AW285)))/(2*(149.919*'BMP P Tracking Table'!$AQ285+236.676*'BMP P Tracking Table'!$AR285+726*'BMP P Tracking Table'!$AS285+996.798*'BMP P Tracking Table'!$AT285))))),MIN(2,IF('BMP P Tracking Table'!$AP285="Total Pervious",(-(3630*'BMP P Tracking Table'!$U285+20.691*'BMP P Tracking Table'!$AA285)+SQRT((3630*'BMP P Tracking Table'!$U285+20.691*'BMP P Tracking Table'!$AA285)^2-(4*(996.798*'BMP P Tracking Table'!$AA285)*-'BMP P Tracking Table'!$AW285)))/(2*(996.798*'BMP P Tracking Table'!$AA285)),IF(SUM('BMP P Tracking Table'!$W285:$Z285)=0,'BMP P Tracking Table'!$AW285/(-3630*'BMP P Tracking Table'!$U285),(-(3630*'BMP P Tracking Table'!$U285+20.691*'BMP P Tracking Table'!$Z285-216.711*'BMP P Tracking Table'!$Y285-83.853*'BMP P Tracking Table'!$X285-42.834*'BMP P Tracking Table'!$W285)+SQRT((3630*'BMP P Tracking Table'!$U285+20.691*'BMP P Tracking Table'!$Z285-216.711*'BMP P Tracking Table'!$Y285-83.853*'BMP P Tracking Table'!$X285-42.834*'BMP P Tracking Table'!$W285)^2-(4*(149.919*'BMP P Tracking Table'!$W285+236.676*'BMP P Tracking Table'!$X285+726*'BMP P Tracking Table'!$Y285+996.798*'BMP P Tracking Table'!$Z285)*-'BMP P Tracking Table'!$AW285)))/(2*(149.919*'BMP P Tracking Table'!$W285+236.676*'BMP P Tracking Table'!$X285+726*'BMP P Tracking Table'!$Y285+996.798*'BMP P Tracking Table'!$Z285)))))),"")</f>
        <v/>
      </c>
      <c r="BA285" s="101" t="str">
        <f>IFERROR((VLOOKUP(CONCATENATE('BMP P Tracking Table'!$AV285," ",'BMP P Tracking Table'!$AX285),'Performance Curves'!$C$1:$L$45,MATCH('BMP P Tracking Table'!$AZ285,'Performance Curves'!$E$1:$L$1,1)+2,FALSE)-VLOOKUP(CONCATENATE('BMP P Tracking Table'!$AV285," ",'BMP P Tracking Table'!$AX285),'Performance Curves'!$C$1:$L$45,MATCH('BMP P Tracking Table'!$AZ285,'Performance Curves'!$E$1:$L$1,1)+1,FALSE)),"")</f>
        <v/>
      </c>
      <c r="BB285" s="101" t="str">
        <f>IFERROR(('BMP P Tracking Table'!$AZ285-INDEX('Performance Curves'!$E$1:$L$1,1,MATCH('BMP P Tracking Table'!$AZ285,'Performance Curves'!$E$1:$L$1,1)))/(INDEX('Performance Curves'!$E$1:$L$1,1,MATCH('BMP P Tracking Table'!$AZ285,'Performance Curves'!$E$1:$L$1,1)+1)-INDEX('Performance Curves'!$E$1:$L$1,1,MATCH('BMP P Tracking Table'!$AZ285,'Performance Curves'!$E$1:$L$1,1))),"")</f>
        <v/>
      </c>
      <c r="BC285" s="102" t="str">
        <f>IFERROR(IF('BMP P Tracking Table'!$AZ285=2,VLOOKUP(CONCATENATE('BMP P Tracking Table'!$AV285," ",'BMP P Tracking Table'!$AX285),'Performance Curves'!$C$1:$L$44,MATCH('BMP P Tracking Table'!$AZ285,'Performance Curves'!$E$1:$L$1,1)+1,FALSE),'BMP P Tracking Table'!$BA285*'BMP P Tracking Table'!$BB285+VLOOKUP(CONCATENATE('BMP P Tracking Table'!$AV285," ",'BMP P Tracking Table'!$AX285),'Performance Curves'!$C$1:$L$44,MATCH('BMP P Tracking Table'!$AZ285,'Performance Curves'!$E$1:$L$1,1)+1,FALSE)),"")</f>
        <v/>
      </c>
      <c r="BD285" s="101" t="str">
        <f>IFERROR('BMP P Tracking Table'!$BC285*'BMP P Tracking Table'!$AY285,"")</f>
        <v/>
      </c>
      <c r="BE285" s="96"/>
      <c r="BF285" s="37">
        <f t="shared" si="21"/>
        <v>0</v>
      </c>
    </row>
    <row r="286" spans="1:58" x14ac:dyDescent="0.3">
      <c r="A286" s="64"/>
      <c r="B286" s="64"/>
      <c r="C286" s="64"/>
      <c r="D286" s="64"/>
      <c r="E286" s="93"/>
      <c r="F286" s="93"/>
      <c r="G286" s="64"/>
      <c r="H286" s="64"/>
      <c r="I286" s="64"/>
      <c r="J286" s="94"/>
      <c r="K286" s="64"/>
      <c r="L286" s="64"/>
      <c r="M286" s="64"/>
      <c r="N286" s="64"/>
      <c r="O286" s="64"/>
      <c r="P286" s="64"/>
      <c r="Q286" s="64" t="str">
        <f>IFERROR(VLOOKUP('BMP P Tracking Table'!$P286,Dropdowns!$C$2:$E$15,3,FALSE),"")</f>
        <v/>
      </c>
      <c r="R286" s="64" t="str">
        <f>IFERROR(VLOOKUP('BMP P Tracking Table'!$Q286,Dropdowns!$P$3:$Q$23,2,FALSE),"")</f>
        <v/>
      </c>
      <c r="S286" s="64"/>
      <c r="T286" s="64"/>
      <c r="U286" s="64"/>
      <c r="V286" s="64"/>
      <c r="W286" s="64"/>
      <c r="X286" s="64"/>
      <c r="Y286" s="64"/>
      <c r="Z286" s="64"/>
      <c r="AA286" s="64"/>
      <c r="AB286" s="95"/>
      <c r="AC286" s="64"/>
      <c r="AD286" s="101" t="str">
        <f>IFERROR('BMP P Tracking Table'!$U286*VLOOKUP('BMP P Tracking Table'!$Q286,'Loading Rates'!$B$1:$L$24,4,FALSE)+IF('BMP P Tracking Table'!$V286="By HSG",'BMP P Tracking Table'!$W286*VLOOKUP('BMP P Tracking Table'!$Q286,'Loading Rates'!$B$1:$L$24,6,FALSE)+'BMP P Tracking Table'!$X286*VLOOKUP('BMP P Tracking Table'!$Q286,'Loading Rates'!$B$1:$L$24,7,FALSE)+'BMP P Tracking Table'!$Y286*VLOOKUP('BMP P Tracking Table'!$Q286,'Loading Rates'!$B$1:$L$24,8,FALSE)+'BMP P Tracking Table'!$Z286*VLOOKUP('BMP P Tracking Table'!$Q286,'Loading Rates'!$B$1:$L$24,9,FALSE),'BMP P Tracking Table'!$AA286*VLOOKUP('BMP P Tracking Table'!$Q286,'Loading Rates'!$B$1:$L$24,10,FALSE)),"")</f>
        <v/>
      </c>
      <c r="AE286" s="101" t="str">
        <f>IFERROR(MIN(2,IF('BMP P Tracking Table'!$V286="Total Pervious",(-(3630*'BMP P Tracking Table'!$U286+20.691*'BMP P Tracking Table'!$AA286)+SQRT((3630*'BMP P Tracking Table'!$U286+20.691*'BMP P Tracking Table'!$AA286)^2-(4*(996.798*'BMP P Tracking Table'!$AA286)*-'BMP P Tracking Table'!$AB286)))/(2*(996.798*'BMP P Tracking Table'!$AA286)),IF(SUM('BMP P Tracking Table'!$W286:$Z286)=0,'BMP P Tracking Table'!$AB286/(-3630*'BMP P Tracking Table'!$U286),(-(3630*'BMP P Tracking Table'!$U286+20.691*'BMP P Tracking Table'!$Z286-216.711*'BMP P Tracking Table'!$Y286-83.853*'BMP P Tracking Table'!$X286-42.834*'BMP P Tracking Table'!$W286)+SQRT((3630*'BMP P Tracking Table'!$U286+20.691*'BMP P Tracking Table'!$Z286-216.711*'BMP P Tracking Table'!$Y286-83.853*'BMP P Tracking Table'!$X286-42.834*'BMP P Tracking Table'!$W286)^2-(4*(149.919*'BMP P Tracking Table'!$W286+236.676*'BMP P Tracking Table'!$X286+726*'BMP P Tracking Table'!$Y286+996.798*'BMP P Tracking Table'!$Z286)*-'BMP P Tracking Table'!$AB286)))/(2*(149.919*'BMP P Tracking Table'!$W286+236.676*'BMP P Tracking Table'!$X286+726*'BMP P Tracking Table'!$Y286+996.798*'BMP P Tracking Table'!$Z286))))),"")</f>
        <v/>
      </c>
      <c r="AF286" s="101" t="str">
        <f>IFERROR((VLOOKUP(CONCATENATE('BMP P Tracking Table'!$T286," ",'BMP P Tracking Table'!$AC286),'Performance Curves'!$C$1:$L$45,MATCH('BMP P Tracking Table'!$AE286,'Performance Curves'!$E$1:$L$1,1)+2,FALSE)-VLOOKUP(CONCATENATE('BMP P Tracking Table'!$T286," ",'BMP P Tracking Table'!$AC286),'Performance Curves'!$C$1:$L$45,MATCH('BMP P Tracking Table'!$AE286,'Performance Curves'!$E$1:$L$1,1)+1,FALSE)),"")</f>
        <v/>
      </c>
      <c r="AG286" s="101" t="str">
        <f>IFERROR(('BMP P Tracking Table'!$AE286-INDEX('Performance Curves'!$E$1:$L$1,1,MATCH('BMP P Tracking Table'!$AE286,'Performance Curves'!$E$1:$L$1,1)))/(INDEX('Performance Curves'!$E$1:$L$1,1,MATCH('BMP P Tracking Table'!$AE286,'Performance Curves'!$E$1:$L$1,1)+1)-INDEX('Performance Curves'!$E$1:$L$1,1,MATCH('BMP P Tracking Table'!$AE286,'Performance Curves'!$E$1:$L$1,1))),"")</f>
        <v/>
      </c>
      <c r="AH286" s="102" t="str">
        <f>IFERROR(IF('BMP P Tracking Table'!$AE286=2,VLOOKUP(CONCATENATE('BMP P Tracking Table'!$T286," ",'BMP P Tracking Table'!$AC286),'Performance Curves'!$C$1:$L$45,MATCH('BMP P Tracking Table'!$AE286,'Performance Curves'!$E$1:$L$1,1)+1,FALSE),'BMP P Tracking Table'!$AF286*'BMP P Tracking Table'!$AG286+VLOOKUP(CONCATENATE('BMP P Tracking Table'!$T286," ",'BMP P Tracking Table'!$AC286),'Performance Curves'!$C$1:$L$45,MATCH('BMP P Tracking Table'!$AE286,'Performance Curves'!$E$1:$L$1,1)+1,FALSE)),"")</f>
        <v/>
      </c>
      <c r="AI286" s="101" t="str">
        <f>IFERROR('BMP P Tracking Table'!$AH286*'BMP P Tracking Table'!$AD286,"")</f>
        <v/>
      </c>
      <c r="AJ286" s="64"/>
      <c r="AK286" s="96"/>
      <c r="AL286" s="96"/>
      <c r="AM286" s="63"/>
      <c r="AN286" s="99" t="str">
        <f t="shared" si="20"/>
        <v/>
      </c>
      <c r="AO286" s="96"/>
      <c r="AP286" s="96"/>
      <c r="AQ286" s="96"/>
      <c r="AR286" s="96"/>
      <c r="AS286" s="96"/>
      <c r="AT286" s="96"/>
      <c r="AU286" s="96"/>
      <c r="AV286" s="64"/>
      <c r="AW286" s="97"/>
      <c r="AX286" s="97"/>
      <c r="AY286" s="101" t="str">
        <f>IF('BMP P Tracking Table'!$AK286="Yes",IF('BMP P Tracking Table'!$AL286="No",'BMP P Tracking Table'!$U286*VLOOKUP('BMP P Tracking Table'!$Q286,'Loading Rates'!$B$1:$L$24,4,FALSE)+IF('BMP P Tracking Table'!$V286="By HSG",'BMP P Tracking Table'!$W286*VLOOKUP('BMP P Tracking Table'!$Q286,'Loading Rates'!$B$1:$L$24,6,FALSE)+'BMP P Tracking Table'!$X286*VLOOKUP('BMP P Tracking Table'!$Q286,'Loading Rates'!$B$1:$L$24,7,FALSE)+'BMP P Tracking Table'!$Y286*VLOOKUP('BMP P Tracking Table'!$Q286,'Loading Rates'!$B$1:$L$24,8,FALSE)+'BMP P Tracking Table'!$Z286*VLOOKUP('BMP P Tracking Table'!$Q286,'Loading Rates'!$B$1:$L$24,9,FALSE),'BMP P Tracking Table'!$AA286*VLOOKUP('BMP P Tracking Table'!$Q286,'Loading Rates'!$B$1:$L$24,10,FALSE)),'BMP P Tracking Table'!$AO286*VLOOKUP('BMP P Tracking Table'!$Q286,'Loading Rates'!$B$1:$L$24,4,FALSE)+IF('BMP P Tracking Table'!$AP286="By HSG",'BMP P Tracking Table'!$AQ286*VLOOKUP('BMP P Tracking Table'!$Q286,'Loading Rates'!$B$1:$L$24,6,FALSE)+'BMP P Tracking Table'!$AR286*VLOOKUP('BMP P Tracking Table'!$Q286,'Loading Rates'!$B$1:$L$24,7,FALSE)+'BMP P Tracking Table'!$AS286*VLOOKUP('BMP P Tracking Table'!$Q286,'Loading Rates'!$B$1:$L$24,8,FALSE)+'BMP P Tracking Table'!$AT286*VLOOKUP('BMP P Tracking Table'!$Q286,'Loading Rates'!$B$1:$L$24,9,FALSE),'BMP P Tracking Table'!$AU286*VLOOKUP('BMP P Tracking Table'!$Q286,'Loading Rates'!$B$1:$L$24,10,FALSE))),"")</f>
        <v/>
      </c>
      <c r="AZ286" s="101" t="str">
        <f>IFERROR(IF('BMP P Tracking Table'!$AL286="Yes",MIN(2,IF('BMP P Tracking Table'!$AP286="Total Pervious",(-(3630*'BMP P Tracking Table'!$AO286+20.691*'BMP P Tracking Table'!$AU286)+SQRT((3630*'BMP P Tracking Table'!$AO286+20.691*'BMP P Tracking Table'!$AU286)^2-(4*(996.798*'BMP P Tracking Table'!$AU286)*-'BMP P Tracking Table'!$AW286)))/(2*(996.798*'BMP P Tracking Table'!$AU286)),IF(SUM('BMP P Tracking Table'!$AQ286:$AT286)=0,'BMP P Tracking Table'!$AU286/(-3630*'BMP P Tracking Table'!$AO286),(-(3630*'BMP P Tracking Table'!$AO286+20.691*'BMP P Tracking Table'!$AT286-216.711*'BMP P Tracking Table'!$AS286-83.853*'BMP P Tracking Table'!$AR286-42.834*'BMP P Tracking Table'!$AQ286)+SQRT((3630*'BMP P Tracking Table'!$AO286+20.691*'BMP P Tracking Table'!$AT286-216.711*'BMP P Tracking Table'!$AS286-83.853*'BMP P Tracking Table'!$AR286-42.834*'BMP P Tracking Table'!$AQ286)^2-(4*(149.919*'BMP P Tracking Table'!$AQ286+236.676*'BMP P Tracking Table'!$AR286+726*'BMP P Tracking Table'!$AS286+996.798*'BMP P Tracking Table'!$AT286)*-'BMP P Tracking Table'!$AW286)))/(2*(149.919*'BMP P Tracking Table'!$AQ286+236.676*'BMP P Tracking Table'!$AR286+726*'BMP P Tracking Table'!$AS286+996.798*'BMP P Tracking Table'!$AT286))))),MIN(2,IF('BMP P Tracking Table'!$AP286="Total Pervious",(-(3630*'BMP P Tracking Table'!$U286+20.691*'BMP P Tracking Table'!$AA286)+SQRT((3630*'BMP P Tracking Table'!$U286+20.691*'BMP P Tracking Table'!$AA286)^2-(4*(996.798*'BMP P Tracking Table'!$AA286)*-'BMP P Tracking Table'!$AW286)))/(2*(996.798*'BMP P Tracking Table'!$AA286)),IF(SUM('BMP P Tracking Table'!$W286:$Z286)=0,'BMP P Tracking Table'!$AW286/(-3630*'BMP P Tracking Table'!$U286),(-(3630*'BMP P Tracking Table'!$U286+20.691*'BMP P Tracking Table'!$Z286-216.711*'BMP P Tracking Table'!$Y286-83.853*'BMP P Tracking Table'!$X286-42.834*'BMP P Tracking Table'!$W286)+SQRT((3630*'BMP P Tracking Table'!$U286+20.691*'BMP P Tracking Table'!$Z286-216.711*'BMP P Tracking Table'!$Y286-83.853*'BMP P Tracking Table'!$X286-42.834*'BMP P Tracking Table'!$W286)^2-(4*(149.919*'BMP P Tracking Table'!$W286+236.676*'BMP P Tracking Table'!$X286+726*'BMP P Tracking Table'!$Y286+996.798*'BMP P Tracking Table'!$Z286)*-'BMP P Tracking Table'!$AW286)))/(2*(149.919*'BMP P Tracking Table'!$W286+236.676*'BMP P Tracking Table'!$X286+726*'BMP P Tracking Table'!$Y286+996.798*'BMP P Tracking Table'!$Z286)))))),"")</f>
        <v/>
      </c>
      <c r="BA286" s="101" t="str">
        <f>IFERROR((VLOOKUP(CONCATENATE('BMP P Tracking Table'!$AV286," ",'BMP P Tracking Table'!$AX286),'Performance Curves'!$C$1:$L$45,MATCH('BMP P Tracking Table'!$AZ286,'Performance Curves'!$E$1:$L$1,1)+2,FALSE)-VLOOKUP(CONCATENATE('BMP P Tracking Table'!$AV286," ",'BMP P Tracking Table'!$AX286),'Performance Curves'!$C$1:$L$45,MATCH('BMP P Tracking Table'!$AZ286,'Performance Curves'!$E$1:$L$1,1)+1,FALSE)),"")</f>
        <v/>
      </c>
      <c r="BB286" s="101" t="str">
        <f>IFERROR(('BMP P Tracking Table'!$AZ286-INDEX('Performance Curves'!$E$1:$L$1,1,MATCH('BMP P Tracking Table'!$AZ286,'Performance Curves'!$E$1:$L$1,1)))/(INDEX('Performance Curves'!$E$1:$L$1,1,MATCH('BMP P Tracking Table'!$AZ286,'Performance Curves'!$E$1:$L$1,1)+1)-INDEX('Performance Curves'!$E$1:$L$1,1,MATCH('BMP P Tracking Table'!$AZ286,'Performance Curves'!$E$1:$L$1,1))),"")</f>
        <v/>
      </c>
      <c r="BC286" s="102" t="str">
        <f>IFERROR(IF('BMP P Tracking Table'!$AZ286=2,VLOOKUP(CONCATENATE('BMP P Tracking Table'!$AV286," ",'BMP P Tracking Table'!$AX286),'Performance Curves'!$C$1:$L$44,MATCH('BMP P Tracking Table'!$AZ286,'Performance Curves'!$E$1:$L$1,1)+1,FALSE),'BMP P Tracking Table'!$BA286*'BMP P Tracking Table'!$BB286+VLOOKUP(CONCATENATE('BMP P Tracking Table'!$AV286," ",'BMP P Tracking Table'!$AX286),'Performance Curves'!$C$1:$L$44,MATCH('BMP P Tracking Table'!$AZ286,'Performance Curves'!$E$1:$L$1,1)+1,FALSE)),"")</f>
        <v/>
      </c>
      <c r="BD286" s="101" t="str">
        <f>IFERROR('BMP P Tracking Table'!$BC286*'BMP P Tracking Table'!$AY286,"")</f>
        <v/>
      </c>
      <c r="BE286" s="96"/>
      <c r="BF286" s="37">
        <f t="shared" si="21"/>
        <v>0</v>
      </c>
    </row>
    <row r="287" spans="1:58" x14ac:dyDescent="0.3">
      <c r="A287" s="64"/>
      <c r="B287" s="64"/>
      <c r="C287" s="64"/>
      <c r="D287" s="64"/>
      <c r="E287" s="93"/>
      <c r="F287" s="93"/>
      <c r="G287" s="64"/>
      <c r="H287" s="64"/>
      <c r="I287" s="64"/>
      <c r="J287" s="94"/>
      <c r="K287" s="64"/>
      <c r="L287" s="64"/>
      <c r="M287" s="64"/>
      <c r="N287" s="64"/>
      <c r="O287" s="64"/>
      <c r="P287" s="64"/>
      <c r="Q287" s="64" t="str">
        <f>IFERROR(VLOOKUP('BMP P Tracking Table'!$P287,Dropdowns!$C$2:$E$15,3,FALSE),"")</f>
        <v/>
      </c>
      <c r="R287" s="64" t="str">
        <f>IFERROR(VLOOKUP('BMP P Tracking Table'!$Q287,Dropdowns!$P$3:$Q$23,2,FALSE),"")</f>
        <v/>
      </c>
      <c r="S287" s="64"/>
      <c r="T287" s="64"/>
      <c r="U287" s="64"/>
      <c r="V287" s="64"/>
      <c r="W287" s="64"/>
      <c r="X287" s="64"/>
      <c r="Y287" s="64"/>
      <c r="Z287" s="64"/>
      <c r="AA287" s="64"/>
      <c r="AB287" s="95"/>
      <c r="AC287" s="64"/>
      <c r="AD287" s="101" t="str">
        <f>IFERROR('BMP P Tracking Table'!$U287*VLOOKUP('BMP P Tracking Table'!$Q287,'Loading Rates'!$B$1:$L$24,4,FALSE)+IF('BMP P Tracking Table'!$V287="By HSG",'BMP P Tracking Table'!$W287*VLOOKUP('BMP P Tracking Table'!$Q287,'Loading Rates'!$B$1:$L$24,6,FALSE)+'BMP P Tracking Table'!$X287*VLOOKUP('BMP P Tracking Table'!$Q287,'Loading Rates'!$B$1:$L$24,7,FALSE)+'BMP P Tracking Table'!$Y287*VLOOKUP('BMP P Tracking Table'!$Q287,'Loading Rates'!$B$1:$L$24,8,FALSE)+'BMP P Tracking Table'!$Z287*VLOOKUP('BMP P Tracking Table'!$Q287,'Loading Rates'!$B$1:$L$24,9,FALSE),'BMP P Tracking Table'!$AA287*VLOOKUP('BMP P Tracking Table'!$Q287,'Loading Rates'!$B$1:$L$24,10,FALSE)),"")</f>
        <v/>
      </c>
      <c r="AE287" s="101" t="str">
        <f>IFERROR(MIN(2,IF('BMP P Tracking Table'!$V287="Total Pervious",(-(3630*'BMP P Tracking Table'!$U287+20.691*'BMP P Tracking Table'!$AA287)+SQRT((3630*'BMP P Tracking Table'!$U287+20.691*'BMP P Tracking Table'!$AA287)^2-(4*(996.798*'BMP P Tracking Table'!$AA287)*-'BMP P Tracking Table'!$AB287)))/(2*(996.798*'BMP P Tracking Table'!$AA287)),IF(SUM('BMP P Tracking Table'!$W287:$Z287)=0,'BMP P Tracking Table'!$AB287/(-3630*'BMP P Tracking Table'!$U287),(-(3630*'BMP P Tracking Table'!$U287+20.691*'BMP P Tracking Table'!$Z287-216.711*'BMP P Tracking Table'!$Y287-83.853*'BMP P Tracking Table'!$X287-42.834*'BMP P Tracking Table'!$W287)+SQRT((3630*'BMP P Tracking Table'!$U287+20.691*'BMP P Tracking Table'!$Z287-216.711*'BMP P Tracking Table'!$Y287-83.853*'BMP P Tracking Table'!$X287-42.834*'BMP P Tracking Table'!$W287)^2-(4*(149.919*'BMP P Tracking Table'!$W287+236.676*'BMP P Tracking Table'!$X287+726*'BMP P Tracking Table'!$Y287+996.798*'BMP P Tracking Table'!$Z287)*-'BMP P Tracking Table'!$AB287)))/(2*(149.919*'BMP P Tracking Table'!$W287+236.676*'BMP P Tracking Table'!$X287+726*'BMP P Tracking Table'!$Y287+996.798*'BMP P Tracking Table'!$Z287))))),"")</f>
        <v/>
      </c>
      <c r="AF287" s="101" t="str">
        <f>IFERROR((VLOOKUP(CONCATENATE('BMP P Tracking Table'!$T287," ",'BMP P Tracking Table'!$AC287),'Performance Curves'!$C$1:$L$45,MATCH('BMP P Tracking Table'!$AE287,'Performance Curves'!$E$1:$L$1,1)+2,FALSE)-VLOOKUP(CONCATENATE('BMP P Tracking Table'!$T287," ",'BMP P Tracking Table'!$AC287),'Performance Curves'!$C$1:$L$45,MATCH('BMP P Tracking Table'!$AE287,'Performance Curves'!$E$1:$L$1,1)+1,FALSE)),"")</f>
        <v/>
      </c>
      <c r="AG287" s="101" t="str">
        <f>IFERROR(('BMP P Tracking Table'!$AE287-INDEX('Performance Curves'!$E$1:$L$1,1,MATCH('BMP P Tracking Table'!$AE287,'Performance Curves'!$E$1:$L$1,1)))/(INDEX('Performance Curves'!$E$1:$L$1,1,MATCH('BMP P Tracking Table'!$AE287,'Performance Curves'!$E$1:$L$1,1)+1)-INDEX('Performance Curves'!$E$1:$L$1,1,MATCH('BMP P Tracking Table'!$AE287,'Performance Curves'!$E$1:$L$1,1))),"")</f>
        <v/>
      </c>
      <c r="AH287" s="102" t="str">
        <f>IFERROR(IF('BMP P Tracking Table'!$AE287=2,VLOOKUP(CONCATENATE('BMP P Tracking Table'!$T287," ",'BMP P Tracking Table'!$AC287),'Performance Curves'!$C$1:$L$45,MATCH('BMP P Tracking Table'!$AE287,'Performance Curves'!$E$1:$L$1,1)+1,FALSE),'BMP P Tracking Table'!$AF287*'BMP P Tracking Table'!$AG287+VLOOKUP(CONCATENATE('BMP P Tracking Table'!$T287," ",'BMP P Tracking Table'!$AC287),'Performance Curves'!$C$1:$L$45,MATCH('BMP P Tracking Table'!$AE287,'Performance Curves'!$E$1:$L$1,1)+1,FALSE)),"")</f>
        <v/>
      </c>
      <c r="AI287" s="101" t="str">
        <f>IFERROR('BMP P Tracking Table'!$AH287*'BMP P Tracking Table'!$AD287,"")</f>
        <v/>
      </c>
      <c r="AJ287" s="64"/>
      <c r="AK287" s="96"/>
      <c r="AL287" s="96"/>
      <c r="AM287" s="63"/>
      <c r="AN287" s="99" t="str">
        <f t="shared" si="20"/>
        <v/>
      </c>
      <c r="AO287" s="96"/>
      <c r="AP287" s="96"/>
      <c r="AQ287" s="96"/>
      <c r="AR287" s="96"/>
      <c r="AS287" s="96"/>
      <c r="AT287" s="96"/>
      <c r="AU287" s="96"/>
      <c r="AV287" s="64"/>
      <c r="AW287" s="97"/>
      <c r="AX287" s="97"/>
      <c r="AY287" s="101" t="str">
        <f>IF('BMP P Tracking Table'!$AK287="Yes",IF('BMP P Tracking Table'!$AL287="No",'BMP P Tracking Table'!$U287*VLOOKUP('BMP P Tracking Table'!$Q287,'Loading Rates'!$B$1:$L$24,4,FALSE)+IF('BMP P Tracking Table'!$V287="By HSG",'BMP P Tracking Table'!$W287*VLOOKUP('BMP P Tracking Table'!$Q287,'Loading Rates'!$B$1:$L$24,6,FALSE)+'BMP P Tracking Table'!$X287*VLOOKUP('BMP P Tracking Table'!$Q287,'Loading Rates'!$B$1:$L$24,7,FALSE)+'BMP P Tracking Table'!$Y287*VLOOKUP('BMP P Tracking Table'!$Q287,'Loading Rates'!$B$1:$L$24,8,FALSE)+'BMP P Tracking Table'!$Z287*VLOOKUP('BMP P Tracking Table'!$Q287,'Loading Rates'!$B$1:$L$24,9,FALSE),'BMP P Tracking Table'!$AA287*VLOOKUP('BMP P Tracking Table'!$Q287,'Loading Rates'!$B$1:$L$24,10,FALSE)),'BMP P Tracking Table'!$AO287*VLOOKUP('BMP P Tracking Table'!$Q287,'Loading Rates'!$B$1:$L$24,4,FALSE)+IF('BMP P Tracking Table'!$AP287="By HSG",'BMP P Tracking Table'!$AQ287*VLOOKUP('BMP P Tracking Table'!$Q287,'Loading Rates'!$B$1:$L$24,6,FALSE)+'BMP P Tracking Table'!$AR287*VLOOKUP('BMP P Tracking Table'!$Q287,'Loading Rates'!$B$1:$L$24,7,FALSE)+'BMP P Tracking Table'!$AS287*VLOOKUP('BMP P Tracking Table'!$Q287,'Loading Rates'!$B$1:$L$24,8,FALSE)+'BMP P Tracking Table'!$AT287*VLOOKUP('BMP P Tracking Table'!$Q287,'Loading Rates'!$B$1:$L$24,9,FALSE),'BMP P Tracking Table'!$AU287*VLOOKUP('BMP P Tracking Table'!$Q287,'Loading Rates'!$B$1:$L$24,10,FALSE))),"")</f>
        <v/>
      </c>
      <c r="AZ287" s="101" t="str">
        <f>IFERROR(IF('BMP P Tracking Table'!$AL287="Yes",MIN(2,IF('BMP P Tracking Table'!$AP287="Total Pervious",(-(3630*'BMP P Tracking Table'!$AO287+20.691*'BMP P Tracking Table'!$AU287)+SQRT((3630*'BMP P Tracking Table'!$AO287+20.691*'BMP P Tracking Table'!$AU287)^2-(4*(996.798*'BMP P Tracking Table'!$AU287)*-'BMP P Tracking Table'!$AW287)))/(2*(996.798*'BMP P Tracking Table'!$AU287)),IF(SUM('BMP P Tracking Table'!$AQ287:$AT287)=0,'BMP P Tracking Table'!$AU287/(-3630*'BMP P Tracking Table'!$AO287),(-(3630*'BMP P Tracking Table'!$AO287+20.691*'BMP P Tracking Table'!$AT287-216.711*'BMP P Tracking Table'!$AS287-83.853*'BMP P Tracking Table'!$AR287-42.834*'BMP P Tracking Table'!$AQ287)+SQRT((3630*'BMP P Tracking Table'!$AO287+20.691*'BMP P Tracking Table'!$AT287-216.711*'BMP P Tracking Table'!$AS287-83.853*'BMP P Tracking Table'!$AR287-42.834*'BMP P Tracking Table'!$AQ287)^2-(4*(149.919*'BMP P Tracking Table'!$AQ287+236.676*'BMP P Tracking Table'!$AR287+726*'BMP P Tracking Table'!$AS287+996.798*'BMP P Tracking Table'!$AT287)*-'BMP P Tracking Table'!$AW287)))/(2*(149.919*'BMP P Tracking Table'!$AQ287+236.676*'BMP P Tracking Table'!$AR287+726*'BMP P Tracking Table'!$AS287+996.798*'BMP P Tracking Table'!$AT287))))),MIN(2,IF('BMP P Tracking Table'!$AP287="Total Pervious",(-(3630*'BMP P Tracking Table'!$U287+20.691*'BMP P Tracking Table'!$AA287)+SQRT((3630*'BMP P Tracking Table'!$U287+20.691*'BMP P Tracking Table'!$AA287)^2-(4*(996.798*'BMP P Tracking Table'!$AA287)*-'BMP P Tracking Table'!$AW287)))/(2*(996.798*'BMP P Tracking Table'!$AA287)),IF(SUM('BMP P Tracking Table'!$W287:$Z287)=0,'BMP P Tracking Table'!$AW287/(-3630*'BMP P Tracking Table'!$U287),(-(3630*'BMP P Tracking Table'!$U287+20.691*'BMP P Tracking Table'!$Z287-216.711*'BMP P Tracking Table'!$Y287-83.853*'BMP P Tracking Table'!$X287-42.834*'BMP P Tracking Table'!$W287)+SQRT((3630*'BMP P Tracking Table'!$U287+20.691*'BMP P Tracking Table'!$Z287-216.711*'BMP P Tracking Table'!$Y287-83.853*'BMP P Tracking Table'!$X287-42.834*'BMP P Tracking Table'!$W287)^2-(4*(149.919*'BMP P Tracking Table'!$W287+236.676*'BMP P Tracking Table'!$X287+726*'BMP P Tracking Table'!$Y287+996.798*'BMP P Tracking Table'!$Z287)*-'BMP P Tracking Table'!$AW287)))/(2*(149.919*'BMP P Tracking Table'!$W287+236.676*'BMP P Tracking Table'!$X287+726*'BMP P Tracking Table'!$Y287+996.798*'BMP P Tracking Table'!$Z287)))))),"")</f>
        <v/>
      </c>
      <c r="BA287" s="101" t="str">
        <f>IFERROR((VLOOKUP(CONCATENATE('BMP P Tracking Table'!$AV287," ",'BMP P Tracking Table'!$AX287),'Performance Curves'!$C$1:$L$45,MATCH('BMP P Tracking Table'!$AZ287,'Performance Curves'!$E$1:$L$1,1)+2,FALSE)-VLOOKUP(CONCATENATE('BMP P Tracking Table'!$AV287," ",'BMP P Tracking Table'!$AX287),'Performance Curves'!$C$1:$L$45,MATCH('BMP P Tracking Table'!$AZ287,'Performance Curves'!$E$1:$L$1,1)+1,FALSE)),"")</f>
        <v/>
      </c>
      <c r="BB287" s="101" t="str">
        <f>IFERROR(('BMP P Tracking Table'!$AZ287-INDEX('Performance Curves'!$E$1:$L$1,1,MATCH('BMP P Tracking Table'!$AZ287,'Performance Curves'!$E$1:$L$1,1)))/(INDEX('Performance Curves'!$E$1:$L$1,1,MATCH('BMP P Tracking Table'!$AZ287,'Performance Curves'!$E$1:$L$1,1)+1)-INDEX('Performance Curves'!$E$1:$L$1,1,MATCH('BMP P Tracking Table'!$AZ287,'Performance Curves'!$E$1:$L$1,1))),"")</f>
        <v/>
      </c>
      <c r="BC287" s="102" t="str">
        <f>IFERROR(IF('BMP P Tracking Table'!$AZ287=2,VLOOKUP(CONCATENATE('BMP P Tracking Table'!$AV287," ",'BMP P Tracking Table'!$AX287),'Performance Curves'!$C$1:$L$44,MATCH('BMP P Tracking Table'!$AZ287,'Performance Curves'!$E$1:$L$1,1)+1,FALSE),'BMP P Tracking Table'!$BA287*'BMP P Tracking Table'!$BB287+VLOOKUP(CONCATENATE('BMP P Tracking Table'!$AV287," ",'BMP P Tracking Table'!$AX287),'Performance Curves'!$C$1:$L$44,MATCH('BMP P Tracking Table'!$AZ287,'Performance Curves'!$E$1:$L$1,1)+1,FALSE)),"")</f>
        <v/>
      </c>
      <c r="BD287" s="101" t="str">
        <f>IFERROR('BMP P Tracking Table'!$BC287*'BMP P Tracking Table'!$AY287,"")</f>
        <v/>
      </c>
      <c r="BE287" s="96"/>
      <c r="BF287" s="37">
        <f t="shared" si="21"/>
        <v>0</v>
      </c>
    </row>
    <row r="288" spans="1:58" x14ac:dyDescent="0.3">
      <c r="A288" s="64"/>
      <c r="B288" s="64"/>
      <c r="C288" s="64"/>
      <c r="D288" s="64"/>
      <c r="E288" s="93"/>
      <c r="F288" s="93"/>
      <c r="G288" s="64"/>
      <c r="H288" s="64"/>
      <c r="I288" s="64"/>
      <c r="J288" s="94"/>
      <c r="K288" s="64"/>
      <c r="L288" s="64"/>
      <c r="M288" s="64"/>
      <c r="N288" s="64"/>
      <c r="O288" s="64"/>
      <c r="P288" s="64"/>
      <c r="Q288" s="64" t="str">
        <f>IFERROR(VLOOKUP('BMP P Tracking Table'!$P288,Dropdowns!$C$2:$E$15,3,FALSE),"")</f>
        <v/>
      </c>
      <c r="R288" s="64" t="str">
        <f>IFERROR(VLOOKUP('BMP P Tracking Table'!$Q288,Dropdowns!$P$3:$Q$23,2,FALSE),"")</f>
        <v/>
      </c>
      <c r="S288" s="64"/>
      <c r="T288" s="64"/>
      <c r="U288" s="64"/>
      <c r="V288" s="64"/>
      <c r="W288" s="64"/>
      <c r="X288" s="64"/>
      <c r="Y288" s="64"/>
      <c r="Z288" s="64"/>
      <c r="AA288" s="64"/>
      <c r="AB288" s="95"/>
      <c r="AC288" s="64"/>
      <c r="AD288" s="101" t="str">
        <f>IFERROR('BMP P Tracking Table'!$U288*VLOOKUP('BMP P Tracking Table'!$Q288,'Loading Rates'!$B$1:$L$24,4,FALSE)+IF('BMP P Tracking Table'!$V288="By HSG",'BMP P Tracking Table'!$W288*VLOOKUP('BMP P Tracking Table'!$Q288,'Loading Rates'!$B$1:$L$24,6,FALSE)+'BMP P Tracking Table'!$X288*VLOOKUP('BMP P Tracking Table'!$Q288,'Loading Rates'!$B$1:$L$24,7,FALSE)+'BMP P Tracking Table'!$Y288*VLOOKUP('BMP P Tracking Table'!$Q288,'Loading Rates'!$B$1:$L$24,8,FALSE)+'BMP P Tracking Table'!$Z288*VLOOKUP('BMP P Tracking Table'!$Q288,'Loading Rates'!$B$1:$L$24,9,FALSE),'BMP P Tracking Table'!$AA288*VLOOKUP('BMP P Tracking Table'!$Q288,'Loading Rates'!$B$1:$L$24,10,FALSE)),"")</f>
        <v/>
      </c>
      <c r="AE288" s="101" t="str">
        <f>IFERROR(MIN(2,IF('BMP P Tracking Table'!$V288="Total Pervious",(-(3630*'BMP P Tracking Table'!$U288+20.691*'BMP P Tracking Table'!$AA288)+SQRT((3630*'BMP P Tracking Table'!$U288+20.691*'BMP P Tracking Table'!$AA288)^2-(4*(996.798*'BMP P Tracking Table'!$AA288)*-'BMP P Tracking Table'!$AB288)))/(2*(996.798*'BMP P Tracking Table'!$AA288)),IF(SUM('BMP P Tracking Table'!$W288:$Z288)=0,'BMP P Tracking Table'!$AB288/(-3630*'BMP P Tracking Table'!$U288),(-(3630*'BMP P Tracking Table'!$U288+20.691*'BMP P Tracking Table'!$Z288-216.711*'BMP P Tracking Table'!$Y288-83.853*'BMP P Tracking Table'!$X288-42.834*'BMP P Tracking Table'!$W288)+SQRT((3630*'BMP P Tracking Table'!$U288+20.691*'BMP P Tracking Table'!$Z288-216.711*'BMP P Tracking Table'!$Y288-83.853*'BMP P Tracking Table'!$X288-42.834*'BMP P Tracking Table'!$W288)^2-(4*(149.919*'BMP P Tracking Table'!$W288+236.676*'BMP P Tracking Table'!$X288+726*'BMP P Tracking Table'!$Y288+996.798*'BMP P Tracking Table'!$Z288)*-'BMP P Tracking Table'!$AB288)))/(2*(149.919*'BMP P Tracking Table'!$W288+236.676*'BMP P Tracking Table'!$X288+726*'BMP P Tracking Table'!$Y288+996.798*'BMP P Tracking Table'!$Z288))))),"")</f>
        <v/>
      </c>
      <c r="AF288" s="101" t="str">
        <f>IFERROR((VLOOKUP(CONCATENATE('BMP P Tracking Table'!$T288," ",'BMP P Tracking Table'!$AC288),'Performance Curves'!$C$1:$L$45,MATCH('BMP P Tracking Table'!$AE288,'Performance Curves'!$E$1:$L$1,1)+2,FALSE)-VLOOKUP(CONCATENATE('BMP P Tracking Table'!$T288," ",'BMP P Tracking Table'!$AC288),'Performance Curves'!$C$1:$L$45,MATCH('BMP P Tracking Table'!$AE288,'Performance Curves'!$E$1:$L$1,1)+1,FALSE)),"")</f>
        <v/>
      </c>
      <c r="AG288" s="101" t="str">
        <f>IFERROR(('BMP P Tracking Table'!$AE288-INDEX('Performance Curves'!$E$1:$L$1,1,MATCH('BMP P Tracking Table'!$AE288,'Performance Curves'!$E$1:$L$1,1)))/(INDEX('Performance Curves'!$E$1:$L$1,1,MATCH('BMP P Tracking Table'!$AE288,'Performance Curves'!$E$1:$L$1,1)+1)-INDEX('Performance Curves'!$E$1:$L$1,1,MATCH('BMP P Tracking Table'!$AE288,'Performance Curves'!$E$1:$L$1,1))),"")</f>
        <v/>
      </c>
      <c r="AH288" s="102" t="str">
        <f>IFERROR(IF('BMP P Tracking Table'!$AE288=2,VLOOKUP(CONCATENATE('BMP P Tracking Table'!$T288," ",'BMP P Tracking Table'!$AC288),'Performance Curves'!$C$1:$L$45,MATCH('BMP P Tracking Table'!$AE288,'Performance Curves'!$E$1:$L$1,1)+1,FALSE),'BMP P Tracking Table'!$AF288*'BMP P Tracking Table'!$AG288+VLOOKUP(CONCATENATE('BMP P Tracking Table'!$T288," ",'BMP P Tracking Table'!$AC288),'Performance Curves'!$C$1:$L$45,MATCH('BMP P Tracking Table'!$AE288,'Performance Curves'!$E$1:$L$1,1)+1,FALSE)),"")</f>
        <v/>
      </c>
      <c r="AI288" s="101" t="str">
        <f>IFERROR('BMP P Tracking Table'!$AH288*'BMP P Tracking Table'!$AD288,"")</f>
        <v/>
      </c>
      <c r="AJ288" s="64"/>
      <c r="AK288" s="96"/>
      <c r="AL288" s="96"/>
      <c r="AM288" s="63"/>
      <c r="AN288" s="99" t="str">
        <f t="shared" si="20"/>
        <v/>
      </c>
      <c r="AO288" s="96"/>
      <c r="AP288" s="96"/>
      <c r="AQ288" s="96"/>
      <c r="AR288" s="96"/>
      <c r="AS288" s="96"/>
      <c r="AT288" s="96"/>
      <c r="AU288" s="96"/>
      <c r="AV288" s="64"/>
      <c r="AW288" s="97"/>
      <c r="AX288" s="97"/>
      <c r="AY288" s="101" t="str">
        <f>IF('BMP P Tracking Table'!$AK288="Yes",IF('BMP P Tracking Table'!$AL288="No",'BMP P Tracking Table'!$U288*VLOOKUP('BMP P Tracking Table'!$Q288,'Loading Rates'!$B$1:$L$24,4,FALSE)+IF('BMP P Tracking Table'!$V288="By HSG",'BMP P Tracking Table'!$W288*VLOOKUP('BMP P Tracking Table'!$Q288,'Loading Rates'!$B$1:$L$24,6,FALSE)+'BMP P Tracking Table'!$X288*VLOOKUP('BMP P Tracking Table'!$Q288,'Loading Rates'!$B$1:$L$24,7,FALSE)+'BMP P Tracking Table'!$Y288*VLOOKUP('BMP P Tracking Table'!$Q288,'Loading Rates'!$B$1:$L$24,8,FALSE)+'BMP P Tracking Table'!$Z288*VLOOKUP('BMP P Tracking Table'!$Q288,'Loading Rates'!$B$1:$L$24,9,FALSE),'BMP P Tracking Table'!$AA288*VLOOKUP('BMP P Tracking Table'!$Q288,'Loading Rates'!$B$1:$L$24,10,FALSE)),'BMP P Tracking Table'!$AO288*VLOOKUP('BMP P Tracking Table'!$Q288,'Loading Rates'!$B$1:$L$24,4,FALSE)+IF('BMP P Tracking Table'!$AP288="By HSG",'BMP P Tracking Table'!$AQ288*VLOOKUP('BMP P Tracking Table'!$Q288,'Loading Rates'!$B$1:$L$24,6,FALSE)+'BMP P Tracking Table'!$AR288*VLOOKUP('BMP P Tracking Table'!$Q288,'Loading Rates'!$B$1:$L$24,7,FALSE)+'BMP P Tracking Table'!$AS288*VLOOKUP('BMP P Tracking Table'!$Q288,'Loading Rates'!$B$1:$L$24,8,FALSE)+'BMP P Tracking Table'!$AT288*VLOOKUP('BMP P Tracking Table'!$Q288,'Loading Rates'!$B$1:$L$24,9,FALSE),'BMP P Tracking Table'!$AU288*VLOOKUP('BMP P Tracking Table'!$Q288,'Loading Rates'!$B$1:$L$24,10,FALSE))),"")</f>
        <v/>
      </c>
      <c r="AZ288" s="101" t="str">
        <f>IFERROR(IF('BMP P Tracking Table'!$AL288="Yes",MIN(2,IF('BMP P Tracking Table'!$AP288="Total Pervious",(-(3630*'BMP P Tracking Table'!$AO288+20.691*'BMP P Tracking Table'!$AU288)+SQRT((3630*'BMP P Tracking Table'!$AO288+20.691*'BMP P Tracking Table'!$AU288)^2-(4*(996.798*'BMP P Tracking Table'!$AU288)*-'BMP P Tracking Table'!$AW288)))/(2*(996.798*'BMP P Tracking Table'!$AU288)),IF(SUM('BMP P Tracking Table'!$AQ288:$AT288)=0,'BMP P Tracking Table'!$AU288/(-3630*'BMP P Tracking Table'!$AO288),(-(3630*'BMP P Tracking Table'!$AO288+20.691*'BMP P Tracking Table'!$AT288-216.711*'BMP P Tracking Table'!$AS288-83.853*'BMP P Tracking Table'!$AR288-42.834*'BMP P Tracking Table'!$AQ288)+SQRT((3630*'BMP P Tracking Table'!$AO288+20.691*'BMP P Tracking Table'!$AT288-216.711*'BMP P Tracking Table'!$AS288-83.853*'BMP P Tracking Table'!$AR288-42.834*'BMP P Tracking Table'!$AQ288)^2-(4*(149.919*'BMP P Tracking Table'!$AQ288+236.676*'BMP P Tracking Table'!$AR288+726*'BMP P Tracking Table'!$AS288+996.798*'BMP P Tracking Table'!$AT288)*-'BMP P Tracking Table'!$AW288)))/(2*(149.919*'BMP P Tracking Table'!$AQ288+236.676*'BMP P Tracking Table'!$AR288+726*'BMP P Tracking Table'!$AS288+996.798*'BMP P Tracking Table'!$AT288))))),MIN(2,IF('BMP P Tracking Table'!$AP288="Total Pervious",(-(3630*'BMP P Tracking Table'!$U288+20.691*'BMP P Tracking Table'!$AA288)+SQRT((3630*'BMP P Tracking Table'!$U288+20.691*'BMP P Tracking Table'!$AA288)^2-(4*(996.798*'BMP P Tracking Table'!$AA288)*-'BMP P Tracking Table'!$AW288)))/(2*(996.798*'BMP P Tracking Table'!$AA288)),IF(SUM('BMP P Tracking Table'!$W288:$Z288)=0,'BMP P Tracking Table'!$AW288/(-3630*'BMP P Tracking Table'!$U288),(-(3630*'BMP P Tracking Table'!$U288+20.691*'BMP P Tracking Table'!$Z288-216.711*'BMP P Tracking Table'!$Y288-83.853*'BMP P Tracking Table'!$X288-42.834*'BMP P Tracking Table'!$W288)+SQRT((3630*'BMP P Tracking Table'!$U288+20.691*'BMP P Tracking Table'!$Z288-216.711*'BMP P Tracking Table'!$Y288-83.853*'BMP P Tracking Table'!$X288-42.834*'BMP P Tracking Table'!$W288)^2-(4*(149.919*'BMP P Tracking Table'!$W288+236.676*'BMP P Tracking Table'!$X288+726*'BMP P Tracking Table'!$Y288+996.798*'BMP P Tracking Table'!$Z288)*-'BMP P Tracking Table'!$AW288)))/(2*(149.919*'BMP P Tracking Table'!$W288+236.676*'BMP P Tracking Table'!$X288+726*'BMP P Tracking Table'!$Y288+996.798*'BMP P Tracking Table'!$Z288)))))),"")</f>
        <v/>
      </c>
      <c r="BA288" s="101" t="str">
        <f>IFERROR((VLOOKUP(CONCATENATE('BMP P Tracking Table'!$AV288," ",'BMP P Tracking Table'!$AX288),'Performance Curves'!$C$1:$L$45,MATCH('BMP P Tracking Table'!$AZ288,'Performance Curves'!$E$1:$L$1,1)+2,FALSE)-VLOOKUP(CONCATENATE('BMP P Tracking Table'!$AV288," ",'BMP P Tracking Table'!$AX288),'Performance Curves'!$C$1:$L$45,MATCH('BMP P Tracking Table'!$AZ288,'Performance Curves'!$E$1:$L$1,1)+1,FALSE)),"")</f>
        <v/>
      </c>
      <c r="BB288" s="101" t="str">
        <f>IFERROR(('BMP P Tracking Table'!$AZ288-INDEX('Performance Curves'!$E$1:$L$1,1,MATCH('BMP P Tracking Table'!$AZ288,'Performance Curves'!$E$1:$L$1,1)))/(INDEX('Performance Curves'!$E$1:$L$1,1,MATCH('BMP P Tracking Table'!$AZ288,'Performance Curves'!$E$1:$L$1,1)+1)-INDEX('Performance Curves'!$E$1:$L$1,1,MATCH('BMP P Tracking Table'!$AZ288,'Performance Curves'!$E$1:$L$1,1))),"")</f>
        <v/>
      </c>
      <c r="BC288" s="102" t="str">
        <f>IFERROR(IF('BMP P Tracking Table'!$AZ288=2,VLOOKUP(CONCATENATE('BMP P Tracking Table'!$AV288," ",'BMP P Tracking Table'!$AX288),'Performance Curves'!$C$1:$L$44,MATCH('BMP P Tracking Table'!$AZ288,'Performance Curves'!$E$1:$L$1,1)+1,FALSE),'BMP P Tracking Table'!$BA288*'BMP P Tracking Table'!$BB288+VLOOKUP(CONCATENATE('BMP P Tracking Table'!$AV288," ",'BMP P Tracking Table'!$AX288),'Performance Curves'!$C$1:$L$44,MATCH('BMP P Tracking Table'!$AZ288,'Performance Curves'!$E$1:$L$1,1)+1,FALSE)),"")</f>
        <v/>
      </c>
      <c r="BD288" s="101" t="str">
        <f>IFERROR('BMP P Tracking Table'!$BC288*'BMP P Tracking Table'!$AY288,"")</f>
        <v/>
      </c>
      <c r="BE288" s="96"/>
      <c r="BF288" s="37">
        <f t="shared" si="21"/>
        <v>0</v>
      </c>
    </row>
    <row r="289" spans="1:58" x14ac:dyDescent="0.3">
      <c r="A289" s="64"/>
      <c r="B289" s="64"/>
      <c r="C289" s="64"/>
      <c r="D289" s="64"/>
      <c r="E289" s="93"/>
      <c r="F289" s="93"/>
      <c r="G289" s="64"/>
      <c r="H289" s="64"/>
      <c r="I289" s="64"/>
      <c r="J289" s="94"/>
      <c r="K289" s="64"/>
      <c r="L289" s="64"/>
      <c r="M289" s="64"/>
      <c r="N289" s="64"/>
      <c r="O289" s="64"/>
      <c r="P289" s="64"/>
      <c r="Q289" s="64" t="str">
        <f>IFERROR(VLOOKUP('BMP P Tracking Table'!$P289,Dropdowns!$C$2:$E$15,3,FALSE),"")</f>
        <v/>
      </c>
      <c r="R289" s="64" t="str">
        <f>IFERROR(VLOOKUP('BMP P Tracking Table'!$Q289,Dropdowns!$P$3:$Q$23,2,FALSE),"")</f>
        <v/>
      </c>
      <c r="S289" s="64"/>
      <c r="T289" s="64"/>
      <c r="U289" s="64"/>
      <c r="V289" s="64"/>
      <c r="W289" s="64"/>
      <c r="X289" s="64"/>
      <c r="Y289" s="64"/>
      <c r="Z289" s="64"/>
      <c r="AA289" s="64"/>
      <c r="AB289" s="95"/>
      <c r="AC289" s="64"/>
      <c r="AD289" s="101" t="str">
        <f>IFERROR('BMP P Tracking Table'!$U289*VLOOKUP('BMP P Tracking Table'!$Q289,'Loading Rates'!$B$1:$L$24,4,FALSE)+IF('BMP P Tracking Table'!$V289="By HSG",'BMP P Tracking Table'!$W289*VLOOKUP('BMP P Tracking Table'!$Q289,'Loading Rates'!$B$1:$L$24,6,FALSE)+'BMP P Tracking Table'!$X289*VLOOKUP('BMP P Tracking Table'!$Q289,'Loading Rates'!$B$1:$L$24,7,FALSE)+'BMP P Tracking Table'!$Y289*VLOOKUP('BMP P Tracking Table'!$Q289,'Loading Rates'!$B$1:$L$24,8,FALSE)+'BMP P Tracking Table'!$Z289*VLOOKUP('BMP P Tracking Table'!$Q289,'Loading Rates'!$B$1:$L$24,9,FALSE),'BMP P Tracking Table'!$AA289*VLOOKUP('BMP P Tracking Table'!$Q289,'Loading Rates'!$B$1:$L$24,10,FALSE)),"")</f>
        <v/>
      </c>
      <c r="AE289" s="101" t="str">
        <f>IFERROR(MIN(2,IF('BMP P Tracking Table'!$V289="Total Pervious",(-(3630*'BMP P Tracking Table'!$U289+20.691*'BMP P Tracking Table'!$AA289)+SQRT((3630*'BMP P Tracking Table'!$U289+20.691*'BMP P Tracking Table'!$AA289)^2-(4*(996.798*'BMP P Tracking Table'!$AA289)*-'BMP P Tracking Table'!$AB289)))/(2*(996.798*'BMP P Tracking Table'!$AA289)),IF(SUM('BMP P Tracking Table'!$W289:$Z289)=0,'BMP P Tracking Table'!$AB289/(-3630*'BMP P Tracking Table'!$U289),(-(3630*'BMP P Tracking Table'!$U289+20.691*'BMP P Tracking Table'!$Z289-216.711*'BMP P Tracking Table'!$Y289-83.853*'BMP P Tracking Table'!$X289-42.834*'BMP P Tracking Table'!$W289)+SQRT((3630*'BMP P Tracking Table'!$U289+20.691*'BMP P Tracking Table'!$Z289-216.711*'BMP P Tracking Table'!$Y289-83.853*'BMP P Tracking Table'!$X289-42.834*'BMP P Tracking Table'!$W289)^2-(4*(149.919*'BMP P Tracking Table'!$W289+236.676*'BMP P Tracking Table'!$X289+726*'BMP P Tracking Table'!$Y289+996.798*'BMP P Tracking Table'!$Z289)*-'BMP P Tracking Table'!$AB289)))/(2*(149.919*'BMP P Tracking Table'!$W289+236.676*'BMP P Tracking Table'!$X289+726*'BMP P Tracking Table'!$Y289+996.798*'BMP P Tracking Table'!$Z289))))),"")</f>
        <v/>
      </c>
      <c r="AF289" s="101" t="str">
        <f>IFERROR((VLOOKUP(CONCATENATE('BMP P Tracking Table'!$T289," ",'BMP P Tracking Table'!$AC289),'Performance Curves'!$C$1:$L$45,MATCH('BMP P Tracking Table'!$AE289,'Performance Curves'!$E$1:$L$1,1)+2,FALSE)-VLOOKUP(CONCATENATE('BMP P Tracking Table'!$T289," ",'BMP P Tracking Table'!$AC289),'Performance Curves'!$C$1:$L$45,MATCH('BMP P Tracking Table'!$AE289,'Performance Curves'!$E$1:$L$1,1)+1,FALSE)),"")</f>
        <v/>
      </c>
      <c r="AG289" s="101" t="str">
        <f>IFERROR(('BMP P Tracking Table'!$AE289-INDEX('Performance Curves'!$E$1:$L$1,1,MATCH('BMP P Tracking Table'!$AE289,'Performance Curves'!$E$1:$L$1,1)))/(INDEX('Performance Curves'!$E$1:$L$1,1,MATCH('BMP P Tracking Table'!$AE289,'Performance Curves'!$E$1:$L$1,1)+1)-INDEX('Performance Curves'!$E$1:$L$1,1,MATCH('BMP P Tracking Table'!$AE289,'Performance Curves'!$E$1:$L$1,1))),"")</f>
        <v/>
      </c>
      <c r="AH289" s="102" t="str">
        <f>IFERROR(IF('BMP P Tracking Table'!$AE289=2,VLOOKUP(CONCATENATE('BMP P Tracking Table'!$T289," ",'BMP P Tracking Table'!$AC289),'Performance Curves'!$C$1:$L$45,MATCH('BMP P Tracking Table'!$AE289,'Performance Curves'!$E$1:$L$1,1)+1,FALSE),'BMP P Tracking Table'!$AF289*'BMP P Tracking Table'!$AG289+VLOOKUP(CONCATENATE('BMP P Tracking Table'!$T289," ",'BMP P Tracking Table'!$AC289),'Performance Curves'!$C$1:$L$45,MATCH('BMP P Tracking Table'!$AE289,'Performance Curves'!$E$1:$L$1,1)+1,FALSE)),"")</f>
        <v/>
      </c>
      <c r="AI289" s="101" t="str">
        <f>IFERROR('BMP P Tracking Table'!$AH289*'BMP P Tracking Table'!$AD289,"")</f>
        <v/>
      </c>
      <c r="AJ289" s="64"/>
      <c r="AK289" s="96"/>
      <c r="AL289" s="96"/>
      <c r="AM289" s="63"/>
      <c r="AN289" s="99" t="str">
        <f t="shared" si="20"/>
        <v/>
      </c>
      <c r="AO289" s="96"/>
      <c r="AP289" s="96"/>
      <c r="AQ289" s="96"/>
      <c r="AR289" s="96"/>
      <c r="AS289" s="96"/>
      <c r="AT289" s="96"/>
      <c r="AU289" s="96"/>
      <c r="AV289" s="64"/>
      <c r="AW289" s="97"/>
      <c r="AX289" s="97"/>
      <c r="AY289" s="101" t="str">
        <f>IF('BMP P Tracking Table'!$AK289="Yes",IF('BMP P Tracking Table'!$AL289="No",'BMP P Tracking Table'!$U289*VLOOKUP('BMP P Tracking Table'!$Q289,'Loading Rates'!$B$1:$L$24,4,FALSE)+IF('BMP P Tracking Table'!$V289="By HSG",'BMP P Tracking Table'!$W289*VLOOKUP('BMP P Tracking Table'!$Q289,'Loading Rates'!$B$1:$L$24,6,FALSE)+'BMP P Tracking Table'!$X289*VLOOKUP('BMP P Tracking Table'!$Q289,'Loading Rates'!$B$1:$L$24,7,FALSE)+'BMP P Tracking Table'!$Y289*VLOOKUP('BMP P Tracking Table'!$Q289,'Loading Rates'!$B$1:$L$24,8,FALSE)+'BMP P Tracking Table'!$Z289*VLOOKUP('BMP P Tracking Table'!$Q289,'Loading Rates'!$B$1:$L$24,9,FALSE),'BMP P Tracking Table'!$AA289*VLOOKUP('BMP P Tracking Table'!$Q289,'Loading Rates'!$B$1:$L$24,10,FALSE)),'BMP P Tracking Table'!$AO289*VLOOKUP('BMP P Tracking Table'!$Q289,'Loading Rates'!$B$1:$L$24,4,FALSE)+IF('BMP P Tracking Table'!$AP289="By HSG",'BMP P Tracking Table'!$AQ289*VLOOKUP('BMP P Tracking Table'!$Q289,'Loading Rates'!$B$1:$L$24,6,FALSE)+'BMP P Tracking Table'!$AR289*VLOOKUP('BMP P Tracking Table'!$Q289,'Loading Rates'!$B$1:$L$24,7,FALSE)+'BMP P Tracking Table'!$AS289*VLOOKUP('BMP P Tracking Table'!$Q289,'Loading Rates'!$B$1:$L$24,8,FALSE)+'BMP P Tracking Table'!$AT289*VLOOKUP('BMP P Tracking Table'!$Q289,'Loading Rates'!$B$1:$L$24,9,FALSE),'BMP P Tracking Table'!$AU289*VLOOKUP('BMP P Tracking Table'!$Q289,'Loading Rates'!$B$1:$L$24,10,FALSE))),"")</f>
        <v/>
      </c>
      <c r="AZ289" s="101" t="str">
        <f>IFERROR(IF('BMP P Tracking Table'!$AL289="Yes",MIN(2,IF('BMP P Tracking Table'!$AP289="Total Pervious",(-(3630*'BMP P Tracking Table'!$AO289+20.691*'BMP P Tracking Table'!$AU289)+SQRT((3630*'BMP P Tracking Table'!$AO289+20.691*'BMP P Tracking Table'!$AU289)^2-(4*(996.798*'BMP P Tracking Table'!$AU289)*-'BMP P Tracking Table'!$AW289)))/(2*(996.798*'BMP P Tracking Table'!$AU289)),IF(SUM('BMP P Tracking Table'!$AQ289:$AT289)=0,'BMP P Tracking Table'!$AU289/(-3630*'BMP P Tracking Table'!$AO289),(-(3630*'BMP P Tracking Table'!$AO289+20.691*'BMP P Tracking Table'!$AT289-216.711*'BMP P Tracking Table'!$AS289-83.853*'BMP P Tracking Table'!$AR289-42.834*'BMP P Tracking Table'!$AQ289)+SQRT((3630*'BMP P Tracking Table'!$AO289+20.691*'BMP P Tracking Table'!$AT289-216.711*'BMP P Tracking Table'!$AS289-83.853*'BMP P Tracking Table'!$AR289-42.834*'BMP P Tracking Table'!$AQ289)^2-(4*(149.919*'BMP P Tracking Table'!$AQ289+236.676*'BMP P Tracking Table'!$AR289+726*'BMP P Tracking Table'!$AS289+996.798*'BMP P Tracking Table'!$AT289)*-'BMP P Tracking Table'!$AW289)))/(2*(149.919*'BMP P Tracking Table'!$AQ289+236.676*'BMP P Tracking Table'!$AR289+726*'BMP P Tracking Table'!$AS289+996.798*'BMP P Tracking Table'!$AT289))))),MIN(2,IF('BMP P Tracking Table'!$AP289="Total Pervious",(-(3630*'BMP P Tracking Table'!$U289+20.691*'BMP P Tracking Table'!$AA289)+SQRT((3630*'BMP P Tracking Table'!$U289+20.691*'BMP P Tracking Table'!$AA289)^2-(4*(996.798*'BMP P Tracking Table'!$AA289)*-'BMP P Tracking Table'!$AW289)))/(2*(996.798*'BMP P Tracking Table'!$AA289)),IF(SUM('BMP P Tracking Table'!$W289:$Z289)=0,'BMP P Tracking Table'!$AW289/(-3630*'BMP P Tracking Table'!$U289),(-(3630*'BMP P Tracking Table'!$U289+20.691*'BMP P Tracking Table'!$Z289-216.711*'BMP P Tracking Table'!$Y289-83.853*'BMP P Tracking Table'!$X289-42.834*'BMP P Tracking Table'!$W289)+SQRT((3630*'BMP P Tracking Table'!$U289+20.691*'BMP P Tracking Table'!$Z289-216.711*'BMP P Tracking Table'!$Y289-83.853*'BMP P Tracking Table'!$X289-42.834*'BMP P Tracking Table'!$W289)^2-(4*(149.919*'BMP P Tracking Table'!$W289+236.676*'BMP P Tracking Table'!$X289+726*'BMP P Tracking Table'!$Y289+996.798*'BMP P Tracking Table'!$Z289)*-'BMP P Tracking Table'!$AW289)))/(2*(149.919*'BMP P Tracking Table'!$W289+236.676*'BMP P Tracking Table'!$X289+726*'BMP P Tracking Table'!$Y289+996.798*'BMP P Tracking Table'!$Z289)))))),"")</f>
        <v/>
      </c>
      <c r="BA289" s="101" t="str">
        <f>IFERROR((VLOOKUP(CONCATENATE('BMP P Tracking Table'!$AV289," ",'BMP P Tracking Table'!$AX289),'Performance Curves'!$C$1:$L$45,MATCH('BMP P Tracking Table'!$AZ289,'Performance Curves'!$E$1:$L$1,1)+2,FALSE)-VLOOKUP(CONCATENATE('BMP P Tracking Table'!$AV289," ",'BMP P Tracking Table'!$AX289),'Performance Curves'!$C$1:$L$45,MATCH('BMP P Tracking Table'!$AZ289,'Performance Curves'!$E$1:$L$1,1)+1,FALSE)),"")</f>
        <v/>
      </c>
      <c r="BB289" s="101" t="str">
        <f>IFERROR(('BMP P Tracking Table'!$AZ289-INDEX('Performance Curves'!$E$1:$L$1,1,MATCH('BMP P Tracking Table'!$AZ289,'Performance Curves'!$E$1:$L$1,1)))/(INDEX('Performance Curves'!$E$1:$L$1,1,MATCH('BMP P Tracking Table'!$AZ289,'Performance Curves'!$E$1:$L$1,1)+1)-INDEX('Performance Curves'!$E$1:$L$1,1,MATCH('BMP P Tracking Table'!$AZ289,'Performance Curves'!$E$1:$L$1,1))),"")</f>
        <v/>
      </c>
      <c r="BC289" s="102" t="str">
        <f>IFERROR(IF('BMP P Tracking Table'!$AZ289=2,VLOOKUP(CONCATENATE('BMP P Tracking Table'!$AV289," ",'BMP P Tracking Table'!$AX289),'Performance Curves'!$C$1:$L$44,MATCH('BMP P Tracking Table'!$AZ289,'Performance Curves'!$E$1:$L$1,1)+1,FALSE),'BMP P Tracking Table'!$BA289*'BMP P Tracking Table'!$BB289+VLOOKUP(CONCATENATE('BMP P Tracking Table'!$AV289," ",'BMP P Tracking Table'!$AX289),'Performance Curves'!$C$1:$L$44,MATCH('BMP P Tracking Table'!$AZ289,'Performance Curves'!$E$1:$L$1,1)+1,FALSE)),"")</f>
        <v/>
      </c>
      <c r="BD289" s="101" t="str">
        <f>IFERROR('BMP P Tracking Table'!$BC289*'BMP P Tracking Table'!$AY289,"")</f>
        <v/>
      </c>
      <c r="BE289" s="96"/>
      <c r="BF289" s="37">
        <f t="shared" si="21"/>
        <v>0</v>
      </c>
    </row>
    <row r="290" spans="1:58" x14ac:dyDescent="0.3">
      <c r="A290" s="64"/>
      <c r="B290" s="64"/>
      <c r="C290" s="64"/>
      <c r="D290" s="64"/>
      <c r="E290" s="93"/>
      <c r="F290" s="93"/>
      <c r="G290" s="64"/>
      <c r="H290" s="64"/>
      <c r="I290" s="64"/>
      <c r="J290" s="94"/>
      <c r="K290" s="64"/>
      <c r="L290" s="64"/>
      <c r="M290" s="64"/>
      <c r="N290" s="64"/>
      <c r="O290" s="64"/>
      <c r="P290" s="64"/>
      <c r="Q290" s="64" t="str">
        <f>IFERROR(VLOOKUP('BMP P Tracking Table'!$P290,Dropdowns!$C$2:$E$15,3,FALSE),"")</f>
        <v/>
      </c>
      <c r="R290" s="64" t="str">
        <f>IFERROR(VLOOKUP('BMP P Tracking Table'!$Q290,Dropdowns!$P$3:$Q$23,2,FALSE),"")</f>
        <v/>
      </c>
      <c r="S290" s="64"/>
      <c r="T290" s="64"/>
      <c r="U290" s="64"/>
      <c r="V290" s="64"/>
      <c r="W290" s="64"/>
      <c r="X290" s="64"/>
      <c r="Y290" s="64"/>
      <c r="Z290" s="64"/>
      <c r="AA290" s="64"/>
      <c r="AB290" s="95"/>
      <c r="AC290" s="64"/>
      <c r="AD290" s="101" t="str">
        <f>IFERROR('BMP P Tracking Table'!$U290*VLOOKUP('BMP P Tracking Table'!$Q290,'Loading Rates'!$B$1:$L$24,4,FALSE)+IF('BMP P Tracking Table'!$V290="By HSG",'BMP P Tracking Table'!$W290*VLOOKUP('BMP P Tracking Table'!$Q290,'Loading Rates'!$B$1:$L$24,6,FALSE)+'BMP P Tracking Table'!$X290*VLOOKUP('BMP P Tracking Table'!$Q290,'Loading Rates'!$B$1:$L$24,7,FALSE)+'BMP P Tracking Table'!$Y290*VLOOKUP('BMP P Tracking Table'!$Q290,'Loading Rates'!$B$1:$L$24,8,FALSE)+'BMP P Tracking Table'!$Z290*VLOOKUP('BMP P Tracking Table'!$Q290,'Loading Rates'!$B$1:$L$24,9,FALSE),'BMP P Tracking Table'!$AA290*VLOOKUP('BMP P Tracking Table'!$Q290,'Loading Rates'!$B$1:$L$24,10,FALSE)),"")</f>
        <v/>
      </c>
      <c r="AE290" s="101" t="str">
        <f>IFERROR(MIN(2,IF('BMP P Tracking Table'!$V290="Total Pervious",(-(3630*'BMP P Tracking Table'!$U290+20.691*'BMP P Tracking Table'!$AA290)+SQRT((3630*'BMP P Tracking Table'!$U290+20.691*'BMP P Tracking Table'!$AA290)^2-(4*(996.798*'BMP P Tracking Table'!$AA290)*-'BMP P Tracking Table'!$AB290)))/(2*(996.798*'BMP P Tracking Table'!$AA290)),IF(SUM('BMP P Tracking Table'!$W290:$Z290)=0,'BMP P Tracking Table'!$AB290/(-3630*'BMP P Tracking Table'!$U290),(-(3630*'BMP P Tracking Table'!$U290+20.691*'BMP P Tracking Table'!$Z290-216.711*'BMP P Tracking Table'!$Y290-83.853*'BMP P Tracking Table'!$X290-42.834*'BMP P Tracking Table'!$W290)+SQRT((3630*'BMP P Tracking Table'!$U290+20.691*'BMP P Tracking Table'!$Z290-216.711*'BMP P Tracking Table'!$Y290-83.853*'BMP P Tracking Table'!$X290-42.834*'BMP P Tracking Table'!$W290)^2-(4*(149.919*'BMP P Tracking Table'!$W290+236.676*'BMP P Tracking Table'!$X290+726*'BMP P Tracking Table'!$Y290+996.798*'BMP P Tracking Table'!$Z290)*-'BMP P Tracking Table'!$AB290)))/(2*(149.919*'BMP P Tracking Table'!$W290+236.676*'BMP P Tracking Table'!$X290+726*'BMP P Tracking Table'!$Y290+996.798*'BMP P Tracking Table'!$Z290))))),"")</f>
        <v/>
      </c>
      <c r="AF290" s="101" t="str">
        <f>IFERROR((VLOOKUP(CONCATENATE('BMP P Tracking Table'!$T290," ",'BMP P Tracking Table'!$AC290),'Performance Curves'!$C$1:$L$45,MATCH('BMP P Tracking Table'!$AE290,'Performance Curves'!$E$1:$L$1,1)+2,FALSE)-VLOOKUP(CONCATENATE('BMP P Tracking Table'!$T290," ",'BMP P Tracking Table'!$AC290),'Performance Curves'!$C$1:$L$45,MATCH('BMP P Tracking Table'!$AE290,'Performance Curves'!$E$1:$L$1,1)+1,FALSE)),"")</f>
        <v/>
      </c>
      <c r="AG290" s="101" t="str">
        <f>IFERROR(('BMP P Tracking Table'!$AE290-INDEX('Performance Curves'!$E$1:$L$1,1,MATCH('BMP P Tracking Table'!$AE290,'Performance Curves'!$E$1:$L$1,1)))/(INDEX('Performance Curves'!$E$1:$L$1,1,MATCH('BMP P Tracking Table'!$AE290,'Performance Curves'!$E$1:$L$1,1)+1)-INDEX('Performance Curves'!$E$1:$L$1,1,MATCH('BMP P Tracking Table'!$AE290,'Performance Curves'!$E$1:$L$1,1))),"")</f>
        <v/>
      </c>
      <c r="AH290" s="102" t="str">
        <f>IFERROR(IF('BMP P Tracking Table'!$AE290=2,VLOOKUP(CONCATENATE('BMP P Tracking Table'!$T290," ",'BMP P Tracking Table'!$AC290),'Performance Curves'!$C$1:$L$45,MATCH('BMP P Tracking Table'!$AE290,'Performance Curves'!$E$1:$L$1,1)+1,FALSE),'BMP P Tracking Table'!$AF290*'BMP P Tracking Table'!$AG290+VLOOKUP(CONCATENATE('BMP P Tracking Table'!$T290," ",'BMP P Tracking Table'!$AC290),'Performance Curves'!$C$1:$L$45,MATCH('BMP P Tracking Table'!$AE290,'Performance Curves'!$E$1:$L$1,1)+1,FALSE)),"")</f>
        <v/>
      </c>
      <c r="AI290" s="101" t="str">
        <f>IFERROR('BMP P Tracking Table'!$AH290*'BMP P Tracking Table'!$AD290,"")</f>
        <v/>
      </c>
      <c r="AJ290" s="64"/>
      <c r="AK290" s="96"/>
      <c r="AL290" s="96"/>
      <c r="AM290" s="63"/>
      <c r="AN290" s="99" t="str">
        <f t="shared" si="20"/>
        <v/>
      </c>
      <c r="AO290" s="96"/>
      <c r="AP290" s="96"/>
      <c r="AQ290" s="96"/>
      <c r="AR290" s="96"/>
      <c r="AS290" s="96"/>
      <c r="AT290" s="96"/>
      <c r="AU290" s="96"/>
      <c r="AV290" s="64"/>
      <c r="AW290" s="97"/>
      <c r="AX290" s="97"/>
      <c r="AY290" s="101" t="str">
        <f>IF('BMP P Tracking Table'!$AK290="Yes",IF('BMP P Tracking Table'!$AL290="No",'BMP P Tracking Table'!$U290*VLOOKUP('BMP P Tracking Table'!$Q290,'Loading Rates'!$B$1:$L$24,4,FALSE)+IF('BMP P Tracking Table'!$V290="By HSG",'BMP P Tracking Table'!$W290*VLOOKUP('BMP P Tracking Table'!$Q290,'Loading Rates'!$B$1:$L$24,6,FALSE)+'BMP P Tracking Table'!$X290*VLOOKUP('BMP P Tracking Table'!$Q290,'Loading Rates'!$B$1:$L$24,7,FALSE)+'BMP P Tracking Table'!$Y290*VLOOKUP('BMP P Tracking Table'!$Q290,'Loading Rates'!$B$1:$L$24,8,FALSE)+'BMP P Tracking Table'!$Z290*VLOOKUP('BMP P Tracking Table'!$Q290,'Loading Rates'!$B$1:$L$24,9,FALSE),'BMP P Tracking Table'!$AA290*VLOOKUP('BMP P Tracking Table'!$Q290,'Loading Rates'!$B$1:$L$24,10,FALSE)),'BMP P Tracking Table'!$AO290*VLOOKUP('BMP P Tracking Table'!$Q290,'Loading Rates'!$B$1:$L$24,4,FALSE)+IF('BMP P Tracking Table'!$AP290="By HSG",'BMP P Tracking Table'!$AQ290*VLOOKUP('BMP P Tracking Table'!$Q290,'Loading Rates'!$B$1:$L$24,6,FALSE)+'BMP P Tracking Table'!$AR290*VLOOKUP('BMP P Tracking Table'!$Q290,'Loading Rates'!$B$1:$L$24,7,FALSE)+'BMP P Tracking Table'!$AS290*VLOOKUP('BMP P Tracking Table'!$Q290,'Loading Rates'!$B$1:$L$24,8,FALSE)+'BMP P Tracking Table'!$AT290*VLOOKUP('BMP P Tracking Table'!$Q290,'Loading Rates'!$B$1:$L$24,9,FALSE),'BMP P Tracking Table'!$AU290*VLOOKUP('BMP P Tracking Table'!$Q290,'Loading Rates'!$B$1:$L$24,10,FALSE))),"")</f>
        <v/>
      </c>
      <c r="AZ290" s="101" t="str">
        <f>IFERROR(IF('BMP P Tracking Table'!$AL290="Yes",MIN(2,IF('BMP P Tracking Table'!$AP290="Total Pervious",(-(3630*'BMP P Tracking Table'!$AO290+20.691*'BMP P Tracking Table'!$AU290)+SQRT((3630*'BMP P Tracking Table'!$AO290+20.691*'BMP P Tracking Table'!$AU290)^2-(4*(996.798*'BMP P Tracking Table'!$AU290)*-'BMP P Tracking Table'!$AW290)))/(2*(996.798*'BMP P Tracking Table'!$AU290)),IF(SUM('BMP P Tracking Table'!$AQ290:$AT290)=0,'BMP P Tracking Table'!$AU290/(-3630*'BMP P Tracking Table'!$AO290),(-(3630*'BMP P Tracking Table'!$AO290+20.691*'BMP P Tracking Table'!$AT290-216.711*'BMP P Tracking Table'!$AS290-83.853*'BMP P Tracking Table'!$AR290-42.834*'BMP P Tracking Table'!$AQ290)+SQRT((3630*'BMP P Tracking Table'!$AO290+20.691*'BMP P Tracking Table'!$AT290-216.711*'BMP P Tracking Table'!$AS290-83.853*'BMP P Tracking Table'!$AR290-42.834*'BMP P Tracking Table'!$AQ290)^2-(4*(149.919*'BMP P Tracking Table'!$AQ290+236.676*'BMP P Tracking Table'!$AR290+726*'BMP P Tracking Table'!$AS290+996.798*'BMP P Tracking Table'!$AT290)*-'BMP P Tracking Table'!$AW290)))/(2*(149.919*'BMP P Tracking Table'!$AQ290+236.676*'BMP P Tracking Table'!$AR290+726*'BMP P Tracking Table'!$AS290+996.798*'BMP P Tracking Table'!$AT290))))),MIN(2,IF('BMP P Tracking Table'!$AP290="Total Pervious",(-(3630*'BMP P Tracking Table'!$U290+20.691*'BMP P Tracking Table'!$AA290)+SQRT((3630*'BMP P Tracking Table'!$U290+20.691*'BMP P Tracking Table'!$AA290)^2-(4*(996.798*'BMP P Tracking Table'!$AA290)*-'BMP P Tracking Table'!$AW290)))/(2*(996.798*'BMP P Tracking Table'!$AA290)),IF(SUM('BMP P Tracking Table'!$W290:$Z290)=0,'BMP P Tracking Table'!$AW290/(-3630*'BMP P Tracking Table'!$U290),(-(3630*'BMP P Tracking Table'!$U290+20.691*'BMP P Tracking Table'!$Z290-216.711*'BMP P Tracking Table'!$Y290-83.853*'BMP P Tracking Table'!$X290-42.834*'BMP P Tracking Table'!$W290)+SQRT((3630*'BMP P Tracking Table'!$U290+20.691*'BMP P Tracking Table'!$Z290-216.711*'BMP P Tracking Table'!$Y290-83.853*'BMP P Tracking Table'!$X290-42.834*'BMP P Tracking Table'!$W290)^2-(4*(149.919*'BMP P Tracking Table'!$W290+236.676*'BMP P Tracking Table'!$X290+726*'BMP P Tracking Table'!$Y290+996.798*'BMP P Tracking Table'!$Z290)*-'BMP P Tracking Table'!$AW290)))/(2*(149.919*'BMP P Tracking Table'!$W290+236.676*'BMP P Tracking Table'!$X290+726*'BMP P Tracking Table'!$Y290+996.798*'BMP P Tracking Table'!$Z290)))))),"")</f>
        <v/>
      </c>
      <c r="BA290" s="101" t="str">
        <f>IFERROR((VLOOKUP(CONCATENATE('BMP P Tracking Table'!$AV290," ",'BMP P Tracking Table'!$AX290),'Performance Curves'!$C$1:$L$45,MATCH('BMP P Tracking Table'!$AZ290,'Performance Curves'!$E$1:$L$1,1)+2,FALSE)-VLOOKUP(CONCATENATE('BMP P Tracking Table'!$AV290," ",'BMP P Tracking Table'!$AX290),'Performance Curves'!$C$1:$L$45,MATCH('BMP P Tracking Table'!$AZ290,'Performance Curves'!$E$1:$L$1,1)+1,FALSE)),"")</f>
        <v/>
      </c>
      <c r="BB290" s="101" t="str">
        <f>IFERROR(('BMP P Tracking Table'!$AZ290-INDEX('Performance Curves'!$E$1:$L$1,1,MATCH('BMP P Tracking Table'!$AZ290,'Performance Curves'!$E$1:$L$1,1)))/(INDEX('Performance Curves'!$E$1:$L$1,1,MATCH('BMP P Tracking Table'!$AZ290,'Performance Curves'!$E$1:$L$1,1)+1)-INDEX('Performance Curves'!$E$1:$L$1,1,MATCH('BMP P Tracking Table'!$AZ290,'Performance Curves'!$E$1:$L$1,1))),"")</f>
        <v/>
      </c>
      <c r="BC290" s="102" t="str">
        <f>IFERROR(IF('BMP P Tracking Table'!$AZ290=2,VLOOKUP(CONCATENATE('BMP P Tracking Table'!$AV290," ",'BMP P Tracking Table'!$AX290),'Performance Curves'!$C$1:$L$44,MATCH('BMP P Tracking Table'!$AZ290,'Performance Curves'!$E$1:$L$1,1)+1,FALSE),'BMP P Tracking Table'!$BA290*'BMP P Tracking Table'!$BB290+VLOOKUP(CONCATENATE('BMP P Tracking Table'!$AV290," ",'BMP P Tracking Table'!$AX290),'Performance Curves'!$C$1:$L$44,MATCH('BMP P Tracking Table'!$AZ290,'Performance Curves'!$E$1:$L$1,1)+1,FALSE)),"")</f>
        <v/>
      </c>
      <c r="BD290" s="101" t="str">
        <f>IFERROR('BMP P Tracking Table'!$BC290*'BMP P Tracking Table'!$AY290,"")</f>
        <v/>
      </c>
      <c r="BE290" s="96"/>
      <c r="BF290" s="37">
        <f t="shared" si="21"/>
        <v>0</v>
      </c>
    </row>
    <row r="291" spans="1:58" x14ac:dyDescent="0.3">
      <c r="A291" s="64"/>
      <c r="B291" s="64"/>
      <c r="C291" s="64"/>
      <c r="D291" s="64"/>
      <c r="E291" s="93"/>
      <c r="F291" s="93"/>
      <c r="G291" s="64"/>
      <c r="H291" s="64"/>
      <c r="I291" s="64"/>
      <c r="J291" s="94"/>
      <c r="K291" s="64"/>
      <c r="L291" s="64"/>
      <c r="M291" s="64"/>
      <c r="N291" s="64"/>
      <c r="O291" s="64"/>
      <c r="P291" s="64"/>
      <c r="Q291" s="64" t="str">
        <f>IFERROR(VLOOKUP('BMP P Tracking Table'!$P291,Dropdowns!$C$2:$E$15,3,FALSE),"")</f>
        <v/>
      </c>
      <c r="R291" s="64" t="str">
        <f>IFERROR(VLOOKUP('BMP P Tracking Table'!$Q291,Dropdowns!$P$3:$Q$23,2,FALSE),"")</f>
        <v/>
      </c>
      <c r="S291" s="64"/>
      <c r="T291" s="64"/>
      <c r="U291" s="64"/>
      <c r="V291" s="64"/>
      <c r="W291" s="64"/>
      <c r="X291" s="64"/>
      <c r="Y291" s="64"/>
      <c r="Z291" s="64"/>
      <c r="AA291" s="64"/>
      <c r="AB291" s="95"/>
      <c r="AC291" s="64"/>
      <c r="AD291" s="101" t="str">
        <f>IFERROR('BMP P Tracking Table'!$U291*VLOOKUP('BMP P Tracking Table'!$Q291,'Loading Rates'!$B$1:$L$24,4,FALSE)+IF('BMP P Tracking Table'!$V291="By HSG",'BMP P Tracking Table'!$W291*VLOOKUP('BMP P Tracking Table'!$Q291,'Loading Rates'!$B$1:$L$24,6,FALSE)+'BMP P Tracking Table'!$X291*VLOOKUP('BMP P Tracking Table'!$Q291,'Loading Rates'!$B$1:$L$24,7,FALSE)+'BMP P Tracking Table'!$Y291*VLOOKUP('BMP P Tracking Table'!$Q291,'Loading Rates'!$B$1:$L$24,8,FALSE)+'BMP P Tracking Table'!$Z291*VLOOKUP('BMP P Tracking Table'!$Q291,'Loading Rates'!$B$1:$L$24,9,FALSE),'BMP P Tracking Table'!$AA291*VLOOKUP('BMP P Tracking Table'!$Q291,'Loading Rates'!$B$1:$L$24,10,FALSE)),"")</f>
        <v/>
      </c>
      <c r="AE291" s="101" t="str">
        <f>IFERROR(MIN(2,IF('BMP P Tracking Table'!$V291="Total Pervious",(-(3630*'BMP P Tracking Table'!$U291+20.691*'BMP P Tracking Table'!$AA291)+SQRT((3630*'BMP P Tracking Table'!$U291+20.691*'BMP P Tracking Table'!$AA291)^2-(4*(996.798*'BMP P Tracking Table'!$AA291)*-'BMP P Tracking Table'!$AB291)))/(2*(996.798*'BMP P Tracking Table'!$AA291)),IF(SUM('BMP P Tracking Table'!$W291:$Z291)=0,'BMP P Tracking Table'!$AB291/(-3630*'BMP P Tracking Table'!$U291),(-(3630*'BMP P Tracking Table'!$U291+20.691*'BMP P Tracking Table'!$Z291-216.711*'BMP P Tracking Table'!$Y291-83.853*'BMP P Tracking Table'!$X291-42.834*'BMP P Tracking Table'!$W291)+SQRT((3630*'BMP P Tracking Table'!$U291+20.691*'BMP P Tracking Table'!$Z291-216.711*'BMP P Tracking Table'!$Y291-83.853*'BMP P Tracking Table'!$X291-42.834*'BMP P Tracking Table'!$W291)^2-(4*(149.919*'BMP P Tracking Table'!$W291+236.676*'BMP P Tracking Table'!$X291+726*'BMP P Tracking Table'!$Y291+996.798*'BMP P Tracking Table'!$Z291)*-'BMP P Tracking Table'!$AB291)))/(2*(149.919*'BMP P Tracking Table'!$W291+236.676*'BMP P Tracking Table'!$X291+726*'BMP P Tracking Table'!$Y291+996.798*'BMP P Tracking Table'!$Z291))))),"")</f>
        <v/>
      </c>
      <c r="AF291" s="101" t="str">
        <f>IFERROR((VLOOKUP(CONCATENATE('BMP P Tracking Table'!$T291," ",'BMP P Tracking Table'!$AC291),'Performance Curves'!$C$1:$L$45,MATCH('BMP P Tracking Table'!$AE291,'Performance Curves'!$E$1:$L$1,1)+2,FALSE)-VLOOKUP(CONCATENATE('BMP P Tracking Table'!$T291," ",'BMP P Tracking Table'!$AC291),'Performance Curves'!$C$1:$L$45,MATCH('BMP P Tracking Table'!$AE291,'Performance Curves'!$E$1:$L$1,1)+1,FALSE)),"")</f>
        <v/>
      </c>
      <c r="AG291" s="101" t="str">
        <f>IFERROR(('BMP P Tracking Table'!$AE291-INDEX('Performance Curves'!$E$1:$L$1,1,MATCH('BMP P Tracking Table'!$AE291,'Performance Curves'!$E$1:$L$1,1)))/(INDEX('Performance Curves'!$E$1:$L$1,1,MATCH('BMP P Tracking Table'!$AE291,'Performance Curves'!$E$1:$L$1,1)+1)-INDEX('Performance Curves'!$E$1:$L$1,1,MATCH('BMP P Tracking Table'!$AE291,'Performance Curves'!$E$1:$L$1,1))),"")</f>
        <v/>
      </c>
      <c r="AH291" s="102" t="str">
        <f>IFERROR(IF('BMP P Tracking Table'!$AE291=2,VLOOKUP(CONCATENATE('BMP P Tracking Table'!$T291," ",'BMP P Tracking Table'!$AC291),'Performance Curves'!$C$1:$L$45,MATCH('BMP P Tracking Table'!$AE291,'Performance Curves'!$E$1:$L$1,1)+1,FALSE),'BMP P Tracking Table'!$AF291*'BMP P Tracking Table'!$AG291+VLOOKUP(CONCATENATE('BMP P Tracking Table'!$T291," ",'BMP P Tracking Table'!$AC291),'Performance Curves'!$C$1:$L$45,MATCH('BMP P Tracking Table'!$AE291,'Performance Curves'!$E$1:$L$1,1)+1,FALSE)),"")</f>
        <v/>
      </c>
      <c r="AI291" s="101" t="str">
        <f>IFERROR('BMP P Tracking Table'!$AH291*'BMP P Tracking Table'!$AD291,"")</f>
        <v/>
      </c>
      <c r="AJ291" s="64"/>
      <c r="AK291" s="96"/>
      <c r="AL291" s="96"/>
      <c r="AM291" s="63"/>
      <c r="AN291" s="99" t="str">
        <f t="shared" si="20"/>
        <v/>
      </c>
      <c r="AO291" s="96"/>
      <c r="AP291" s="96"/>
      <c r="AQ291" s="96"/>
      <c r="AR291" s="96"/>
      <c r="AS291" s="96"/>
      <c r="AT291" s="96"/>
      <c r="AU291" s="96"/>
      <c r="AV291" s="64"/>
      <c r="AW291" s="97"/>
      <c r="AX291" s="97"/>
      <c r="AY291" s="101" t="str">
        <f>IF('BMP P Tracking Table'!$AK291="Yes",IF('BMP P Tracking Table'!$AL291="No",'BMP P Tracking Table'!$U291*VLOOKUP('BMP P Tracking Table'!$Q291,'Loading Rates'!$B$1:$L$24,4,FALSE)+IF('BMP P Tracking Table'!$V291="By HSG",'BMP P Tracking Table'!$W291*VLOOKUP('BMP P Tracking Table'!$Q291,'Loading Rates'!$B$1:$L$24,6,FALSE)+'BMP P Tracking Table'!$X291*VLOOKUP('BMP P Tracking Table'!$Q291,'Loading Rates'!$B$1:$L$24,7,FALSE)+'BMP P Tracking Table'!$Y291*VLOOKUP('BMP P Tracking Table'!$Q291,'Loading Rates'!$B$1:$L$24,8,FALSE)+'BMP P Tracking Table'!$Z291*VLOOKUP('BMP P Tracking Table'!$Q291,'Loading Rates'!$B$1:$L$24,9,FALSE),'BMP P Tracking Table'!$AA291*VLOOKUP('BMP P Tracking Table'!$Q291,'Loading Rates'!$B$1:$L$24,10,FALSE)),'BMP P Tracking Table'!$AO291*VLOOKUP('BMP P Tracking Table'!$Q291,'Loading Rates'!$B$1:$L$24,4,FALSE)+IF('BMP P Tracking Table'!$AP291="By HSG",'BMP P Tracking Table'!$AQ291*VLOOKUP('BMP P Tracking Table'!$Q291,'Loading Rates'!$B$1:$L$24,6,FALSE)+'BMP P Tracking Table'!$AR291*VLOOKUP('BMP P Tracking Table'!$Q291,'Loading Rates'!$B$1:$L$24,7,FALSE)+'BMP P Tracking Table'!$AS291*VLOOKUP('BMP P Tracking Table'!$Q291,'Loading Rates'!$B$1:$L$24,8,FALSE)+'BMP P Tracking Table'!$AT291*VLOOKUP('BMP P Tracking Table'!$Q291,'Loading Rates'!$B$1:$L$24,9,FALSE),'BMP P Tracking Table'!$AU291*VLOOKUP('BMP P Tracking Table'!$Q291,'Loading Rates'!$B$1:$L$24,10,FALSE))),"")</f>
        <v/>
      </c>
      <c r="AZ291" s="101" t="str">
        <f>IFERROR(IF('BMP P Tracking Table'!$AL291="Yes",MIN(2,IF('BMP P Tracking Table'!$AP291="Total Pervious",(-(3630*'BMP P Tracking Table'!$AO291+20.691*'BMP P Tracking Table'!$AU291)+SQRT((3630*'BMP P Tracking Table'!$AO291+20.691*'BMP P Tracking Table'!$AU291)^2-(4*(996.798*'BMP P Tracking Table'!$AU291)*-'BMP P Tracking Table'!$AW291)))/(2*(996.798*'BMP P Tracking Table'!$AU291)),IF(SUM('BMP P Tracking Table'!$AQ291:$AT291)=0,'BMP P Tracking Table'!$AU291/(-3630*'BMP P Tracking Table'!$AO291),(-(3630*'BMP P Tracking Table'!$AO291+20.691*'BMP P Tracking Table'!$AT291-216.711*'BMP P Tracking Table'!$AS291-83.853*'BMP P Tracking Table'!$AR291-42.834*'BMP P Tracking Table'!$AQ291)+SQRT((3630*'BMP P Tracking Table'!$AO291+20.691*'BMP P Tracking Table'!$AT291-216.711*'BMP P Tracking Table'!$AS291-83.853*'BMP P Tracking Table'!$AR291-42.834*'BMP P Tracking Table'!$AQ291)^2-(4*(149.919*'BMP P Tracking Table'!$AQ291+236.676*'BMP P Tracking Table'!$AR291+726*'BMP P Tracking Table'!$AS291+996.798*'BMP P Tracking Table'!$AT291)*-'BMP P Tracking Table'!$AW291)))/(2*(149.919*'BMP P Tracking Table'!$AQ291+236.676*'BMP P Tracking Table'!$AR291+726*'BMP P Tracking Table'!$AS291+996.798*'BMP P Tracking Table'!$AT291))))),MIN(2,IF('BMP P Tracking Table'!$AP291="Total Pervious",(-(3630*'BMP P Tracking Table'!$U291+20.691*'BMP P Tracking Table'!$AA291)+SQRT((3630*'BMP P Tracking Table'!$U291+20.691*'BMP P Tracking Table'!$AA291)^2-(4*(996.798*'BMP P Tracking Table'!$AA291)*-'BMP P Tracking Table'!$AW291)))/(2*(996.798*'BMP P Tracking Table'!$AA291)),IF(SUM('BMP P Tracking Table'!$W291:$Z291)=0,'BMP P Tracking Table'!$AW291/(-3630*'BMP P Tracking Table'!$U291),(-(3630*'BMP P Tracking Table'!$U291+20.691*'BMP P Tracking Table'!$Z291-216.711*'BMP P Tracking Table'!$Y291-83.853*'BMP P Tracking Table'!$X291-42.834*'BMP P Tracking Table'!$W291)+SQRT((3630*'BMP P Tracking Table'!$U291+20.691*'BMP P Tracking Table'!$Z291-216.711*'BMP P Tracking Table'!$Y291-83.853*'BMP P Tracking Table'!$X291-42.834*'BMP P Tracking Table'!$W291)^2-(4*(149.919*'BMP P Tracking Table'!$W291+236.676*'BMP P Tracking Table'!$X291+726*'BMP P Tracking Table'!$Y291+996.798*'BMP P Tracking Table'!$Z291)*-'BMP P Tracking Table'!$AW291)))/(2*(149.919*'BMP P Tracking Table'!$W291+236.676*'BMP P Tracking Table'!$X291+726*'BMP P Tracking Table'!$Y291+996.798*'BMP P Tracking Table'!$Z291)))))),"")</f>
        <v/>
      </c>
      <c r="BA291" s="101" t="str">
        <f>IFERROR((VLOOKUP(CONCATENATE('BMP P Tracking Table'!$AV291," ",'BMP P Tracking Table'!$AX291),'Performance Curves'!$C$1:$L$45,MATCH('BMP P Tracking Table'!$AZ291,'Performance Curves'!$E$1:$L$1,1)+2,FALSE)-VLOOKUP(CONCATENATE('BMP P Tracking Table'!$AV291," ",'BMP P Tracking Table'!$AX291),'Performance Curves'!$C$1:$L$45,MATCH('BMP P Tracking Table'!$AZ291,'Performance Curves'!$E$1:$L$1,1)+1,FALSE)),"")</f>
        <v/>
      </c>
      <c r="BB291" s="101" t="str">
        <f>IFERROR(('BMP P Tracking Table'!$AZ291-INDEX('Performance Curves'!$E$1:$L$1,1,MATCH('BMP P Tracking Table'!$AZ291,'Performance Curves'!$E$1:$L$1,1)))/(INDEX('Performance Curves'!$E$1:$L$1,1,MATCH('BMP P Tracking Table'!$AZ291,'Performance Curves'!$E$1:$L$1,1)+1)-INDEX('Performance Curves'!$E$1:$L$1,1,MATCH('BMP P Tracking Table'!$AZ291,'Performance Curves'!$E$1:$L$1,1))),"")</f>
        <v/>
      </c>
      <c r="BC291" s="102" t="str">
        <f>IFERROR(IF('BMP P Tracking Table'!$AZ291=2,VLOOKUP(CONCATENATE('BMP P Tracking Table'!$AV291," ",'BMP P Tracking Table'!$AX291),'Performance Curves'!$C$1:$L$44,MATCH('BMP P Tracking Table'!$AZ291,'Performance Curves'!$E$1:$L$1,1)+1,FALSE),'BMP P Tracking Table'!$BA291*'BMP P Tracking Table'!$BB291+VLOOKUP(CONCATENATE('BMP P Tracking Table'!$AV291," ",'BMP P Tracking Table'!$AX291),'Performance Curves'!$C$1:$L$44,MATCH('BMP P Tracking Table'!$AZ291,'Performance Curves'!$E$1:$L$1,1)+1,FALSE)),"")</f>
        <v/>
      </c>
      <c r="BD291" s="101" t="str">
        <f>IFERROR('BMP P Tracking Table'!$BC291*'BMP P Tracking Table'!$AY291,"")</f>
        <v/>
      </c>
      <c r="BE291" s="96"/>
      <c r="BF291" s="37">
        <f t="shared" si="21"/>
        <v>0</v>
      </c>
    </row>
    <row r="292" spans="1:58" x14ac:dyDescent="0.3">
      <c r="A292" s="64"/>
      <c r="B292" s="64"/>
      <c r="C292" s="64"/>
      <c r="D292" s="64"/>
      <c r="E292" s="93"/>
      <c r="F292" s="93"/>
      <c r="G292" s="64"/>
      <c r="H292" s="64"/>
      <c r="I292" s="64"/>
      <c r="J292" s="94"/>
      <c r="K292" s="64"/>
      <c r="L292" s="64"/>
      <c r="M292" s="64"/>
      <c r="N292" s="64"/>
      <c r="O292" s="64"/>
      <c r="P292" s="64"/>
      <c r="Q292" s="64" t="str">
        <f>IFERROR(VLOOKUP('BMP P Tracking Table'!$P292,Dropdowns!$C$2:$E$15,3,FALSE),"")</f>
        <v/>
      </c>
      <c r="R292" s="64" t="str">
        <f>IFERROR(VLOOKUP('BMP P Tracking Table'!$Q292,Dropdowns!$P$3:$Q$23,2,FALSE),"")</f>
        <v/>
      </c>
      <c r="S292" s="64"/>
      <c r="T292" s="64"/>
      <c r="U292" s="64"/>
      <c r="V292" s="64"/>
      <c r="W292" s="64"/>
      <c r="X292" s="64"/>
      <c r="Y292" s="64"/>
      <c r="Z292" s="64"/>
      <c r="AA292" s="64"/>
      <c r="AB292" s="95"/>
      <c r="AC292" s="64"/>
      <c r="AD292" s="101" t="str">
        <f>IFERROR('BMP P Tracking Table'!$U292*VLOOKUP('BMP P Tracking Table'!$Q292,'Loading Rates'!$B$1:$L$24,4,FALSE)+IF('BMP P Tracking Table'!$V292="By HSG",'BMP P Tracking Table'!$W292*VLOOKUP('BMP P Tracking Table'!$Q292,'Loading Rates'!$B$1:$L$24,6,FALSE)+'BMP P Tracking Table'!$X292*VLOOKUP('BMP P Tracking Table'!$Q292,'Loading Rates'!$B$1:$L$24,7,FALSE)+'BMP P Tracking Table'!$Y292*VLOOKUP('BMP P Tracking Table'!$Q292,'Loading Rates'!$B$1:$L$24,8,FALSE)+'BMP P Tracking Table'!$Z292*VLOOKUP('BMP P Tracking Table'!$Q292,'Loading Rates'!$B$1:$L$24,9,FALSE),'BMP P Tracking Table'!$AA292*VLOOKUP('BMP P Tracking Table'!$Q292,'Loading Rates'!$B$1:$L$24,10,FALSE)),"")</f>
        <v/>
      </c>
      <c r="AE292" s="101" t="str">
        <f>IFERROR(MIN(2,IF('BMP P Tracking Table'!$V292="Total Pervious",(-(3630*'BMP P Tracking Table'!$U292+20.691*'BMP P Tracking Table'!$AA292)+SQRT((3630*'BMP P Tracking Table'!$U292+20.691*'BMP P Tracking Table'!$AA292)^2-(4*(996.798*'BMP P Tracking Table'!$AA292)*-'BMP P Tracking Table'!$AB292)))/(2*(996.798*'BMP P Tracking Table'!$AA292)),IF(SUM('BMP P Tracking Table'!$W292:$Z292)=0,'BMP P Tracking Table'!$AB292/(-3630*'BMP P Tracking Table'!$U292),(-(3630*'BMP P Tracking Table'!$U292+20.691*'BMP P Tracking Table'!$Z292-216.711*'BMP P Tracking Table'!$Y292-83.853*'BMP P Tracking Table'!$X292-42.834*'BMP P Tracking Table'!$W292)+SQRT((3630*'BMP P Tracking Table'!$U292+20.691*'BMP P Tracking Table'!$Z292-216.711*'BMP P Tracking Table'!$Y292-83.853*'BMP P Tracking Table'!$X292-42.834*'BMP P Tracking Table'!$W292)^2-(4*(149.919*'BMP P Tracking Table'!$W292+236.676*'BMP P Tracking Table'!$X292+726*'BMP P Tracking Table'!$Y292+996.798*'BMP P Tracking Table'!$Z292)*-'BMP P Tracking Table'!$AB292)))/(2*(149.919*'BMP P Tracking Table'!$W292+236.676*'BMP P Tracking Table'!$X292+726*'BMP P Tracking Table'!$Y292+996.798*'BMP P Tracking Table'!$Z292))))),"")</f>
        <v/>
      </c>
      <c r="AF292" s="101" t="str">
        <f>IFERROR((VLOOKUP(CONCATENATE('BMP P Tracking Table'!$T292," ",'BMP P Tracking Table'!$AC292),'Performance Curves'!$C$1:$L$45,MATCH('BMP P Tracking Table'!$AE292,'Performance Curves'!$E$1:$L$1,1)+2,FALSE)-VLOOKUP(CONCATENATE('BMP P Tracking Table'!$T292," ",'BMP P Tracking Table'!$AC292),'Performance Curves'!$C$1:$L$45,MATCH('BMP P Tracking Table'!$AE292,'Performance Curves'!$E$1:$L$1,1)+1,FALSE)),"")</f>
        <v/>
      </c>
      <c r="AG292" s="101" t="str">
        <f>IFERROR(('BMP P Tracking Table'!$AE292-INDEX('Performance Curves'!$E$1:$L$1,1,MATCH('BMP P Tracking Table'!$AE292,'Performance Curves'!$E$1:$L$1,1)))/(INDEX('Performance Curves'!$E$1:$L$1,1,MATCH('BMP P Tracking Table'!$AE292,'Performance Curves'!$E$1:$L$1,1)+1)-INDEX('Performance Curves'!$E$1:$L$1,1,MATCH('BMP P Tracking Table'!$AE292,'Performance Curves'!$E$1:$L$1,1))),"")</f>
        <v/>
      </c>
      <c r="AH292" s="102" t="str">
        <f>IFERROR(IF('BMP P Tracking Table'!$AE292=2,VLOOKUP(CONCATENATE('BMP P Tracking Table'!$T292," ",'BMP P Tracking Table'!$AC292),'Performance Curves'!$C$1:$L$45,MATCH('BMP P Tracking Table'!$AE292,'Performance Curves'!$E$1:$L$1,1)+1,FALSE),'BMP P Tracking Table'!$AF292*'BMP P Tracking Table'!$AG292+VLOOKUP(CONCATENATE('BMP P Tracking Table'!$T292," ",'BMP P Tracking Table'!$AC292),'Performance Curves'!$C$1:$L$45,MATCH('BMP P Tracking Table'!$AE292,'Performance Curves'!$E$1:$L$1,1)+1,FALSE)),"")</f>
        <v/>
      </c>
      <c r="AI292" s="101" t="str">
        <f>IFERROR('BMP P Tracking Table'!$AH292*'BMP P Tracking Table'!$AD292,"")</f>
        <v/>
      </c>
      <c r="AJ292" s="64"/>
      <c r="AK292" s="96"/>
      <c r="AL292" s="96"/>
      <c r="AM292" s="63"/>
      <c r="AN292" s="99" t="str">
        <f t="shared" si="20"/>
        <v/>
      </c>
      <c r="AO292" s="96"/>
      <c r="AP292" s="96"/>
      <c r="AQ292" s="96"/>
      <c r="AR292" s="96"/>
      <c r="AS292" s="96"/>
      <c r="AT292" s="96"/>
      <c r="AU292" s="96"/>
      <c r="AV292" s="64"/>
      <c r="AW292" s="97"/>
      <c r="AX292" s="97"/>
      <c r="AY292" s="101" t="str">
        <f>IF('BMP P Tracking Table'!$AK292="Yes",IF('BMP P Tracking Table'!$AL292="No",'BMP P Tracking Table'!$U292*VLOOKUP('BMP P Tracking Table'!$Q292,'Loading Rates'!$B$1:$L$24,4,FALSE)+IF('BMP P Tracking Table'!$V292="By HSG",'BMP P Tracking Table'!$W292*VLOOKUP('BMP P Tracking Table'!$Q292,'Loading Rates'!$B$1:$L$24,6,FALSE)+'BMP P Tracking Table'!$X292*VLOOKUP('BMP P Tracking Table'!$Q292,'Loading Rates'!$B$1:$L$24,7,FALSE)+'BMP P Tracking Table'!$Y292*VLOOKUP('BMP P Tracking Table'!$Q292,'Loading Rates'!$B$1:$L$24,8,FALSE)+'BMP P Tracking Table'!$Z292*VLOOKUP('BMP P Tracking Table'!$Q292,'Loading Rates'!$B$1:$L$24,9,FALSE),'BMP P Tracking Table'!$AA292*VLOOKUP('BMP P Tracking Table'!$Q292,'Loading Rates'!$B$1:$L$24,10,FALSE)),'BMP P Tracking Table'!$AO292*VLOOKUP('BMP P Tracking Table'!$Q292,'Loading Rates'!$B$1:$L$24,4,FALSE)+IF('BMP P Tracking Table'!$AP292="By HSG",'BMP P Tracking Table'!$AQ292*VLOOKUP('BMP P Tracking Table'!$Q292,'Loading Rates'!$B$1:$L$24,6,FALSE)+'BMP P Tracking Table'!$AR292*VLOOKUP('BMP P Tracking Table'!$Q292,'Loading Rates'!$B$1:$L$24,7,FALSE)+'BMP P Tracking Table'!$AS292*VLOOKUP('BMP P Tracking Table'!$Q292,'Loading Rates'!$B$1:$L$24,8,FALSE)+'BMP P Tracking Table'!$AT292*VLOOKUP('BMP P Tracking Table'!$Q292,'Loading Rates'!$B$1:$L$24,9,FALSE),'BMP P Tracking Table'!$AU292*VLOOKUP('BMP P Tracking Table'!$Q292,'Loading Rates'!$B$1:$L$24,10,FALSE))),"")</f>
        <v/>
      </c>
      <c r="AZ292" s="101" t="str">
        <f>IFERROR(IF('BMP P Tracking Table'!$AL292="Yes",MIN(2,IF('BMP P Tracking Table'!$AP292="Total Pervious",(-(3630*'BMP P Tracking Table'!$AO292+20.691*'BMP P Tracking Table'!$AU292)+SQRT((3630*'BMP P Tracking Table'!$AO292+20.691*'BMP P Tracking Table'!$AU292)^2-(4*(996.798*'BMP P Tracking Table'!$AU292)*-'BMP P Tracking Table'!$AW292)))/(2*(996.798*'BMP P Tracking Table'!$AU292)),IF(SUM('BMP P Tracking Table'!$AQ292:$AT292)=0,'BMP P Tracking Table'!$AU292/(-3630*'BMP P Tracking Table'!$AO292),(-(3630*'BMP P Tracking Table'!$AO292+20.691*'BMP P Tracking Table'!$AT292-216.711*'BMP P Tracking Table'!$AS292-83.853*'BMP P Tracking Table'!$AR292-42.834*'BMP P Tracking Table'!$AQ292)+SQRT((3630*'BMP P Tracking Table'!$AO292+20.691*'BMP P Tracking Table'!$AT292-216.711*'BMP P Tracking Table'!$AS292-83.853*'BMP P Tracking Table'!$AR292-42.834*'BMP P Tracking Table'!$AQ292)^2-(4*(149.919*'BMP P Tracking Table'!$AQ292+236.676*'BMP P Tracking Table'!$AR292+726*'BMP P Tracking Table'!$AS292+996.798*'BMP P Tracking Table'!$AT292)*-'BMP P Tracking Table'!$AW292)))/(2*(149.919*'BMP P Tracking Table'!$AQ292+236.676*'BMP P Tracking Table'!$AR292+726*'BMP P Tracking Table'!$AS292+996.798*'BMP P Tracking Table'!$AT292))))),MIN(2,IF('BMP P Tracking Table'!$AP292="Total Pervious",(-(3630*'BMP P Tracking Table'!$U292+20.691*'BMP P Tracking Table'!$AA292)+SQRT((3630*'BMP P Tracking Table'!$U292+20.691*'BMP P Tracking Table'!$AA292)^2-(4*(996.798*'BMP P Tracking Table'!$AA292)*-'BMP P Tracking Table'!$AW292)))/(2*(996.798*'BMP P Tracking Table'!$AA292)),IF(SUM('BMP P Tracking Table'!$W292:$Z292)=0,'BMP P Tracking Table'!$AW292/(-3630*'BMP P Tracking Table'!$U292),(-(3630*'BMP P Tracking Table'!$U292+20.691*'BMP P Tracking Table'!$Z292-216.711*'BMP P Tracking Table'!$Y292-83.853*'BMP P Tracking Table'!$X292-42.834*'BMP P Tracking Table'!$W292)+SQRT((3630*'BMP P Tracking Table'!$U292+20.691*'BMP P Tracking Table'!$Z292-216.711*'BMP P Tracking Table'!$Y292-83.853*'BMP P Tracking Table'!$X292-42.834*'BMP P Tracking Table'!$W292)^2-(4*(149.919*'BMP P Tracking Table'!$W292+236.676*'BMP P Tracking Table'!$X292+726*'BMP P Tracking Table'!$Y292+996.798*'BMP P Tracking Table'!$Z292)*-'BMP P Tracking Table'!$AW292)))/(2*(149.919*'BMP P Tracking Table'!$W292+236.676*'BMP P Tracking Table'!$X292+726*'BMP P Tracking Table'!$Y292+996.798*'BMP P Tracking Table'!$Z292)))))),"")</f>
        <v/>
      </c>
      <c r="BA292" s="101" t="str">
        <f>IFERROR((VLOOKUP(CONCATENATE('BMP P Tracking Table'!$AV292," ",'BMP P Tracking Table'!$AX292),'Performance Curves'!$C$1:$L$45,MATCH('BMP P Tracking Table'!$AZ292,'Performance Curves'!$E$1:$L$1,1)+2,FALSE)-VLOOKUP(CONCATENATE('BMP P Tracking Table'!$AV292," ",'BMP P Tracking Table'!$AX292),'Performance Curves'!$C$1:$L$45,MATCH('BMP P Tracking Table'!$AZ292,'Performance Curves'!$E$1:$L$1,1)+1,FALSE)),"")</f>
        <v/>
      </c>
      <c r="BB292" s="101" t="str">
        <f>IFERROR(('BMP P Tracking Table'!$AZ292-INDEX('Performance Curves'!$E$1:$L$1,1,MATCH('BMP P Tracking Table'!$AZ292,'Performance Curves'!$E$1:$L$1,1)))/(INDEX('Performance Curves'!$E$1:$L$1,1,MATCH('BMP P Tracking Table'!$AZ292,'Performance Curves'!$E$1:$L$1,1)+1)-INDEX('Performance Curves'!$E$1:$L$1,1,MATCH('BMP P Tracking Table'!$AZ292,'Performance Curves'!$E$1:$L$1,1))),"")</f>
        <v/>
      </c>
      <c r="BC292" s="102" t="str">
        <f>IFERROR(IF('BMP P Tracking Table'!$AZ292=2,VLOOKUP(CONCATENATE('BMP P Tracking Table'!$AV292," ",'BMP P Tracking Table'!$AX292),'Performance Curves'!$C$1:$L$44,MATCH('BMP P Tracking Table'!$AZ292,'Performance Curves'!$E$1:$L$1,1)+1,FALSE),'BMP P Tracking Table'!$BA292*'BMP P Tracking Table'!$BB292+VLOOKUP(CONCATENATE('BMP P Tracking Table'!$AV292," ",'BMP P Tracking Table'!$AX292),'Performance Curves'!$C$1:$L$44,MATCH('BMP P Tracking Table'!$AZ292,'Performance Curves'!$E$1:$L$1,1)+1,FALSE)),"")</f>
        <v/>
      </c>
      <c r="BD292" s="101" t="str">
        <f>IFERROR('BMP P Tracking Table'!$BC292*'BMP P Tracking Table'!$AY292,"")</f>
        <v/>
      </c>
      <c r="BE292" s="96"/>
      <c r="BF292" s="37">
        <f t="shared" si="21"/>
        <v>0</v>
      </c>
    </row>
    <row r="293" spans="1:58" x14ac:dyDescent="0.3">
      <c r="A293" s="64"/>
      <c r="B293" s="64"/>
      <c r="C293" s="64"/>
      <c r="D293" s="64"/>
      <c r="E293" s="93"/>
      <c r="F293" s="93"/>
      <c r="G293" s="64"/>
      <c r="H293" s="64"/>
      <c r="I293" s="64"/>
      <c r="J293" s="94"/>
      <c r="K293" s="64"/>
      <c r="L293" s="64"/>
      <c r="M293" s="64"/>
      <c r="N293" s="64"/>
      <c r="O293" s="64"/>
      <c r="P293" s="64"/>
      <c r="Q293" s="64" t="str">
        <f>IFERROR(VLOOKUP('BMP P Tracking Table'!$P293,Dropdowns!$C$2:$E$15,3,FALSE),"")</f>
        <v/>
      </c>
      <c r="R293" s="64" t="str">
        <f>IFERROR(VLOOKUP('BMP P Tracking Table'!$Q293,Dropdowns!$P$3:$Q$23,2,FALSE),"")</f>
        <v/>
      </c>
      <c r="S293" s="64"/>
      <c r="T293" s="64"/>
      <c r="U293" s="64"/>
      <c r="V293" s="64"/>
      <c r="W293" s="64"/>
      <c r="X293" s="64"/>
      <c r="Y293" s="64"/>
      <c r="Z293" s="64"/>
      <c r="AA293" s="64"/>
      <c r="AB293" s="95"/>
      <c r="AC293" s="64"/>
      <c r="AD293" s="101" t="str">
        <f>IFERROR('BMP P Tracking Table'!$U293*VLOOKUP('BMP P Tracking Table'!$Q293,'Loading Rates'!$B$1:$L$24,4,FALSE)+IF('BMP P Tracking Table'!$V293="By HSG",'BMP P Tracking Table'!$W293*VLOOKUP('BMP P Tracking Table'!$Q293,'Loading Rates'!$B$1:$L$24,6,FALSE)+'BMP P Tracking Table'!$X293*VLOOKUP('BMP P Tracking Table'!$Q293,'Loading Rates'!$B$1:$L$24,7,FALSE)+'BMP P Tracking Table'!$Y293*VLOOKUP('BMP P Tracking Table'!$Q293,'Loading Rates'!$B$1:$L$24,8,FALSE)+'BMP P Tracking Table'!$Z293*VLOOKUP('BMP P Tracking Table'!$Q293,'Loading Rates'!$B$1:$L$24,9,FALSE),'BMP P Tracking Table'!$AA293*VLOOKUP('BMP P Tracking Table'!$Q293,'Loading Rates'!$B$1:$L$24,10,FALSE)),"")</f>
        <v/>
      </c>
      <c r="AE293" s="101" t="str">
        <f>IFERROR(MIN(2,IF('BMP P Tracking Table'!$V293="Total Pervious",(-(3630*'BMP P Tracking Table'!$U293+20.691*'BMP P Tracking Table'!$AA293)+SQRT((3630*'BMP P Tracking Table'!$U293+20.691*'BMP P Tracking Table'!$AA293)^2-(4*(996.798*'BMP P Tracking Table'!$AA293)*-'BMP P Tracking Table'!$AB293)))/(2*(996.798*'BMP P Tracking Table'!$AA293)),IF(SUM('BMP P Tracking Table'!$W293:$Z293)=0,'BMP P Tracking Table'!$AB293/(-3630*'BMP P Tracking Table'!$U293),(-(3630*'BMP P Tracking Table'!$U293+20.691*'BMP P Tracking Table'!$Z293-216.711*'BMP P Tracking Table'!$Y293-83.853*'BMP P Tracking Table'!$X293-42.834*'BMP P Tracking Table'!$W293)+SQRT((3630*'BMP P Tracking Table'!$U293+20.691*'BMP P Tracking Table'!$Z293-216.711*'BMP P Tracking Table'!$Y293-83.853*'BMP P Tracking Table'!$X293-42.834*'BMP P Tracking Table'!$W293)^2-(4*(149.919*'BMP P Tracking Table'!$W293+236.676*'BMP P Tracking Table'!$X293+726*'BMP P Tracking Table'!$Y293+996.798*'BMP P Tracking Table'!$Z293)*-'BMP P Tracking Table'!$AB293)))/(2*(149.919*'BMP P Tracking Table'!$W293+236.676*'BMP P Tracking Table'!$X293+726*'BMP P Tracking Table'!$Y293+996.798*'BMP P Tracking Table'!$Z293))))),"")</f>
        <v/>
      </c>
      <c r="AF293" s="101" t="str">
        <f>IFERROR((VLOOKUP(CONCATENATE('BMP P Tracking Table'!$T293," ",'BMP P Tracking Table'!$AC293),'Performance Curves'!$C$1:$L$45,MATCH('BMP P Tracking Table'!$AE293,'Performance Curves'!$E$1:$L$1,1)+2,FALSE)-VLOOKUP(CONCATENATE('BMP P Tracking Table'!$T293," ",'BMP P Tracking Table'!$AC293),'Performance Curves'!$C$1:$L$45,MATCH('BMP P Tracking Table'!$AE293,'Performance Curves'!$E$1:$L$1,1)+1,FALSE)),"")</f>
        <v/>
      </c>
      <c r="AG293" s="101" t="str">
        <f>IFERROR(('BMP P Tracking Table'!$AE293-INDEX('Performance Curves'!$E$1:$L$1,1,MATCH('BMP P Tracking Table'!$AE293,'Performance Curves'!$E$1:$L$1,1)))/(INDEX('Performance Curves'!$E$1:$L$1,1,MATCH('BMP P Tracking Table'!$AE293,'Performance Curves'!$E$1:$L$1,1)+1)-INDEX('Performance Curves'!$E$1:$L$1,1,MATCH('BMP P Tracking Table'!$AE293,'Performance Curves'!$E$1:$L$1,1))),"")</f>
        <v/>
      </c>
      <c r="AH293" s="102" t="str">
        <f>IFERROR(IF('BMP P Tracking Table'!$AE293=2,VLOOKUP(CONCATENATE('BMP P Tracking Table'!$T293," ",'BMP P Tracking Table'!$AC293),'Performance Curves'!$C$1:$L$45,MATCH('BMP P Tracking Table'!$AE293,'Performance Curves'!$E$1:$L$1,1)+1,FALSE),'BMP P Tracking Table'!$AF293*'BMP P Tracking Table'!$AG293+VLOOKUP(CONCATENATE('BMP P Tracking Table'!$T293," ",'BMP P Tracking Table'!$AC293),'Performance Curves'!$C$1:$L$45,MATCH('BMP P Tracking Table'!$AE293,'Performance Curves'!$E$1:$L$1,1)+1,FALSE)),"")</f>
        <v/>
      </c>
      <c r="AI293" s="101" t="str">
        <f>IFERROR('BMP P Tracking Table'!$AH293*'BMP P Tracking Table'!$AD293,"")</f>
        <v/>
      </c>
      <c r="AJ293" s="64"/>
      <c r="AK293" s="96"/>
      <c r="AL293" s="96"/>
      <c r="AM293" s="63"/>
      <c r="AN293" s="99" t="str">
        <f t="shared" si="20"/>
        <v/>
      </c>
      <c r="AO293" s="96"/>
      <c r="AP293" s="96"/>
      <c r="AQ293" s="96"/>
      <c r="AR293" s="96"/>
      <c r="AS293" s="96"/>
      <c r="AT293" s="96"/>
      <c r="AU293" s="96"/>
      <c r="AV293" s="64"/>
      <c r="AW293" s="97"/>
      <c r="AX293" s="97"/>
      <c r="AY293" s="101" t="str">
        <f>IF('BMP P Tracking Table'!$AK293="Yes",IF('BMP P Tracking Table'!$AL293="No",'BMP P Tracking Table'!$U293*VLOOKUP('BMP P Tracking Table'!$Q293,'Loading Rates'!$B$1:$L$24,4,FALSE)+IF('BMP P Tracking Table'!$V293="By HSG",'BMP P Tracking Table'!$W293*VLOOKUP('BMP P Tracking Table'!$Q293,'Loading Rates'!$B$1:$L$24,6,FALSE)+'BMP P Tracking Table'!$X293*VLOOKUP('BMP P Tracking Table'!$Q293,'Loading Rates'!$B$1:$L$24,7,FALSE)+'BMP P Tracking Table'!$Y293*VLOOKUP('BMP P Tracking Table'!$Q293,'Loading Rates'!$B$1:$L$24,8,FALSE)+'BMP P Tracking Table'!$Z293*VLOOKUP('BMP P Tracking Table'!$Q293,'Loading Rates'!$B$1:$L$24,9,FALSE),'BMP P Tracking Table'!$AA293*VLOOKUP('BMP P Tracking Table'!$Q293,'Loading Rates'!$B$1:$L$24,10,FALSE)),'BMP P Tracking Table'!$AO293*VLOOKUP('BMP P Tracking Table'!$Q293,'Loading Rates'!$B$1:$L$24,4,FALSE)+IF('BMP P Tracking Table'!$AP293="By HSG",'BMP P Tracking Table'!$AQ293*VLOOKUP('BMP P Tracking Table'!$Q293,'Loading Rates'!$B$1:$L$24,6,FALSE)+'BMP P Tracking Table'!$AR293*VLOOKUP('BMP P Tracking Table'!$Q293,'Loading Rates'!$B$1:$L$24,7,FALSE)+'BMP P Tracking Table'!$AS293*VLOOKUP('BMP P Tracking Table'!$Q293,'Loading Rates'!$B$1:$L$24,8,FALSE)+'BMP P Tracking Table'!$AT293*VLOOKUP('BMP P Tracking Table'!$Q293,'Loading Rates'!$B$1:$L$24,9,FALSE),'BMP P Tracking Table'!$AU293*VLOOKUP('BMP P Tracking Table'!$Q293,'Loading Rates'!$B$1:$L$24,10,FALSE))),"")</f>
        <v/>
      </c>
      <c r="AZ293" s="101" t="str">
        <f>IFERROR(IF('BMP P Tracking Table'!$AL293="Yes",MIN(2,IF('BMP P Tracking Table'!$AP293="Total Pervious",(-(3630*'BMP P Tracking Table'!$AO293+20.691*'BMP P Tracking Table'!$AU293)+SQRT((3630*'BMP P Tracking Table'!$AO293+20.691*'BMP P Tracking Table'!$AU293)^2-(4*(996.798*'BMP P Tracking Table'!$AU293)*-'BMP P Tracking Table'!$AW293)))/(2*(996.798*'BMP P Tracking Table'!$AU293)),IF(SUM('BMP P Tracking Table'!$AQ293:$AT293)=0,'BMP P Tracking Table'!$AU293/(-3630*'BMP P Tracking Table'!$AO293),(-(3630*'BMP P Tracking Table'!$AO293+20.691*'BMP P Tracking Table'!$AT293-216.711*'BMP P Tracking Table'!$AS293-83.853*'BMP P Tracking Table'!$AR293-42.834*'BMP P Tracking Table'!$AQ293)+SQRT((3630*'BMP P Tracking Table'!$AO293+20.691*'BMP P Tracking Table'!$AT293-216.711*'BMP P Tracking Table'!$AS293-83.853*'BMP P Tracking Table'!$AR293-42.834*'BMP P Tracking Table'!$AQ293)^2-(4*(149.919*'BMP P Tracking Table'!$AQ293+236.676*'BMP P Tracking Table'!$AR293+726*'BMP P Tracking Table'!$AS293+996.798*'BMP P Tracking Table'!$AT293)*-'BMP P Tracking Table'!$AW293)))/(2*(149.919*'BMP P Tracking Table'!$AQ293+236.676*'BMP P Tracking Table'!$AR293+726*'BMP P Tracking Table'!$AS293+996.798*'BMP P Tracking Table'!$AT293))))),MIN(2,IF('BMP P Tracking Table'!$AP293="Total Pervious",(-(3630*'BMP P Tracking Table'!$U293+20.691*'BMP P Tracking Table'!$AA293)+SQRT((3630*'BMP P Tracking Table'!$U293+20.691*'BMP P Tracking Table'!$AA293)^2-(4*(996.798*'BMP P Tracking Table'!$AA293)*-'BMP P Tracking Table'!$AW293)))/(2*(996.798*'BMP P Tracking Table'!$AA293)),IF(SUM('BMP P Tracking Table'!$W293:$Z293)=0,'BMP P Tracking Table'!$AW293/(-3630*'BMP P Tracking Table'!$U293),(-(3630*'BMP P Tracking Table'!$U293+20.691*'BMP P Tracking Table'!$Z293-216.711*'BMP P Tracking Table'!$Y293-83.853*'BMP P Tracking Table'!$X293-42.834*'BMP P Tracking Table'!$W293)+SQRT((3630*'BMP P Tracking Table'!$U293+20.691*'BMP P Tracking Table'!$Z293-216.711*'BMP P Tracking Table'!$Y293-83.853*'BMP P Tracking Table'!$X293-42.834*'BMP P Tracking Table'!$W293)^2-(4*(149.919*'BMP P Tracking Table'!$W293+236.676*'BMP P Tracking Table'!$X293+726*'BMP P Tracking Table'!$Y293+996.798*'BMP P Tracking Table'!$Z293)*-'BMP P Tracking Table'!$AW293)))/(2*(149.919*'BMP P Tracking Table'!$W293+236.676*'BMP P Tracking Table'!$X293+726*'BMP P Tracking Table'!$Y293+996.798*'BMP P Tracking Table'!$Z293)))))),"")</f>
        <v/>
      </c>
      <c r="BA293" s="101" t="str">
        <f>IFERROR((VLOOKUP(CONCATENATE('BMP P Tracking Table'!$AV293," ",'BMP P Tracking Table'!$AX293),'Performance Curves'!$C$1:$L$45,MATCH('BMP P Tracking Table'!$AZ293,'Performance Curves'!$E$1:$L$1,1)+2,FALSE)-VLOOKUP(CONCATENATE('BMP P Tracking Table'!$AV293," ",'BMP P Tracking Table'!$AX293),'Performance Curves'!$C$1:$L$45,MATCH('BMP P Tracking Table'!$AZ293,'Performance Curves'!$E$1:$L$1,1)+1,FALSE)),"")</f>
        <v/>
      </c>
      <c r="BB293" s="101" t="str">
        <f>IFERROR(('BMP P Tracking Table'!$AZ293-INDEX('Performance Curves'!$E$1:$L$1,1,MATCH('BMP P Tracking Table'!$AZ293,'Performance Curves'!$E$1:$L$1,1)))/(INDEX('Performance Curves'!$E$1:$L$1,1,MATCH('BMP P Tracking Table'!$AZ293,'Performance Curves'!$E$1:$L$1,1)+1)-INDEX('Performance Curves'!$E$1:$L$1,1,MATCH('BMP P Tracking Table'!$AZ293,'Performance Curves'!$E$1:$L$1,1))),"")</f>
        <v/>
      </c>
      <c r="BC293" s="102" t="str">
        <f>IFERROR(IF('BMP P Tracking Table'!$AZ293=2,VLOOKUP(CONCATENATE('BMP P Tracking Table'!$AV293," ",'BMP P Tracking Table'!$AX293),'Performance Curves'!$C$1:$L$44,MATCH('BMP P Tracking Table'!$AZ293,'Performance Curves'!$E$1:$L$1,1)+1,FALSE),'BMP P Tracking Table'!$BA293*'BMP P Tracking Table'!$BB293+VLOOKUP(CONCATENATE('BMP P Tracking Table'!$AV293," ",'BMP P Tracking Table'!$AX293),'Performance Curves'!$C$1:$L$44,MATCH('BMP P Tracking Table'!$AZ293,'Performance Curves'!$E$1:$L$1,1)+1,FALSE)),"")</f>
        <v/>
      </c>
      <c r="BD293" s="101" t="str">
        <f>IFERROR('BMP P Tracking Table'!$BC293*'BMP P Tracking Table'!$AY293,"")</f>
        <v/>
      </c>
      <c r="BE293" s="96"/>
      <c r="BF293" s="37">
        <f t="shared" si="21"/>
        <v>0</v>
      </c>
    </row>
    <row r="294" spans="1:58" x14ac:dyDescent="0.3">
      <c r="A294" s="64"/>
      <c r="B294" s="64"/>
      <c r="C294" s="64"/>
      <c r="D294" s="64"/>
      <c r="E294" s="93"/>
      <c r="F294" s="93"/>
      <c r="G294" s="64"/>
      <c r="H294" s="64"/>
      <c r="I294" s="64"/>
      <c r="J294" s="94"/>
      <c r="K294" s="64"/>
      <c r="L294" s="64"/>
      <c r="M294" s="64"/>
      <c r="N294" s="64"/>
      <c r="O294" s="64"/>
      <c r="P294" s="64"/>
      <c r="Q294" s="64" t="str">
        <f>IFERROR(VLOOKUP('BMP P Tracking Table'!$P294,Dropdowns!$C$2:$E$15,3,FALSE),"")</f>
        <v/>
      </c>
      <c r="R294" s="64" t="str">
        <f>IFERROR(VLOOKUP('BMP P Tracking Table'!$Q294,Dropdowns!$P$3:$Q$23,2,FALSE),"")</f>
        <v/>
      </c>
      <c r="S294" s="64"/>
      <c r="T294" s="64"/>
      <c r="U294" s="64"/>
      <c r="V294" s="64"/>
      <c r="W294" s="64"/>
      <c r="X294" s="64"/>
      <c r="Y294" s="64"/>
      <c r="Z294" s="64"/>
      <c r="AA294" s="64"/>
      <c r="AB294" s="95"/>
      <c r="AC294" s="64"/>
      <c r="AD294" s="101" t="str">
        <f>IFERROR('BMP P Tracking Table'!$U294*VLOOKUP('BMP P Tracking Table'!$Q294,'Loading Rates'!$B$1:$L$24,4,FALSE)+IF('BMP P Tracking Table'!$V294="By HSG",'BMP P Tracking Table'!$W294*VLOOKUP('BMP P Tracking Table'!$Q294,'Loading Rates'!$B$1:$L$24,6,FALSE)+'BMP P Tracking Table'!$X294*VLOOKUP('BMP P Tracking Table'!$Q294,'Loading Rates'!$B$1:$L$24,7,FALSE)+'BMP P Tracking Table'!$Y294*VLOOKUP('BMP P Tracking Table'!$Q294,'Loading Rates'!$B$1:$L$24,8,FALSE)+'BMP P Tracking Table'!$Z294*VLOOKUP('BMP P Tracking Table'!$Q294,'Loading Rates'!$B$1:$L$24,9,FALSE),'BMP P Tracking Table'!$AA294*VLOOKUP('BMP P Tracking Table'!$Q294,'Loading Rates'!$B$1:$L$24,10,FALSE)),"")</f>
        <v/>
      </c>
      <c r="AE294" s="101" t="str">
        <f>IFERROR(MIN(2,IF('BMP P Tracking Table'!$V294="Total Pervious",(-(3630*'BMP P Tracking Table'!$U294+20.691*'BMP P Tracking Table'!$AA294)+SQRT((3630*'BMP P Tracking Table'!$U294+20.691*'BMP P Tracking Table'!$AA294)^2-(4*(996.798*'BMP P Tracking Table'!$AA294)*-'BMP P Tracking Table'!$AB294)))/(2*(996.798*'BMP P Tracking Table'!$AA294)),IF(SUM('BMP P Tracking Table'!$W294:$Z294)=0,'BMP P Tracking Table'!$AB294/(-3630*'BMP P Tracking Table'!$U294),(-(3630*'BMP P Tracking Table'!$U294+20.691*'BMP P Tracking Table'!$Z294-216.711*'BMP P Tracking Table'!$Y294-83.853*'BMP P Tracking Table'!$X294-42.834*'BMP P Tracking Table'!$W294)+SQRT((3630*'BMP P Tracking Table'!$U294+20.691*'BMP P Tracking Table'!$Z294-216.711*'BMP P Tracking Table'!$Y294-83.853*'BMP P Tracking Table'!$X294-42.834*'BMP P Tracking Table'!$W294)^2-(4*(149.919*'BMP P Tracking Table'!$W294+236.676*'BMP P Tracking Table'!$X294+726*'BMP P Tracking Table'!$Y294+996.798*'BMP P Tracking Table'!$Z294)*-'BMP P Tracking Table'!$AB294)))/(2*(149.919*'BMP P Tracking Table'!$W294+236.676*'BMP P Tracking Table'!$X294+726*'BMP P Tracking Table'!$Y294+996.798*'BMP P Tracking Table'!$Z294))))),"")</f>
        <v/>
      </c>
      <c r="AF294" s="101" t="str">
        <f>IFERROR((VLOOKUP(CONCATENATE('BMP P Tracking Table'!$T294," ",'BMP P Tracking Table'!$AC294),'Performance Curves'!$C$1:$L$45,MATCH('BMP P Tracking Table'!$AE294,'Performance Curves'!$E$1:$L$1,1)+2,FALSE)-VLOOKUP(CONCATENATE('BMP P Tracking Table'!$T294," ",'BMP P Tracking Table'!$AC294),'Performance Curves'!$C$1:$L$45,MATCH('BMP P Tracking Table'!$AE294,'Performance Curves'!$E$1:$L$1,1)+1,FALSE)),"")</f>
        <v/>
      </c>
      <c r="AG294" s="101" t="str">
        <f>IFERROR(('BMP P Tracking Table'!$AE294-INDEX('Performance Curves'!$E$1:$L$1,1,MATCH('BMP P Tracking Table'!$AE294,'Performance Curves'!$E$1:$L$1,1)))/(INDEX('Performance Curves'!$E$1:$L$1,1,MATCH('BMP P Tracking Table'!$AE294,'Performance Curves'!$E$1:$L$1,1)+1)-INDEX('Performance Curves'!$E$1:$L$1,1,MATCH('BMP P Tracking Table'!$AE294,'Performance Curves'!$E$1:$L$1,1))),"")</f>
        <v/>
      </c>
      <c r="AH294" s="102" t="str">
        <f>IFERROR(IF('BMP P Tracking Table'!$AE294=2,VLOOKUP(CONCATENATE('BMP P Tracking Table'!$T294," ",'BMP P Tracking Table'!$AC294),'Performance Curves'!$C$1:$L$45,MATCH('BMP P Tracking Table'!$AE294,'Performance Curves'!$E$1:$L$1,1)+1,FALSE),'BMP P Tracking Table'!$AF294*'BMP P Tracking Table'!$AG294+VLOOKUP(CONCATENATE('BMP P Tracking Table'!$T294," ",'BMP P Tracking Table'!$AC294),'Performance Curves'!$C$1:$L$45,MATCH('BMP P Tracking Table'!$AE294,'Performance Curves'!$E$1:$L$1,1)+1,FALSE)),"")</f>
        <v/>
      </c>
      <c r="AI294" s="101" t="str">
        <f>IFERROR('BMP P Tracking Table'!$AH294*'BMP P Tracking Table'!$AD294,"")</f>
        <v/>
      </c>
      <c r="AJ294" s="64"/>
      <c r="AK294" s="96"/>
      <c r="AL294" s="96"/>
      <c r="AM294" s="63"/>
      <c r="AN294" s="99" t="str">
        <f t="shared" si="20"/>
        <v/>
      </c>
      <c r="AO294" s="96"/>
      <c r="AP294" s="96"/>
      <c r="AQ294" s="96"/>
      <c r="AR294" s="96"/>
      <c r="AS294" s="96"/>
      <c r="AT294" s="96"/>
      <c r="AU294" s="96"/>
      <c r="AV294" s="64"/>
      <c r="AW294" s="97"/>
      <c r="AX294" s="97"/>
      <c r="AY294" s="101" t="str">
        <f>IF('BMP P Tracking Table'!$AK294="Yes",IF('BMP P Tracking Table'!$AL294="No",'BMP P Tracking Table'!$U294*VLOOKUP('BMP P Tracking Table'!$Q294,'Loading Rates'!$B$1:$L$24,4,FALSE)+IF('BMP P Tracking Table'!$V294="By HSG",'BMP P Tracking Table'!$W294*VLOOKUP('BMP P Tracking Table'!$Q294,'Loading Rates'!$B$1:$L$24,6,FALSE)+'BMP P Tracking Table'!$X294*VLOOKUP('BMP P Tracking Table'!$Q294,'Loading Rates'!$B$1:$L$24,7,FALSE)+'BMP P Tracking Table'!$Y294*VLOOKUP('BMP P Tracking Table'!$Q294,'Loading Rates'!$B$1:$L$24,8,FALSE)+'BMP P Tracking Table'!$Z294*VLOOKUP('BMP P Tracking Table'!$Q294,'Loading Rates'!$B$1:$L$24,9,FALSE),'BMP P Tracking Table'!$AA294*VLOOKUP('BMP P Tracking Table'!$Q294,'Loading Rates'!$B$1:$L$24,10,FALSE)),'BMP P Tracking Table'!$AO294*VLOOKUP('BMP P Tracking Table'!$Q294,'Loading Rates'!$B$1:$L$24,4,FALSE)+IF('BMP P Tracking Table'!$AP294="By HSG",'BMP P Tracking Table'!$AQ294*VLOOKUP('BMP P Tracking Table'!$Q294,'Loading Rates'!$B$1:$L$24,6,FALSE)+'BMP P Tracking Table'!$AR294*VLOOKUP('BMP P Tracking Table'!$Q294,'Loading Rates'!$B$1:$L$24,7,FALSE)+'BMP P Tracking Table'!$AS294*VLOOKUP('BMP P Tracking Table'!$Q294,'Loading Rates'!$B$1:$L$24,8,FALSE)+'BMP P Tracking Table'!$AT294*VLOOKUP('BMP P Tracking Table'!$Q294,'Loading Rates'!$B$1:$L$24,9,FALSE),'BMP P Tracking Table'!$AU294*VLOOKUP('BMP P Tracking Table'!$Q294,'Loading Rates'!$B$1:$L$24,10,FALSE))),"")</f>
        <v/>
      </c>
      <c r="AZ294" s="101" t="str">
        <f>IFERROR(IF('BMP P Tracking Table'!$AL294="Yes",MIN(2,IF('BMP P Tracking Table'!$AP294="Total Pervious",(-(3630*'BMP P Tracking Table'!$AO294+20.691*'BMP P Tracking Table'!$AU294)+SQRT((3630*'BMP P Tracking Table'!$AO294+20.691*'BMP P Tracking Table'!$AU294)^2-(4*(996.798*'BMP P Tracking Table'!$AU294)*-'BMP P Tracking Table'!$AW294)))/(2*(996.798*'BMP P Tracking Table'!$AU294)),IF(SUM('BMP P Tracking Table'!$AQ294:$AT294)=0,'BMP P Tracking Table'!$AU294/(-3630*'BMP P Tracking Table'!$AO294),(-(3630*'BMP P Tracking Table'!$AO294+20.691*'BMP P Tracking Table'!$AT294-216.711*'BMP P Tracking Table'!$AS294-83.853*'BMP P Tracking Table'!$AR294-42.834*'BMP P Tracking Table'!$AQ294)+SQRT((3630*'BMP P Tracking Table'!$AO294+20.691*'BMP P Tracking Table'!$AT294-216.711*'BMP P Tracking Table'!$AS294-83.853*'BMP P Tracking Table'!$AR294-42.834*'BMP P Tracking Table'!$AQ294)^2-(4*(149.919*'BMP P Tracking Table'!$AQ294+236.676*'BMP P Tracking Table'!$AR294+726*'BMP P Tracking Table'!$AS294+996.798*'BMP P Tracking Table'!$AT294)*-'BMP P Tracking Table'!$AW294)))/(2*(149.919*'BMP P Tracking Table'!$AQ294+236.676*'BMP P Tracking Table'!$AR294+726*'BMP P Tracking Table'!$AS294+996.798*'BMP P Tracking Table'!$AT294))))),MIN(2,IF('BMP P Tracking Table'!$AP294="Total Pervious",(-(3630*'BMP P Tracking Table'!$U294+20.691*'BMP P Tracking Table'!$AA294)+SQRT((3630*'BMP P Tracking Table'!$U294+20.691*'BMP P Tracking Table'!$AA294)^2-(4*(996.798*'BMP P Tracking Table'!$AA294)*-'BMP P Tracking Table'!$AW294)))/(2*(996.798*'BMP P Tracking Table'!$AA294)),IF(SUM('BMP P Tracking Table'!$W294:$Z294)=0,'BMP P Tracking Table'!$AW294/(-3630*'BMP P Tracking Table'!$U294),(-(3630*'BMP P Tracking Table'!$U294+20.691*'BMP P Tracking Table'!$Z294-216.711*'BMP P Tracking Table'!$Y294-83.853*'BMP P Tracking Table'!$X294-42.834*'BMP P Tracking Table'!$W294)+SQRT((3630*'BMP P Tracking Table'!$U294+20.691*'BMP P Tracking Table'!$Z294-216.711*'BMP P Tracking Table'!$Y294-83.853*'BMP P Tracking Table'!$X294-42.834*'BMP P Tracking Table'!$W294)^2-(4*(149.919*'BMP P Tracking Table'!$W294+236.676*'BMP P Tracking Table'!$X294+726*'BMP P Tracking Table'!$Y294+996.798*'BMP P Tracking Table'!$Z294)*-'BMP P Tracking Table'!$AW294)))/(2*(149.919*'BMP P Tracking Table'!$W294+236.676*'BMP P Tracking Table'!$X294+726*'BMP P Tracking Table'!$Y294+996.798*'BMP P Tracking Table'!$Z294)))))),"")</f>
        <v/>
      </c>
      <c r="BA294" s="101" t="str">
        <f>IFERROR((VLOOKUP(CONCATENATE('BMP P Tracking Table'!$AV294," ",'BMP P Tracking Table'!$AX294),'Performance Curves'!$C$1:$L$45,MATCH('BMP P Tracking Table'!$AZ294,'Performance Curves'!$E$1:$L$1,1)+2,FALSE)-VLOOKUP(CONCATENATE('BMP P Tracking Table'!$AV294," ",'BMP P Tracking Table'!$AX294),'Performance Curves'!$C$1:$L$45,MATCH('BMP P Tracking Table'!$AZ294,'Performance Curves'!$E$1:$L$1,1)+1,FALSE)),"")</f>
        <v/>
      </c>
      <c r="BB294" s="101" t="str">
        <f>IFERROR(('BMP P Tracking Table'!$AZ294-INDEX('Performance Curves'!$E$1:$L$1,1,MATCH('BMP P Tracking Table'!$AZ294,'Performance Curves'!$E$1:$L$1,1)))/(INDEX('Performance Curves'!$E$1:$L$1,1,MATCH('BMP P Tracking Table'!$AZ294,'Performance Curves'!$E$1:$L$1,1)+1)-INDEX('Performance Curves'!$E$1:$L$1,1,MATCH('BMP P Tracking Table'!$AZ294,'Performance Curves'!$E$1:$L$1,1))),"")</f>
        <v/>
      </c>
      <c r="BC294" s="102" t="str">
        <f>IFERROR(IF('BMP P Tracking Table'!$AZ294=2,VLOOKUP(CONCATENATE('BMP P Tracking Table'!$AV294," ",'BMP P Tracking Table'!$AX294),'Performance Curves'!$C$1:$L$44,MATCH('BMP P Tracking Table'!$AZ294,'Performance Curves'!$E$1:$L$1,1)+1,FALSE),'BMP P Tracking Table'!$BA294*'BMP P Tracking Table'!$BB294+VLOOKUP(CONCATENATE('BMP P Tracking Table'!$AV294," ",'BMP P Tracking Table'!$AX294),'Performance Curves'!$C$1:$L$44,MATCH('BMP P Tracking Table'!$AZ294,'Performance Curves'!$E$1:$L$1,1)+1,FALSE)),"")</f>
        <v/>
      </c>
      <c r="BD294" s="101" t="str">
        <f>IFERROR('BMP P Tracking Table'!$BC294*'BMP P Tracking Table'!$AY294,"")</f>
        <v/>
      </c>
      <c r="BE294" s="96"/>
      <c r="BF294" s="37">
        <f t="shared" si="21"/>
        <v>0</v>
      </c>
    </row>
    <row r="295" spans="1:58" x14ac:dyDescent="0.3">
      <c r="A295" s="64"/>
      <c r="B295" s="64"/>
      <c r="C295" s="64"/>
      <c r="D295" s="64"/>
      <c r="E295" s="93"/>
      <c r="F295" s="93"/>
      <c r="G295" s="64"/>
      <c r="H295" s="64"/>
      <c r="I295" s="64"/>
      <c r="J295" s="94"/>
      <c r="K295" s="64"/>
      <c r="L295" s="64"/>
      <c r="M295" s="64"/>
      <c r="N295" s="64"/>
      <c r="O295" s="64"/>
      <c r="P295" s="64"/>
      <c r="Q295" s="64" t="str">
        <f>IFERROR(VLOOKUP('BMP P Tracking Table'!$P295,Dropdowns!$C$2:$E$15,3,FALSE),"")</f>
        <v/>
      </c>
      <c r="R295" s="64" t="str">
        <f>IFERROR(VLOOKUP('BMP P Tracking Table'!$Q295,Dropdowns!$P$3:$Q$23,2,FALSE),"")</f>
        <v/>
      </c>
      <c r="S295" s="64"/>
      <c r="T295" s="64"/>
      <c r="U295" s="64"/>
      <c r="V295" s="64"/>
      <c r="W295" s="64"/>
      <c r="X295" s="64"/>
      <c r="Y295" s="64"/>
      <c r="Z295" s="64"/>
      <c r="AA295" s="64"/>
      <c r="AB295" s="95"/>
      <c r="AC295" s="64"/>
      <c r="AD295" s="101" t="str">
        <f>IFERROR('BMP P Tracking Table'!$U295*VLOOKUP('BMP P Tracking Table'!$Q295,'Loading Rates'!$B$1:$L$24,4,FALSE)+IF('BMP P Tracking Table'!$V295="By HSG",'BMP P Tracking Table'!$W295*VLOOKUP('BMP P Tracking Table'!$Q295,'Loading Rates'!$B$1:$L$24,6,FALSE)+'BMP P Tracking Table'!$X295*VLOOKUP('BMP P Tracking Table'!$Q295,'Loading Rates'!$B$1:$L$24,7,FALSE)+'BMP P Tracking Table'!$Y295*VLOOKUP('BMP P Tracking Table'!$Q295,'Loading Rates'!$B$1:$L$24,8,FALSE)+'BMP P Tracking Table'!$Z295*VLOOKUP('BMP P Tracking Table'!$Q295,'Loading Rates'!$B$1:$L$24,9,FALSE),'BMP P Tracking Table'!$AA295*VLOOKUP('BMP P Tracking Table'!$Q295,'Loading Rates'!$B$1:$L$24,10,FALSE)),"")</f>
        <v/>
      </c>
      <c r="AE295" s="101" t="str">
        <f>IFERROR(MIN(2,IF('BMP P Tracking Table'!$V295="Total Pervious",(-(3630*'BMP P Tracking Table'!$U295+20.691*'BMP P Tracking Table'!$AA295)+SQRT((3630*'BMP P Tracking Table'!$U295+20.691*'BMP P Tracking Table'!$AA295)^2-(4*(996.798*'BMP P Tracking Table'!$AA295)*-'BMP P Tracking Table'!$AB295)))/(2*(996.798*'BMP P Tracking Table'!$AA295)),IF(SUM('BMP P Tracking Table'!$W295:$Z295)=0,'BMP P Tracking Table'!$AB295/(-3630*'BMP P Tracking Table'!$U295),(-(3630*'BMP P Tracking Table'!$U295+20.691*'BMP P Tracking Table'!$Z295-216.711*'BMP P Tracking Table'!$Y295-83.853*'BMP P Tracking Table'!$X295-42.834*'BMP P Tracking Table'!$W295)+SQRT((3630*'BMP P Tracking Table'!$U295+20.691*'BMP P Tracking Table'!$Z295-216.711*'BMP P Tracking Table'!$Y295-83.853*'BMP P Tracking Table'!$X295-42.834*'BMP P Tracking Table'!$W295)^2-(4*(149.919*'BMP P Tracking Table'!$W295+236.676*'BMP P Tracking Table'!$X295+726*'BMP P Tracking Table'!$Y295+996.798*'BMP P Tracking Table'!$Z295)*-'BMP P Tracking Table'!$AB295)))/(2*(149.919*'BMP P Tracking Table'!$W295+236.676*'BMP P Tracking Table'!$X295+726*'BMP P Tracking Table'!$Y295+996.798*'BMP P Tracking Table'!$Z295))))),"")</f>
        <v/>
      </c>
      <c r="AF295" s="101" t="str">
        <f>IFERROR((VLOOKUP(CONCATENATE('BMP P Tracking Table'!$T295," ",'BMP P Tracking Table'!$AC295),'Performance Curves'!$C$1:$L$45,MATCH('BMP P Tracking Table'!$AE295,'Performance Curves'!$E$1:$L$1,1)+2,FALSE)-VLOOKUP(CONCATENATE('BMP P Tracking Table'!$T295," ",'BMP P Tracking Table'!$AC295),'Performance Curves'!$C$1:$L$45,MATCH('BMP P Tracking Table'!$AE295,'Performance Curves'!$E$1:$L$1,1)+1,FALSE)),"")</f>
        <v/>
      </c>
      <c r="AG295" s="101" t="str">
        <f>IFERROR(('BMP P Tracking Table'!$AE295-INDEX('Performance Curves'!$E$1:$L$1,1,MATCH('BMP P Tracking Table'!$AE295,'Performance Curves'!$E$1:$L$1,1)))/(INDEX('Performance Curves'!$E$1:$L$1,1,MATCH('BMP P Tracking Table'!$AE295,'Performance Curves'!$E$1:$L$1,1)+1)-INDEX('Performance Curves'!$E$1:$L$1,1,MATCH('BMP P Tracking Table'!$AE295,'Performance Curves'!$E$1:$L$1,1))),"")</f>
        <v/>
      </c>
      <c r="AH295" s="102" t="str">
        <f>IFERROR(IF('BMP P Tracking Table'!$AE295=2,VLOOKUP(CONCATENATE('BMP P Tracking Table'!$T295," ",'BMP P Tracking Table'!$AC295),'Performance Curves'!$C$1:$L$45,MATCH('BMP P Tracking Table'!$AE295,'Performance Curves'!$E$1:$L$1,1)+1,FALSE),'BMP P Tracking Table'!$AF295*'BMP P Tracking Table'!$AG295+VLOOKUP(CONCATENATE('BMP P Tracking Table'!$T295," ",'BMP P Tracking Table'!$AC295),'Performance Curves'!$C$1:$L$45,MATCH('BMP P Tracking Table'!$AE295,'Performance Curves'!$E$1:$L$1,1)+1,FALSE)),"")</f>
        <v/>
      </c>
      <c r="AI295" s="101" t="str">
        <f>IFERROR('BMP P Tracking Table'!$AH295*'BMP P Tracking Table'!$AD295,"")</f>
        <v/>
      </c>
      <c r="AJ295" s="64"/>
      <c r="AK295" s="96"/>
      <c r="AL295" s="96"/>
      <c r="AM295" s="63"/>
      <c r="AN295" s="99" t="str">
        <f t="shared" si="20"/>
        <v/>
      </c>
      <c r="AO295" s="96"/>
      <c r="AP295" s="96"/>
      <c r="AQ295" s="96"/>
      <c r="AR295" s="96"/>
      <c r="AS295" s="96"/>
      <c r="AT295" s="96"/>
      <c r="AU295" s="96"/>
      <c r="AV295" s="64"/>
      <c r="AW295" s="97"/>
      <c r="AX295" s="97"/>
      <c r="AY295" s="101" t="str">
        <f>IF('BMP P Tracking Table'!$AK295="Yes",IF('BMP P Tracking Table'!$AL295="No",'BMP P Tracking Table'!$U295*VLOOKUP('BMP P Tracking Table'!$Q295,'Loading Rates'!$B$1:$L$24,4,FALSE)+IF('BMP P Tracking Table'!$V295="By HSG",'BMP P Tracking Table'!$W295*VLOOKUP('BMP P Tracking Table'!$Q295,'Loading Rates'!$B$1:$L$24,6,FALSE)+'BMP P Tracking Table'!$X295*VLOOKUP('BMP P Tracking Table'!$Q295,'Loading Rates'!$B$1:$L$24,7,FALSE)+'BMP P Tracking Table'!$Y295*VLOOKUP('BMP P Tracking Table'!$Q295,'Loading Rates'!$B$1:$L$24,8,FALSE)+'BMP P Tracking Table'!$Z295*VLOOKUP('BMP P Tracking Table'!$Q295,'Loading Rates'!$B$1:$L$24,9,FALSE),'BMP P Tracking Table'!$AA295*VLOOKUP('BMP P Tracking Table'!$Q295,'Loading Rates'!$B$1:$L$24,10,FALSE)),'BMP P Tracking Table'!$AO295*VLOOKUP('BMP P Tracking Table'!$Q295,'Loading Rates'!$B$1:$L$24,4,FALSE)+IF('BMP P Tracking Table'!$AP295="By HSG",'BMP P Tracking Table'!$AQ295*VLOOKUP('BMP P Tracking Table'!$Q295,'Loading Rates'!$B$1:$L$24,6,FALSE)+'BMP P Tracking Table'!$AR295*VLOOKUP('BMP P Tracking Table'!$Q295,'Loading Rates'!$B$1:$L$24,7,FALSE)+'BMP P Tracking Table'!$AS295*VLOOKUP('BMP P Tracking Table'!$Q295,'Loading Rates'!$B$1:$L$24,8,FALSE)+'BMP P Tracking Table'!$AT295*VLOOKUP('BMP P Tracking Table'!$Q295,'Loading Rates'!$B$1:$L$24,9,FALSE),'BMP P Tracking Table'!$AU295*VLOOKUP('BMP P Tracking Table'!$Q295,'Loading Rates'!$B$1:$L$24,10,FALSE))),"")</f>
        <v/>
      </c>
      <c r="AZ295" s="101" t="str">
        <f>IFERROR(IF('BMP P Tracking Table'!$AL295="Yes",MIN(2,IF('BMP P Tracking Table'!$AP295="Total Pervious",(-(3630*'BMP P Tracking Table'!$AO295+20.691*'BMP P Tracking Table'!$AU295)+SQRT((3630*'BMP P Tracking Table'!$AO295+20.691*'BMP P Tracking Table'!$AU295)^2-(4*(996.798*'BMP P Tracking Table'!$AU295)*-'BMP P Tracking Table'!$AW295)))/(2*(996.798*'BMP P Tracking Table'!$AU295)),IF(SUM('BMP P Tracking Table'!$AQ295:$AT295)=0,'BMP P Tracking Table'!$AU295/(-3630*'BMP P Tracking Table'!$AO295),(-(3630*'BMP P Tracking Table'!$AO295+20.691*'BMP P Tracking Table'!$AT295-216.711*'BMP P Tracking Table'!$AS295-83.853*'BMP P Tracking Table'!$AR295-42.834*'BMP P Tracking Table'!$AQ295)+SQRT((3630*'BMP P Tracking Table'!$AO295+20.691*'BMP P Tracking Table'!$AT295-216.711*'BMP P Tracking Table'!$AS295-83.853*'BMP P Tracking Table'!$AR295-42.834*'BMP P Tracking Table'!$AQ295)^2-(4*(149.919*'BMP P Tracking Table'!$AQ295+236.676*'BMP P Tracking Table'!$AR295+726*'BMP P Tracking Table'!$AS295+996.798*'BMP P Tracking Table'!$AT295)*-'BMP P Tracking Table'!$AW295)))/(2*(149.919*'BMP P Tracking Table'!$AQ295+236.676*'BMP P Tracking Table'!$AR295+726*'BMP P Tracking Table'!$AS295+996.798*'BMP P Tracking Table'!$AT295))))),MIN(2,IF('BMP P Tracking Table'!$AP295="Total Pervious",(-(3630*'BMP P Tracking Table'!$U295+20.691*'BMP P Tracking Table'!$AA295)+SQRT((3630*'BMP P Tracking Table'!$U295+20.691*'BMP P Tracking Table'!$AA295)^2-(4*(996.798*'BMP P Tracking Table'!$AA295)*-'BMP P Tracking Table'!$AW295)))/(2*(996.798*'BMP P Tracking Table'!$AA295)),IF(SUM('BMP P Tracking Table'!$W295:$Z295)=0,'BMP P Tracking Table'!$AW295/(-3630*'BMP P Tracking Table'!$U295),(-(3630*'BMP P Tracking Table'!$U295+20.691*'BMP P Tracking Table'!$Z295-216.711*'BMP P Tracking Table'!$Y295-83.853*'BMP P Tracking Table'!$X295-42.834*'BMP P Tracking Table'!$W295)+SQRT((3630*'BMP P Tracking Table'!$U295+20.691*'BMP P Tracking Table'!$Z295-216.711*'BMP P Tracking Table'!$Y295-83.853*'BMP P Tracking Table'!$X295-42.834*'BMP P Tracking Table'!$W295)^2-(4*(149.919*'BMP P Tracking Table'!$W295+236.676*'BMP P Tracking Table'!$X295+726*'BMP P Tracking Table'!$Y295+996.798*'BMP P Tracking Table'!$Z295)*-'BMP P Tracking Table'!$AW295)))/(2*(149.919*'BMP P Tracking Table'!$W295+236.676*'BMP P Tracking Table'!$X295+726*'BMP P Tracking Table'!$Y295+996.798*'BMP P Tracking Table'!$Z295)))))),"")</f>
        <v/>
      </c>
      <c r="BA295" s="101" t="str">
        <f>IFERROR((VLOOKUP(CONCATENATE('BMP P Tracking Table'!$AV295," ",'BMP P Tracking Table'!$AX295),'Performance Curves'!$C$1:$L$45,MATCH('BMP P Tracking Table'!$AZ295,'Performance Curves'!$E$1:$L$1,1)+2,FALSE)-VLOOKUP(CONCATENATE('BMP P Tracking Table'!$AV295," ",'BMP P Tracking Table'!$AX295),'Performance Curves'!$C$1:$L$45,MATCH('BMP P Tracking Table'!$AZ295,'Performance Curves'!$E$1:$L$1,1)+1,FALSE)),"")</f>
        <v/>
      </c>
      <c r="BB295" s="101" t="str">
        <f>IFERROR(('BMP P Tracking Table'!$AZ295-INDEX('Performance Curves'!$E$1:$L$1,1,MATCH('BMP P Tracking Table'!$AZ295,'Performance Curves'!$E$1:$L$1,1)))/(INDEX('Performance Curves'!$E$1:$L$1,1,MATCH('BMP P Tracking Table'!$AZ295,'Performance Curves'!$E$1:$L$1,1)+1)-INDEX('Performance Curves'!$E$1:$L$1,1,MATCH('BMP P Tracking Table'!$AZ295,'Performance Curves'!$E$1:$L$1,1))),"")</f>
        <v/>
      </c>
      <c r="BC295" s="102" t="str">
        <f>IFERROR(IF('BMP P Tracking Table'!$AZ295=2,VLOOKUP(CONCATENATE('BMP P Tracking Table'!$AV295," ",'BMP P Tracking Table'!$AX295),'Performance Curves'!$C$1:$L$44,MATCH('BMP P Tracking Table'!$AZ295,'Performance Curves'!$E$1:$L$1,1)+1,FALSE),'BMP P Tracking Table'!$BA295*'BMP P Tracking Table'!$BB295+VLOOKUP(CONCATENATE('BMP P Tracking Table'!$AV295," ",'BMP P Tracking Table'!$AX295),'Performance Curves'!$C$1:$L$44,MATCH('BMP P Tracking Table'!$AZ295,'Performance Curves'!$E$1:$L$1,1)+1,FALSE)),"")</f>
        <v/>
      </c>
      <c r="BD295" s="101" t="str">
        <f>IFERROR('BMP P Tracking Table'!$BC295*'BMP P Tracking Table'!$AY295,"")</f>
        <v/>
      </c>
      <c r="BE295" s="96"/>
      <c r="BF295" s="37">
        <f t="shared" si="21"/>
        <v>0</v>
      </c>
    </row>
    <row r="296" spans="1:58" x14ac:dyDescent="0.3">
      <c r="A296" s="64"/>
      <c r="B296" s="64"/>
      <c r="C296" s="64"/>
      <c r="D296" s="64"/>
      <c r="E296" s="93"/>
      <c r="F296" s="93"/>
      <c r="G296" s="64"/>
      <c r="H296" s="64"/>
      <c r="I296" s="64"/>
      <c r="J296" s="94"/>
      <c r="K296" s="64"/>
      <c r="L296" s="64"/>
      <c r="M296" s="64"/>
      <c r="N296" s="64"/>
      <c r="O296" s="64"/>
      <c r="P296" s="64"/>
      <c r="Q296" s="64" t="str">
        <f>IFERROR(VLOOKUP('BMP P Tracking Table'!$P296,Dropdowns!$C$2:$E$15,3,FALSE),"")</f>
        <v/>
      </c>
      <c r="R296" s="64" t="str">
        <f>IFERROR(VLOOKUP('BMP P Tracking Table'!$Q296,Dropdowns!$P$3:$Q$23,2,FALSE),"")</f>
        <v/>
      </c>
      <c r="S296" s="64"/>
      <c r="T296" s="64"/>
      <c r="U296" s="64"/>
      <c r="V296" s="64"/>
      <c r="W296" s="64"/>
      <c r="X296" s="64"/>
      <c r="Y296" s="64"/>
      <c r="Z296" s="64"/>
      <c r="AA296" s="64"/>
      <c r="AB296" s="95"/>
      <c r="AC296" s="64"/>
      <c r="AD296" s="101" t="str">
        <f>IFERROR('BMP P Tracking Table'!$U296*VLOOKUP('BMP P Tracking Table'!$Q296,'Loading Rates'!$B$1:$L$24,4,FALSE)+IF('BMP P Tracking Table'!$V296="By HSG",'BMP P Tracking Table'!$W296*VLOOKUP('BMP P Tracking Table'!$Q296,'Loading Rates'!$B$1:$L$24,6,FALSE)+'BMP P Tracking Table'!$X296*VLOOKUP('BMP P Tracking Table'!$Q296,'Loading Rates'!$B$1:$L$24,7,FALSE)+'BMP P Tracking Table'!$Y296*VLOOKUP('BMP P Tracking Table'!$Q296,'Loading Rates'!$B$1:$L$24,8,FALSE)+'BMP P Tracking Table'!$Z296*VLOOKUP('BMP P Tracking Table'!$Q296,'Loading Rates'!$B$1:$L$24,9,FALSE),'BMP P Tracking Table'!$AA296*VLOOKUP('BMP P Tracking Table'!$Q296,'Loading Rates'!$B$1:$L$24,10,FALSE)),"")</f>
        <v/>
      </c>
      <c r="AE296" s="101" t="str">
        <f>IFERROR(MIN(2,IF('BMP P Tracking Table'!$V296="Total Pervious",(-(3630*'BMP P Tracking Table'!$U296+20.691*'BMP P Tracking Table'!$AA296)+SQRT((3630*'BMP P Tracking Table'!$U296+20.691*'BMP P Tracking Table'!$AA296)^2-(4*(996.798*'BMP P Tracking Table'!$AA296)*-'BMP P Tracking Table'!$AB296)))/(2*(996.798*'BMP P Tracking Table'!$AA296)),IF(SUM('BMP P Tracking Table'!$W296:$Z296)=0,'BMP P Tracking Table'!$AB296/(-3630*'BMP P Tracking Table'!$U296),(-(3630*'BMP P Tracking Table'!$U296+20.691*'BMP P Tracking Table'!$Z296-216.711*'BMP P Tracking Table'!$Y296-83.853*'BMP P Tracking Table'!$X296-42.834*'BMP P Tracking Table'!$W296)+SQRT((3630*'BMP P Tracking Table'!$U296+20.691*'BMP P Tracking Table'!$Z296-216.711*'BMP P Tracking Table'!$Y296-83.853*'BMP P Tracking Table'!$X296-42.834*'BMP P Tracking Table'!$W296)^2-(4*(149.919*'BMP P Tracking Table'!$W296+236.676*'BMP P Tracking Table'!$X296+726*'BMP P Tracking Table'!$Y296+996.798*'BMP P Tracking Table'!$Z296)*-'BMP P Tracking Table'!$AB296)))/(2*(149.919*'BMP P Tracking Table'!$W296+236.676*'BMP P Tracking Table'!$X296+726*'BMP P Tracking Table'!$Y296+996.798*'BMP P Tracking Table'!$Z296))))),"")</f>
        <v/>
      </c>
      <c r="AF296" s="101" t="str">
        <f>IFERROR((VLOOKUP(CONCATENATE('BMP P Tracking Table'!$T296," ",'BMP P Tracking Table'!$AC296),'Performance Curves'!$C$1:$L$45,MATCH('BMP P Tracking Table'!$AE296,'Performance Curves'!$E$1:$L$1,1)+2,FALSE)-VLOOKUP(CONCATENATE('BMP P Tracking Table'!$T296," ",'BMP P Tracking Table'!$AC296),'Performance Curves'!$C$1:$L$45,MATCH('BMP P Tracking Table'!$AE296,'Performance Curves'!$E$1:$L$1,1)+1,FALSE)),"")</f>
        <v/>
      </c>
      <c r="AG296" s="101" t="str">
        <f>IFERROR(('BMP P Tracking Table'!$AE296-INDEX('Performance Curves'!$E$1:$L$1,1,MATCH('BMP P Tracking Table'!$AE296,'Performance Curves'!$E$1:$L$1,1)))/(INDEX('Performance Curves'!$E$1:$L$1,1,MATCH('BMP P Tracking Table'!$AE296,'Performance Curves'!$E$1:$L$1,1)+1)-INDEX('Performance Curves'!$E$1:$L$1,1,MATCH('BMP P Tracking Table'!$AE296,'Performance Curves'!$E$1:$L$1,1))),"")</f>
        <v/>
      </c>
      <c r="AH296" s="102" t="str">
        <f>IFERROR(IF('BMP P Tracking Table'!$AE296=2,VLOOKUP(CONCATENATE('BMP P Tracking Table'!$T296," ",'BMP P Tracking Table'!$AC296),'Performance Curves'!$C$1:$L$45,MATCH('BMP P Tracking Table'!$AE296,'Performance Curves'!$E$1:$L$1,1)+1,FALSE),'BMP P Tracking Table'!$AF296*'BMP P Tracking Table'!$AG296+VLOOKUP(CONCATENATE('BMP P Tracking Table'!$T296," ",'BMP P Tracking Table'!$AC296),'Performance Curves'!$C$1:$L$45,MATCH('BMP P Tracking Table'!$AE296,'Performance Curves'!$E$1:$L$1,1)+1,FALSE)),"")</f>
        <v/>
      </c>
      <c r="AI296" s="101" t="str">
        <f>IFERROR('BMP P Tracking Table'!$AH296*'BMP P Tracking Table'!$AD296,"")</f>
        <v/>
      </c>
      <c r="AJ296" s="64"/>
      <c r="AK296" s="96"/>
      <c r="AL296" s="96"/>
      <c r="AM296" s="63"/>
      <c r="AN296" s="99" t="str">
        <f t="shared" si="20"/>
        <v/>
      </c>
      <c r="AO296" s="96"/>
      <c r="AP296" s="96"/>
      <c r="AQ296" s="96"/>
      <c r="AR296" s="96"/>
      <c r="AS296" s="96"/>
      <c r="AT296" s="96"/>
      <c r="AU296" s="96"/>
      <c r="AV296" s="64"/>
      <c r="AW296" s="97"/>
      <c r="AX296" s="97"/>
      <c r="AY296" s="101" t="str">
        <f>IF('BMP P Tracking Table'!$AK296="Yes",IF('BMP P Tracking Table'!$AL296="No",'BMP P Tracking Table'!$U296*VLOOKUP('BMP P Tracking Table'!$Q296,'Loading Rates'!$B$1:$L$24,4,FALSE)+IF('BMP P Tracking Table'!$V296="By HSG",'BMP P Tracking Table'!$W296*VLOOKUP('BMP P Tracking Table'!$Q296,'Loading Rates'!$B$1:$L$24,6,FALSE)+'BMP P Tracking Table'!$X296*VLOOKUP('BMP P Tracking Table'!$Q296,'Loading Rates'!$B$1:$L$24,7,FALSE)+'BMP P Tracking Table'!$Y296*VLOOKUP('BMP P Tracking Table'!$Q296,'Loading Rates'!$B$1:$L$24,8,FALSE)+'BMP P Tracking Table'!$Z296*VLOOKUP('BMP P Tracking Table'!$Q296,'Loading Rates'!$B$1:$L$24,9,FALSE),'BMP P Tracking Table'!$AA296*VLOOKUP('BMP P Tracking Table'!$Q296,'Loading Rates'!$B$1:$L$24,10,FALSE)),'BMP P Tracking Table'!$AO296*VLOOKUP('BMP P Tracking Table'!$Q296,'Loading Rates'!$B$1:$L$24,4,FALSE)+IF('BMP P Tracking Table'!$AP296="By HSG",'BMP P Tracking Table'!$AQ296*VLOOKUP('BMP P Tracking Table'!$Q296,'Loading Rates'!$B$1:$L$24,6,FALSE)+'BMP P Tracking Table'!$AR296*VLOOKUP('BMP P Tracking Table'!$Q296,'Loading Rates'!$B$1:$L$24,7,FALSE)+'BMP P Tracking Table'!$AS296*VLOOKUP('BMP P Tracking Table'!$Q296,'Loading Rates'!$B$1:$L$24,8,FALSE)+'BMP P Tracking Table'!$AT296*VLOOKUP('BMP P Tracking Table'!$Q296,'Loading Rates'!$B$1:$L$24,9,FALSE),'BMP P Tracking Table'!$AU296*VLOOKUP('BMP P Tracking Table'!$Q296,'Loading Rates'!$B$1:$L$24,10,FALSE))),"")</f>
        <v/>
      </c>
      <c r="AZ296" s="101" t="str">
        <f>IFERROR(IF('BMP P Tracking Table'!$AL296="Yes",MIN(2,IF('BMP P Tracking Table'!$AP296="Total Pervious",(-(3630*'BMP P Tracking Table'!$AO296+20.691*'BMP P Tracking Table'!$AU296)+SQRT((3630*'BMP P Tracking Table'!$AO296+20.691*'BMP P Tracking Table'!$AU296)^2-(4*(996.798*'BMP P Tracking Table'!$AU296)*-'BMP P Tracking Table'!$AW296)))/(2*(996.798*'BMP P Tracking Table'!$AU296)),IF(SUM('BMP P Tracking Table'!$AQ296:$AT296)=0,'BMP P Tracking Table'!$AU296/(-3630*'BMP P Tracking Table'!$AO296),(-(3630*'BMP P Tracking Table'!$AO296+20.691*'BMP P Tracking Table'!$AT296-216.711*'BMP P Tracking Table'!$AS296-83.853*'BMP P Tracking Table'!$AR296-42.834*'BMP P Tracking Table'!$AQ296)+SQRT((3630*'BMP P Tracking Table'!$AO296+20.691*'BMP P Tracking Table'!$AT296-216.711*'BMP P Tracking Table'!$AS296-83.853*'BMP P Tracking Table'!$AR296-42.834*'BMP P Tracking Table'!$AQ296)^2-(4*(149.919*'BMP P Tracking Table'!$AQ296+236.676*'BMP P Tracking Table'!$AR296+726*'BMP P Tracking Table'!$AS296+996.798*'BMP P Tracking Table'!$AT296)*-'BMP P Tracking Table'!$AW296)))/(2*(149.919*'BMP P Tracking Table'!$AQ296+236.676*'BMP P Tracking Table'!$AR296+726*'BMP P Tracking Table'!$AS296+996.798*'BMP P Tracking Table'!$AT296))))),MIN(2,IF('BMP P Tracking Table'!$AP296="Total Pervious",(-(3630*'BMP P Tracking Table'!$U296+20.691*'BMP P Tracking Table'!$AA296)+SQRT((3630*'BMP P Tracking Table'!$U296+20.691*'BMP P Tracking Table'!$AA296)^2-(4*(996.798*'BMP P Tracking Table'!$AA296)*-'BMP P Tracking Table'!$AW296)))/(2*(996.798*'BMP P Tracking Table'!$AA296)),IF(SUM('BMP P Tracking Table'!$W296:$Z296)=0,'BMP P Tracking Table'!$AW296/(-3630*'BMP P Tracking Table'!$U296),(-(3630*'BMP P Tracking Table'!$U296+20.691*'BMP P Tracking Table'!$Z296-216.711*'BMP P Tracking Table'!$Y296-83.853*'BMP P Tracking Table'!$X296-42.834*'BMP P Tracking Table'!$W296)+SQRT((3630*'BMP P Tracking Table'!$U296+20.691*'BMP P Tracking Table'!$Z296-216.711*'BMP P Tracking Table'!$Y296-83.853*'BMP P Tracking Table'!$X296-42.834*'BMP P Tracking Table'!$W296)^2-(4*(149.919*'BMP P Tracking Table'!$W296+236.676*'BMP P Tracking Table'!$X296+726*'BMP P Tracking Table'!$Y296+996.798*'BMP P Tracking Table'!$Z296)*-'BMP P Tracking Table'!$AW296)))/(2*(149.919*'BMP P Tracking Table'!$W296+236.676*'BMP P Tracking Table'!$X296+726*'BMP P Tracking Table'!$Y296+996.798*'BMP P Tracking Table'!$Z296)))))),"")</f>
        <v/>
      </c>
      <c r="BA296" s="101" t="str">
        <f>IFERROR((VLOOKUP(CONCATENATE('BMP P Tracking Table'!$AV296," ",'BMP P Tracking Table'!$AX296),'Performance Curves'!$C$1:$L$45,MATCH('BMP P Tracking Table'!$AZ296,'Performance Curves'!$E$1:$L$1,1)+2,FALSE)-VLOOKUP(CONCATENATE('BMP P Tracking Table'!$AV296," ",'BMP P Tracking Table'!$AX296),'Performance Curves'!$C$1:$L$45,MATCH('BMP P Tracking Table'!$AZ296,'Performance Curves'!$E$1:$L$1,1)+1,FALSE)),"")</f>
        <v/>
      </c>
      <c r="BB296" s="101" t="str">
        <f>IFERROR(('BMP P Tracking Table'!$AZ296-INDEX('Performance Curves'!$E$1:$L$1,1,MATCH('BMP P Tracking Table'!$AZ296,'Performance Curves'!$E$1:$L$1,1)))/(INDEX('Performance Curves'!$E$1:$L$1,1,MATCH('BMP P Tracking Table'!$AZ296,'Performance Curves'!$E$1:$L$1,1)+1)-INDEX('Performance Curves'!$E$1:$L$1,1,MATCH('BMP P Tracking Table'!$AZ296,'Performance Curves'!$E$1:$L$1,1))),"")</f>
        <v/>
      </c>
      <c r="BC296" s="102" t="str">
        <f>IFERROR(IF('BMP P Tracking Table'!$AZ296=2,VLOOKUP(CONCATENATE('BMP P Tracking Table'!$AV296," ",'BMP P Tracking Table'!$AX296),'Performance Curves'!$C$1:$L$44,MATCH('BMP P Tracking Table'!$AZ296,'Performance Curves'!$E$1:$L$1,1)+1,FALSE),'BMP P Tracking Table'!$BA296*'BMP P Tracking Table'!$BB296+VLOOKUP(CONCATENATE('BMP P Tracking Table'!$AV296," ",'BMP P Tracking Table'!$AX296),'Performance Curves'!$C$1:$L$44,MATCH('BMP P Tracking Table'!$AZ296,'Performance Curves'!$E$1:$L$1,1)+1,FALSE)),"")</f>
        <v/>
      </c>
      <c r="BD296" s="101" t="str">
        <f>IFERROR('BMP P Tracking Table'!$BC296*'BMP P Tracking Table'!$AY296,"")</f>
        <v/>
      </c>
      <c r="BE296" s="91"/>
      <c r="BF296" s="37">
        <f t="shared" si="21"/>
        <v>0</v>
      </c>
    </row>
    <row r="297" spans="1:58" x14ac:dyDescent="0.3">
      <c r="A297" s="64"/>
      <c r="B297" s="64"/>
      <c r="C297" s="64"/>
      <c r="D297" s="64"/>
      <c r="E297" s="93"/>
      <c r="F297" s="93"/>
      <c r="G297" s="64"/>
      <c r="H297" s="64"/>
      <c r="I297" s="64"/>
      <c r="J297" s="94"/>
      <c r="K297" s="64"/>
      <c r="L297" s="64"/>
      <c r="M297" s="64"/>
      <c r="N297" s="64"/>
      <c r="O297" s="64"/>
      <c r="P297" s="64"/>
      <c r="Q297" s="64" t="str">
        <f>IFERROR(VLOOKUP('BMP P Tracking Table'!$P297,Dropdowns!$C$2:$E$15,3,FALSE),"")</f>
        <v/>
      </c>
      <c r="R297" s="64" t="str">
        <f>IFERROR(VLOOKUP('BMP P Tracking Table'!$Q297,Dropdowns!$P$3:$Q$23,2,FALSE),"")</f>
        <v/>
      </c>
      <c r="S297" s="64"/>
      <c r="T297" s="64"/>
      <c r="U297" s="64"/>
      <c r="V297" s="64"/>
      <c r="W297" s="64"/>
      <c r="X297" s="64"/>
      <c r="Y297" s="64"/>
      <c r="Z297" s="64"/>
      <c r="AA297" s="64"/>
      <c r="AB297" s="95"/>
      <c r="AC297" s="64"/>
      <c r="AD297" s="101" t="str">
        <f>IFERROR('BMP P Tracking Table'!$U297*VLOOKUP('BMP P Tracking Table'!$Q297,'Loading Rates'!$B$1:$L$24,4,FALSE)+IF('BMP P Tracking Table'!$V297="By HSG",'BMP P Tracking Table'!$W297*VLOOKUP('BMP P Tracking Table'!$Q297,'Loading Rates'!$B$1:$L$24,6,FALSE)+'BMP P Tracking Table'!$X297*VLOOKUP('BMP P Tracking Table'!$Q297,'Loading Rates'!$B$1:$L$24,7,FALSE)+'BMP P Tracking Table'!$Y297*VLOOKUP('BMP P Tracking Table'!$Q297,'Loading Rates'!$B$1:$L$24,8,FALSE)+'BMP P Tracking Table'!$Z297*VLOOKUP('BMP P Tracking Table'!$Q297,'Loading Rates'!$B$1:$L$24,9,FALSE),'BMP P Tracking Table'!$AA297*VLOOKUP('BMP P Tracking Table'!$Q297,'Loading Rates'!$B$1:$L$24,10,FALSE)),"")</f>
        <v/>
      </c>
      <c r="AE297" s="101" t="str">
        <f>IFERROR(MIN(2,IF('BMP P Tracking Table'!$V297="Total Pervious",(-(3630*'BMP P Tracking Table'!$U297+20.691*'BMP P Tracking Table'!$AA297)+SQRT((3630*'BMP P Tracking Table'!$U297+20.691*'BMP P Tracking Table'!$AA297)^2-(4*(996.798*'BMP P Tracking Table'!$AA297)*-'BMP P Tracking Table'!$AB297)))/(2*(996.798*'BMP P Tracking Table'!$AA297)),IF(SUM('BMP P Tracking Table'!$W297:$Z297)=0,'BMP P Tracking Table'!$AB297/(-3630*'BMP P Tracking Table'!$U297),(-(3630*'BMP P Tracking Table'!$U297+20.691*'BMP P Tracking Table'!$Z297-216.711*'BMP P Tracking Table'!$Y297-83.853*'BMP P Tracking Table'!$X297-42.834*'BMP P Tracking Table'!$W297)+SQRT((3630*'BMP P Tracking Table'!$U297+20.691*'BMP P Tracking Table'!$Z297-216.711*'BMP P Tracking Table'!$Y297-83.853*'BMP P Tracking Table'!$X297-42.834*'BMP P Tracking Table'!$W297)^2-(4*(149.919*'BMP P Tracking Table'!$W297+236.676*'BMP P Tracking Table'!$X297+726*'BMP P Tracking Table'!$Y297+996.798*'BMP P Tracking Table'!$Z297)*-'BMP P Tracking Table'!$AB297)))/(2*(149.919*'BMP P Tracking Table'!$W297+236.676*'BMP P Tracking Table'!$X297+726*'BMP P Tracking Table'!$Y297+996.798*'BMP P Tracking Table'!$Z297))))),"")</f>
        <v/>
      </c>
      <c r="AF297" s="101" t="str">
        <f>IFERROR((VLOOKUP(CONCATENATE('BMP P Tracking Table'!$T297," ",'BMP P Tracking Table'!$AC297),'Performance Curves'!$C$1:$L$45,MATCH('BMP P Tracking Table'!$AE297,'Performance Curves'!$E$1:$L$1,1)+2,FALSE)-VLOOKUP(CONCATENATE('BMP P Tracking Table'!$T297," ",'BMP P Tracking Table'!$AC297),'Performance Curves'!$C$1:$L$45,MATCH('BMP P Tracking Table'!$AE297,'Performance Curves'!$E$1:$L$1,1)+1,FALSE)),"")</f>
        <v/>
      </c>
      <c r="AG297" s="101" t="str">
        <f>IFERROR(('BMP P Tracking Table'!$AE297-INDEX('Performance Curves'!$E$1:$L$1,1,MATCH('BMP P Tracking Table'!$AE297,'Performance Curves'!$E$1:$L$1,1)))/(INDEX('Performance Curves'!$E$1:$L$1,1,MATCH('BMP P Tracking Table'!$AE297,'Performance Curves'!$E$1:$L$1,1)+1)-INDEX('Performance Curves'!$E$1:$L$1,1,MATCH('BMP P Tracking Table'!$AE297,'Performance Curves'!$E$1:$L$1,1))),"")</f>
        <v/>
      </c>
      <c r="AH297" s="102" t="str">
        <f>IFERROR(IF('BMP P Tracking Table'!$AE297=2,VLOOKUP(CONCATENATE('BMP P Tracking Table'!$T297," ",'BMP P Tracking Table'!$AC297),'Performance Curves'!$C$1:$L$45,MATCH('BMP P Tracking Table'!$AE297,'Performance Curves'!$E$1:$L$1,1)+1,FALSE),'BMP P Tracking Table'!$AF297*'BMP P Tracking Table'!$AG297+VLOOKUP(CONCATENATE('BMP P Tracking Table'!$T297," ",'BMP P Tracking Table'!$AC297),'Performance Curves'!$C$1:$L$45,MATCH('BMP P Tracking Table'!$AE297,'Performance Curves'!$E$1:$L$1,1)+1,FALSE)),"")</f>
        <v/>
      </c>
      <c r="AI297" s="101" t="str">
        <f>IFERROR('BMP P Tracking Table'!$AH297*'BMP P Tracking Table'!$AD297,"")</f>
        <v/>
      </c>
      <c r="AJ297" s="64"/>
      <c r="AK297" s="96"/>
      <c r="AL297" s="96"/>
      <c r="AM297" s="63"/>
      <c r="AN297" s="99" t="str">
        <f t="shared" si="20"/>
        <v/>
      </c>
      <c r="AO297" s="96"/>
      <c r="AP297" s="96"/>
      <c r="AQ297" s="96"/>
      <c r="AR297" s="96"/>
      <c r="AS297" s="96"/>
      <c r="AT297" s="96"/>
      <c r="AU297" s="96"/>
      <c r="AV297" s="64"/>
      <c r="AW297" s="97"/>
      <c r="AX297" s="97"/>
      <c r="AY297" s="101" t="str">
        <f>IF('BMP P Tracking Table'!$AK297="Yes",IF('BMP P Tracking Table'!$AL297="No",'BMP P Tracking Table'!$U297*VLOOKUP('BMP P Tracking Table'!$Q297,'Loading Rates'!$B$1:$L$24,4,FALSE)+IF('BMP P Tracking Table'!$V297="By HSG",'BMP P Tracking Table'!$W297*VLOOKUP('BMP P Tracking Table'!$Q297,'Loading Rates'!$B$1:$L$24,6,FALSE)+'BMP P Tracking Table'!$X297*VLOOKUP('BMP P Tracking Table'!$Q297,'Loading Rates'!$B$1:$L$24,7,FALSE)+'BMP P Tracking Table'!$Y297*VLOOKUP('BMP P Tracking Table'!$Q297,'Loading Rates'!$B$1:$L$24,8,FALSE)+'BMP P Tracking Table'!$Z297*VLOOKUP('BMP P Tracking Table'!$Q297,'Loading Rates'!$B$1:$L$24,9,FALSE),'BMP P Tracking Table'!$AA297*VLOOKUP('BMP P Tracking Table'!$Q297,'Loading Rates'!$B$1:$L$24,10,FALSE)),'BMP P Tracking Table'!$AO297*VLOOKUP('BMP P Tracking Table'!$Q297,'Loading Rates'!$B$1:$L$24,4,FALSE)+IF('BMP P Tracking Table'!$AP297="By HSG",'BMP P Tracking Table'!$AQ297*VLOOKUP('BMP P Tracking Table'!$Q297,'Loading Rates'!$B$1:$L$24,6,FALSE)+'BMP P Tracking Table'!$AR297*VLOOKUP('BMP P Tracking Table'!$Q297,'Loading Rates'!$B$1:$L$24,7,FALSE)+'BMP P Tracking Table'!$AS297*VLOOKUP('BMP P Tracking Table'!$Q297,'Loading Rates'!$B$1:$L$24,8,FALSE)+'BMP P Tracking Table'!$AT297*VLOOKUP('BMP P Tracking Table'!$Q297,'Loading Rates'!$B$1:$L$24,9,FALSE),'BMP P Tracking Table'!$AU297*VLOOKUP('BMP P Tracking Table'!$Q297,'Loading Rates'!$B$1:$L$24,10,FALSE))),"")</f>
        <v/>
      </c>
      <c r="AZ297" s="101" t="str">
        <f>IFERROR(IF('BMP P Tracking Table'!$AL297="Yes",MIN(2,IF('BMP P Tracking Table'!$AP297="Total Pervious",(-(3630*'BMP P Tracking Table'!$AO297+20.691*'BMP P Tracking Table'!$AU297)+SQRT((3630*'BMP P Tracking Table'!$AO297+20.691*'BMP P Tracking Table'!$AU297)^2-(4*(996.798*'BMP P Tracking Table'!$AU297)*-'BMP P Tracking Table'!$AW297)))/(2*(996.798*'BMP P Tracking Table'!$AU297)),IF(SUM('BMP P Tracking Table'!$AQ297:$AT297)=0,'BMP P Tracking Table'!$AU297/(-3630*'BMP P Tracking Table'!$AO297),(-(3630*'BMP P Tracking Table'!$AO297+20.691*'BMP P Tracking Table'!$AT297-216.711*'BMP P Tracking Table'!$AS297-83.853*'BMP P Tracking Table'!$AR297-42.834*'BMP P Tracking Table'!$AQ297)+SQRT((3630*'BMP P Tracking Table'!$AO297+20.691*'BMP P Tracking Table'!$AT297-216.711*'BMP P Tracking Table'!$AS297-83.853*'BMP P Tracking Table'!$AR297-42.834*'BMP P Tracking Table'!$AQ297)^2-(4*(149.919*'BMP P Tracking Table'!$AQ297+236.676*'BMP P Tracking Table'!$AR297+726*'BMP P Tracking Table'!$AS297+996.798*'BMP P Tracking Table'!$AT297)*-'BMP P Tracking Table'!$AW297)))/(2*(149.919*'BMP P Tracking Table'!$AQ297+236.676*'BMP P Tracking Table'!$AR297+726*'BMP P Tracking Table'!$AS297+996.798*'BMP P Tracking Table'!$AT297))))),MIN(2,IF('BMP P Tracking Table'!$AP297="Total Pervious",(-(3630*'BMP P Tracking Table'!$U297+20.691*'BMP P Tracking Table'!$AA297)+SQRT((3630*'BMP P Tracking Table'!$U297+20.691*'BMP P Tracking Table'!$AA297)^2-(4*(996.798*'BMP P Tracking Table'!$AA297)*-'BMP P Tracking Table'!$AW297)))/(2*(996.798*'BMP P Tracking Table'!$AA297)),IF(SUM('BMP P Tracking Table'!$W297:$Z297)=0,'BMP P Tracking Table'!$AW297/(-3630*'BMP P Tracking Table'!$U297),(-(3630*'BMP P Tracking Table'!$U297+20.691*'BMP P Tracking Table'!$Z297-216.711*'BMP P Tracking Table'!$Y297-83.853*'BMP P Tracking Table'!$X297-42.834*'BMP P Tracking Table'!$W297)+SQRT((3630*'BMP P Tracking Table'!$U297+20.691*'BMP P Tracking Table'!$Z297-216.711*'BMP P Tracking Table'!$Y297-83.853*'BMP P Tracking Table'!$X297-42.834*'BMP P Tracking Table'!$W297)^2-(4*(149.919*'BMP P Tracking Table'!$W297+236.676*'BMP P Tracking Table'!$X297+726*'BMP P Tracking Table'!$Y297+996.798*'BMP P Tracking Table'!$Z297)*-'BMP P Tracking Table'!$AW297)))/(2*(149.919*'BMP P Tracking Table'!$W297+236.676*'BMP P Tracking Table'!$X297+726*'BMP P Tracking Table'!$Y297+996.798*'BMP P Tracking Table'!$Z297)))))),"")</f>
        <v/>
      </c>
      <c r="BA297" s="101" t="str">
        <f>IFERROR((VLOOKUP(CONCATENATE('BMP P Tracking Table'!$AV297," ",'BMP P Tracking Table'!$AX297),'Performance Curves'!$C$1:$L$45,MATCH('BMP P Tracking Table'!$AZ297,'Performance Curves'!$E$1:$L$1,1)+2,FALSE)-VLOOKUP(CONCATENATE('BMP P Tracking Table'!$AV297," ",'BMP P Tracking Table'!$AX297),'Performance Curves'!$C$1:$L$45,MATCH('BMP P Tracking Table'!$AZ297,'Performance Curves'!$E$1:$L$1,1)+1,FALSE)),"")</f>
        <v/>
      </c>
      <c r="BB297" s="101" t="str">
        <f>IFERROR(('BMP P Tracking Table'!$AZ297-INDEX('Performance Curves'!$E$1:$L$1,1,MATCH('BMP P Tracking Table'!$AZ297,'Performance Curves'!$E$1:$L$1,1)))/(INDEX('Performance Curves'!$E$1:$L$1,1,MATCH('BMP P Tracking Table'!$AZ297,'Performance Curves'!$E$1:$L$1,1)+1)-INDEX('Performance Curves'!$E$1:$L$1,1,MATCH('BMP P Tracking Table'!$AZ297,'Performance Curves'!$E$1:$L$1,1))),"")</f>
        <v/>
      </c>
      <c r="BC297" s="102" t="str">
        <f>IFERROR(IF('BMP P Tracking Table'!$AZ297=2,VLOOKUP(CONCATENATE('BMP P Tracking Table'!$AV297," ",'BMP P Tracking Table'!$AX297),'Performance Curves'!$C$1:$L$44,MATCH('BMP P Tracking Table'!$AZ297,'Performance Curves'!$E$1:$L$1,1)+1,FALSE),'BMP P Tracking Table'!$BA297*'BMP P Tracking Table'!$BB297+VLOOKUP(CONCATENATE('BMP P Tracking Table'!$AV297," ",'BMP P Tracking Table'!$AX297),'Performance Curves'!$C$1:$L$44,MATCH('BMP P Tracking Table'!$AZ297,'Performance Curves'!$E$1:$L$1,1)+1,FALSE)),"")</f>
        <v/>
      </c>
      <c r="BD297" s="101" t="str">
        <f>IFERROR('BMP P Tracking Table'!$BC297*'BMP P Tracking Table'!$AY297,"")</f>
        <v/>
      </c>
      <c r="BE297" s="96"/>
      <c r="BF297" s="37">
        <f t="shared" si="21"/>
        <v>0</v>
      </c>
    </row>
    <row r="298" spans="1:58" x14ac:dyDescent="0.3">
      <c r="A298" s="64"/>
      <c r="B298" s="64"/>
      <c r="C298" s="64"/>
      <c r="D298" s="64"/>
      <c r="E298" s="93"/>
      <c r="F298" s="93"/>
      <c r="G298" s="64"/>
      <c r="H298" s="64"/>
      <c r="I298" s="64"/>
      <c r="J298" s="94"/>
      <c r="K298" s="64"/>
      <c r="L298" s="64"/>
      <c r="M298" s="64"/>
      <c r="N298" s="64"/>
      <c r="O298" s="64"/>
      <c r="P298" s="64"/>
      <c r="Q298" s="64" t="str">
        <f>IFERROR(VLOOKUP('BMP P Tracking Table'!$P298,Dropdowns!$C$2:$E$15,3,FALSE),"")</f>
        <v/>
      </c>
      <c r="R298" s="64" t="str">
        <f>IFERROR(VLOOKUP('BMP P Tracking Table'!$Q298,Dropdowns!$P$3:$Q$23,2,FALSE),"")</f>
        <v/>
      </c>
      <c r="S298" s="64"/>
      <c r="T298" s="64"/>
      <c r="U298" s="64"/>
      <c r="V298" s="64"/>
      <c r="W298" s="64"/>
      <c r="X298" s="64"/>
      <c r="Y298" s="64"/>
      <c r="Z298" s="64"/>
      <c r="AA298" s="64"/>
      <c r="AB298" s="95"/>
      <c r="AC298" s="64"/>
      <c r="AD298" s="101" t="str">
        <f>IFERROR('BMP P Tracking Table'!$U298*VLOOKUP('BMP P Tracking Table'!$Q298,'Loading Rates'!$B$1:$L$24,4,FALSE)+IF('BMP P Tracking Table'!$V298="By HSG",'BMP P Tracking Table'!$W298*VLOOKUP('BMP P Tracking Table'!$Q298,'Loading Rates'!$B$1:$L$24,6,FALSE)+'BMP P Tracking Table'!$X298*VLOOKUP('BMP P Tracking Table'!$Q298,'Loading Rates'!$B$1:$L$24,7,FALSE)+'BMP P Tracking Table'!$Y298*VLOOKUP('BMP P Tracking Table'!$Q298,'Loading Rates'!$B$1:$L$24,8,FALSE)+'BMP P Tracking Table'!$Z298*VLOOKUP('BMP P Tracking Table'!$Q298,'Loading Rates'!$B$1:$L$24,9,FALSE),'BMP P Tracking Table'!$AA298*VLOOKUP('BMP P Tracking Table'!$Q298,'Loading Rates'!$B$1:$L$24,10,FALSE)),"")</f>
        <v/>
      </c>
      <c r="AE298" s="101" t="str">
        <f>IFERROR(MIN(2,IF('BMP P Tracking Table'!$V298="Total Pervious",(-(3630*'BMP P Tracking Table'!$U298+20.691*'BMP P Tracking Table'!$AA298)+SQRT((3630*'BMP P Tracking Table'!$U298+20.691*'BMP P Tracking Table'!$AA298)^2-(4*(996.798*'BMP P Tracking Table'!$AA298)*-'BMP P Tracking Table'!$AB298)))/(2*(996.798*'BMP P Tracking Table'!$AA298)),IF(SUM('BMP P Tracking Table'!$W298:$Z298)=0,'BMP P Tracking Table'!$AB298/(-3630*'BMP P Tracking Table'!$U298),(-(3630*'BMP P Tracking Table'!$U298+20.691*'BMP P Tracking Table'!$Z298-216.711*'BMP P Tracking Table'!$Y298-83.853*'BMP P Tracking Table'!$X298-42.834*'BMP P Tracking Table'!$W298)+SQRT((3630*'BMP P Tracking Table'!$U298+20.691*'BMP P Tracking Table'!$Z298-216.711*'BMP P Tracking Table'!$Y298-83.853*'BMP P Tracking Table'!$X298-42.834*'BMP P Tracking Table'!$W298)^2-(4*(149.919*'BMP P Tracking Table'!$W298+236.676*'BMP P Tracking Table'!$X298+726*'BMP P Tracking Table'!$Y298+996.798*'BMP P Tracking Table'!$Z298)*-'BMP P Tracking Table'!$AB298)))/(2*(149.919*'BMP P Tracking Table'!$W298+236.676*'BMP P Tracking Table'!$X298+726*'BMP P Tracking Table'!$Y298+996.798*'BMP P Tracking Table'!$Z298))))),"")</f>
        <v/>
      </c>
      <c r="AF298" s="101" t="str">
        <f>IFERROR((VLOOKUP(CONCATENATE('BMP P Tracking Table'!$T298," ",'BMP P Tracking Table'!$AC298),'Performance Curves'!$C$1:$L$45,MATCH('BMP P Tracking Table'!$AE298,'Performance Curves'!$E$1:$L$1,1)+2,FALSE)-VLOOKUP(CONCATENATE('BMP P Tracking Table'!$T298," ",'BMP P Tracking Table'!$AC298),'Performance Curves'!$C$1:$L$45,MATCH('BMP P Tracking Table'!$AE298,'Performance Curves'!$E$1:$L$1,1)+1,FALSE)),"")</f>
        <v/>
      </c>
      <c r="AG298" s="101" t="str">
        <f>IFERROR(('BMP P Tracking Table'!$AE298-INDEX('Performance Curves'!$E$1:$L$1,1,MATCH('BMP P Tracking Table'!$AE298,'Performance Curves'!$E$1:$L$1,1)))/(INDEX('Performance Curves'!$E$1:$L$1,1,MATCH('BMP P Tracking Table'!$AE298,'Performance Curves'!$E$1:$L$1,1)+1)-INDEX('Performance Curves'!$E$1:$L$1,1,MATCH('BMP P Tracking Table'!$AE298,'Performance Curves'!$E$1:$L$1,1))),"")</f>
        <v/>
      </c>
      <c r="AH298" s="102" t="str">
        <f>IFERROR(IF('BMP P Tracking Table'!$AE298=2,VLOOKUP(CONCATENATE('BMP P Tracking Table'!$T298," ",'BMP P Tracking Table'!$AC298),'Performance Curves'!$C$1:$L$45,MATCH('BMP P Tracking Table'!$AE298,'Performance Curves'!$E$1:$L$1,1)+1,FALSE),'BMP P Tracking Table'!$AF298*'BMP P Tracking Table'!$AG298+VLOOKUP(CONCATENATE('BMP P Tracking Table'!$T298," ",'BMP P Tracking Table'!$AC298),'Performance Curves'!$C$1:$L$45,MATCH('BMP P Tracking Table'!$AE298,'Performance Curves'!$E$1:$L$1,1)+1,FALSE)),"")</f>
        <v/>
      </c>
      <c r="AI298" s="101" t="str">
        <f>IFERROR('BMP P Tracking Table'!$AH298*'BMP P Tracking Table'!$AD298,"")</f>
        <v/>
      </c>
      <c r="AJ298" s="64"/>
      <c r="AK298" s="96"/>
      <c r="AL298" s="96"/>
      <c r="AM298" s="63"/>
      <c r="AN298" s="99" t="str">
        <f t="shared" si="20"/>
        <v/>
      </c>
      <c r="AO298" s="96"/>
      <c r="AP298" s="96"/>
      <c r="AQ298" s="96"/>
      <c r="AR298" s="96"/>
      <c r="AS298" s="96"/>
      <c r="AT298" s="96"/>
      <c r="AU298" s="96"/>
      <c r="AV298" s="64"/>
      <c r="AW298" s="97"/>
      <c r="AX298" s="97"/>
      <c r="AY298" s="101" t="str">
        <f>IF('BMP P Tracking Table'!$AK298="Yes",IF('BMP P Tracking Table'!$AL298="No",'BMP P Tracking Table'!$U298*VLOOKUP('BMP P Tracking Table'!$Q298,'Loading Rates'!$B$1:$L$24,4,FALSE)+IF('BMP P Tracking Table'!$V298="By HSG",'BMP P Tracking Table'!$W298*VLOOKUP('BMP P Tracking Table'!$Q298,'Loading Rates'!$B$1:$L$24,6,FALSE)+'BMP P Tracking Table'!$X298*VLOOKUP('BMP P Tracking Table'!$Q298,'Loading Rates'!$B$1:$L$24,7,FALSE)+'BMP P Tracking Table'!$Y298*VLOOKUP('BMP P Tracking Table'!$Q298,'Loading Rates'!$B$1:$L$24,8,FALSE)+'BMP P Tracking Table'!$Z298*VLOOKUP('BMP P Tracking Table'!$Q298,'Loading Rates'!$B$1:$L$24,9,FALSE),'BMP P Tracking Table'!$AA298*VLOOKUP('BMP P Tracking Table'!$Q298,'Loading Rates'!$B$1:$L$24,10,FALSE)),'BMP P Tracking Table'!$AO298*VLOOKUP('BMP P Tracking Table'!$Q298,'Loading Rates'!$B$1:$L$24,4,FALSE)+IF('BMP P Tracking Table'!$AP298="By HSG",'BMP P Tracking Table'!$AQ298*VLOOKUP('BMP P Tracking Table'!$Q298,'Loading Rates'!$B$1:$L$24,6,FALSE)+'BMP P Tracking Table'!$AR298*VLOOKUP('BMP P Tracking Table'!$Q298,'Loading Rates'!$B$1:$L$24,7,FALSE)+'BMP P Tracking Table'!$AS298*VLOOKUP('BMP P Tracking Table'!$Q298,'Loading Rates'!$B$1:$L$24,8,FALSE)+'BMP P Tracking Table'!$AT298*VLOOKUP('BMP P Tracking Table'!$Q298,'Loading Rates'!$B$1:$L$24,9,FALSE),'BMP P Tracking Table'!$AU298*VLOOKUP('BMP P Tracking Table'!$Q298,'Loading Rates'!$B$1:$L$24,10,FALSE))),"")</f>
        <v/>
      </c>
      <c r="AZ298" s="101" t="str">
        <f>IFERROR(IF('BMP P Tracking Table'!$AL298="Yes",MIN(2,IF('BMP P Tracking Table'!$AP298="Total Pervious",(-(3630*'BMP P Tracking Table'!$AO298+20.691*'BMP P Tracking Table'!$AU298)+SQRT((3630*'BMP P Tracking Table'!$AO298+20.691*'BMP P Tracking Table'!$AU298)^2-(4*(996.798*'BMP P Tracking Table'!$AU298)*-'BMP P Tracking Table'!$AW298)))/(2*(996.798*'BMP P Tracking Table'!$AU298)),IF(SUM('BMP P Tracking Table'!$AQ298:$AT298)=0,'BMP P Tracking Table'!$AU298/(-3630*'BMP P Tracking Table'!$AO298),(-(3630*'BMP P Tracking Table'!$AO298+20.691*'BMP P Tracking Table'!$AT298-216.711*'BMP P Tracking Table'!$AS298-83.853*'BMP P Tracking Table'!$AR298-42.834*'BMP P Tracking Table'!$AQ298)+SQRT((3630*'BMP P Tracking Table'!$AO298+20.691*'BMP P Tracking Table'!$AT298-216.711*'BMP P Tracking Table'!$AS298-83.853*'BMP P Tracking Table'!$AR298-42.834*'BMP P Tracking Table'!$AQ298)^2-(4*(149.919*'BMP P Tracking Table'!$AQ298+236.676*'BMP P Tracking Table'!$AR298+726*'BMP P Tracking Table'!$AS298+996.798*'BMP P Tracking Table'!$AT298)*-'BMP P Tracking Table'!$AW298)))/(2*(149.919*'BMP P Tracking Table'!$AQ298+236.676*'BMP P Tracking Table'!$AR298+726*'BMP P Tracking Table'!$AS298+996.798*'BMP P Tracking Table'!$AT298))))),MIN(2,IF('BMP P Tracking Table'!$AP298="Total Pervious",(-(3630*'BMP P Tracking Table'!$U298+20.691*'BMP P Tracking Table'!$AA298)+SQRT((3630*'BMP P Tracking Table'!$U298+20.691*'BMP P Tracking Table'!$AA298)^2-(4*(996.798*'BMP P Tracking Table'!$AA298)*-'BMP P Tracking Table'!$AW298)))/(2*(996.798*'BMP P Tracking Table'!$AA298)),IF(SUM('BMP P Tracking Table'!$W298:$Z298)=0,'BMP P Tracking Table'!$AW298/(-3630*'BMP P Tracking Table'!$U298),(-(3630*'BMP P Tracking Table'!$U298+20.691*'BMP P Tracking Table'!$Z298-216.711*'BMP P Tracking Table'!$Y298-83.853*'BMP P Tracking Table'!$X298-42.834*'BMP P Tracking Table'!$W298)+SQRT((3630*'BMP P Tracking Table'!$U298+20.691*'BMP P Tracking Table'!$Z298-216.711*'BMP P Tracking Table'!$Y298-83.853*'BMP P Tracking Table'!$X298-42.834*'BMP P Tracking Table'!$W298)^2-(4*(149.919*'BMP P Tracking Table'!$W298+236.676*'BMP P Tracking Table'!$X298+726*'BMP P Tracking Table'!$Y298+996.798*'BMP P Tracking Table'!$Z298)*-'BMP P Tracking Table'!$AW298)))/(2*(149.919*'BMP P Tracking Table'!$W298+236.676*'BMP P Tracking Table'!$X298+726*'BMP P Tracking Table'!$Y298+996.798*'BMP P Tracking Table'!$Z298)))))),"")</f>
        <v/>
      </c>
      <c r="BA298" s="101" t="str">
        <f>IFERROR((VLOOKUP(CONCATENATE('BMP P Tracking Table'!$AV298," ",'BMP P Tracking Table'!$AX298),'Performance Curves'!$C$1:$L$45,MATCH('BMP P Tracking Table'!$AZ298,'Performance Curves'!$E$1:$L$1,1)+2,FALSE)-VLOOKUP(CONCATENATE('BMP P Tracking Table'!$AV298," ",'BMP P Tracking Table'!$AX298),'Performance Curves'!$C$1:$L$45,MATCH('BMP P Tracking Table'!$AZ298,'Performance Curves'!$E$1:$L$1,1)+1,FALSE)),"")</f>
        <v/>
      </c>
      <c r="BB298" s="101" t="str">
        <f>IFERROR(('BMP P Tracking Table'!$AZ298-INDEX('Performance Curves'!$E$1:$L$1,1,MATCH('BMP P Tracking Table'!$AZ298,'Performance Curves'!$E$1:$L$1,1)))/(INDEX('Performance Curves'!$E$1:$L$1,1,MATCH('BMP P Tracking Table'!$AZ298,'Performance Curves'!$E$1:$L$1,1)+1)-INDEX('Performance Curves'!$E$1:$L$1,1,MATCH('BMP P Tracking Table'!$AZ298,'Performance Curves'!$E$1:$L$1,1))),"")</f>
        <v/>
      </c>
      <c r="BC298" s="102" t="str">
        <f>IFERROR(IF('BMP P Tracking Table'!$AZ298=2,VLOOKUP(CONCATENATE('BMP P Tracking Table'!$AV298," ",'BMP P Tracking Table'!$AX298),'Performance Curves'!$C$1:$L$44,MATCH('BMP P Tracking Table'!$AZ298,'Performance Curves'!$E$1:$L$1,1)+1,FALSE),'BMP P Tracking Table'!$BA298*'BMP P Tracking Table'!$BB298+VLOOKUP(CONCATENATE('BMP P Tracking Table'!$AV298," ",'BMP P Tracking Table'!$AX298),'Performance Curves'!$C$1:$L$44,MATCH('BMP P Tracking Table'!$AZ298,'Performance Curves'!$E$1:$L$1,1)+1,FALSE)),"")</f>
        <v/>
      </c>
      <c r="BD298" s="101" t="str">
        <f>IFERROR('BMP P Tracking Table'!$BC298*'BMP P Tracking Table'!$AY298,"")</f>
        <v/>
      </c>
      <c r="BE298" s="96"/>
      <c r="BF298" s="37">
        <f t="shared" si="21"/>
        <v>0</v>
      </c>
    </row>
    <row r="299" spans="1:58" x14ac:dyDescent="0.3">
      <c r="A299" s="64"/>
      <c r="B299" s="64"/>
      <c r="C299" s="64"/>
      <c r="D299" s="64"/>
      <c r="E299" s="93"/>
      <c r="F299" s="93"/>
      <c r="G299" s="64"/>
      <c r="H299" s="64"/>
      <c r="I299" s="64"/>
      <c r="J299" s="94"/>
      <c r="K299" s="64"/>
      <c r="L299" s="64"/>
      <c r="M299" s="64"/>
      <c r="N299" s="64"/>
      <c r="O299" s="64"/>
      <c r="P299" s="64"/>
      <c r="Q299" s="64" t="str">
        <f>IFERROR(VLOOKUP('BMP P Tracking Table'!$P299,Dropdowns!$C$2:$E$15,3,FALSE),"")</f>
        <v/>
      </c>
      <c r="R299" s="64" t="str">
        <f>IFERROR(VLOOKUP('BMP P Tracking Table'!$Q299,Dropdowns!$P$3:$Q$23,2,FALSE),"")</f>
        <v/>
      </c>
      <c r="S299" s="64"/>
      <c r="T299" s="64"/>
      <c r="U299" s="64"/>
      <c r="V299" s="64"/>
      <c r="W299" s="64"/>
      <c r="X299" s="64"/>
      <c r="Y299" s="64"/>
      <c r="Z299" s="64"/>
      <c r="AA299" s="64"/>
      <c r="AB299" s="95"/>
      <c r="AC299" s="64"/>
      <c r="AD299" s="101" t="str">
        <f>IFERROR('BMP P Tracking Table'!$U299*VLOOKUP('BMP P Tracking Table'!$Q299,'Loading Rates'!$B$1:$L$24,4,FALSE)+IF('BMP P Tracking Table'!$V299="By HSG",'BMP P Tracking Table'!$W299*VLOOKUP('BMP P Tracking Table'!$Q299,'Loading Rates'!$B$1:$L$24,6,FALSE)+'BMP P Tracking Table'!$X299*VLOOKUP('BMP P Tracking Table'!$Q299,'Loading Rates'!$B$1:$L$24,7,FALSE)+'BMP P Tracking Table'!$Y299*VLOOKUP('BMP P Tracking Table'!$Q299,'Loading Rates'!$B$1:$L$24,8,FALSE)+'BMP P Tracking Table'!$Z299*VLOOKUP('BMP P Tracking Table'!$Q299,'Loading Rates'!$B$1:$L$24,9,FALSE),'BMP P Tracking Table'!$AA299*VLOOKUP('BMP P Tracking Table'!$Q299,'Loading Rates'!$B$1:$L$24,10,FALSE)),"")</f>
        <v/>
      </c>
      <c r="AE299" s="101" t="str">
        <f>IFERROR(MIN(2,IF('BMP P Tracking Table'!$V299="Total Pervious",(-(3630*'BMP P Tracking Table'!$U299+20.691*'BMP P Tracking Table'!$AA299)+SQRT((3630*'BMP P Tracking Table'!$U299+20.691*'BMP P Tracking Table'!$AA299)^2-(4*(996.798*'BMP P Tracking Table'!$AA299)*-'BMP P Tracking Table'!$AB299)))/(2*(996.798*'BMP P Tracking Table'!$AA299)),IF(SUM('BMP P Tracking Table'!$W299:$Z299)=0,'BMP P Tracking Table'!$AB299/(-3630*'BMP P Tracking Table'!$U299),(-(3630*'BMP P Tracking Table'!$U299+20.691*'BMP P Tracking Table'!$Z299-216.711*'BMP P Tracking Table'!$Y299-83.853*'BMP P Tracking Table'!$X299-42.834*'BMP P Tracking Table'!$W299)+SQRT((3630*'BMP P Tracking Table'!$U299+20.691*'BMP P Tracking Table'!$Z299-216.711*'BMP P Tracking Table'!$Y299-83.853*'BMP P Tracking Table'!$X299-42.834*'BMP P Tracking Table'!$W299)^2-(4*(149.919*'BMP P Tracking Table'!$W299+236.676*'BMP P Tracking Table'!$X299+726*'BMP P Tracking Table'!$Y299+996.798*'BMP P Tracking Table'!$Z299)*-'BMP P Tracking Table'!$AB299)))/(2*(149.919*'BMP P Tracking Table'!$W299+236.676*'BMP P Tracking Table'!$X299+726*'BMP P Tracking Table'!$Y299+996.798*'BMP P Tracking Table'!$Z299))))),"")</f>
        <v/>
      </c>
      <c r="AF299" s="101" t="str">
        <f>IFERROR((VLOOKUP(CONCATENATE('BMP P Tracking Table'!$T299," ",'BMP P Tracking Table'!$AC299),'Performance Curves'!$C$1:$L$45,MATCH('BMP P Tracking Table'!$AE299,'Performance Curves'!$E$1:$L$1,1)+2,FALSE)-VLOOKUP(CONCATENATE('BMP P Tracking Table'!$T299," ",'BMP P Tracking Table'!$AC299),'Performance Curves'!$C$1:$L$45,MATCH('BMP P Tracking Table'!$AE299,'Performance Curves'!$E$1:$L$1,1)+1,FALSE)),"")</f>
        <v/>
      </c>
      <c r="AG299" s="101" t="str">
        <f>IFERROR(('BMP P Tracking Table'!$AE299-INDEX('Performance Curves'!$E$1:$L$1,1,MATCH('BMP P Tracking Table'!$AE299,'Performance Curves'!$E$1:$L$1,1)))/(INDEX('Performance Curves'!$E$1:$L$1,1,MATCH('BMP P Tracking Table'!$AE299,'Performance Curves'!$E$1:$L$1,1)+1)-INDEX('Performance Curves'!$E$1:$L$1,1,MATCH('BMP P Tracking Table'!$AE299,'Performance Curves'!$E$1:$L$1,1))),"")</f>
        <v/>
      </c>
      <c r="AH299" s="102" t="str">
        <f>IFERROR(IF('BMP P Tracking Table'!$AE299=2,VLOOKUP(CONCATENATE('BMP P Tracking Table'!$T299," ",'BMP P Tracking Table'!$AC299),'Performance Curves'!$C$1:$L$45,MATCH('BMP P Tracking Table'!$AE299,'Performance Curves'!$E$1:$L$1,1)+1,FALSE),'BMP P Tracking Table'!$AF299*'BMP P Tracking Table'!$AG299+VLOOKUP(CONCATENATE('BMP P Tracking Table'!$T299," ",'BMP P Tracking Table'!$AC299),'Performance Curves'!$C$1:$L$45,MATCH('BMP P Tracking Table'!$AE299,'Performance Curves'!$E$1:$L$1,1)+1,FALSE)),"")</f>
        <v/>
      </c>
      <c r="AI299" s="101" t="str">
        <f>IFERROR('BMP P Tracking Table'!$AH299*'BMP P Tracking Table'!$AD299,"")</f>
        <v/>
      </c>
      <c r="AJ299" s="64"/>
      <c r="AK299" s="96"/>
      <c r="AL299" s="96"/>
      <c r="AM299" s="63"/>
      <c r="AN299" s="99" t="str">
        <f t="shared" si="20"/>
        <v/>
      </c>
      <c r="AO299" s="96"/>
      <c r="AP299" s="96"/>
      <c r="AQ299" s="96"/>
      <c r="AR299" s="96"/>
      <c r="AS299" s="96"/>
      <c r="AT299" s="96"/>
      <c r="AU299" s="96"/>
      <c r="AV299" s="64"/>
      <c r="AW299" s="97"/>
      <c r="AX299" s="97"/>
      <c r="AY299" s="101" t="str">
        <f>IF('BMP P Tracking Table'!$AK299="Yes",IF('BMP P Tracking Table'!$AL299="No",'BMP P Tracking Table'!$U299*VLOOKUP('BMP P Tracking Table'!$Q299,'Loading Rates'!$B$1:$L$24,4,FALSE)+IF('BMP P Tracking Table'!$V299="By HSG",'BMP P Tracking Table'!$W299*VLOOKUP('BMP P Tracking Table'!$Q299,'Loading Rates'!$B$1:$L$24,6,FALSE)+'BMP P Tracking Table'!$X299*VLOOKUP('BMP P Tracking Table'!$Q299,'Loading Rates'!$B$1:$L$24,7,FALSE)+'BMP P Tracking Table'!$Y299*VLOOKUP('BMP P Tracking Table'!$Q299,'Loading Rates'!$B$1:$L$24,8,FALSE)+'BMP P Tracking Table'!$Z299*VLOOKUP('BMP P Tracking Table'!$Q299,'Loading Rates'!$B$1:$L$24,9,FALSE),'BMP P Tracking Table'!$AA299*VLOOKUP('BMP P Tracking Table'!$Q299,'Loading Rates'!$B$1:$L$24,10,FALSE)),'BMP P Tracking Table'!$AO299*VLOOKUP('BMP P Tracking Table'!$Q299,'Loading Rates'!$B$1:$L$24,4,FALSE)+IF('BMP P Tracking Table'!$AP299="By HSG",'BMP P Tracking Table'!$AQ299*VLOOKUP('BMP P Tracking Table'!$Q299,'Loading Rates'!$B$1:$L$24,6,FALSE)+'BMP P Tracking Table'!$AR299*VLOOKUP('BMP P Tracking Table'!$Q299,'Loading Rates'!$B$1:$L$24,7,FALSE)+'BMP P Tracking Table'!$AS299*VLOOKUP('BMP P Tracking Table'!$Q299,'Loading Rates'!$B$1:$L$24,8,FALSE)+'BMP P Tracking Table'!$AT299*VLOOKUP('BMP P Tracking Table'!$Q299,'Loading Rates'!$B$1:$L$24,9,FALSE),'BMP P Tracking Table'!$AU299*VLOOKUP('BMP P Tracking Table'!$Q299,'Loading Rates'!$B$1:$L$24,10,FALSE))),"")</f>
        <v/>
      </c>
      <c r="AZ299" s="101" t="str">
        <f>IFERROR(IF('BMP P Tracking Table'!$AL299="Yes",MIN(2,IF('BMP P Tracking Table'!$AP299="Total Pervious",(-(3630*'BMP P Tracking Table'!$AO299+20.691*'BMP P Tracking Table'!$AU299)+SQRT((3630*'BMP P Tracking Table'!$AO299+20.691*'BMP P Tracking Table'!$AU299)^2-(4*(996.798*'BMP P Tracking Table'!$AU299)*-'BMP P Tracking Table'!$AW299)))/(2*(996.798*'BMP P Tracking Table'!$AU299)),IF(SUM('BMP P Tracking Table'!$AQ299:$AT299)=0,'BMP P Tracking Table'!$AU299/(-3630*'BMP P Tracking Table'!$AO299),(-(3630*'BMP P Tracking Table'!$AO299+20.691*'BMP P Tracking Table'!$AT299-216.711*'BMP P Tracking Table'!$AS299-83.853*'BMP P Tracking Table'!$AR299-42.834*'BMP P Tracking Table'!$AQ299)+SQRT((3630*'BMP P Tracking Table'!$AO299+20.691*'BMP P Tracking Table'!$AT299-216.711*'BMP P Tracking Table'!$AS299-83.853*'BMP P Tracking Table'!$AR299-42.834*'BMP P Tracking Table'!$AQ299)^2-(4*(149.919*'BMP P Tracking Table'!$AQ299+236.676*'BMP P Tracking Table'!$AR299+726*'BMP P Tracking Table'!$AS299+996.798*'BMP P Tracking Table'!$AT299)*-'BMP P Tracking Table'!$AW299)))/(2*(149.919*'BMP P Tracking Table'!$AQ299+236.676*'BMP P Tracking Table'!$AR299+726*'BMP P Tracking Table'!$AS299+996.798*'BMP P Tracking Table'!$AT299))))),MIN(2,IF('BMP P Tracking Table'!$AP299="Total Pervious",(-(3630*'BMP P Tracking Table'!$U299+20.691*'BMP P Tracking Table'!$AA299)+SQRT((3630*'BMP P Tracking Table'!$U299+20.691*'BMP P Tracking Table'!$AA299)^2-(4*(996.798*'BMP P Tracking Table'!$AA299)*-'BMP P Tracking Table'!$AW299)))/(2*(996.798*'BMP P Tracking Table'!$AA299)),IF(SUM('BMP P Tracking Table'!$W299:$Z299)=0,'BMP P Tracking Table'!$AW299/(-3630*'BMP P Tracking Table'!$U299),(-(3630*'BMP P Tracking Table'!$U299+20.691*'BMP P Tracking Table'!$Z299-216.711*'BMP P Tracking Table'!$Y299-83.853*'BMP P Tracking Table'!$X299-42.834*'BMP P Tracking Table'!$W299)+SQRT((3630*'BMP P Tracking Table'!$U299+20.691*'BMP P Tracking Table'!$Z299-216.711*'BMP P Tracking Table'!$Y299-83.853*'BMP P Tracking Table'!$X299-42.834*'BMP P Tracking Table'!$W299)^2-(4*(149.919*'BMP P Tracking Table'!$W299+236.676*'BMP P Tracking Table'!$X299+726*'BMP P Tracking Table'!$Y299+996.798*'BMP P Tracking Table'!$Z299)*-'BMP P Tracking Table'!$AW299)))/(2*(149.919*'BMP P Tracking Table'!$W299+236.676*'BMP P Tracking Table'!$X299+726*'BMP P Tracking Table'!$Y299+996.798*'BMP P Tracking Table'!$Z299)))))),"")</f>
        <v/>
      </c>
      <c r="BA299" s="101" t="str">
        <f>IFERROR((VLOOKUP(CONCATENATE('BMP P Tracking Table'!$AV299," ",'BMP P Tracking Table'!$AX299),'Performance Curves'!$C$1:$L$45,MATCH('BMP P Tracking Table'!$AZ299,'Performance Curves'!$E$1:$L$1,1)+2,FALSE)-VLOOKUP(CONCATENATE('BMP P Tracking Table'!$AV299," ",'BMP P Tracking Table'!$AX299),'Performance Curves'!$C$1:$L$45,MATCH('BMP P Tracking Table'!$AZ299,'Performance Curves'!$E$1:$L$1,1)+1,FALSE)),"")</f>
        <v/>
      </c>
      <c r="BB299" s="101" t="str">
        <f>IFERROR(('BMP P Tracking Table'!$AZ299-INDEX('Performance Curves'!$E$1:$L$1,1,MATCH('BMP P Tracking Table'!$AZ299,'Performance Curves'!$E$1:$L$1,1)))/(INDEX('Performance Curves'!$E$1:$L$1,1,MATCH('BMP P Tracking Table'!$AZ299,'Performance Curves'!$E$1:$L$1,1)+1)-INDEX('Performance Curves'!$E$1:$L$1,1,MATCH('BMP P Tracking Table'!$AZ299,'Performance Curves'!$E$1:$L$1,1))),"")</f>
        <v/>
      </c>
      <c r="BC299" s="102" t="str">
        <f>IFERROR(IF('BMP P Tracking Table'!$AZ299=2,VLOOKUP(CONCATENATE('BMP P Tracking Table'!$AV299," ",'BMP P Tracking Table'!$AX299),'Performance Curves'!$C$1:$L$44,MATCH('BMP P Tracking Table'!$AZ299,'Performance Curves'!$E$1:$L$1,1)+1,FALSE),'BMP P Tracking Table'!$BA299*'BMP P Tracking Table'!$BB299+VLOOKUP(CONCATENATE('BMP P Tracking Table'!$AV299," ",'BMP P Tracking Table'!$AX299),'Performance Curves'!$C$1:$L$44,MATCH('BMP P Tracking Table'!$AZ299,'Performance Curves'!$E$1:$L$1,1)+1,FALSE)),"")</f>
        <v/>
      </c>
      <c r="BD299" s="101" t="str">
        <f>IFERROR('BMP P Tracking Table'!$BC299*'BMP P Tracking Table'!$AY299,"")</f>
        <v/>
      </c>
      <c r="BE299" s="96"/>
      <c r="BF299" s="37">
        <f t="shared" si="21"/>
        <v>0</v>
      </c>
    </row>
    <row r="300" spans="1:58" x14ac:dyDescent="0.3">
      <c r="A300" s="64"/>
      <c r="B300" s="64"/>
      <c r="C300" s="64"/>
      <c r="D300" s="64"/>
      <c r="E300" s="93"/>
      <c r="F300" s="93"/>
      <c r="G300" s="64"/>
      <c r="H300" s="64"/>
      <c r="I300" s="64"/>
      <c r="J300" s="94"/>
      <c r="K300" s="64"/>
      <c r="L300" s="64"/>
      <c r="M300" s="64"/>
      <c r="N300" s="64"/>
      <c r="O300" s="64"/>
      <c r="P300" s="64"/>
      <c r="Q300" s="64" t="str">
        <f>IFERROR(VLOOKUP('BMP P Tracking Table'!$P300,Dropdowns!$C$2:$E$15,3,FALSE),"")</f>
        <v/>
      </c>
      <c r="R300" s="64" t="str">
        <f>IFERROR(VLOOKUP('BMP P Tracking Table'!$Q300,Dropdowns!$P$3:$Q$23,2,FALSE),"")</f>
        <v/>
      </c>
      <c r="S300" s="64"/>
      <c r="T300" s="64"/>
      <c r="U300" s="64"/>
      <c r="V300" s="64"/>
      <c r="W300" s="64"/>
      <c r="X300" s="64"/>
      <c r="Y300" s="64"/>
      <c r="Z300" s="64"/>
      <c r="AA300" s="64"/>
      <c r="AB300" s="95"/>
      <c r="AC300" s="64"/>
      <c r="AD300" s="101" t="str">
        <f>IFERROR('BMP P Tracking Table'!$U300*VLOOKUP('BMP P Tracking Table'!$Q300,'Loading Rates'!$B$1:$L$24,4,FALSE)+IF('BMP P Tracking Table'!$V300="By HSG",'BMP P Tracking Table'!$W300*VLOOKUP('BMP P Tracking Table'!$Q300,'Loading Rates'!$B$1:$L$24,6,FALSE)+'BMP P Tracking Table'!$X300*VLOOKUP('BMP P Tracking Table'!$Q300,'Loading Rates'!$B$1:$L$24,7,FALSE)+'BMP P Tracking Table'!$Y300*VLOOKUP('BMP P Tracking Table'!$Q300,'Loading Rates'!$B$1:$L$24,8,FALSE)+'BMP P Tracking Table'!$Z300*VLOOKUP('BMP P Tracking Table'!$Q300,'Loading Rates'!$B$1:$L$24,9,FALSE),'BMP P Tracking Table'!$AA300*VLOOKUP('BMP P Tracking Table'!$Q300,'Loading Rates'!$B$1:$L$24,10,FALSE)),"")</f>
        <v/>
      </c>
      <c r="AE300" s="101" t="str">
        <f>IFERROR(MIN(2,IF('BMP P Tracking Table'!$V300="Total Pervious",(-(3630*'BMP P Tracking Table'!$U300+20.691*'BMP P Tracking Table'!$AA300)+SQRT((3630*'BMP P Tracking Table'!$U300+20.691*'BMP P Tracking Table'!$AA300)^2-(4*(996.798*'BMP P Tracking Table'!$AA300)*-'BMP P Tracking Table'!$AB300)))/(2*(996.798*'BMP P Tracking Table'!$AA300)),IF(SUM('BMP P Tracking Table'!$W300:$Z300)=0,'BMP P Tracking Table'!$AB300/(-3630*'BMP P Tracking Table'!$U300),(-(3630*'BMP P Tracking Table'!$U300+20.691*'BMP P Tracking Table'!$Z300-216.711*'BMP P Tracking Table'!$Y300-83.853*'BMP P Tracking Table'!$X300-42.834*'BMP P Tracking Table'!$W300)+SQRT((3630*'BMP P Tracking Table'!$U300+20.691*'BMP P Tracking Table'!$Z300-216.711*'BMP P Tracking Table'!$Y300-83.853*'BMP P Tracking Table'!$X300-42.834*'BMP P Tracking Table'!$W300)^2-(4*(149.919*'BMP P Tracking Table'!$W300+236.676*'BMP P Tracking Table'!$X300+726*'BMP P Tracking Table'!$Y300+996.798*'BMP P Tracking Table'!$Z300)*-'BMP P Tracking Table'!$AB300)))/(2*(149.919*'BMP P Tracking Table'!$W300+236.676*'BMP P Tracking Table'!$X300+726*'BMP P Tracking Table'!$Y300+996.798*'BMP P Tracking Table'!$Z300))))),"")</f>
        <v/>
      </c>
      <c r="AF300" s="101" t="str">
        <f>IFERROR((VLOOKUP(CONCATENATE('BMP P Tracking Table'!$T300," ",'BMP P Tracking Table'!$AC300),'Performance Curves'!$C$1:$L$45,MATCH('BMP P Tracking Table'!$AE300,'Performance Curves'!$E$1:$L$1,1)+2,FALSE)-VLOOKUP(CONCATENATE('BMP P Tracking Table'!$T300," ",'BMP P Tracking Table'!$AC300),'Performance Curves'!$C$1:$L$45,MATCH('BMP P Tracking Table'!$AE300,'Performance Curves'!$E$1:$L$1,1)+1,FALSE)),"")</f>
        <v/>
      </c>
      <c r="AG300" s="101" t="str">
        <f>IFERROR(('BMP P Tracking Table'!$AE300-INDEX('Performance Curves'!$E$1:$L$1,1,MATCH('BMP P Tracking Table'!$AE300,'Performance Curves'!$E$1:$L$1,1)))/(INDEX('Performance Curves'!$E$1:$L$1,1,MATCH('BMP P Tracking Table'!$AE300,'Performance Curves'!$E$1:$L$1,1)+1)-INDEX('Performance Curves'!$E$1:$L$1,1,MATCH('BMP P Tracking Table'!$AE300,'Performance Curves'!$E$1:$L$1,1))),"")</f>
        <v/>
      </c>
      <c r="AH300" s="102" t="str">
        <f>IFERROR(IF('BMP P Tracking Table'!$AE300=2,VLOOKUP(CONCATENATE('BMP P Tracking Table'!$T300," ",'BMP P Tracking Table'!$AC300),'Performance Curves'!$C$1:$L$45,MATCH('BMP P Tracking Table'!$AE300,'Performance Curves'!$E$1:$L$1,1)+1,FALSE),'BMP P Tracking Table'!$AF300*'BMP P Tracking Table'!$AG300+VLOOKUP(CONCATENATE('BMP P Tracking Table'!$T300," ",'BMP P Tracking Table'!$AC300),'Performance Curves'!$C$1:$L$45,MATCH('BMP P Tracking Table'!$AE300,'Performance Curves'!$E$1:$L$1,1)+1,FALSE)),"")</f>
        <v/>
      </c>
      <c r="AI300" s="101" t="str">
        <f>IFERROR('BMP P Tracking Table'!$AH300*'BMP P Tracking Table'!$AD300,"")</f>
        <v/>
      </c>
      <c r="AJ300" s="64"/>
      <c r="AK300" s="96"/>
      <c r="AL300" s="96"/>
      <c r="AM300" s="63"/>
      <c r="AN300" s="99" t="str">
        <f t="shared" si="20"/>
        <v/>
      </c>
      <c r="AO300" s="96"/>
      <c r="AP300" s="96"/>
      <c r="AQ300" s="96"/>
      <c r="AR300" s="96"/>
      <c r="AS300" s="96"/>
      <c r="AT300" s="96"/>
      <c r="AU300" s="96"/>
      <c r="AV300" s="64"/>
      <c r="AW300" s="97"/>
      <c r="AX300" s="97"/>
      <c r="AY300" s="101" t="str">
        <f>IF('BMP P Tracking Table'!$AK300="Yes",IF('BMP P Tracking Table'!$AL300="No",'BMP P Tracking Table'!$U300*VLOOKUP('BMP P Tracking Table'!$Q300,'Loading Rates'!$B$1:$L$24,4,FALSE)+IF('BMP P Tracking Table'!$V300="By HSG",'BMP P Tracking Table'!$W300*VLOOKUP('BMP P Tracking Table'!$Q300,'Loading Rates'!$B$1:$L$24,6,FALSE)+'BMP P Tracking Table'!$X300*VLOOKUP('BMP P Tracking Table'!$Q300,'Loading Rates'!$B$1:$L$24,7,FALSE)+'BMP P Tracking Table'!$Y300*VLOOKUP('BMP P Tracking Table'!$Q300,'Loading Rates'!$B$1:$L$24,8,FALSE)+'BMP P Tracking Table'!$Z300*VLOOKUP('BMP P Tracking Table'!$Q300,'Loading Rates'!$B$1:$L$24,9,FALSE),'BMP P Tracking Table'!$AA300*VLOOKUP('BMP P Tracking Table'!$Q300,'Loading Rates'!$B$1:$L$24,10,FALSE)),'BMP P Tracking Table'!$AO300*VLOOKUP('BMP P Tracking Table'!$Q300,'Loading Rates'!$B$1:$L$24,4,FALSE)+IF('BMP P Tracking Table'!$AP300="By HSG",'BMP P Tracking Table'!$AQ300*VLOOKUP('BMP P Tracking Table'!$Q300,'Loading Rates'!$B$1:$L$24,6,FALSE)+'BMP P Tracking Table'!$AR300*VLOOKUP('BMP P Tracking Table'!$Q300,'Loading Rates'!$B$1:$L$24,7,FALSE)+'BMP P Tracking Table'!$AS300*VLOOKUP('BMP P Tracking Table'!$Q300,'Loading Rates'!$B$1:$L$24,8,FALSE)+'BMP P Tracking Table'!$AT300*VLOOKUP('BMP P Tracking Table'!$Q300,'Loading Rates'!$B$1:$L$24,9,FALSE),'BMP P Tracking Table'!$AU300*VLOOKUP('BMP P Tracking Table'!$Q300,'Loading Rates'!$B$1:$L$24,10,FALSE))),"")</f>
        <v/>
      </c>
      <c r="AZ300" s="101" t="str">
        <f>IFERROR(IF('BMP P Tracking Table'!$AL300="Yes",MIN(2,IF('BMP P Tracking Table'!$AP300="Total Pervious",(-(3630*'BMP P Tracking Table'!$AO300+20.691*'BMP P Tracking Table'!$AU300)+SQRT((3630*'BMP P Tracking Table'!$AO300+20.691*'BMP P Tracking Table'!$AU300)^2-(4*(996.798*'BMP P Tracking Table'!$AU300)*-'BMP P Tracking Table'!$AW300)))/(2*(996.798*'BMP P Tracking Table'!$AU300)),IF(SUM('BMP P Tracking Table'!$AQ300:$AT300)=0,'BMP P Tracking Table'!$AU300/(-3630*'BMP P Tracking Table'!$AO300),(-(3630*'BMP P Tracking Table'!$AO300+20.691*'BMP P Tracking Table'!$AT300-216.711*'BMP P Tracking Table'!$AS300-83.853*'BMP P Tracking Table'!$AR300-42.834*'BMP P Tracking Table'!$AQ300)+SQRT((3630*'BMP P Tracking Table'!$AO300+20.691*'BMP P Tracking Table'!$AT300-216.711*'BMP P Tracking Table'!$AS300-83.853*'BMP P Tracking Table'!$AR300-42.834*'BMP P Tracking Table'!$AQ300)^2-(4*(149.919*'BMP P Tracking Table'!$AQ300+236.676*'BMP P Tracking Table'!$AR300+726*'BMP P Tracking Table'!$AS300+996.798*'BMP P Tracking Table'!$AT300)*-'BMP P Tracking Table'!$AW300)))/(2*(149.919*'BMP P Tracking Table'!$AQ300+236.676*'BMP P Tracking Table'!$AR300+726*'BMP P Tracking Table'!$AS300+996.798*'BMP P Tracking Table'!$AT300))))),MIN(2,IF('BMP P Tracking Table'!$AP300="Total Pervious",(-(3630*'BMP P Tracking Table'!$U300+20.691*'BMP P Tracking Table'!$AA300)+SQRT((3630*'BMP P Tracking Table'!$U300+20.691*'BMP P Tracking Table'!$AA300)^2-(4*(996.798*'BMP P Tracking Table'!$AA300)*-'BMP P Tracking Table'!$AW300)))/(2*(996.798*'BMP P Tracking Table'!$AA300)),IF(SUM('BMP P Tracking Table'!$W300:$Z300)=0,'BMP P Tracking Table'!$AW300/(-3630*'BMP P Tracking Table'!$U300),(-(3630*'BMP P Tracking Table'!$U300+20.691*'BMP P Tracking Table'!$Z300-216.711*'BMP P Tracking Table'!$Y300-83.853*'BMP P Tracking Table'!$X300-42.834*'BMP P Tracking Table'!$W300)+SQRT((3630*'BMP P Tracking Table'!$U300+20.691*'BMP P Tracking Table'!$Z300-216.711*'BMP P Tracking Table'!$Y300-83.853*'BMP P Tracking Table'!$X300-42.834*'BMP P Tracking Table'!$W300)^2-(4*(149.919*'BMP P Tracking Table'!$W300+236.676*'BMP P Tracking Table'!$X300+726*'BMP P Tracking Table'!$Y300+996.798*'BMP P Tracking Table'!$Z300)*-'BMP P Tracking Table'!$AW300)))/(2*(149.919*'BMP P Tracking Table'!$W300+236.676*'BMP P Tracking Table'!$X300+726*'BMP P Tracking Table'!$Y300+996.798*'BMP P Tracking Table'!$Z300)))))),"")</f>
        <v/>
      </c>
      <c r="BA300" s="101" t="str">
        <f>IFERROR((VLOOKUP(CONCATENATE('BMP P Tracking Table'!$AV300," ",'BMP P Tracking Table'!$AX300),'Performance Curves'!$C$1:$L$45,MATCH('BMP P Tracking Table'!$AZ300,'Performance Curves'!$E$1:$L$1,1)+2,FALSE)-VLOOKUP(CONCATENATE('BMP P Tracking Table'!$AV300," ",'BMP P Tracking Table'!$AX300),'Performance Curves'!$C$1:$L$45,MATCH('BMP P Tracking Table'!$AZ300,'Performance Curves'!$E$1:$L$1,1)+1,FALSE)),"")</f>
        <v/>
      </c>
      <c r="BB300" s="101" t="str">
        <f>IFERROR(('BMP P Tracking Table'!$AZ300-INDEX('Performance Curves'!$E$1:$L$1,1,MATCH('BMP P Tracking Table'!$AZ300,'Performance Curves'!$E$1:$L$1,1)))/(INDEX('Performance Curves'!$E$1:$L$1,1,MATCH('BMP P Tracking Table'!$AZ300,'Performance Curves'!$E$1:$L$1,1)+1)-INDEX('Performance Curves'!$E$1:$L$1,1,MATCH('BMP P Tracking Table'!$AZ300,'Performance Curves'!$E$1:$L$1,1))),"")</f>
        <v/>
      </c>
      <c r="BC300" s="102" t="str">
        <f>IFERROR(IF('BMP P Tracking Table'!$AZ300=2,VLOOKUP(CONCATENATE('BMP P Tracking Table'!$AV300," ",'BMP P Tracking Table'!$AX300),'Performance Curves'!$C$1:$L$44,MATCH('BMP P Tracking Table'!$AZ300,'Performance Curves'!$E$1:$L$1,1)+1,FALSE),'BMP P Tracking Table'!$BA300*'BMP P Tracking Table'!$BB300+VLOOKUP(CONCATENATE('BMP P Tracking Table'!$AV300," ",'BMP P Tracking Table'!$AX300),'Performance Curves'!$C$1:$L$44,MATCH('BMP P Tracking Table'!$AZ300,'Performance Curves'!$E$1:$L$1,1)+1,FALSE)),"")</f>
        <v/>
      </c>
      <c r="BD300" s="101" t="str">
        <f>IFERROR('BMP P Tracking Table'!$BC300*'BMP P Tracking Table'!$AY300,"")</f>
        <v/>
      </c>
      <c r="BE300" s="96"/>
      <c r="BF300" s="37">
        <f t="shared" si="21"/>
        <v>0</v>
      </c>
    </row>
    <row r="301" spans="1:58" x14ac:dyDescent="0.3">
      <c r="A301" s="64"/>
      <c r="B301" s="64"/>
      <c r="C301" s="64"/>
      <c r="D301" s="64"/>
      <c r="E301" s="93"/>
      <c r="F301" s="93"/>
      <c r="G301" s="64"/>
      <c r="H301" s="64"/>
      <c r="I301" s="64"/>
      <c r="J301" s="94"/>
      <c r="K301" s="64"/>
      <c r="L301" s="64"/>
      <c r="M301" s="64"/>
      <c r="N301" s="64"/>
      <c r="O301" s="64"/>
      <c r="P301" s="64"/>
      <c r="Q301" s="64" t="str">
        <f>IFERROR(VLOOKUP('BMP P Tracking Table'!$P301,Dropdowns!$C$2:$E$15,3,FALSE),"")</f>
        <v/>
      </c>
      <c r="R301" s="64" t="str">
        <f>IFERROR(VLOOKUP('BMP P Tracking Table'!$Q301,Dropdowns!$P$3:$Q$23,2,FALSE),"")</f>
        <v/>
      </c>
      <c r="S301" s="64"/>
      <c r="T301" s="64"/>
      <c r="U301" s="64"/>
      <c r="V301" s="64"/>
      <c r="W301" s="64"/>
      <c r="X301" s="64"/>
      <c r="Y301" s="64"/>
      <c r="Z301" s="64"/>
      <c r="AA301" s="64"/>
      <c r="AB301" s="95"/>
      <c r="AC301" s="64"/>
      <c r="AD301" s="101" t="str">
        <f>IFERROR('BMP P Tracking Table'!$U301*VLOOKUP('BMP P Tracking Table'!$Q301,'Loading Rates'!$B$1:$L$24,4,FALSE)+IF('BMP P Tracking Table'!$V301="By HSG",'BMP P Tracking Table'!$W301*VLOOKUP('BMP P Tracking Table'!$Q301,'Loading Rates'!$B$1:$L$24,6,FALSE)+'BMP P Tracking Table'!$X301*VLOOKUP('BMP P Tracking Table'!$Q301,'Loading Rates'!$B$1:$L$24,7,FALSE)+'BMP P Tracking Table'!$Y301*VLOOKUP('BMP P Tracking Table'!$Q301,'Loading Rates'!$B$1:$L$24,8,FALSE)+'BMP P Tracking Table'!$Z301*VLOOKUP('BMP P Tracking Table'!$Q301,'Loading Rates'!$B$1:$L$24,9,FALSE),'BMP P Tracking Table'!$AA301*VLOOKUP('BMP P Tracking Table'!$Q301,'Loading Rates'!$B$1:$L$24,10,FALSE)),"")</f>
        <v/>
      </c>
      <c r="AE301" s="101" t="str">
        <f>IFERROR(MIN(2,IF('BMP P Tracking Table'!$V301="Total Pervious",(-(3630*'BMP P Tracking Table'!$U301+20.691*'BMP P Tracking Table'!$AA301)+SQRT((3630*'BMP P Tracking Table'!$U301+20.691*'BMP P Tracking Table'!$AA301)^2-(4*(996.798*'BMP P Tracking Table'!$AA301)*-'BMP P Tracking Table'!$AB301)))/(2*(996.798*'BMP P Tracking Table'!$AA301)),IF(SUM('BMP P Tracking Table'!$W301:$Z301)=0,'BMP P Tracking Table'!$AB301/(-3630*'BMP P Tracking Table'!$U301),(-(3630*'BMP P Tracking Table'!$U301+20.691*'BMP P Tracking Table'!$Z301-216.711*'BMP P Tracking Table'!$Y301-83.853*'BMP P Tracking Table'!$X301-42.834*'BMP P Tracking Table'!$W301)+SQRT((3630*'BMP P Tracking Table'!$U301+20.691*'BMP P Tracking Table'!$Z301-216.711*'BMP P Tracking Table'!$Y301-83.853*'BMP P Tracking Table'!$X301-42.834*'BMP P Tracking Table'!$W301)^2-(4*(149.919*'BMP P Tracking Table'!$W301+236.676*'BMP P Tracking Table'!$X301+726*'BMP P Tracking Table'!$Y301+996.798*'BMP P Tracking Table'!$Z301)*-'BMP P Tracking Table'!$AB301)))/(2*(149.919*'BMP P Tracking Table'!$W301+236.676*'BMP P Tracking Table'!$X301+726*'BMP P Tracking Table'!$Y301+996.798*'BMP P Tracking Table'!$Z301))))),"")</f>
        <v/>
      </c>
      <c r="AF301" s="101" t="str">
        <f>IFERROR((VLOOKUP(CONCATENATE('BMP P Tracking Table'!$T301," ",'BMP P Tracking Table'!$AC301),'Performance Curves'!$C$1:$L$45,MATCH('BMP P Tracking Table'!$AE301,'Performance Curves'!$E$1:$L$1,1)+2,FALSE)-VLOOKUP(CONCATENATE('BMP P Tracking Table'!$T301," ",'BMP P Tracking Table'!$AC301),'Performance Curves'!$C$1:$L$45,MATCH('BMP P Tracking Table'!$AE301,'Performance Curves'!$E$1:$L$1,1)+1,FALSE)),"")</f>
        <v/>
      </c>
      <c r="AG301" s="101" t="str">
        <f>IFERROR(('BMP P Tracking Table'!$AE301-INDEX('Performance Curves'!$E$1:$L$1,1,MATCH('BMP P Tracking Table'!$AE301,'Performance Curves'!$E$1:$L$1,1)))/(INDEX('Performance Curves'!$E$1:$L$1,1,MATCH('BMP P Tracking Table'!$AE301,'Performance Curves'!$E$1:$L$1,1)+1)-INDEX('Performance Curves'!$E$1:$L$1,1,MATCH('BMP P Tracking Table'!$AE301,'Performance Curves'!$E$1:$L$1,1))),"")</f>
        <v/>
      </c>
      <c r="AH301" s="102" t="str">
        <f>IFERROR(IF('BMP P Tracking Table'!$AE301=2,VLOOKUP(CONCATENATE('BMP P Tracking Table'!$T301," ",'BMP P Tracking Table'!$AC301),'Performance Curves'!$C$1:$L$45,MATCH('BMP P Tracking Table'!$AE301,'Performance Curves'!$E$1:$L$1,1)+1,FALSE),'BMP P Tracking Table'!$AF301*'BMP P Tracking Table'!$AG301+VLOOKUP(CONCATENATE('BMP P Tracking Table'!$T301," ",'BMP P Tracking Table'!$AC301),'Performance Curves'!$C$1:$L$45,MATCH('BMP P Tracking Table'!$AE301,'Performance Curves'!$E$1:$L$1,1)+1,FALSE)),"")</f>
        <v/>
      </c>
      <c r="AI301" s="101" t="str">
        <f>IFERROR('BMP P Tracking Table'!$AH301*'BMP P Tracking Table'!$AD301,"")</f>
        <v/>
      </c>
      <c r="AJ301" s="64"/>
      <c r="AK301" s="96"/>
      <c r="AL301" s="96"/>
      <c r="AM301" s="63"/>
      <c r="AN301" s="99" t="str">
        <f t="shared" si="20"/>
        <v/>
      </c>
      <c r="AO301" s="96"/>
      <c r="AP301" s="96"/>
      <c r="AQ301" s="96"/>
      <c r="AR301" s="96"/>
      <c r="AS301" s="96"/>
      <c r="AT301" s="96"/>
      <c r="AU301" s="96"/>
      <c r="AV301" s="64"/>
      <c r="AW301" s="97"/>
      <c r="AX301" s="97"/>
      <c r="AY301" s="101" t="str">
        <f>IF('BMP P Tracking Table'!$AK301="Yes",IF('BMP P Tracking Table'!$AL301="No",'BMP P Tracking Table'!$U301*VLOOKUP('BMP P Tracking Table'!$Q301,'Loading Rates'!$B$1:$L$24,4,FALSE)+IF('BMP P Tracking Table'!$V301="By HSG",'BMP P Tracking Table'!$W301*VLOOKUP('BMP P Tracking Table'!$Q301,'Loading Rates'!$B$1:$L$24,6,FALSE)+'BMP P Tracking Table'!$X301*VLOOKUP('BMP P Tracking Table'!$Q301,'Loading Rates'!$B$1:$L$24,7,FALSE)+'BMP P Tracking Table'!$Y301*VLOOKUP('BMP P Tracking Table'!$Q301,'Loading Rates'!$B$1:$L$24,8,FALSE)+'BMP P Tracking Table'!$Z301*VLOOKUP('BMP P Tracking Table'!$Q301,'Loading Rates'!$B$1:$L$24,9,FALSE),'BMP P Tracking Table'!$AA301*VLOOKUP('BMP P Tracking Table'!$Q301,'Loading Rates'!$B$1:$L$24,10,FALSE)),'BMP P Tracking Table'!$AO301*VLOOKUP('BMP P Tracking Table'!$Q301,'Loading Rates'!$B$1:$L$24,4,FALSE)+IF('BMP P Tracking Table'!$AP301="By HSG",'BMP P Tracking Table'!$AQ301*VLOOKUP('BMP P Tracking Table'!$Q301,'Loading Rates'!$B$1:$L$24,6,FALSE)+'BMP P Tracking Table'!$AR301*VLOOKUP('BMP P Tracking Table'!$Q301,'Loading Rates'!$B$1:$L$24,7,FALSE)+'BMP P Tracking Table'!$AS301*VLOOKUP('BMP P Tracking Table'!$Q301,'Loading Rates'!$B$1:$L$24,8,FALSE)+'BMP P Tracking Table'!$AT301*VLOOKUP('BMP P Tracking Table'!$Q301,'Loading Rates'!$B$1:$L$24,9,FALSE),'BMP P Tracking Table'!$AU301*VLOOKUP('BMP P Tracking Table'!$Q301,'Loading Rates'!$B$1:$L$24,10,FALSE))),"")</f>
        <v/>
      </c>
      <c r="AZ301" s="101" t="str">
        <f>IFERROR(IF('BMP P Tracking Table'!$AL301="Yes",MIN(2,IF('BMP P Tracking Table'!$AP301="Total Pervious",(-(3630*'BMP P Tracking Table'!$AO301+20.691*'BMP P Tracking Table'!$AU301)+SQRT((3630*'BMP P Tracking Table'!$AO301+20.691*'BMP P Tracking Table'!$AU301)^2-(4*(996.798*'BMP P Tracking Table'!$AU301)*-'BMP P Tracking Table'!$AW301)))/(2*(996.798*'BMP P Tracking Table'!$AU301)),IF(SUM('BMP P Tracking Table'!$AQ301:$AT301)=0,'BMP P Tracking Table'!$AU301/(-3630*'BMP P Tracking Table'!$AO301),(-(3630*'BMP P Tracking Table'!$AO301+20.691*'BMP P Tracking Table'!$AT301-216.711*'BMP P Tracking Table'!$AS301-83.853*'BMP P Tracking Table'!$AR301-42.834*'BMP P Tracking Table'!$AQ301)+SQRT((3630*'BMP P Tracking Table'!$AO301+20.691*'BMP P Tracking Table'!$AT301-216.711*'BMP P Tracking Table'!$AS301-83.853*'BMP P Tracking Table'!$AR301-42.834*'BMP P Tracking Table'!$AQ301)^2-(4*(149.919*'BMP P Tracking Table'!$AQ301+236.676*'BMP P Tracking Table'!$AR301+726*'BMP P Tracking Table'!$AS301+996.798*'BMP P Tracking Table'!$AT301)*-'BMP P Tracking Table'!$AW301)))/(2*(149.919*'BMP P Tracking Table'!$AQ301+236.676*'BMP P Tracking Table'!$AR301+726*'BMP P Tracking Table'!$AS301+996.798*'BMP P Tracking Table'!$AT301))))),MIN(2,IF('BMP P Tracking Table'!$AP301="Total Pervious",(-(3630*'BMP P Tracking Table'!$U301+20.691*'BMP P Tracking Table'!$AA301)+SQRT((3630*'BMP P Tracking Table'!$U301+20.691*'BMP P Tracking Table'!$AA301)^2-(4*(996.798*'BMP P Tracking Table'!$AA301)*-'BMP P Tracking Table'!$AW301)))/(2*(996.798*'BMP P Tracking Table'!$AA301)),IF(SUM('BMP P Tracking Table'!$W301:$Z301)=0,'BMP P Tracking Table'!$AW301/(-3630*'BMP P Tracking Table'!$U301),(-(3630*'BMP P Tracking Table'!$U301+20.691*'BMP P Tracking Table'!$Z301-216.711*'BMP P Tracking Table'!$Y301-83.853*'BMP P Tracking Table'!$X301-42.834*'BMP P Tracking Table'!$W301)+SQRT((3630*'BMP P Tracking Table'!$U301+20.691*'BMP P Tracking Table'!$Z301-216.711*'BMP P Tracking Table'!$Y301-83.853*'BMP P Tracking Table'!$X301-42.834*'BMP P Tracking Table'!$W301)^2-(4*(149.919*'BMP P Tracking Table'!$W301+236.676*'BMP P Tracking Table'!$X301+726*'BMP P Tracking Table'!$Y301+996.798*'BMP P Tracking Table'!$Z301)*-'BMP P Tracking Table'!$AW301)))/(2*(149.919*'BMP P Tracking Table'!$W301+236.676*'BMP P Tracking Table'!$X301+726*'BMP P Tracking Table'!$Y301+996.798*'BMP P Tracking Table'!$Z301)))))),"")</f>
        <v/>
      </c>
      <c r="BA301" s="101" t="str">
        <f>IFERROR((VLOOKUP(CONCATENATE('BMP P Tracking Table'!$AV301," ",'BMP P Tracking Table'!$AX301),'Performance Curves'!$C$1:$L$45,MATCH('BMP P Tracking Table'!$AZ301,'Performance Curves'!$E$1:$L$1,1)+2,FALSE)-VLOOKUP(CONCATENATE('BMP P Tracking Table'!$AV301," ",'BMP P Tracking Table'!$AX301),'Performance Curves'!$C$1:$L$45,MATCH('BMP P Tracking Table'!$AZ301,'Performance Curves'!$E$1:$L$1,1)+1,FALSE)),"")</f>
        <v/>
      </c>
      <c r="BB301" s="101" t="str">
        <f>IFERROR(('BMP P Tracking Table'!$AZ301-INDEX('Performance Curves'!$E$1:$L$1,1,MATCH('BMP P Tracking Table'!$AZ301,'Performance Curves'!$E$1:$L$1,1)))/(INDEX('Performance Curves'!$E$1:$L$1,1,MATCH('BMP P Tracking Table'!$AZ301,'Performance Curves'!$E$1:$L$1,1)+1)-INDEX('Performance Curves'!$E$1:$L$1,1,MATCH('BMP P Tracking Table'!$AZ301,'Performance Curves'!$E$1:$L$1,1))),"")</f>
        <v/>
      </c>
      <c r="BC301" s="102" t="str">
        <f>IFERROR(IF('BMP P Tracking Table'!$AZ301=2,VLOOKUP(CONCATENATE('BMP P Tracking Table'!$AV301," ",'BMP P Tracking Table'!$AX301),'Performance Curves'!$C$1:$L$44,MATCH('BMP P Tracking Table'!$AZ301,'Performance Curves'!$E$1:$L$1,1)+1,FALSE),'BMP P Tracking Table'!$BA301*'BMP P Tracking Table'!$BB301+VLOOKUP(CONCATENATE('BMP P Tracking Table'!$AV301," ",'BMP P Tracking Table'!$AX301),'Performance Curves'!$C$1:$L$44,MATCH('BMP P Tracking Table'!$AZ301,'Performance Curves'!$E$1:$L$1,1)+1,FALSE)),"")</f>
        <v/>
      </c>
      <c r="BD301" s="101" t="str">
        <f>IFERROR('BMP P Tracking Table'!$BC301*'BMP P Tracking Table'!$AY301,"")</f>
        <v/>
      </c>
      <c r="BE301" s="96"/>
      <c r="BF301" s="37">
        <f t="shared" si="21"/>
        <v>0</v>
      </c>
    </row>
    <row r="302" spans="1:58" x14ac:dyDescent="0.3">
      <c r="A302" s="64"/>
      <c r="B302" s="64"/>
      <c r="C302" s="64"/>
      <c r="D302" s="64"/>
      <c r="E302" s="93"/>
      <c r="F302" s="93"/>
      <c r="G302" s="64"/>
      <c r="H302" s="64"/>
      <c r="I302" s="64"/>
      <c r="J302" s="94"/>
      <c r="K302" s="64"/>
      <c r="L302" s="64"/>
      <c r="M302" s="64"/>
      <c r="N302" s="64"/>
      <c r="O302" s="64"/>
      <c r="P302" s="64"/>
      <c r="Q302" s="64" t="str">
        <f>IFERROR(VLOOKUP('BMP P Tracking Table'!$P302,Dropdowns!$C$2:$E$15,3,FALSE),"")</f>
        <v/>
      </c>
      <c r="R302" s="64" t="str">
        <f>IFERROR(VLOOKUP('BMP P Tracking Table'!$Q302,Dropdowns!$P$3:$Q$23,2,FALSE),"")</f>
        <v/>
      </c>
      <c r="S302" s="64"/>
      <c r="T302" s="64"/>
      <c r="U302" s="64"/>
      <c r="V302" s="64"/>
      <c r="W302" s="64"/>
      <c r="X302" s="64"/>
      <c r="Y302" s="64"/>
      <c r="Z302" s="64"/>
      <c r="AA302" s="64"/>
      <c r="AB302" s="95"/>
      <c r="AC302" s="64"/>
      <c r="AD302" s="101" t="str">
        <f>IFERROR('BMP P Tracking Table'!$U302*VLOOKUP('BMP P Tracking Table'!$Q302,'Loading Rates'!$B$1:$L$24,4,FALSE)+IF('BMP P Tracking Table'!$V302="By HSG",'BMP P Tracking Table'!$W302*VLOOKUP('BMP P Tracking Table'!$Q302,'Loading Rates'!$B$1:$L$24,6,FALSE)+'BMP P Tracking Table'!$X302*VLOOKUP('BMP P Tracking Table'!$Q302,'Loading Rates'!$B$1:$L$24,7,FALSE)+'BMP P Tracking Table'!$Y302*VLOOKUP('BMP P Tracking Table'!$Q302,'Loading Rates'!$B$1:$L$24,8,FALSE)+'BMP P Tracking Table'!$Z302*VLOOKUP('BMP P Tracking Table'!$Q302,'Loading Rates'!$B$1:$L$24,9,FALSE),'BMP P Tracking Table'!$AA302*VLOOKUP('BMP P Tracking Table'!$Q302,'Loading Rates'!$B$1:$L$24,10,FALSE)),"")</f>
        <v/>
      </c>
      <c r="AE302" s="101" t="str">
        <f>IFERROR(MIN(2,IF('BMP P Tracking Table'!$V302="Total Pervious",(-(3630*'BMP P Tracking Table'!$U302+20.691*'BMP P Tracking Table'!$AA302)+SQRT((3630*'BMP P Tracking Table'!$U302+20.691*'BMP P Tracking Table'!$AA302)^2-(4*(996.798*'BMP P Tracking Table'!$AA302)*-'BMP P Tracking Table'!$AB302)))/(2*(996.798*'BMP P Tracking Table'!$AA302)),IF(SUM('BMP P Tracking Table'!$W302:$Z302)=0,'BMP P Tracking Table'!$AB302/(-3630*'BMP P Tracking Table'!$U302),(-(3630*'BMP P Tracking Table'!$U302+20.691*'BMP P Tracking Table'!$Z302-216.711*'BMP P Tracking Table'!$Y302-83.853*'BMP P Tracking Table'!$X302-42.834*'BMP P Tracking Table'!$W302)+SQRT((3630*'BMP P Tracking Table'!$U302+20.691*'BMP P Tracking Table'!$Z302-216.711*'BMP P Tracking Table'!$Y302-83.853*'BMP P Tracking Table'!$X302-42.834*'BMP P Tracking Table'!$W302)^2-(4*(149.919*'BMP P Tracking Table'!$W302+236.676*'BMP P Tracking Table'!$X302+726*'BMP P Tracking Table'!$Y302+996.798*'BMP P Tracking Table'!$Z302)*-'BMP P Tracking Table'!$AB302)))/(2*(149.919*'BMP P Tracking Table'!$W302+236.676*'BMP P Tracking Table'!$X302+726*'BMP P Tracking Table'!$Y302+996.798*'BMP P Tracking Table'!$Z302))))),"")</f>
        <v/>
      </c>
      <c r="AF302" s="101" t="str">
        <f>IFERROR((VLOOKUP(CONCATENATE('BMP P Tracking Table'!$T302," ",'BMP P Tracking Table'!$AC302),'Performance Curves'!$C$1:$L$45,MATCH('BMP P Tracking Table'!$AE302,'Performance Curves'!$E$1:$L$1,1)+2,FALSE)-VLOOKUP(CONCATENATE('BMP P Tracking Table'!$T302," ",'BMP P Tracking Table'!$AC302),'Performance Curves'!$C$1:$L$45,MATCH('BMP P Tracking Table'!$AE302,'Performance Curves'!$E$1:$L$1,1)+1,FALSE)),"")</f>
        <v/>
      </c>
      <c r="AG302" s="101" t="str">
        <f>IFERROR(('BMP P Tracking Table'!$AE302-INDEX('Performance Curves'!$E$1:$L$1,1,MATCH('BMP P Tracking Table'!$AE302,'Performance Curves'!$E$1:$L$1,1)))/(INDEX('Performance Curves'!$E$1:$L$1,1,MATCH('BMP P Tracking Table'!$AE302,'Performance Curves'!$E$1:$L$1,1)+1)-INDEX('Performance Curves'!$E$1:$L$1,1,MATCH('BMP P Tracking Table'!$AE302,'Performance Curves'!$E$1:$L$1,1))),"")</f>
        <v/>
      </c>
      <c r="AH302" s="102" t="str">
        <f>IFERROR(IF('BMP P Tracking Table'!$AE302=2,VLOOKUP(CONCATENATE('BMP P Tracking Table'!$T302," ",'BMP P Tracking Table'!$AC302),'Performance Curves'!$C$1:$L$45,MATCH('BMP P Tracking Table'!$AE302,'Performance Curves'!$E$1:$L$1,1)+1,FALSE),'BMP P Tracking Table'!$AF302*'BMP P Tracking Table'!$AG302+VLOOKUP(CONCATENATE('BMP P Tracking Table'!$T302," ",'BMP P Tracking Table'!$AC302),'Performance Curves'!$C$1:$L$45,MATCH('BMP P Tracking Table'!$AE302,'Performance Curves'!$E$1:$L$1,1)+1,FALSE)),"")</f>
        <v/>
      </c>
      <c r="AI302" s="101" t="str">
        <f>IFERROR('BMP P Tracking Table'!$AH302*'BMP P Tracking Table'!$AD302,"")</f>
        <v/>
      </c>
      <c r="AJ302" s="64"/>
      <c r="AK302" s="96"/>
      <c r="AL302" s="96"/>
      <c r="AM302" s="63"/>
      <c r="AN302" s="99" t="str">
        <f t="shared" si="20"/>
        <v/>
      </c>
      <c r="AO302" s="96"/>
      <c r="AP302" s="96"/>
      <c r="AQ302" s="96"/>
      <c r="AR302" s="96"/>
      <c r="AS302" s="96"/>
      <c r="AT302" s="96"/>
      <c r="AU302" s="96"/>
      <c r="AV302" s="64"/>
      <c r="AW302" s="97"/>
      <c r="AX302" s="97"/>
      <c r="AY302" s="101" t="str">
        <f>IF('BMP P Tracking Table'!$AK302="Yes",IF('BMP P Tracking Table'!$AL302="No",'BMP P Tracking Table'!$U302*VLOOKUP('BMP P Tracking Table'!$Q302,'Loading Rates'!$B$1:$L$24,4,FALSE)+IF('BMP P Tracking Table'!$V302="By HSG",'BMP P Tracking Table'!$W302*VLOOKUP('BMP P Tracking Table'!$Q302,'Loading Rates'!$B$1:$L$24,6,FALSE)+'BMP P Tracking Table'!$X302*VLOOKUP('BMP P Tracking Table'!$Q302,'Loading Rates'!$B$1:$L$24,7,FALSE)+'BMP P Tracking Table'!$Y302*VLOOKUP('BMP P Tracking Table'!$Q302,'Loading Rates'!$B$1:$L$24,8,FALSE)+'BMP P Tracking Table'!$Z302*VLOOKUP('BMP P Tracking Table'!$Q302,'Loading Rates'!$B$1:$L$24,9,FALSE),'BMP P Tracking Table'!$AA302*VLOOKUP('BMP P Tracking Table'!$Q302,'Loading Rates'!$B$1:$L$24,10,FALSE)),'BMP P Tracking Table'!$AO302*VLOOKUP('BMP P Tracking Table'!$Q302,'Loading Rates'!$B$1:$L$24,4,FALSE)+IF('BMP P Tracking Table'!$AP302="By HSG",'BMP P Tracking Table'!$AQ302*VLOOKUP('BMP P Tracking Table'!$Q302,'Loading Rates'!$B$1:$L$24,6,FALSE)+'BMP P Tracking Table'!$AR302*VLOOKUP('BMP P Tracking Table'!$Q302,'Loading Rates'!$B$1:$L$24,7,FALSE)+'BMP P Tracking Table'!$AS302*VLOOKUP('BMP P Tracking Table'!$Q302,'Loading Rates'!$B$1:$L$24,8,FALSE)+'BMP P Tracking Table'!$AT302*VLOOKUP('BMP P Tracking Table'!$Q302,'Loading Rates'!$B$1:$L$24,9,FALSE),'BMP P Tracking Table'!$AU302*VLOOKUP('BMP P Tracking Table'!$Q302,'Loading Rates'!$B$1:$L$24,10,FALSE))),"")</f>
        <v/>
      </c>
      <c r="AZ302" s="101" t="str">
        <f>IFERROR(IF('BMP P Tracking Table'!$AL302="Yes",MIN(2,IF('BMP P Tracking Table'!$AP302="Total Pervious",(-(3630*'BMP P Tracking Table'!$AO302+20.691*'BMP P Tracking Table'!$AU302)+SQRT((3630*'BMP P Tracking Table'!$AO302+20.691*'BMP P Tracking Table'!$AU302)^2-(4*(996.798*'BMP P Tracking Table'!$AU302)*-'BMP P Tracking Table'!$AW302)))/(2*(996.798*'BMP P Tracking Table'!$AU302)),IF(SUM('BMP P Tracking Table'!$AQ302:$AT302)=0,'BMP P Tracking Table'!$AU302/(-3630*'BMP P Tracking Table'!$AO302),(-(3630*'BMP P Tracking Table'!$AO302+20.691*'BMP P Tracking Table'!$AT302-216.711*'BMP P Tracking Table'!$AS302-83.853*'BMP P Tracking Table'!$AR302-42.834*'BMP P Tracking Table'!$AQ302)+SQRT((3630*'BMP P Tracking Table'!$AO302+20.691*'BMP P Tracking Table'!$AT302-216.711*'BMP P Tracking Table'!$AS302-83.853*'BMP P Tracking Table'!$AR302-42.834*'BMP P Tracking Table'!$AQ302)^2-(4*(149.919*'BMP P Tracking Table'!$AQ302+236.676*'BMP P Tracking Table'!$AR302+726*'BMP P Tracking Table'!$AS302+996.798*'BMP P Tracking Table'!$AT302)*-'BMP P Tracking Table'!$AW302)))/(2*(149.919*'BMP P Tracking Table'!$AQ302+236.676*'BMP P Tracking Table'!$AR302+726*'BMP P Tracking Table'!$AS302+996.798*'BMP P Tracking Table'!$AT302))))),MIN(2,IF('BMP P Tracking Table'!$AP302="Total Pervious",(-(3630*'BMP P Tracking Table'!$U302+20.691*'BMP P Tracking Table'!$AA302)+SQRT((3630*'BMP P Tracking Table'!$U302+20.691*'BMP P Tracking Table'!$AA302)^2-(4*(996.798*'BMP P Tracking Table'!$AA302)*-'BMP P Tracking Table'!$AW302)))/(2*(996.798*'BMP P Tracking Table'!$AA302)),IF(SUM('BMP P Tracking Table'!$W302:$Z302)=0,'BMP P Tracking Table'!$AW302/(-3630*'BMP P Tracking Table'!$U302),(-(3630*'BMP P Tracking Table'!$U302+20.691*'BMP P Tracking Table'!$Z302-216.711*'BMP P Tracking Table'!$Y302-83.853*'BMP P Tracking Table'!$X302-42.834*'BMP P Tracking Table'!$W302)+SQRT((3630*'BMP P Tracking Table'!$U302+20.691*'BMP P Tracking Table'!$Z302-216.711*'BMP P Tracking Table'!$Y302-83.853*'BMP P Tracking Table'!$X302-42.834*'BMP P Tracking Table'!$W302)^2-(4*(149.919*'BMP P Tracking Table'!$W302+236.676*'BMP P Tracking Table'!$X302+726*'BMP P Tracking Table'!$Y302+996.798*'BMP P Tracking Table'!$Z302)*-'BMP P Tracking Table'!$AW302)))/(2*(149.919*'BMP P Tracking Table'!$W302+236.676*'BMP P Tracking Table'!$X302+726*'BMP P Tracking Table'!$Y302+996.798*'BMP P Tracking Table'!$Z302)))))),"")</f>
        <v/>
      </c>
      <c r="BA302" s="101" t="str">
        <f>IFERROR((VLOOKUP(CONCATENATE('BMP P Tracking Table'!$AV302," ",'BMP P Tracking Table'!$AX302),'Performance Curves'!$C$1:$L$45,MATCH('BMP P Tracking Table'!$AZ302,'Performance Curves'!$E$1:$L$1,1)+2,FALSE)-VLOOKUP(CONCATENATE('BMP P Tracking Table'!$AV302," ",'BMP P Tracking Table'!$AX302),'Performance Curves'!$C$1:$L$45,MATCH('BMP P Tracking Table'!$AZ302,'Performance Curves'!$E$1:$L$1,1)+1,FALSE)),"")</f>
        <v/>
      </c>
      <c r="BB302" s="101" t="str">
        <f>IFERROR(('BMP P Tracking Table'!$AZ302-INDEX('Performance Curves'!$E$1:$L$1,1,MATCH('BMP P Tracking Table'!$AZ302,'Performance Curves'!$E$1:$L$1,1)))/(INDEX('Performance Curves'!$E$1:$L$1,1,MATCH('BMP P Tracking Table'!$AZ302,'Performance Curves'!$E$1:$L$1,1)+1)-INDEX('Performance Curves'!$E$1:$L$1,1,MATCH('BMP P Tracking Table'!$AZ302,'Performance Curves'!$E$1:$L$1,1))),"")</f>
        <v/>
      </c>
      <c r="BC302" s="102" t="str">
        <f>IFERROR(IF('BMP P Tracking Table'!$AZ302=2,VLOOKUP(CONCATENATE('BMP P Tracking Table'!$AV302," ",'BMP P Tracking Table'!$AX302),'Performance Curves'!$C$1:$L$44,MATCH('BMP P Tracking Table'!$AZ302,'Performance Curves'!$E$1:$L$1,1)+1,FALSE),'BMP P Tracking Table'!$BA302*'BMP P Tracking Table'!$BB302+VLOOKUP(CONCATENATE('BMP P Tracking Table'!$AV302," ",'BMP P Tracking Table'!$AX302),'Performance Curves'!$C$1:$L$44,MATCH('BMP P Tracking Table'!$AZ302,'Performance Curves'!$E$1:$L$1,1)+1,FALSE)),"")</f>
        <v/>
      </c>
      <c r="BD302" s="101" t="str">
        <f>IFERROR('BMP P Tracking Table'!$BC302*'BMP P Tracking Table'!$AY302,"")</f>
        <v/>
      </c>
      <c r="BE302" s="96"/>
      <c r="BF302" s="37">
        <f t="shared" si="21"/>
        <v>0</v>
      </c>
    </row>
    <row r="303" spans="1:58" x14ac:dyDescent="0.3">
      <c r="A303" s="64"/>
      <c r="B303" s="64"/>
      <c r="C303" s="64"/>
      <c r="D303" s="64"/>
      <c r="E303" s="93"/>
      <c r="F303" s="93"/>
      <c r="G303" s="64"/>
      <c r="H303" s="64"/>
      <c r="I303" s="64"/>
      <c r="J303" s="94"/>
      <c r="K303" s="64"/>
      <c r="L303" s="64"/>
      <c r="M303" s="64"/>
      <c r="N303" s="64"/>
      <c r="O303" s="64"/>
      <c r="P303" s="64"/>
      <c r="Q303" s="64" t="str">
        <f>IFERROR(VLOOKUP('BMP P Tracking Table'!$P303,Dropdowns!$C$2:$E$15,3,FALSE),"")</f>
        <v/>
      </c>
      <c r="R303" s="64" t="str">
        <f>IFERROR(VLOOKUP('BMP P Tracking Table'!$Q303,Dropdowns!$P$3:$Q$23,2,FALSE),"")</f>
        <v/>
      </c>
      <c r="S303" s="64"/>
      <c r="T303" s="64"/>
      <c r="U303" s="64"/>
      <c r="V303" s="64"/>
      <c r="W303" s="64"/>
      <c r="X303" s="64"/>
      <c r="Y303" s="64"/>
      <c r="Z303" s="64"/>
      <c r="AA303" s="64"/>
      <c r="AB303" s="95"/>
      <c r="AC303" s="64"/>
      <c r="AD303" s="101" t="str">
        <f>IFERROR('BMP P Tracking Table'!$U303*VLOOKUP('BMP P Tracking Table'!$Q303,'Loading Rates'!$B$1:$L$24,4,FALSE)+IF('BMP P Tracking Table'!$V303="By HSG",'BMP P Tracking Table'!$W303*VLOOKUP('BMP P Tracking Table'!$Q303,'Loading Rates'!$B$1:$L$24,6,FALSE)+'BMP P Tracking Table'!$X303*VLOOKUP('BMP P Tracking Table'!$Q303,'Loading Rates'!$B$1:$L$24,7,FALSE)+'BMP P Tracking Table'!$Y303*VLOOKUP('BMP P Tracking Table'!$Q303,'Loading Rates'!$B$1:$L$24,8,FALSE)+'BMP P Tracking Table'!$Z303*VLOOKUP('BMP P Tracking Table'!$Q303,'Loading Rates'!$B$1:$L$24,9,FALSE),'BMP P Tracking Table'!$AA303*VLOOKUP('BMP P Tracking Table'!$Q303,'Loading Rates'!$B$1:$L$24,10,FALSE)),"")</f>
        <v/>
      </c>
      <c r="AE303" s="101" t="str">
        <f>IFERROR(MIN(2,IF('BMP P Tracking Table'!$V303="Total Pervious",(-(3630*'BMP P Tracking Table'!$U303+20.691*'BMP P Tracking Table'!$AA303)+SQRT((3630*'BMP P Tracking Table'!$U303+20.691*'BMP P Tracking Table'!$AA303)^2-(4*(996.798*'BMP P Tracking Table'!$AA303)*-'BMP P Tracking Table'!$AB303)))/(2*(996.798*'BMP P Tracking Table'!$AA303)),IF(SUM('BMP P Tracking Table'!$W303:$Z303)=0,'BMP P Tracking Table'!$AB303/(-3630*'BMP P Tracking Table'!$U303),(-(3630*'BMP P Tracking Table'!$U303+20.691*'BMP P Tracking Table'!$Z303-216.711*'BMP P Tracking Table'!$Y303-83.853*'BMP P Tracking Table'!$X303-42.834*'BMP P Tracking Table'!$W303)+SQRT((3630*'BMP P Tracking Table'!$U303+20.691*'BMP P Tracking Table'!$Z303-216.711*'BMP P Tracking Table'!$Y303-83.853*'BMP P Tracking Table'!$X303-42.834*'BMP P Tracking Table'!$W303)^2-(4*(149.919*'BMP P Tracking Table'!$W303+236.676*'BMP P Tracking Table'!$X303+726*'BMP P Tracking Table'!$Y303+996.798*'BMP P Tracking Table'!$Z303)*-'BMP P Tracking Table'!$AB303)))/(2*(149.919*'BMP P Tracking Table'!$W303+236.676*'BMP P Tracking Table'!$X303+726*'BMP P Tracking Table'!$Y303+996.798*'BMP P Tracking Table'!$Z303))))),"")</f>
        <v/>
      </c>
      <c r="AF303" s="101" t="str">
        <f>IFERROR((VLOOKUP(CONCATENATE('BMP P Tracking Table'!$T303," ",'BMP P Tracking Table'!$AC303),'Performance Curves'!$C$1:$L$45,MATCH('BMP P Tracking Table'!$AE303,'Performance Curves'!$E$1:$L$1,1)+2,FALSE)-VLOOKUP(CONCATENATE('BMP P Tracking Table'!$T303," ",'BMP P Tracking Table'!$AC303),'Performance Curves'!$C$1:$L$45,MATCH('BMP P Tracking Table'!$AE303,'Performance Curves'!$E$1:$L$1,1)+1,FALSE)),"")</f>
        <v/>
      </c>
      <c r="AG303" s="101" t="str">
        <f>IFERROR(('BMP P Tracking Table'!$AE303-INDEX('Performance Curves'!$E$1:$L$1,1,MATCH('BMP P Tracking Table'!$AE303,'Performance Curves'!$E$1:$L$1,1)))/(INDEX('Performance Curves'!$E$1:$L$1,1,MATCH('BMP P Tracking Table'!$AE303,'Performance Curves'!$E$1:$L$1,1)+1)-INDEX('Performance Curves'!$E$1:$L$1,1,MATCH('BMP P Tracking Table'!$AE303,'Performance Curves'!$E$1:$L$1,1))),"")</f>
        <v/>
      </c>
      <c r="AH303" s="102" t="str">
        <f>IFERROR(IF('BMP P Tracking Table'!$AE303=2,VLOOKUP(CONCATENATE('BMP P Tracking Table'!$T303," ",'BMP P Tracking Table'!$AC303),'Performance Curves'!$C$1:$L$45,MATCH('BMP P Tracking Table'!$AE303,'Performance Curves'!$E$1:$L$1,1)+1,FALSE),'BMP P Tracking Table'!$AF303*'BMP P Tracking Table'!$AG303+VLOOKUP(CONCATENATE('BMP P Tracking Table'!$T303," ",'BMP P Tracking Table'!$AC303),'Performance Curves'!$C$1:$L$45,MATCH('BMP P Tracking Table'!$AE303,'Performance Curves'!$E$1:$L$1,1)+1,FALSE)),"")</f>
        <v/>
      </c>
      <c r="AI303" s="101" t="str">
        <f>IFERROR('BMP P Tracking Table'!$AH303*'BMP P Tracking Table'!$AD303,"")</f>
        <v/>
      </c>
      <c r="AJ303" s="64"/>
      <c r="AK303" s="96"/>
      <c r="AL303" s="96"/>
      <c r="AM303" s="63"/>
      <c r="AN303" s="99" t="str">
        <f t="shared" si="20"/>
        <v/>
      </c>
      <c r="AO303" s="96"/>
      <c r="AP303" s="96"/>
      <c r="AQ303" s="96"/>
      <c r="AR303" s="96"/>
      <c r="AS303" s="96"/>
      <c r="AT303" s="96"/>
      <c r="AU303" s="96"/>
      <c r="AV303" s="64"/>
      <c r="AW303" s="97"/>
      <c r="AX303" s="97"/>
      <c r="AY303" s="101" t="str">
        <f>IF('BMP P Tracking Table'!$AK303="Yes",IF('BMP P Tracking Table'!$AL303="No",'BMP P Tracking Table'!$U303*VLOOKUP('BMP P Tracking Table'!$Q303,'Loading Rates'!$B$1:$L$24,4,FALSE)+IF('BMP P Tracking Table'!$V303="By HSG",'BMP P Tracking Table'!$W303*VLOOKUP('BMP P Tracking Table'!$Q303,'Loading Rates'!$B$1:$L$24,6,FALSE)+'BMP P Tracking Table'!$X303*VLOOKUP('BMP P Tracking Table'!$Q303,'Loading Rates'!$B$1:$L$24,7,FALSE)+'BMP P Tracking Table'!$Y303*VLOOKUP('BMP P Tracking Table'!$Q303,'Loading Rates'!$B$1:$L$24,8,FALSE)+'BMP P Tracking Table'!$Z303*VLOOKUP('BMP P Tracking Table'!$Q303,'Loading Rates'!$B$1:$L$24,9,FALSE),'BMP P Tracking Table'!$AA303*VLOOKUP('BMP P Tracking Table'!$Q303,'Loading Rates'!$B$1:$L$24,10,FALSE)),'BMP P Tracking Table'!$AO303*VLOOKUP('BMP P Tracking Table'!$Q303,'Loading Rates'!$B$1:$L$24,4,FALSE)+IF('BMP P Tracking Table'!$AP303="By HSG",'BMP P Tracking Table'!$AQ303*VLOOKUP('BMP P Tracking Table'!$Q303,'Loading Rates'!$B$1:$L$24,6,FALSE)+'BMP P Tracking Table'!$AR303*VLOOKUP('BMP P Tracking Table'!$Q303,'Loading Rates'!$B$1:$L$24,7,FALSE)+'BMP P Tracking Table'!$AS303*VLOOKUP('BMP P Tracking Table'!$Q303,'Loading Rates'!$B$1:$L$24,8,FALSE)+'BMP P Tracking Table'!$AT303*VLOOKUP('BMP P Tracking Table'!$Q303,'Loading Rates'!$B$1:$L$24,9,FALSE),'BMP P Tracking Table'!$AU303*VLOOKUP('BMP P Tracking Table'!$Q303,'Loading Rates'!$B$1:$L$24,10,FALSE))),"")</f>
        <v/>
      </c>
      <c r="AZ303" s="101" t="str">
        <f>IFERROR(IF('BMP P Tracking Table'!$AL303="Yes",MIN(2,IF('BMP P Tracking Table'!$AP303="Total Pervious",(-(3630*'BMP P Tracking Table'!$AO303+20.691*'BMP P Tracking Table'!$AU303)+SQRT((3630*'BMP P Tracking Table'!$AO303+20.691*'BMP P Tracking Table'!$AU303)^2-(4*(996.798*'BMP P Tracking Table'!$AU303)*-'BMP P Tracking Table'!$AW303)))/(2*(996.798*'BMP P Tracking Table'!$AU303)),IF(SUM('BMP P Tracking Table'!$AQ303:$AT303)=0,'BMP P Tracking Table'!$AU303/(-3630*'BMP P Tracking Table'!$AO303),(-(3630*'BMP P Tracking Table'!$AO303+20.691*'BMP P Tracking Table'!$AT303-216.711*'BMP P Tracking Table'!$AS303-83.853*'BMP P Tracking Table'!$AR303-42.834*'BMP P Tracking Table'!$AQ303)+SQRT((3630*'BMP P Tracking Table'!$AO303+20.691*'BMP P Tracking Table'!$AT303-216.711*'BMP P Tracking Table'!$AS303-83.853*'BMP P Tracking Table'!$AR303-42.834*'BMP P Tracking Table'!$AQ303)^2-(4*(149.919*'BMP P Tracking Table'!$AQ303+236.676*'BMP P Tracking Table'!$AR303+726*'BMP P Tracking Table'!$AS303+996.798*'BMP P Tracking Table'!$AT303)*-'BMP P Tracking Table'!$AW303)))/(2*(149.919*'BMP P Tracking Table'!$AQ303+236.676*'BMP P Tracking Table'!$AR303+726*'BMP P Tracking Table'!$AS303+996.798*'BMP P Tracking Table'!$AT303))))),MIN(2,IF('BMP P Tracking Table'!$AP303="Total Pervious",(-(3630*'BMP P Tracking Table'!$U303+20.691*'BMP P Tracking Table'!$AA303)+SQRT((3630*'BMP P Tracking Table'!$U303+20.691*'BMP P Tracking Table'!$AA303)^2-(4*(996.798*'BMP P Tracking Table'!$AA303)*-'BMP P Tracking Table'!$AW303)))/(2*(996.798*'BMP P Tracking Table'!$AA303)),IF(SUM('BMP P Tracking Table'!$W303:$Z303)=0,'BMP P Tracking Table'!$AW303/(-3630*'BMP P Tracking Table'!$U303),(-(3630*'BMP P Tracking Table'!$U303+20.691*'BMP P Tracking Table'!$Z303-216.711*'BMP P Tracking Table'!$Y303-83.853*'BMP P Tracking Table'!$X303-42.834*'BMP P Tracking Table'!$W303)+SQRT((3630*'BMP P Tracking Table'!$U303+20.691*'BMP P Tracking Table'!$Z303-216.711*'BMP P Tracking Table'!$Y303-83.853*'BMP P Tracking Table'!$X303-42.834*'BMP P Tracking Table'!$W303)^2-(4*(149.919*'BMP P Tracking Table'!$W303+236.676*'BMP P Tracking Table'!$X303+726*'BMP P Tracking Table'!$Y303+996.798*'BMP P Tracking Table'!$Z303)*-'BMP P Tracking Table'!$AW303)))/(2*(149.919*'BMP P Tracking Table'!$W303+236.676*'BMP P Tracking Table'!$X303+726*'BMP P Tracking Table'!$Y303+996.798*'BMP P Tracking Table'!$Z303)))))),"")</f>
        <v/>
      </c>
      <c r="BA303" s="101" t="str">
        <f>IFERROR((VLOOKUP(CONCATENATE('BMP P Tracking Table'!$AV303," ",'BMP P Tracking Table'!$AX303),'Performance Curves'!$C$1:$L$45,MATCH('BMP P Tracking Table'!$AZ303,'Performance Curves'!$E$1:$L$1,1)+2,FALSE)-VLOOKUP(CONCATENATE('BMP P Tracking Table'!$AV303," ",'BMP P Tracking Table'!$AX303),'Performance Curves'!$C$1:$L$45,MATCH('BMP P Tracking Table'!$AZ303,'Performance Curves'!$E$1:$L$1,1)+1,FALSE)),"")</f>
        <v/>
      </c>
      <c r="BB303" s="101" t="str">
        <f>IFERROR(('BMP P Tracking Table'!$AZ303-INDEX('Performance Curves'!$E$1:$L$1,1,MATCH('BMP P Tracking Table'!$AZ303,'Performance Curves'!$E$1:$L$1,1)))/(INDEX('Performance Curves'!$E$1:$L$1,1,MATCH('BMP P Tracking Table'!$AZ303,'Performance Curves'!$E$1:$L$1,1)+1)-INDEX('Performance Curves'!$E$1:$L$1,1,MATCH('BMP P Tracking Table'!$AZ303,'Performance Curves'!$E$1:$L$1,1))),"")</f>
        <v/>
      </c>
      <c r="BC303" s="102" t="str">
        <f>IFERROR(IF('BMP P Tracking Table'!$AZ303=2,VLOOKUP(CONCATENATE('BMP P Tracking Table'!$AV303," ",'BMP P Tracking Table'!$AX303),'Performance Curves'!$C$1:$L$44,MATCH('BMP P Tracking Table'!$AZ303,'Performance Curves'!$E$1:$L$1,1)+1,FALSE),'BMP P Tracking Table'!$BA303*'BMP P Tracking Table'!$BB303+VLOOKUP(CONCATENATE('BMP P Tracking Table'!$AV303," ",'BMP P Tracking Table'!$AX303),'Performance Curves'!$C$1:$L$44,MATCH('BMP P Tracking Table'!$AZ303,'Performance Curves'!$E$1:$L$1,1)+1,FALSE)),"")</f>
        <v/>
      </c>
      <c r="BD303" s="101" t="str">
        <f>IFERROR('BMP P Tracking Table'!$BC303*'BMP P Tracking Table'!$AY303,"")</f>
        <v/>
      </c>
      <c r="BE303" s="96"/>
      <c r="BF303" s="37">
        <f t="shared" si="21"/>
        <v>0</v>
      </c>
    </row>
    <row r="304" spans="1:58" x14ac:dyDescent="0.3">
      <c r="A304" s="64"/>
      <c r="B304" s="64"/>
      <c r="C304" s="64"/>
      <c r="D304" s="64"/>
      <c r="E304" s="93"/>
      <c r="F304" s="93"/>
      <c r="G304" s="64"/>
      <c r="H304" s="64"/>
      <c r="I304" s="64"/>
      <c r="J304" s="94"/>
      <c r="K304" s="64"/>
      <c r="L304" s="64"/>
      <c r="M304" s="64"/>
      <c r="N304" s="64"/>
      <c r="O304" s="64"/>
      <c r="P304" s="64"/>
      <c r="Q304" s="64" t="str">
        <f>IFERROR(VLOOKUP('BMP P Tracking Table'!$P304,Dropdowns!$C$2:$E$15,3,FALSE),"")</f>
        <v/>
      </c>
      <c r="R304" s="64" t="str">
        <f>IFERROR(VLOOKUP('BMP P Tracking Table'!$Q304,Dropdowns!$P$3:$Q$23,2,FALSE),"")</f>
        <v/>
      </c>
      <c r="S304" s="64"/>
      <c r="T304" s="64"/>
      <c r="U304" s="64"/>
      <c r="V304" s="64"/>
      <c r="W304" s="64"/>
      <c r="X304" s="64"/>
      <c r="Y304" s="64"/>
      <c r="Z304" s="64"/>
      <c r="AA304" s="64"/>
      <c r="AB304" s="95"/>
      <c r="AC304" s="64"/>
      <c r="AD304" s="101" t="str">
        <f>IFERROR('BMP P Tracking Table'!$U304*VLOOKUP('BMP P Tracking Table'!$Q304,'Loading Rates'!$B$1:$L$24,4,FALSE)+IF('BMP P Tracking Table'!$V304="By HSG",'BMP P Tracking Table'!$W304*VLOOKUP('BMP P Tracking Table'!$Q304,'Loading Rates'!$B$1:$L$24,6,FALSE)+'BMP P Tracking Table'!$X304*VLOOKUP('BMP P Tracking Table'!$Q304,'Loading Rates'!$B$1:$L$24,7,FALSE)+'BMP P Tracking Table'!$Y304*VLOOKUP('BMP P Tracking Table'!$Q304,'Loading Rates'!$B$1:$L$24,8,FALSE)+'BMP P Tracking Table'!$Z304*VLOOKUP('BMP P Tracking Table'!$Q304,'Loading Rates'!$B$1:$L$24,9,FALSE),'BMP P Tracking Table'!$AA304*VLOOKUP('BMP P Tracking Table'!$Q304,'Loading Rates'!$B$1:$L$24,10,FALSE)),"")</f>
        <v/>
      </c>
      <c r="AE304" s="101" t="str">
        <f>IFERROR(MIN(2,IF('BMP P Tracking Table'!$V304="Total Pervious",(-(3630*'BMP P Tracking Table'!$U304+20.691*'BMP P Tracking Table'!$AA304)+SQRT((3630*'BMP P Tracking Table'!$U304+20.691*'BMP P Tracking Table'!$AA304)^2-(4*(996.798*'BMP P Tracking Table'!$AA304)*-'BMP P Tracking Table'!$AB304)))/(2*(996.798*'BMP P Tracking Table'!$AA304)),IF(SUM('BMP P Tracking Table'!$W304:$Z304)=0,'BMP P Tracking Table'!$AB304/(-3630*'BMP P Tracking Table'!$U304),(-(3630*'BMP P Tracking Table'!$U304+20.691*'BMP P Tracking Table'!$Z304-216.711*'BMP P Tracking Table'!$Y304-83.853*'BMP P Tracking Table'!$X304-42.834*'BMP P Tracking Table'!$W304)+SQRT((3630*'BMP P Tracking Table'!$U304+20.691*'BMP P Tracking Table'!$Z304-216.711*'BMP P Tracking Table'!$Y304-83.853*'BMP P Tracking Table'!$X304-42.834*'BMP P Tracking Table'!$W304)^2-(4*(149.919*'BMP P Tracking Table'!$W304+236.676*'BMP P Tracking Table'!$X304+726*'BMP P Tracking Table'!$Y304+996.798*'BMP P Tracking Table'!$Z304)*-'BMP P Tracking Table'!$AB304)))/(2*(149.919*'BMP P Tracking Table'!$W304+236.676*'BMP P Tracking Table'!$X304+726*'BMP P Tracking Table'!$Y304+996.798*'BMP P Tracking Table'!$Z304))))),"")</f>
        <v/>
      </c>
      <c r="AF304" s="101" t="str">
        <f>IFERROR((VLOOKUP(CONCATENATE('BMP P Tracking Table'!$T304," ",'BMP P Tracking Table'!$AC304),'Performance Curves'!$C$1:$L$45,MATCH('BMP P Tracking Table'!$AE304,'Performance Curves'!$E$1:$L$1,1)+2,FALSE)-VLOOKUP(CONCATENATE('BMP P Tracking Table'!$T304," ",'BMP P Tracking Table'!$AC304),'Performance Curves'!$C$1:$L$45,MATCH('BMP P Tracking Table'!$AE304,'Performance Curves'!$E$1:$L$1,1)+1,FALSE)),"")</f>
        <v/>
      </c>
      <c r="AG304" s="101" t="str">
        <f>IFERROR(('BMP P Tracking Table'!$AE304-INDEX('Performance Curves'!$E$1:$L$1,1,MATCH('BMP P Tracking Table'!$AE304,'Performance Curves'!$E$1:$L$1,1)))/(INDEX('Performance Curves'!$E$1:$L$1,1,MATCH('BMP P Tracking Table'!$AE304,'Performance Curves'!$E$1:$L$1,1)+1)-INDEX('Performance Curves'!$E$1:$L$1,1,MATCH('BMP P Tracking Table'!$AE304,'Performance Curves'!$E$1:$L$1,1))),"")</f>
        <v/>
      </c>
      <c r="AH304" s="102" t="str">
        <f>IFERROR(IF('BMP P Tracking Table'!$AE304=2,VLOOKUP(CONCATENATE('BMP P Tracking Table'!$T304," ",'BMP P Tracking Table'!$AC304),'Performance Curves'!$C$1:$L$45,MATCH('BMP P Tracking Table'!$AE304,'Performance Curves'!$E$1:$L$1,1)+1,FALSE),'BMP P Tracking Table'!$AF304*'BMP P Tracking Table'!$AG304+VLOOKUP(CONCATENATE('BMP P Tracking Table'!$T304," ",'BMP P Tracking Table'!$AC304),'Performance Curves'!$C$1:$L$45,MATCH('BMP P Tracking Table'!$AE304,'Performance Curves'!$E$1:$L$1,1)+1,FALSE)),"")</f>
        <v/>
      </c>
      <c r="AI304" s="101" t="str">
        <f>IFERROR('BMP P Tracking Table'!$AH304*'BMP P Tracking Table'!$AD304,"")</f>
        <v/>
      </c>
      <c r="AJ304" s="64"/>
      <c r="AK304" s="96"/>
      <c r="AL304" s="96"/>
      <c r="AM304" s="63"/>
      <c r="AN304" s="99" t="str">
        <f t="shared" si="20"/>
        <v/>
      </c>
      <c r="AO304" s="96"/>
      <c r="AP304" s="96"/>
      <c r="AQ304" s="96"/>
      <c r="AR304" s="96"/>
      <c r="AS304" s="96"/>
      <c r="AT304" s="96"/>
      <c r="AU304" s="96"/>
      <c r="AV304" s="64"/>
      <c r="AW304" s="97"/>
      <c r="AX304" s="97"/>
      <c r="AY304" s="101" t="str">
        <f>IF('BMP P Tracking Table'!$AK304="Yes",IF('BMP P Tracking Table'!$AL304="No",'BMP P Tracking Table'!$U304*VLOOKUP('BMP P Tracking Table'!$Q304,'Loading Rates'!$B$1:$L$24,4,FALSE)+IF('BMP P Tracking Table'!$V304="By HSG",'BMP P Tracking Table'!$W304*VLOOKUP('BMP P Tracking Table'!$Q304,'Loading Rates'!$B$1:$L$24,6,FALSE)+'BMP P Tracking Table'!$X304*VLOOKUP('BMP P Tracking Table'!$Q304,'Loading Rates'!$B$1:$L$24,7,FALSE)+'BMP P Tracking Table'!$Y304*VLOOKUP('BMP P Tracking Table'!$Q304,'Loading Rates'!$B$1:$L$24,8,FALSE)+'BMP P Tracking Table'!$Z304*VLOOKUP('BMP P Tracking Table'!$Q304,'Loading Rates'!$B$1:$L$24,9,FALSE),'BMP P Tracking Table'!$AA304*VLOOKUP('BMP P Tracking Table'!$Q304,'Loading Rates'!$B$1:$L$24,10,FALSE)),'BMP P Tracking Table'!$AO304*VLOOKUP('BMP P Tracking Table'!$Q304,'Loading Rates'!$B$1:$L$24,4,FALSE)+IF('BMP P Tracking Table'!$AP304="By HSG",'BMP P Tracking Table'!$AQ304*VLOOKUP('BMP P Tracking Table'!$Q304,'Loading Rates'!$B$1:$L$24,6,FALSE)+'BMP P Tracking Table'!$AR304*VLOOKUP('BMP P Tracking Table'!$Q304,'Loading Rates'!$B$1:$L$24,7,FALSE)+'BMP P Tracking Table'!$AS304*VLOOKUP('BMP P Tracking Table'!$Q304,'Loading Rates'!$B$1:$L$24,8,FALSE)+'BMP P Tracking Table'!$AT304*VLOOKUP('BMP P Tracking Table'!$Q304,'Loading Rates'!$B$1:$L$24,9,FALSE),'BMP P Tracking Table'!$AU304*VLOOKUP('BMP P Tracking Table'!$Q304,'Loading Rates'!$B$1:$L$24,10,FALSE))),"")</f>
        <v/>
      </c>
      <c r="AZ304" s="101" t="str">
        <f>IFERROR(IF('BMP P Tracking Table'!$AL304="Yes",MIN(2,IF('BMP P Tracking Table'!$AP304="Total Pervious",(-(3630*'BMP P Tracking Table'!$AO304+20.691*'BMP P Tracking Table'!$AU304)+SQRT((3630*'BMP P Tracking Table'!$AO304+20.691*'BMP P Tracking Table'!$AU304)^2-(4*(996.798*'BMP P Tracking Table'!$AU304)*-'BMP P Tracking Table'!$AW304)))/(2*(996.798*'BMP P Tracking Table'!$AU304)),IF(SUM('BMP P Tracking Table'!$AQ304:$AT304)=0,'BMP P Tracking Table'!$AU304/(-3630*'BMP P Tracking Table'!$AO304),(-(3630*'BMP P Tracking Table'!$AO304+20.691*'BMP P Tracking Table'!$AT304-216.711*'BMP P Tracking Table'!$AS304-83.853*'BMP P Tracking Table'!$AR304-42.834*'BMP P Tracking Table'!$AQ304)+SQRT((3630*'BMP P Tracking Table'!$AO304+20.691*'BMP P Tracking Table'!$AT304-216.711*'BMP P Tracking Table'!$AS304-83.853*'BMP P Tracking Table'!$AR304-42.834*'BMP P Tracking Table'!$AQ304)^2-(4*(149.919*'BMP P Tracking Table'!$AQ304+236.676*'BMP P Tracking Table'!$AR304+726*'BMP P Tracking Table'!$AS304+996.798*'BMP P Tracking Table'!$AT304)*-'BMP P Tracking Table'!$AW304)))/(2*(149.919*'BMP P Tracking Table'!$AQ304+236.676*'BMP P Tracking Table'!$AR304+726*'BMP P Tracking Table'!$AS304+996.798*'BMP P Tracking Table'!$AT304))))),MIN(2,IF('BMP P Tracking Table'!$AP304="Total Pervious",(-(3630*'BMP P Tracking Table'!$U304+20.691*'BMP P Tracking Table'!$AA304)+SQRT((3630*'BMP P Tracking Table'!$U304+20.691*'BMP P Tracking Table'!$AA304)^2-(4*(996.798*'BMP P Tracking Table'!$AA304)*-'BMP P Tracking Table'!$AW304)))/(2*(996.798*'BMP P Tracking Table'!$AA304)),IF(SUM('BMP P Tracking Table'!$W304:$Z304)=0,'BMP P Tracking Table'!$AW304/(-3630*'BMP P Tracking Table'!$U304),(-(3630*'BMP P Tracking Table'!$U304+20.691*'BMP P Tracking Table'!$Z304-216.711*'BMP P Tracking Table'!$Y304-83.853*'BMP P Tracking Table'!$X304-42.834*'BMP P Tracking Table'!$W304)+SQRT((3630*'BMP P Tracking Table'!$U304+20.691*'BMP P Tracking Table'!$Z304-216.711*'BMP P Tracking Table'!$Y304-83.853*'BMP P Tracking Table'!$X304-42.834*'BMP P Tracking Table'!$W304)^2-(4*(149.919*'BMP P Tracking Table'!$W304+236.676*'BMP P Tracking Table'!$X304+726*'BMP P Tracking Table'!$Y304+996.798*'BMP P Tracking Table'!$Z304)*-'BMP P Tracking Table'!$AW304)))/(2*(149.919*'BMP P Tracking Table'!$W304+236.676*'BMP P Tracking Table'!$X304+726*'BMP P Tracking Table'!$Y304+996.798*'BMP P Tracking Table'!$Z304)))))),"")</f>
        <v/>
      </c>
      <c r="BA304" s="101" t="str">
        <f>IFERROR((VLOOKUP(CONCATENATE('BMP P Tracking Table'!$AV304," ",'BMP P Tracking Table'!$AX304),'Performance Curves'!$C$1:$L$45,MATCH('BMP P Tracking Table'!$AZ304,'Performance Curves'!$E$1:$L$1,1)+2,FALSE)-VLOOKUP(CONCATENATE('BMP P Tracking Table'!$AV304," ",'BMP P Tracking Table'!$AX304),'Performance Curves'!$C$1:$L$45,MATCH('BMP P Tracking Table'!$AZ304,'Performance Curves'!$E$1:$L$1,1)+1,FALSE)),"")</f>
        <v/>
      </c>
      <c r="BB304" s="101" t="str">
        <f>IFERROR(('BMP P Tracking Table'!$AZ304-INDEX('Performance Curves'!$E$1:$L$1,1,MATCH('BMP P Tracking Table'!$AZ304,'Performance Curves'!$E$1:$L$1,1)))/(INDEX('Performance Curves'!$E$1:$L$1,1,MATCH('BMP P Tracking Table'!$AZ304,'Performance Curves'!$E$1:$L$1,1)+1)-INDEX('Performance Curves'!$E$1:$L$1,1,MATCH('BMP P Tracking Table'!$AZ304,'Performance Curves'!$E$1:$L$1,1))),"")</f>
        <v/>
      </c>
      <c r="BC304" s="102" t="str">
        <f>IFERROR(IF('BMP P Tracking Table'!$AZ304=2,VLOOKUP(CONCATENATE('BMP P Tracking Table'!$AV304," ",'BMP P Tracking Table'!$AX304),'Performance Curves'!$C$1:$L$44,MATCH('BMP P Tracking Table'!$AZ304,'Performance Curves'!$E$1:$L$1,1)+1,FALSE),'BMP P Tracking Table'!$BA304*'BMP P Tracking Table'!$BB304+VLOOKUP(CONCATENATE('BMP P Tracking Table'!$AV304," ",'BMP P Tracking Table'!$AX304),'Performance Curves'!$C$1:$L$44,MATCH('BMP P Tracking Table'!$AZ304,'Performance Curves'!$E$1:$L$1,1)+1,FALSE)),"")</f>
        <v/>
      </c>
      <c r="BD304" s="101" t="str">
        <f>IFERROR('BMP P Tracking Table'!$BC304*'BMP P Tracking Table'!$AY304,"")</f>
        <v/>
      </c>
      <c r="BE304" s="96"/>
      <c r="BF304" s="37">
        <f t="shared" si="21"/>
        <v>0</v>
      </c>
    </row>
    <row r="305" spans="1:58" x14ac:dyDescent="0.3">
      <c r="A305" s="64"/>
      <c r="B305" s="64"/>
      <c r="C305" s="64"/>
      <c r="D305" s="64"/>
      <c r="E305" s="93"/>
      <c r="F305" s="93"/>
      <c r="G305" s="64"/>
      <c r="H305" s="64"/>
      <c r="I305" s="64"/>
      <c r="J305" s="94"/>
      <c r="K305" s="64"/>
      <c r="L305" s="64"/>
      <c r="M305" s="64"/>
      <c r="N305" s="64"/>
      <c r="O305" s="64"/>
      <c r="P305" s="64"/>
      <c r="Q305" s="64" t="str">
        <f>IFERROR(VLOOKUP('BMP P Tracking Table'!$P305,Dropdowns!$C$2:$E$15,3,FALSE),"")</f>
        <v/>
      </c>
      <c r="R305" s="64" t="str">
        <f>IFERROR(VLOOKUP('BMP P Tracking Table'!$Q305,Dropdowns!$P$3:$Q$23,2,FALSE),"")</f>
        <v/>
      </c>
      <c r="S305" s="64"/>
      <c r="T305" s="64"/>
      <c r="U305" s="64"/>
      <c r="V305" s="64"/>
      <c r="W305" s="64"/>
      <c r="X305" s="64"/>
      <c r="Y305" s="64"/>
      <c r="Z305" s="64"/>
      <c r="AA305" s="64"/>
      <c r="AB305" s="95"/>
      <c r="AC305" s="64"/>
      <c r="AD305" s="101" t="str">
        <f>IFERROR('BMP P Tracking Table'!$U305*VLOOKUP('BMP P Tracking Table'!$Q305,'Loading Rates'!$B$1:$L$24,4,FALSE)+IF('BMP P Tracking Table'!$V305="By HSG",'BMP P Tracking Table'!$W305*VLOOKUP('BMP P Tracking Table'!$Q305,'Loading Rates'!$B$1:$L$24,6,FALSE)+'BMP P Tracking Table'!$X305*VLOOKUP('BMP P Tracking Table'!$Q305,'Loading Rates'!$B$1:$L$24,7,FALSE)+'BMP P Tracking Table'!$Y305*VLOOKUP('BMP P Tracking Table'!$Q305,'Loading Rates'!$B$1:$L$24,8,FALSE)+'BMP P Tracking Table'!$Z305*VLOOKUP('BMP P Tracking Table'!$Q305,'Loading Rates'!$B$1:$L$24,9,FALSE),'BMP P Tracking Table'!$AA305*VLOOKUP('BMP P Tracking Table'!$Q305,'Loading Rates'!$B$1:$L$24,10,FALSE)),"")</f>
        <v/>
      </c>
      <c r="AE305" s="101" t="str">
        <f>IFERROR(MIN(2,IF('BMP P Tracking Table'!$V305="Total Pervious",(-(3630*'BMP P Tracking Table'!$U305+20.691*'BMP P Tracking Table'!$AA305)+SQRT((3630*'BMP P Tracking Table'!$U305+20.691*'BMP P Tracking Table'!$AA305)^2-(4*(996.798*'BMP P Tracking Table'!$AA305)*-'BMP P Tracking Table'!$AB305)))/(2*(996.798*'BMP P Tracking Table'!$AA305)),IF(SUM('BMP P Tracking Table'!$W305:$Z305)=0,'BMP P Tracking Table'!$AB305/(-3630*'BMP P Tracking Table'!$U305),(-(3630*'BMP P Tracking Table'!$U305+20.691*'BMP P Tracking Table'!$Z305-216.711*'BMP P Tracking Table'!$Y305-83.853*'BMP P Tracking Table'!$X305-42.834*'BMP P Tracking Table'!$W305)+SQRT((3630*'BMP P Tracking Table'!$U305+20.691*'BMP P Tracking Table'!$Z305-216.711*'BMP P Tracking Table'!$Y305-83.853*'BMP P Tracking Table'!$X305-42.834*'BMP P Tracking Table'!$W305)^2-(4*(149.919*'BMP P Tracking Table'!$W305+236.676*'BMP P Tracking Table'!$X305+726*'BMP P Tracking Table'!$Y305+996.798*'BMP P Tracking Table'!$Z305)*-'BMP P Tracking Table'!$AB305)))/(2*(149.919*'BMP P Tracking Table'!$W305+236.676*'BMP P Tracking Table'!$X305+726*'BMP P Tracking Table'!$Y305+996.798*'BMP P Tracking Table'!$Z305))))),"")</f>
        <v/>
      </c>
      <c r="AF305" s="101" t="str">
        <f>IFERROR((VLOOKUP(CONCATENATE('BMP P Tracking Table'!$T305," ",'BMP P Tracking Table'!$AC305),'Performance Curves'!$C$1:$L$45,MATCH('BMP P Tracking Table'!$AE305,'Performance Curves'!$E$1:$L$1,1)+2,FALSE)-VLOOKUP(CONCATENATE('BMP P Tracking Table'!$T305," ",'BMP P Tracking Table'!$AC305),'Performance Curves'!$C$1:$L$45,MATCH('BMP P Tracking Table'!$AE305,'Performance Curves'!$E$1:$L$1,1)+1,FALSE)),"")</f>
        <v/>
      </c>
      <c r="AG305" s="101" t="str">
        <f>IFERROR(('BMP P Tracking Table'!$AE305-INDEX('Performance Curves'!$E$1:$L$1,1,MATCH('BMP P Tracking Table'!$AE305,'Performance Curves'!$E$1:$L$1,1)))/(INDEX('Performance Curves'!$E$1:$L$1,1,MATCH('BMP P Tracking Table'!$AE305,'Performance Curves'!$E$1:$L$1,1)+1)-INDEX('Performance Curves'!$E$1:$L$1,1,MATCH('BMP P Tracking Table'!$AE305,'Performance Curves'!$E$1:$L$1,1))),"")</f>
        <v/>
      </c>
      <c r="AH305" s="102" t="str">
        <f>IFERROR(IF('BMP P Tracking Table'!$AE305=2,VLOOKUP(CONCATENATE('BMP P Tracking Table'!$T305," ",'BMP P Tracking Table'!$AC305),'Performance Curves'!$C$1:$L$45,MATCH('BMP P Tracking Table'!$AE305,'Performance Curves'!$E$1:$L$1,1)+1,FALSE),'BMP P Tracking Table'!$AF305*'BMP P Tracking Table'!$AG305+VLOOKUP(CONCATENATE('BMP P Tracking Table'!$T305," ",'BMP P Tracking Table'!$AC305),'Performance Curves'!$C$1:$L$45,MATCH('BMP P Tracking Table'!$AE305,'Performance Curves'!$E$1:$L$1,1)+1,FALSE)),"")</f>
        <v/>
      </c>
      <c r="AI305" s="101" t="str">
        <f>IFERROR('BMP P Tracking Table'!$AH305*'BMP P Tracking Table'!$AD305,"")</f>
        <v/>
      </c>
      <c r="AJ305" s="64"/>
      <c r="AK305" s="96"/>
      <c r="AL305" s="96"/>
      <c r="AM305" s="63"/>
      <c r="AN305" s="99" t="str">
        <f t="shared" si="20"/>
        <v/>
      </c>
      <c r="AO305" s="96"/>
      <c r="AP305" s="96"/>
      <c r="AQ305" s="96"/>
      <c r="AR305" s="96"/>
      <c r="AS305" s="96"/>
      <c r="AT305" s="96"/>
      <c r="AU305" s="96"/>
      <c r="AV305" s="64"/>
      <c r="AW305" s="97"/>
      <c r="AX305" s="97"/>
      <c r="AY305" s="101" t="str">
        <f>IF('BMP P Tracking Table'!$AK305="Yes",IF('BMP P Tracking Table'!$AL305="No",'BMP P Tracking Table'!$U305*VLOOKUP('BMP P Tracking Table'!$Q305,'Loading Rates'!$B$1:$L$24,4,FALSE)+IF('BMP P Tracking Table'!$V305="By HSG",'BMP P Tracking Table'!$W305*VLOOKUP('BMP P Tracking Table'!$Q305,'Loading Rates'!$B$1:$L$24,6,FALSE)+'BMP P Tracking Table'!$X305*VLOOKUP('BMP P Tracking Table'!$Q305,'Loading Rates'!$B$1:$L$24,7,FALSE)+'BMP P Tracking Table'!$Y305*VLOOKUP('BMP P Tracking Table'!$Q305,'Loading Rates'!$B$1:$L$24,8,FALSE)+'BMP P Tracking Table'!$Z305*VLOOKUP('BMP P Tracking Table'!$Q305,'Loading Rates'!$B$1:$L$24,9,FALSE),'BMP P Tracking Table'!$AA305*VLOOKUP('BMP P Tracking Table'!$Q305,'Loading Rates'!$B$1:$L$24,10,FALSE)),'BMP P Tracking Table'!$AO305*VLOOKUP('BMP P Tracking Table'!$Q305,'Loading Rates'!$B$1:$L$24,4,FALSE)+IF('BMP P Tracking Table'!$AP305="By HSG",'BMP P Tracking Table'!$AQ305*VLOOKUP('BMP P Tracking Table'!$Q305,'Loading Rates'!$B$1:$L$24,6,FALSE)+'BMP P Tracking Table'!$AR305*VLOOKUP('BMP P Tracking Table'!$Q305,'Loading Rates'!$B$1:$L$24,7,FALSE)+'BMP P Tracking Table'!$AS305*VLOOKUP('BMP P Tracking Table'!$Q305,'Loading Rates'!$B$1:$L$24,8,FALSE)+'BMP P Tracking Table'!$AT305*VLOOKUP('BMP P Tracking Table'!$Q305,'Loading Rates'!$B$1:$L$24,9,FALSE),'BMP P Tracking Table'!$AU305*VLOOKUP('BMP P Tracking Table'!$Q305,'Loading Rates'!$B$1:$L$24,10,FALSE))),"")</f>
        <v/>
      </c>
      <c r="AZ305" s="101" t="str">
        <f>IFERROR(IF('BMP P Tracking Table'!$AL305="Yes",MIN(2,IF('BMP P Tracking Table'!$AP305="Total Pervious",(-(3630*'BMP P Tracking Table'!$AO305+20.691*'BMP P Tracking Table'!$AU305)+SQRT((3630*'BMP P Tracking Table'!$AO305+20.691*'BMP P Tracking Table'!$AU305)^2-(4*(996.798*'BMP P Tracking Table'!$AU305)*-'BMP P Tracking Table'!$AW305)))/(2*(996.798*'BMP P Tracking Table'!$AU305)),IF(SUM('BMP P Tracking Table'!$AQ305:$AT305)=0,'BMP P Tracking Table'!$AU305/(-3630*'BMP P Tracking Table'!$AO305),(-(3630*'BMP P Tracking Table'!$AO305+20.691*'BMP P Tracking Table'!$AT305-216.711*'BMP P Tracking Table'!$AS305-83.853*'BMP P Tracking Table'!$AR305-42.834*'BMP P Tracking Table'!$AQ305)+SQRT((3630*'BMP P Tracking Table'!$AO305+20.691*'BMP P Tracking Table'!$AT305-216.711*'BMP P Tracking Table'!$AS305-83.853*'BMP P Tracking Table'!$AR305-42.834*'BMP P Tracking Table'!$AQ305)^2-(4*(149.919*'BMP P Tracking Table'!$AQ305+236.676*'BMP P Tracking Table'!$AR305+726*'BMP P Tracking Table'!$AS305+996.798*'BMP P Tracking Table'!$AT305)*-'BMP P Tracking Table'!$AW305)))/(2*(149.919*'BMP P Tracking Table'!$AQ305+236.676*'BMP P Tracking Table'!$AR305+726*'BMP P Tracking Table'!$AS305+996.798*'BMP P Tracking Table'!$AT305))))),MIN(2,IF('BMP P Tracking Table'!$AP305="Total Pervious",(-(3630*'BMP P Tracking Table'!$U305+20.691*'BMP P Tracking Table'!$AA305)+SQRT((3630*'BMP P Tracking Table'!$U305+20.691*'BMP P Tracking Table'!$AA305)^2-(4*(996.798*'BMP P Tracking Table'!$AA305)*-'BMP P Tracking Table'!$AW305)))/(2*(996.798*'BMP P Tracking Table'!$AA305)),IF(SUM('BMP P Tracking Table'!$W305:$Z305)=0,'BMP P Tracking Table'!$AW305/(-3630*'BMP P Tracking Table'!$U305),(-(3630*'BMP P Tracking Table'!$U305+20.691*'BMP P Tracking Table'!$Z305-216.711*'BMP P Tracking Table'!$Y305-83.853*'BMP P Tracking Table'!$X305-42.834*'BMP P Tracking Table'!$W305)+SQRT((3630*'BMP P Tracking Table'!$U305+20.691*'BMP P Tracking Table'!$Z305-216.711*'BMP P Tracking Table'!$Y305-83.853*'BMP P Tracking Table'!$X305-42.834*'BMP P Tracking Table'!$W305)^2-(4*(149.919*'BMP P Tracking Table'!$W305+236.676*'BMP P Tracking Table'!$X305+726*'BMP P Tracking Table'!$Y305+996.798*'BMP P Tracking Table'!$Z305)*-'BMP P Tracking Table'!$AW305)))/(2*(149.919*'BMP P Tracking Table'!$W305+236.676*'BMP P Tracking Table'!$X305+726*'BMP P Tracking Table'!$Y305+996.798*'BMP P Tracking Table'!$Z305)))))),"")</f>
        <v/>
      </c>
      <c r="BA305" s="101" t="str">
        <f>IFERROR((VLOOKUP(CONCATENATE('BMP P Tracking Table'!$AV305," ",'BMP P Tracking Table'!$AX305),'Performance Curves'!$C$1:$L$45,MATCH('BMP P Tracking Table'!$AZ305,'Performance Curves'!$E$1:$L$1,1)+2,FALSE)-VLOOKUP(CONCATENATE('BMP P Tracking Table'!$AV305," ",'BMP P Tracking Table'!$AX305),'Performance Curves'!$C$1:$L$45,MATCH('BMP P Tracking Table'!$AZ305,'Performance Curves'!$E$1:$L$1,1)+1,FALSE)),"")</f>
        <v/>
      </c>
      <c r="BB305" s="101" t="str">
        <f>IFERROR(('BMP P Tracking Table'!$AZ305-INDEX('Performance Curves'!$E$1:$L$1,1,MATCH('BMP P Tracking Table'!$AZ305,'Performance Curves'!$E$1:$L$1,1)))/(INDEX('Performance Curves'!$E$1:$L$1,1,MATCH('BMP P Tracking Table'!$AZ305,'Performance Curves'!$E$1:$L$1,1)+1)-INDEX('Performance Curves'!$E$1:$L$1,1,MATCH('BMP P Tracking Table'!$AZ305,'Performance Curves'!$E$1:$L$1,1))),"")</f>
        <v/>
      </c>
      <c r="BC305" s="102" t="str">
        <f>IFERROR(IF('BMP P Tracking Table'!$AZ305=2,VLOOKUP(CONCATENATE('BMP P Tracking Table'!$AV305," ",'BMP P Tracking Table'!$AX305),'Performance Curves'!$C$1:$L$44,MATCH('BMP P Tracking Table'!$AZ305,'Performance Curves'!$E$1:$L$1,1)+1,FALSE),'BMP P Tracking Table'!$BA305*'BMP P Tracking Table'!$BB305+VLOOKUP(CONCATENATE('BMP P Tracking Table'!$AV305," ",'BMP P Tracking Table'!$AX305),'Performance Curves'!$C$1:$L$44,MATCH('BMP P Tracking Table'!$AZ305,'Performance Curves'!$E$1:$L$1,1)+1,FALSE)),"")</f>
        <v/>
      </c>
      <c r="BD305" s="101" t="str">
        <f>IFERROR('BMP P Tracking Table'!$BC305*'BMP P Tracking Table'!$AY305,"")</f>
        <v/>
      </c>
      <c r="BE305" s="96"/>
      <c r="BF305" s="37">
        <f t="shared" si="21"/>
        <v>0</v>
      </c>
    </row>
    <row r="306" spans="1:58" x14ac:dyDescent="0.3">
      <c r="A306" s="64"/>
      <c r="B306" s="64"/>
      <c r="C306" s="64"/>
      <c r="D306" s="64"/>
      <c r="E306" s="93"/>
      <c r="F306" s="93"/>
      <c r="G306" s="64"/>
      <c r="H306" s="64"/>
      <c r="I306" s="64"/>
      <c r="J306" s="94"/>
      <c r="K306" s="64"/>
      <c r="L306" s="64"/>
      <c r="M306" s="64"/>
      <c r="N306" s="64"/>
      <c r="O306" s="64"/>
      <c r="P306" s="64"/>
      <c r="Q306" s="64" t="str">
        <f>IFERROR(VLOOKUP('BMP P Tracking Table'!$P306,Dropdowns!$C$2:$E$15,3,FALSE),"")</f>
        <v/>
      </c>
      <c r="R306" s="64" t="str">
        <f>IFERROR(VLOOKUP('BMP P Tracking Table'!$Q306,Dropdowns!$P$3:$Q$23,2,FALSE),"")</f>
        <v/>
      </c>
      <c r="S306" s="64"/>
      <c r="T306" s="64"/>
      <c r="U306" s="64"/>
      <c r="V306" s="64"/>
      <c r="W306" s="64"/>
      <c r="X306" s="64"/>
      <c r="Y306" s="64"/>
      <c r="Z306" s="64"/>
      <c r="AA306" s="64"/>
      <c r="AB306" s="95"/>
      <c r="AC306" s="64"/>
      <c r="AD306" s="101" t="str">
        <f>IFERROR('BMP P Tracking Table'!$U306*VLOOKUP('BMP P Tracking Table'!$Q306,'Loading Rates'!$B$1:$L$24,4,FALSE)+IF('BMP P Tracking Table'!$V306="By HSG",'BMP P Tracking Table'!$W306*VLOOKUP('BMP P Tracking Table'!$Q306,'Loading Rates'!$B$1:$L$24,6,FALSE)+'BMP P Tracking Table'!$X306*VLOOKUP('BMP P Tracking Table'!$Q306,'Loading Rates'!$B$1:$L$24,7,FALSE)+'BMP P Tracking Table'!$Y306*VLOOKUP('BMP P Tracking Table'!$Q306,'Loading Rates'!$B$1:$L$24,8,FALSE)+'BMP P Tracking Table'!$Z306*VLOOKUP('BMP P Tracking Table'!$Q306,'Loading Rates'!$B$1:$L$24,9,FALSE),'BMP P Tracking Table'!$AA306*VLOOKUP('BMP P Tracking Table'!$Q306,'Loading Rates'!$B$1:$L$24,10,FALSE)),"")</f>
        <v/>
      </c>
      <c r="AE306" s="101" t="str">
        <f>IFERROR(MIN(2,IF('BMP P Tracking Table'!$V306="Total Pervious",(-(3630*'BMP P Tracking Table'!$U306+20.691*'BMP P Tracking Table'!$AA306)+SQRT((3630*'BMP P Tracking Table'!$U306+20.691*'BMP P Tracking Table'!$AA306)^2-(4*(996.798*'BMP P Tracking Table'!$AA306)*-'BMP P Tracking Table'!$AB306)))/(2*(996.798*'BMP P Tracking Table'!$AA306)),IF(SUM('BMP P Tracking Table'!$W306:$Z306)=0,'BMP P Tracking Table'!$AB306/(-3630*'BMP P Tracking Table'!$U306),(-(3630*'BMP P Tracking Table'!$U306+20.691*'BMP P Tracking Table'!$Z306-216.711*'BMP P Tracking Table'!$Y306-83.853*'BMP P Tracking Table'!$X306-42.834*'BMP P Tracking Table'!$W306)+SQRT((3630*'BMP P Tracking Table'!$U306+20.691*'BMP P Tracking Table'!$Z306-216.711*'BMP P Tracking Table'!$Y306-83.853*'BMP P Tracking Table'!$X306-42.834*'BMP P Tracking Table'!$W306)^2-(4*(149.919*'BMP P Tracking Table'!$W306+236.676*'BMP P Tracking Table'!$X306+726*'BMP P Tracking Table'!$Y306+996.798*'BMP P Tracking Table'!$Z306)*-'BMP P Tracking Table'!$AB306)))/(2*(149.919*'BMP P Tracking Table'!$W306+236.676*'BMP P Tracking Table'!$X306+726*'BMP P Tracking Table'!$Y306+996.798*'BMP P Tracking Table'!$Z306))))),"")</f>
        <v/>
      </c>
      <c r="AF306" s="101" t="str">
        <f>IFERROR((VLOOKUP(CONCATENATE('BMP P Tracking Table'!$T306," ",'BMP P Tracking Table'!$AC306),'Performance Curves'!$C$1:$L$45,MATCH('BMP P Tracking Table'!$AE306,'Performance Curves'!$E$1:$L$1,1)+2,FALSE)-VLOOKUP(CONCATENATE('BMP P Tracking Table'!$T306," ",'BMP P Tracking Table'!$AC306),'Performance Curves'!$C$1:$L$45,MATCH('BMP P Tracking Table'!$AE306,'Performance Curves'!$E$1:$L$1,1)+1,FALSE)),"")</f>
        <v/>
      </c>
      <c r="AG306" s="101" t="str">
        <f>IFERROR(('BMP P Tracking Table'!$AE306-INDEX('Performance Curves'!$E$1:$L$1,1,MATCH('BMP P Tracking Table'!$AE306,'Performance Curves'!$E$1:$L$1,1)))/(INDEX('Performance Curves'!$E$1:$L$1,1,MATCH('BMP P Tracking Table'!$AE306,'Performance Curves'!$E$1:$L$1,1)+1)-INDEX('Performance Curves'!$E$1:$L$1,1,MATCH('BMP P Tracking Table'!$AE306,'Performance Curves'!$E$1:$L$1,1))),"")</f>
        <v/>
      </c>
      <c r="AH306" s="102" t="str">
        <f>IFERROR(IF('BMP P Tracking Table'!$AE306=2,VLOOKUP(CONCATENATE('BMP P Tracking Table'!$T306," ",'BMP P Tracking Table'!$AC306),'Performance Curves'!$C$1:$L$45,MATCH('BMP P Tracking Table'!$AE306,'Performance Curves'!$E$1:$L$1,1)+1,FALSE),'BMP P Tracking Table'!$AF306*'BMP P Tracking Table'!$AG306+VLOOKUP(CONCATENATE('BMP P Tracking Table'!$T306," ",'BMP P Tracking Table'!$AC306),'Performance Curves'!$C$1:$L$45,MATCH('BMP P Tracking Table'!$AE306,'Performance Curves'!$E$1:$L$1,1)+1,FALSE)),"")</f>
        <v/>
      </c>
      <c r="AI306" s="101" t="str">
        <f>IFERROR('BMP P Tracking Table'!$AH306*'BMP P Tracking Table'!$AD306,"")</f>
        <v/>
      </c>
      <c r="AJ306" s="64"/>
      <c r="AK306" s="96"/>
      <c r="AL306" s="96"/>
      <c r="AM306" s="63"/>
      <c r="AN306" s="99" t="str">
        <f t="shared" si="20"/>
        <v/>
      </c>
      <c r="AO306" s="96"/>
      <c r="AP306" s="96"/>
      <c r="AQ306" s="96"/>
      <c r="AR306" s="96"/>
      <c r="AS306" s="96"/>
      <c r="AT306" s="96"/>
      <c r="AU306" s="96"/>
      <c r="AV306" s="64"/>
      <c r="AW306" s="97"/>
      <c r="AX306" s="97"/>
      <c r="AY306" s="101" t="str">
        <f>IF('BMP P Tracking Table'!$AK306="Yes",IF('BMP P Tracking Table'!$AL306="No",'BMP P Tracking Table'!$U306*VLOOKUP('BMP P Tracking Table'!$Q306,'Loading Rates'!$B$1:$L$24,4,FALSE)+IF('BMP P Tracking Table'!$V306="By HSG",'BMP P Tracking Table'!$W306*VLOOKUP('BMP P Tracking Table'!$Q306,'Loading Rates'!$B$1:$L$24,6,FALSE)+'BMP P Tracking Table'!$X306*VLOOKUP('BMP P Tracking Table'!$Q306,'Loading Rates'!$B$1:$L$24,7,FALSE)+'BMP P Tracking Table'!$Y306*VLOOKUP('BMP P Tracking Table'!$Q306,'Loading Rates'!$B$1:$L$24,8,FALSE)+'BMP P Tracking Table'!$Z306*VLOOKUP('BMP P Tracking Table'!$Q306,'Loading Rates'!$B$1:$L$24,9,FALSE),'BMP P Tracking Table'!$AA306*VLOOKUP('BMP P Tracking Table'!$Q306,'Loading Rates'!$B$1:$L$24,10,FALSE)),'BMP P Tracking Table'!$AO306*VLOOKUP('BMP P Tracking Table'!$Q306,'Loading Rates'!$B$1:$L$24,4,FALSE)+IF('BMP P Tracking Table'!$AP306="By HSG",'BMP P Tracking Table'!$AQ306*VLOOKUP('BMP P Tracking Table'!$Q306,'Loading Rates'!$B$1:$L$24,6,FALSE)+'BMP P Tracking Table'!$AR306*VLOOKUP('BMP P Tracking Table'!$Q306,'Loading Rates'!$B$1:$L$24,7,FALSE)+'BMP P Tracking Table'!$AS306*VLOOKUP('BMP P Tracking Table'!$Q306,'Loading Rates'!$B$1:$L$24,8,FALSE)+'BMP P Tracking Table'!$AT306*VLOOKUP('BMP P Tracking Table'!$Q306,'Loading Rates'!$B$1:$L$24,9,FALSE),'BMP P Tracking Table'!$AU306*VLOOKUP('BMP P Tracking Table'!$Q306,'Loading Rates'!$B$1:$L$24,10,FALSE))),"")</f>
        <v/>
      </c>
      <c r="AZ306" s="101" t="str">
        <f>IFERROR(IF('BMP P Tracking Table'!$AL306="Yes",MIN(2,IF('BMP P Tracking Table'!$AP306="Total Pervious",(-(3630*'BMP P Tracking Table'!$AO306+20.691*'BMP P Tracking Table'!$AU306)+SQRT((3630*'BMP P Tracking Table'!$AO306+20.691*'BMP P Tracking Table'!$AU306)^2-(4*(996.798*'BMP P Tracking Table'!$AU306)*-'BMP P Tracking Table'!$AW306)))/(2*(996.798*'BMP P Tracking Table'!$AU306)),IF(SUM('BMP P Tracking Table'!$AQ306:$AT306)=0,'BMP P Tracking Table'!$AU306/(-3630*'BMP P Tracking Table'!$AO306),(-(3630*'BMP P Tracking Table'!$AO306+20.691*'BMP P Tracking Table'!$AT306-216.711*'BMP P Tracking Table'!$AS306-83.853*'BMP P Tracking Table'!$AR306-42.834*'BMP P Tracking Table'!$AQ306)+SQRT((3630*'BMP P Tracking Table'!$AO306+20.691*'BMP P Tracking Table'!$AT306-216.711*'BMP P Tracking Table'!$AS306-83.853*'BMP P Tracking Table'!$AR306-42.834*'BMP P Tracking Table'!$AQ306)^2-(4*(149.919*'BMP P Tracking Table'!$AQ306+236.676*'BMP P Tracking Table'!$AR306+726*'BMP P Tracking Table'!$AS306+996.798*'BMP P Tracking Table'!$AT306)*-'BMP P Tracking Table'!$AW306)))/(2*(149.919*'BMP P Tracking Table'!$AQ306+236.676*'BMP P Tracking Table'!$AR306+726*'BMP P Tracking Table'!$AS306+996.798*'BMP P Tracking Table'!$AT306))))),MIN(2,IF('BMP P Tracking Table'!$AP306="Total Pervious",(-(3630*'BMP P Tracking Table'!$U306+20.691*'BMP P Tracking Table'!$AA306)+SQRT((3630*'BMP P Tracking Table'!$U306+20.691*'BMP P Tracking Table'!$AA306)^2-(4*(996.798*'BMP P Tracking Table'!$AA306)*-'BMP P Tracking Table'!$AW306)))/(2*(996.798*'BMP P Tracking Table'!$AA306)),IF(SUM('BMP P Tracking Table'!$W306:$Z306)=0,'BMP P Tracking Table'!$AW306/(-3630*'BMP P Tracking Table'!$U306),(-(3630*'BMP P Tracking Table'!$U306+20.691*'BMP P Tracking Table'!$Z306-216.711*'BMP P Tracking Table'!$Y306-83.853*'BMP P Tracking Table'!$X306-42.834*'BMP P Tracking Table'!$W306)+SQRT((3630*'BMP P Tracking Table'!$U306+20.691*'BMP P Tracking Table'!$Z306-216.711*'BMP P Tracking Table'!$Y306-83.853*'BMP P Tracking Table'!$X306-42.834*'BMP P Tracking Table'!$W306)^2-(4*(149.919*'BMP P Tracking Table'!$W306+236.676*'BMP P Tracking Table'!$X306+726*'BMP P Tracking Table'!$Y306+996.798*'BMP P Tracking Table'!$Z306)*-'BMP P Tracking Table'!$AW306)))/(2*(149.919*'BMP P Tracking Table'!$W306+236.676*'BMP P Tracking Table'!$X306+726*'BMP P Tracking Table'!$Y306+996.798*'BMP P Tracking Table'!$Z306)))))),"")</f>
        <v/>
      </c>
      <c r="BA306" s="101" t="str">
        <f>IFERROR((VLOOKUP(CONCATENATE('BMP P Tracking Table'!$AV306," ",'BMP P Tracking Table'!$AX306),'Performance Curves'!$C$1:$L$45,MATCH('BMP P Tracking Table'!$AZ306,'Performance Curves'!$E$1:$L$1,1)+2,FALSE)-VLOOKUP(CONCATENATE('BMP P Tracking Table'!$AV306," ",'BMP P Tracking Table'!$AX306),'Performance Curves'!$C$1:$L$45,MATCH('BMP P Tracking Table'!$AZ306,'Performance Curves'!$E$1:$L$1,1)+1,FALSE)),"")</f>
        <v/>
      </c>
      <c r="BB306" s="101" t="str">
        <f>IFERROR(('BMP P Tracking Table'!$AZ306-INDEX('Performance Curves'!$E$1:$L$1,1,MATCH('BMP P Tracking Table'!$AZ306,'Performance Curves'!$E$1:$L$1,1)))/(INDEX('Performance Curves'!$E$1:$L$1,1,MATCH('BMP P Tracking Table'!$AZ306,'Performance Curves'!$E$1:$L$1,1)+1)-INDEX('Performance Curves'!$E$1:$L$1,1,MATCH('BMP P Tracking Table'!$AZ306,'Performance Curves'!$E$1:$L$1,1))),"")</f>
        <v/>
      </c>
      <c r="BC306" s="102" t="str">
        <f>IFERROR(IF('BMP P Tracking Table'!$AZ306=2,VLOOKUP(CONCATENATE('BMP P Tracking Table'!$AV306," ",'BMP P Tracking Table'!$AX306),'Performance Curves'!$C$1:$L$44,MATCH('BMP P Tracking Table'!$AZ306,'Performance Curves'!$E$1:$L$1,1)+1,FALSE),'BMP P Tracking Table'!$BA306*'BMP P Tracking Table'!$BB306+VLOOKUP(CONCATENATE('BMP P Tracking Table'!$AV306," ",'BMP P Tracking Table'!$AX306),'Performance Curves'!$C$1:$L$44,MATCH('BMP P Tracking Table'!$AZ306,'Performance Curves'!$E$1:$L$1,1)+1,FALSE)),"")</f>
        <v/>
      </c>
      <c r="BD306" s="101" t="str">
        <f>IFERROR('BMP P Tracking Table'!$BC306*'BMP P Tracking Table'!$AY306,"")</f>
        <v/>
      </c>
      <c r="BE306" s="96"/>
      <c r="BF306" s="37">
        <f t="shared" si="21"/>
        <v>0</v>
      </c>
    </row>
    <row r="307" spans="1:58" x14ac:dyDescent="0.3">
      <c r="A307" s="64"/>
      <c r="B307" s="64"/>
      <c r="C307" s="64"/>
      <c r="D307" s="64"/>
      <c r="E307" s="93"/>
      <c r="F307" s="93"/>
      <c r="G307" s="64"/>
      <c r="H307" s="64"/>
      <c r="I307" s="64"/>
      <c r="J307" s="94"/>
      <c r="K307" s="64"/>
      <c r="L307" s="64"/>
      <c r="M307" s="64"/>
      <c r="N307" s="64"/>
      <c r="O307" s="64"/>
      <c r="P307" s="64"/>
      <c r="Q307" s="64" t="str">
        <f>IFERROR(VLOOKUP('BMP P Tracking Table'!$P307,Dropdowns!$C$2:$E$15,3,FALSE),"")</f>
        <v/>
      </c>
      <c r="R307" s="64" t="str">
        <f>IFERROR(VLOOKUP('BMP P Tracking Table'!$Q307,Dropdowns!$P$3:$Q$23,2,FALSE),"")</f>
        <v/>
      </c>
      <c r="S307" s="64"/>
      <c r="T307" s="64"/>
      <c r="U307" s="64"/>
      <c r="V307" s="64"/>
      <c r="W307" s="64"/>
      <c r="X307" s="64"/>
      <c r="Y307" s="64"/>
      <c r="Z307" s="64"/>
      <c r="AA307" s="64"/>
      <c r="AB307" s="95"/>
      <c r="AC307" s="64"/>
      <c r="AD307" s="101" t="str">
        <f>IFERROR('BMP P Tracking Table'!$U307*VLOOKUP('BMP P Tracking Table'!$Q307,'Loading Rates'!$B$1:$L$24,4,FALSE)+IF('BMP P Tracking Table'!$V307="By HSG",'BMP P Tracking Table'!$W307*VLOOKUP('BMP P Tracking Table'!$Q307,'Loading Rates'!$B$1:$L$24,6,FALSE)+'BMP P Tracking Table'!$X307*VLOOKUP('BMP P Tracking Table'!$Q307,'Loading Rates'!$B$1:$L$24,7,FALSE)+'BMP P Tracking Table'!$Y307*VLOOKUP('BMP P Tracking Table'!$Q307,'Loading Rates'!$B$1:$L$24,8,FALSE)+'BMP P Tracking Table'!$Z307*VLOOKUP('BMP P Tracking Table'!$Q307,'Loading Rates'!$B$1:$L$24,9,FALSE),'BMP P Tracking Table'!$AA307*VLOOKUP('BMP P Tracking Table'!$Q307,'Loading Rates'!$B$1:$L$24,10,FALSE)),"")</f>
        <v/>
      </c>
      <c r="AE307" s="101" t="str">
        <f>IFERROR(MIN(2,IF('BMP P Tracking Table'!$V307="Total Pervious",(-(3630*'BMP P Tracking Table'!$U307+20.691*'BMP P Tracking Table'!$AA307)+SQRT((3630*'BMP P Tracking Table'!$U307+20.691*'BMP P Tracking Table'!$AA307)^2-(4*(996.798*'BMP P Tracking Table'!$AA307)*-'BMP P Tracking Table'!$AB307)))/(2*(996.798*'BMP P Tracking Table'!$AA307)),IF(SUM('BMP P Tracking Table'!$W307:$Z307)=0,'BMP P Tracking Table'!$AB307/(-3630*'BMP P Tracking Table'!$U307),(-(3630*'BMP P Tracking Table'!$U307+20.691*'BMP P Tracking Table'!$Z307-216.711*'BMP P Tracking Table'!$Y307-83.853*'BMP P Tracking Table'!$X307-42.834*'BMP P Tracking Table'!$W307)+SQRT((3630*'BMP P Tracking Table'!$U307+20.691*'BMP P Tracking Table'!$Z307-216.711*'BMP P Tracking Table'!$Y307-83.853*'BMP P Tracking Table'!$X307-42.834*'BMP P Tracking Table'!$W307)^2-(4*(149.919*'BMP P Tracking Table'!$W307+236.676*'BMP P Tracking Table'!$X307+726*'BMP P Tracking Table'!$Y307+996.798*'BMP P Tracking Table'!$Z307)*-'BMP P Tracking Table'!$AB307)))/(2*(149.919*'BMP P Tracking Table'!$W307+236.676*'BMP P Tracking Table'!$X307+726*'BMP P Tracking Table'!$Y307+996.798*'BMP P Tracking Table'!$Z307))))),"")</f>
        <v/>
      </c>
      <c r="AF307" s="101" t="str">
        <f>IFERROR((VLOOKUP(CONCATENATE('BMP P Tracking Table'!$T307," ",'BMP P Tracking Table'!$AC307),'Performance Curves'!$C$1:$L$45,MATCH('BMP P Tracking Table'!$AE307,'Performance Curves'!$E$1:$L$1,1)+2,FALSE)-VLOOKUP(CONCATENATE('BMP P Tracking Table'!$T307," ",'BMP P Tracking Table'!$AC307),'Performance Curves'!$C$1:$L$45,MATCH('BMP P Tracking Table'!$AE307,'Performance Curves'!$E$1:$L$1,1)+1,FALSE)),"")</f>
        <v/>
      </c>
      <c r="AG307" s="101" t="str">
        <f>IFERROR(('BMP P Tracking Table'!$AE307-INDEX('Performance Curves'!$E$1:$L$1,1,MATCH('BMP P Tracking Table'!$AE307,'Performance Curves'!$E$1:$L$1,1)))/(INDEX('Performance Curves'!$E$1:$L$1,1,MATCH('BMP P Tracking Table'!$AE307,'Performance Curves'!$E$1:$L$1,1)+1)-INDEX('Performance Curves'!$E$1:$L$1,1,MATCH('BMP P Tracking Table'!$AE307,'Performance Curves'!$E$1:$L$1,1))),"")</f>
        <v/>
      </c>
      <c r="AH307" s="102" t="str">
        <f>IFERROR(IF('BMP P Tracking Table'!$AE307=2,VLOOKUP(CONCATENATE('BMP P Tracking Table'!$T307," ",'BMP P Tracking Table'!$AC307),'Performance Curves'!$C$1:$L$45,MATCH('BMP P Tracking Table'!$AE307,'Performance Curves'!$E$1:$L$1,1)+1,FALSE),'BMP P Tracking Table'!$AF307*'BMP P Tracking Table'!$AG307+VLOOKUP(CONCATENATE('BMP P Tracking Table'!$T307," ",'BMP P Tracking Table'!$AC307),'Performance Curves'!$C$1:$L$45,MATCH('BMP P Tracking Table'!$AE307,'Performance Curves'!$E$1:$L$1,1)+1,FALSE)),"")</f>
        <v/>
      </c>
      <c r="AI307" s="101" t="str">
        <f>IFERROR('BMP P Tracking Table'!$AH307*'BMP P Tracking Table'!$AD307,"")</f>
        <v/>
      </c>
      <c r="AJ307" s="64"/>
      <c r="AK307" s="96"/>
      <c r="AL307" s="96"/>
      <c r="AM307" s="63"/>
      <c r="AN307" s="99" t="str">
        <f t="shared" si="20"/>
        <v/>
      </c>
      <c r="AO307" s="96"/>
      <c r="AP307" s="96"/>
      <c r="AQ307" s="96"/>
      <c r="AR307" s="96"/>
      <c r="AS307" s="96"/>
      <c r="AT307" s="96"/>
      <c r="AU307" s="96"/>
      <c r="AV307" s="64"/>
      <c r="AW307" s="97"/>
      <c r="AX307" s="97"/>
      <c r="AY307" s="101" t="str">
        <f>IF('BMP P Tracking Table'!$AK307="Yes",IF('BMP P Tracking Table'!$AL307="No",'BMP P Tracking Table'!$U307*VLOOKUP('BMP P Tracking Table'!$Q307,'Loading Rates'!$B$1:$L$24,4,FALSE)+IF('BMP P Tracking Table'!$V307="By HSG",'BMP P Tracking Table'!$W307*VLOOKUP('BMP P Tracking Table'!$Q307,'Loading Rates'!$B$1:$L$24,6,FALSE)+'BMP P Tracking Table'!$X307*VLOOKUP('BMP P Tracking Table'!$Q307,'Loading Rates'!$B$1:$L$24,7,FALSE)+'BMP P Tracking Table'!$Y307*VLOOKUP('BMP P Tracking Table'!$Q307,'Loading Rates'!$B$1:$L$24,8,FALSE)+'BMP P Tracking Table'!$Z307*VLOOKUP('BMP P Tracking Table'!$Q307,'Loading Rates'!$B$1:$L$24,9,FALSE),'BMP P Tracking Table'!$AA307*VLOOKUP('BMP P Tracking Table'!$Q307,'Loading Rates'!$B$1:$L$24,10,FALSE)),'BMP P Tracking Table'!$AO307*VLOOKUP('BMP P Tracking Table'!$Q307,'Loading Rates'!$B$1:$L$24,4,FALSE)+IF('BMP P Tracking Table'!$AP307="By HSG",'BMP P Tracking Table'!$AQ307*VLOOKUP('BMP P Tracking Table'!$Q307,'Loading Rates'!$B$1:$L$24,6,FALSE)+'BMP P Tracking Table'!$AR307*VLOOKUP('BMP P Tracking Table'!$Q307,'Loading Rates'!$B$1:$L$24,7,FALSE)+'BMP P Tracking Table'!$AS307*VLOOKUP('BMP P Tracking Table'!$Q307,'Loading Rates'!$B$1:$L$24,8,FALSE)+'BMP P Tracking Table'!$AT307*VLOOKUP('BMP P Tracking Table'!$Q307,'Loading Rates'!$B$1:$L$24,9,FALSE),'BMP P Tracking Table'!$AU307*VLOOKUP('BMP P Tracking Table'!$Q307,'Loading Rates'!$B$1:$L$24,10,FALSE))),"")</f>
        <v/>
      </c>
      <c r="AZ307" s="101" t="str">
        <f>IFERROR(IF('BMP P Tracking Table'!$AL307="Yes",MIN(2,IF('BMP P Tracking Table'!$AP307="Total Pervious",(-(3630*'BMP P Tracking Table'!$AO307+20.691*'BMP P Tracking Table'!$AU307)+SQRT((3630*'BMP P Tracking Table'!$AO307+20.691*'BMP P Tracking Table'!$AU307)^2-(4*(996.798*'BMP P Tracking Table'!$AU307)*-'BMP P Tracking Table'!$AW307)))/(2*(996.798*'BMP P Tracking Table'!$AU307)),IF(SUM('BMP P Tracking Table'!$AQ307:$AT307)=0,'BMP P Tracking Table'!$AU307/(-3630*'BMP P Tracking Table'!$AO307),(-(3630*'BMP P Tracking Table'!$AO307+20.691*'BMP P Tracking Table'!$AT307-216.711*'BMP P Tracking Table'!$AS307-83.853*'BMP P Tracking Table'!$AR307-42.834*'BMP P Tracking Table'!$AQ307)+SQRT((3630*'BMP P Tracking Table'!$AO307+20.691*'BMP P Tracking Table'!$AT307-216.711*'BMP P Tracking Table'!$AS307-83.853*'BMP P Tracking Table'!$AR307-42.834*'BMP P Tracking Table'!$AQ307)^2-(4*(149.919*'BMP P Tracking Table'!$AQ307+236.676*'BMP P Tracking Table'!$AR307+726*'BMP P Tracking Table'!$AS307+996.798*'BMP P Tracking Table'!$AT307)*-'BMP P Tracking Table'!$AW307)))/(2*(149.919*'BMP P Tracking Table'!$AQ307+236.676*'BMP P Tracking Table'!$AR307+726*'BMP P Tracking Table'!$AS307+996.798*'BMP P Tracking Table'!$AT307))))),MIN(2,IF('BMP P Tracking Table'!$AP307="Total Pervious",(-(3630*'BMP P Tracking Table'!$U307+20.691*'BMP P Tracking Table'!$AA307)+SQRT((3630*'BMP P Tracking Table'!$U307+20.691*'BMP P Tracking Table'!$AA307)^2-(4*(996.798*'BMP P Tracking Table'!$AA307)*-'BMP P Tracking Table'!$AW307)))/(2*(996.798*'BMP P Tracking Table'!$AA307)),IF(SUM('BMP P Tracking Table'!$W307:$Z307)=0,'BMP P Tracking Table'!$AW307/(-3630*'BMP P Tracking Table'!$U307),(-(3630*'BMP P Tracking Table'!$U307+20.691*'BMP P Tracking Table'!$Z307-216.711*'BMP P Tracking Table'!$Y307-83.853*'BMP P Tracking Table'!$X307-42.834*'BMP P Tracking Table'!$W307)+SQRT((3630*'BMP P Tracking Table'!$U307+20.691*'BMP P Tracking Table'!$Z307-216.711*'BMP P Tracking Table'!$Y307-83.853*'BMP P Tracking Table'!$X307-42.834*'BMP P Tracking Table'!$W307)^2-(4*(149.919*'BMP P Tracking Table'!$W307+236.676*'BMP P Tracking Table'!$X307+726*'BMP P Tracking Table'!$Y307+996.798*'BMP P Tracking Table'!$Z307)*-'BMP P Tracking Table'!$AW307)))/(2*(149.919*'BMP P Tracking Table'!$W307+236.676*'BMP P Tracking Table'!$X307+726*'BMP P Tracking Table'!$Y307+996.798*'BMP P Tracking Table'!$Z307)))))),"")</f>
        <v/>
      </c>
      <c r="BA307" s="101" t="str">
        <f>IFERROR((VLOOKUP(CONCATENATE('BMP P Tracking Table'!$AV307," ",'BMP P Tracking Table'!$AX307),'Performance Curves'!$C$1:$L$45,MATCH('BMP P Tracking Table'!$AZ307,'Performance Curves'!$E$1:$L$1,1)+2,FALSE)-VLOOKUP(CONCATENATE('BMP P Tracking Table'!$AV307," ",'BMP P Tracking Table'!$AX307),'Performance Curves'!$C$1:$L$45,MATCH('BMP P Tracking Table'!$AZ307,'Performance Curves'!$E$1:$L$1,1)+1,FALSE)),"")</f>
        <v/>
      </c>
      <c r="BB307" s="101" t="str">
        <f>IFERROR(('BMP P Tracking Table'!$AZ307-INDEX('Performance Curves'!$E$1:$L$1,1,MATCH('BMP P Tracking Table'!$AZ307,'Performance Curves'!$E$1:$L$1,1)))/(INDEX('Performance Curves'!$E$1:$L$1,1,MATCH('BMP P Tracking Table'!$AZ307,'Performance Curves'!$E$1:$L$1,1)+1)-INDEX('Performance Curves'!$E$1:$L$1,1,MATCH('BMP P Tracking Table'!$AZ307,'Performance Curves'!$E$1:$L$1,1))),"")</f>
        <v/>
      </c>
      <c r="BC307" s="102" t="str">
        <f>IFERROR(IF('BMP P Tracking Table'!$AZ307=2,VLOOKUP(CONCATENATE('BMP P Tracking Table'!$AV307," ",'BMP P Tracking Table'!$AX307),'Performance Curves'!$C$1:$L$44,MATCH('BMP P Tracking Table'!$AZ307,'Performance Curves'!$E$1:$L$1,1)+1,FALSE),'BMP P Tracking Table'!$BA307*'BMP P Tracking Table'!$BB307+VLOOKUP(CONCATENATE('BMP P Tracking Table'!$AV307," ",'BMP P Tracking Table'!$AX307),'Performance Curves'!$C$1:$L$44,MATCH('BMP P Tracking Table'!$AZ307,'Performance Curves'!$E$1:$L$1,1)+1,FALSE)),"")</f>
        <v/>
      </c>
      <c r="BD307" s="101" t="str">
        <f>IFERROR('BMP P Tracking Table'!$BC307*'BMP P Tracking Table'!$AY307,"")</f>
        <v/>
      </c>
      <c r="BE307" s="96"/>
      <c r="BF307" s="37">
        <f t="shared" si="21"/>
        <v>0</v>
      </c>
    </row>
    <row r="308" spans="1:58" x14ac:dyDescent="0.3">
      <c r="A308" s="64"/>
      <c r="B308" s="64"/>
      <c r="C308" s="64"/>
      <c r="D308" s="64"/>
      <c r="E308" s="93"/>
      <c r="F308" s="93"/>
      <c r="G308" s="64"/>
      <c r="H308" s="64"/>
      <c r="I308" s="64"/>
      <c r="J308" s="94"/>
      <c r="K308" s="64"/>
      <c r="L308" s="64"/>
      <c r="M308" s="64"/>
      <c r="N308" s="64"/>
      <c r="O308" s="64"/>
      <c r="P308" s="64"/>
      <c r="Q308" s="64" t="str">
        <f>IFERROR(VLOOKUP('BMP P Tracking Table'!$P308,Dropdowns!$C$2:$E$15,3,FALSE),"")</f>
        <v/>
      </c>
      <c r="R308" s="64" t="str">
        <f>IFERROR(VLOOKUP('BMP P Tracking Table'!$Q308,Dropdowns!$P$3:$Q$23,2,FALSE),"")</f>
        <v/>
      </c>
      <c r="S308" s="64"/>
      <c r="T308" s="64"/>
      <c r="U308" s="64"/>
      <c r="V308" s="64"/>
      <c r="W308" s="64"/>
      <c r="X308" s="64"/>
      <c r="Y308" s="64"/>
      <c r="Z308" s="64"/>
      <c r="AA308" s="64"/>
      <c r="AB308" s="95"/>
      <c r="AC308" s="64"/>
      <c r="AD308" s="101" t="str">
        <f>IFERROR('BMP P Tracking Table'!$U308*VLOOKUP('BMP P Tracking Table'!$Q308,'Loading Rates'!$B$1:$L$24,4,FALSE)+IF('BMP P Tracking Table'!$V308="By HSG",'BMP P Tracking Table'!$W308*VLOOKUP('BMP P Tracking Table'!$Q308,'Loading Rates'!$B$1:$L$24,6,FALSE)+'BMP P Tracking Table'!$X308*VLOOKUP('BMP P Tracking Table'!$Q308,'Loading Rates'!$B$1:$L$24,7,FALSE)+'BMP P Tracking Table'!$Y308*VLOOKUP('BMP P Tracking Table'!$Q308,'Loading Rates'!$B$1:$L$24,8,FALSE)+'BMP P Tracking Table'!$Z308*VLOOKUP('BMP P Tracking Table'!$Q308,'Loading Rates'!$B$1:$L$24,9,FALSE),'BMP P Tracking Table'!$AA308*VLOOKUP('BMP P Tracking Table'!$Q308,'Loading Rates'!$B$1:$L$24,10,FALSE)),"")</f>
        <v/>
      </c>
      <c r="AE308" s="101" t="str">
        <f>IFERROR(MIN(2,IF('BMP P Tracking Table'!$V308="Total Pervious",(-(3630*'BMP P Tracking Table'!$U308+20.691*'BMP P Tracking Table'!$AA308)+SQRT((3630*'BMP P Tracking Table'!$U308+20.691*'BMP P Tracking Table'!$AA308)^2-(4*(996.798*'BMP P Tracking Table'!$AA308)*-'BMP P Tracking Table'!$AB308)))/(2*(996.798*'BMP P Tracking Table'!$AA308)),IF(SUM('BMP P Tracking Table'!$W308:$Z308)=0,'BMP P Tracking Table'!$AB308/(-3630*'BMP P Tracking Table'!$U308),(-(3630*'BMP P Tracking Table'!$U308+20.691*'BMP P Tracking Table'!$Z308-216.711*'BMP P Tracking Table'!$Y308-83.853*'BMP P Tracking Table'!$X308-42.834*'BMP P Tracking Table'!$W308)+SQRT((3630*'BMP P Tracking Table'!$U308+20.691*'BMP P Tracking Table'!$Z308-216.711*'BMP P Tracking Table'!$Y308-83.853*'BMP P Tracking Table'!$X308-42.834*'BMP P Tracking Table'!$W308)^2-(4*(149.919*'BMP P Tracking Table'!$W308+236.676*'BMP P Tracking Table'!$X308+726*'BMP P Tracking Table'!$Y308+996.798*'BMP P Tracking Table'!$Z308)*-'BMP P Tracking Table'!$AB308)))/(2*(149.919*'BMP P Tracking Table'!$W308+236.676*'BMP P Tracking Table'!$X308+726*'BMP P Tracking Table'!$Y308+996.798*'BMP P Tracking Table'!$Z308))))),"")</f>
        <v/>
      </c>
      <c r="AF308" s="101" t="str">
        <f>IFERROR((VLOOKUP(CONCATENATE('BMP P Tracking Table'!$T308," ",'BMP P Tracking Table'!$AC308),'Performance Curves'!$C$1:$L$45,MATCH('BMP P Tracking Table'!$AE308,'Performance Curves'!$E$1:$L$1,1)+2,FALSE)-VLOOKUP(CONCATENATE('BMP P Tracking Table'!$T308," ",'BMP P Tracking Table'!$AC308),'Performance Curves'!$C$1:$L$45,MATCH('BMP P Tracking Table'!$AE308,'Performance Curves'!$E$1:$L$1,1)+1,FALSE)),"")</f>
        <v/>
      </c>
      <c r="AG308" s="101" t="str">
        <f>IFERROR(('BMP P Tracking Table'!$AE308-INDEX('Performance Curves'!$E$1:$L$1,1,MATCH('BMP P Tracking Table'!$AE308,'Performance Curves'!$E$1:$L$1,1)))/(INDEX('Performance Curves'!$E$1:$L$1,1,MATCH('BMP P Tracking Table'!$AE308,'Performance Curves'!$E$1:$L$1,1)+1)-INDEX('Performance Curves'!$E$1:$L$1,1,MATCH('BMP P Tracking Table'!$AE308,'Performance Curves'!$E$1:$L$1,1))),"")</f>
        <v/>
      </c>
      <c r="AH308" s="102" t="str">
        <f>IFERROR(IF('BMP P Tracking Table'!$AE308=2,VLOOKUP(CONCATENATE('BMP P Tracking Table'!$T308," ",'BMP P Tracking Table'!$AC308),'Performance Curves'!$C$1:$L$45,MATCH('BMP P Tracking Table'!$AE308,'Performance Curves'!$E$1:$L$1,1)+1,FALSE),'BMP P Tracking Table'!$AF308*'BMP P Tracking Table'!$AG308+VLOOKUP(CONCATENATE('BMP P Tracking Table'!$T308," ",'BMP P Tracking Table'!$AC308),'Performance Curves'!$C$1:$L$45,MATCH('BMP P Tracking Table'!$AE308,'Performance Curves'!$E$1:$L$1,1)+1,FALSE)),"")</f>
        <v/>
      </c>
      <c r="AI308" s="101" t="str">
        <f>IFERROR('BMP P Tracking Table'!$AH308*'BMP P Tracking Table'!$AD308,"")</f>
        <v/>
      </c>
      <c r="AJ308" s="64"/>
      <c r="AK308" s="96"/>
      <c r="AL308" s="96"/>
      <c r="AM308" s="63"/>
      <c r="AN308" s="99" t="str">
        <f t="shared" si="20"/>
        <v/>
      </c>
      <c r="AO308" s="96"/>
      <c r="AP308" s="96"/>
      <c r="AQ308" s="96"/>
      <c r="AR308" s="96"/>
      <c r="AS308" s="96"/>
      <c r="AT308" s="96"/>
      <c r="AU308" s="96"/>
      <c r="AV308" s="64"/>
      <c r="AW308" s="97"/>
      <c r="AX308" s="97"/>
      <c r="AY308" s="101" t="str">
        <f>IF('BMP P Tracking Table'!$AK308="Yes",IF('BMP P Tracking Table'!$AL308="No",'BMP P Tracking Table'!$U308*VLOOKUP('BMP P Tracking Table'!$Q308,'Loading Rates'!$B$1:$L$24,4,FALSE)+IF('BMP P Tracking Table'!$V308="By HSG",'BMP P Tracking Table'!$W308*VLOOKUP('BMP P Tracking Table'!$Q308,'Loading Rates'!$B$1:$L$24,6,FALSE)+'BMP P Tracking Table'!$X308*VLOOKUP('BMP P Tracking Table'!$Q308,'Loading Rates'!$B$1:$L$24,7,FALSE)+'BMP P Tracking Table'!$Y308*VLOOKUP('BMP P Tracking Table'!$Q308,'Loading Rates'!$B$1:$L$24,8,FALSE)+'BMP P Tracking Table'!$Z308*VLOOKUP('BMP P Tracking Table'!$Q308,'Loading Rates'!$B$1:$L$24,9,FALSE),'BMP P Tracking Table'!$AA308*VLOOKUP('BMP P Tracking Table'!$Q308,'Loading Rates'!$B$1:$L$24,10,FALSE)),'BMP P Tracking Table'!$AO308*VLOOKUP('BMP P Tracking Table'!$Q308,'Loading Rates'!$B$1:$L$24,4,FALSE)+IF('BMP P Tracking Table'!$AP308="By HSG",'BMP P Tracking Table'!$AQ308*VLOOKUP('BMP P Tracking Table'!$Q308,'Loading Rates'!$B$1:$L$24,6,FALSE)+'BMP P Tracking Table'!$AR308*VLOOKUP('BMP P Tracking Table'!$Q308,'Loading Rates'!$B$1:$L$24,7,FALSE)+'BMP P Tracking Table'!$AS308*VLOOKUP('BMP P Tracking Table'!$Q308,'Loading Rates'!$B$1:$L$24,8,FALSE)+'BMP P Tracking Table'!$AT308*VLOOKUP('BMP P Tracking Table'!$Q308,'Loading Rates'!$B$1:$L$24,9,FALSE),'BMP P Tracking Table'!$AU308*VLOOKUP('BMP P Tracking Table'!$Q308,'Loading Rates'!$B$1:$L$24,10,FALSE))),"")</f>
        <v/>
      </c>
      <c r="AZ308" s="101" t="str">
        <f>IFERROR(IF('BMP P Tracking Table'!$AL308="Yes",MIN(2,IF('BMP P Tracking Table'!$AP308="Total Pervious",(-(3630*'BMP P Tracking Table'!$AO308+20.691*'BMP P Tracking Table'!$AU308)+SQRT((3630*'BMP P Tracking Table'!$AO308+20.691*'BMP P Tracking Table'!$AU308)^2-(4*(996.798*'BMP P Tracking Table'!$AU308)*-'BMP P Tracking Table'!$AW308)))/(2*(996.798*'BMP P Tracking Table'!$AU308)),IF(SUM('BMP P Tracking Table'!$AQ308:$AT308)=0,'BMP P Tracking Table'!$AU308/(-3630*'BMP P Tracking Table'!$AO308),(-(3630*'BMP P Tracking Table'!$AO308+20.691*'BMP P Tracking Table'!$AT308-216.711*'BMP P Tracking Table'!$AS308-83.853*'BMP P Tracking Table'!$AR308-42.834*'BMP P Tracking Table'!$AQ308)+SQRT((3630*'BMP P Tracking Table'!$AO308+20.691*'BMP P Tracking Table'!$AT308-216.711*'BMP P Tracking Table'!$AS308-83.853*'BMP P Tracking Table'!$AR308-42.834*'BMP P Tracking Table'!$AQ308)^2-(4*(149.919*'BMP P Tracking Table'!$AQ308+236.676*'BMP P Tracking Table'!$AR308+726*'BMP P Tracking Table'!$AS308+996.798*'BMP P Tracking Table'!$AT308)*-'BMP P Tracking Table'!$AW308)))/(2*(149.919*'BMP P Tracking Table'!$AQ308+236.676*'BMP P Tracking Table'!$AR308+726*'BMP P Tracking Table'!$AS308+996.798*'BMP P Tracking Table'!$AT308))))),MIN(2,IF('BMP P Tracking Table'!$AP308="Total Pervious",(-(3630*'BMP P Tracking Table'!$U308+20.691*'BMP P Tracking Table'!$AA308)+SQRT((3630*'BMP P Tracking Table'!$U308+20.691*'BMP P Tracking Table'!$AA308)^2-(4*(996.798*'BMP P Tracking Table'!$AA308)*-'BMP P Tracking Table'!$AW308)))/(2*(996.798*'BMP P Tracking Table'!$AA308)),IF(SUM('BMP P Tracking Table'!$W308:$Z308)=0,'BMP P Tracking Table'!$AW308/(-3630*'BMP P Tracking Table'!$U308),(-(3630*'BMP P Tracking Table'!$U308+20.691*'BMP P Tracking Table'!$Z308-216.711*'BMP P Tracking Table'!$Y308-83.853*'BMP P Tracking Table'!$X308-42.834*'BMP P Tracking Table'!$W308)+SQRT((3630*'BMP P Tracking Table'!$U308+20.691*'BMP P Tracking Table'!$Z308-216.711*'BMP P Tracking Table'!$Y308-83.853*'BMP P Tracking Table'!$X308-42.834*'BMP P Tracking Table'!$W308)^2-(4*(149.919*'BMP P Tracking Table'!$W308+236.676*'BMP P Tracking Table'!$X308+726*'BMP P Tracking Table'!$Y308+996.798*'BMP P Tracking Table'!$Z308)*-'BMP P Tracking Table'!$AW308)))/(2*(149.919*'BMP P Tracking Table'!$W308+236.676*'BMP P Tracking Table'!$X308+726*'BMP P Tracking Table'!$Y308+996.798*'BMP P Tracking Table'!$Z308)))))),"")</f>
        <v/>
      </c>
      <c r="BA308" s="101" t="str">
        <f>IFERROR((VLOOKUP(CONCATENATE('BMP P Tracking Table'!$AV308," ",'BMP P Tracking Table'!$AX308),'Performance Curves'!$C$1:$L$45,MATCH('BMP P Tracking Table'!$AZ308,'Performance Curves'!$E$1:$L$1,1)+2,FALSE)-VLOOKUP(CONCATENATE('BMP P Tracking Table'!$AV308," ",'BMP P Tracking Table'!$AX308),'Performance Curves'!$C$1:$L$45,MATCH('BMP P Tracking Table'!$AZ308,'Performance Curves'!$E$1:$L$1,1)+1,FALSE)),"")</f>
        <v/>
      </c>
      <c r="BB308" s="101" t="str">
        <f>IFERROR(('BMP P Tracking Table'!$AZ308-INDEX('Performance Curves'!$E$1:$L$1,1,MATCH('BMP P Tracking Table'!$AZ308,'Performance Curves'!$E$1:$L$1,1)))/(INDEX('Performance Curves'!$E$1:$L$1,1,MATCH('BMP P Tracking Table'!$AZ308,'Performance Curves'!$E$1:$L$1,1)+1)-INDEX('Performance Curves'!$E$1:$L$1,1,MATCH('BMP P Tracking Table'!$AZ308,'Performance Curves'!$E$1:$L$1,1))),"")</f>
        <v/>
      </c>
      <c r="BC308" s="102" t="str">
        <f>IFERROR(IF('BMP P Tracking Table'!$AZ308=2,VLOOKUP(CONCATENATE('BMP P Tracking Table'!$AV308," ",'BMP P Tracking Table'!$AX308),'Performance Curves'!$C$1:$L$44,MATCH('BMP P Tracking Table'!$AZ308,'Performance Curves'!$E$1:$L$1,1)+1,FALSE),'BMP P Tracking Table'!$BA308*'BMP P Tracking Table'!$BB308+VLOOKUP(CONCATENATE('BMP P Tracking Table'!$AV308," ",'BMP P Tracking Table'!$AX308),'Performance Curves'!$C$1:$L$44,MATCH('BMP P Tracking Table'!$AZ308,'Performance Curves'!$E$1:$L$1,1)+1,FALSE)),"")</f>
        <v/>
      </c>
      <c r="BD308" s="101" t="str">
        <f>IFERROR('BMP P Tracking Table'!$BC308*'BMP P Tracking Table'!$AY308,"")</f>
        <v/>
      </c>
      <c r="BE308" s="96"/>
      <c r="BF308" s="37">
        <f t="shared" si="21"/>
        <v>0</v>
      </c>
    </row>
    <row r="309" spans="1:58" x14ac:dyDescent="0.3">
      <c r="A309" s="64"/>
      <c r="B309" s="64"/>
      <c r="C309" s="64"/>
      <c r="D309" s="64"/>
      <c r="E309" s="93"/>
      <c r="F309" s="93"/>
      <c r="G309" s="64"/>
      <c r="H309" s="64"/>
      <c r="I309" s="64"/>
      <c r="J309" s="94"/>
      <c r="K309" s="64"/>
      <c r="L309" s="64"/>
      <c r="M309" s="64"/>
      <c r="N309" s="64"/>
      <c r="O309" s="64"/>
      <c r="P309" s="64"/>
      <c r="Q309" s="64" t="str">
        <f>IFERROR(VLOOKUP('BMP P Tracking Table'!$P309,Dropdowns!$C$2:$E$15,3,FALSE),"")</f>
        <v/>
      </c>
      <c r="R309" s="64" t="str">
        <f>IFERROR(VLOOKUP('BMP P Tracking Table'!$Q309,Dropdowns!$P$3:$Q$23,2,FALSE),"")</f>
        <v/>
      </c>
      <c r="S309" s="64"/>
      <c r="T309" s="64"/>
      <c r="U309" s="64"/>
      <c r="V309" s="64"/>
      <c r="W309" s="64"/>
      <c r="X309" s="64"/>
      <c r="Y309" s="64"/>
      <c r="Z309" s="64"/>
      <c r="AA309" s="64"/>
      <c r="AB309" s="95"/>
      <c r="AC309" s="64"/>
      <c r="AD309" s="101" t="str">
        <f>IFERROR('BMP P Tracking Table'!$U309*VLOOKUP('BMP P Tracking Table'!$Q309,'Loading Rates'!$B$1:$L$24,4,FALSE)+IF('BMP P Tracking Table'!$V309="By HSG",'BMP P Tracking Table'!$W309*VLOOKUP('BMP P Tracking Table'!$Q309,'Loading Rates'!$B$1:$L$24,6,FALSE)+'BMP P Tracking Table'!$X309*VLOOKUP('BMP P Tracking Table'!$Q309,'Loading Rates'!$B$1:$L$24,7,FALSE)+'BMP P Tracking Table'!$Y309*VLOOKUP('BMP P Tracking Table'!$Q309,'Loading Rates'!$B$1:$L$24,8,FALSE)+'BMP P Tracking Table'!$Z309*VLOOKUP('BMP P Tracking Table'!$Q309,'Loading Rates'!$B$1:$L$24,9,FALSE),'BMP P Tracking Table'!$AA309*VLOOKUP('BMP P Tracking Table'!$Q309,'Loading Rates'!$B$1:$L$24,10,FALSE)),"")</f>
        <v/>
      </c>
      <c r="AE309" s="101" t="str">
        <f>IFERROR(MIN(2,IF('BMP P Tracking Table'!$V309="Total Pervious",(-(3630*'BMP P Tracking Table'!$U309+20.691*'BMP P Tracking Table'!$AA309)+SQRT((3630*'BMP P Tracking Table'!$U309+20.691*'BMP P Tracking Table'!$AA309)^2-(4*(996.798*'BMP P Tracking Table'!$AA309)*-'BMP P Tracking Table'!$AB309)))/(2*(996.798*'BMP P Tracking Table'!$AA309)),IF(SUM('BMP P Tracking Table'!$W309:$Z309)=0,'BMP P Tracking Table'!$AB309/(-3630*'BMP P Tracking Table'!$U309),(-(3630*'BMP P Tracking Table'!$U309+20.691*'BMP P Tracking Table'!$Z309-216.711*'BMP P Tracking Table'!$Y309-83.853*'BMP P Tracking Table'!$X309-42.834*'BMP P Tracking Table'!$W309)+SQRT((3630*'BMP P Tracking Table'!$U309+20.691*'BMP P Tracking Table'!$Z309-216.711*'BMP P Tracking Table'!$Y309-83.853*'BMP P Tracking Table'!$X309-42.834*'BMP P Tracking Table'!$W309)^2-(4*(149.919*'BMP P Tracking Table'!$W309+236.676*'BMP P Tracking Table'!$X309+726*'BMP P Tracking Table'!$Y309+996.798*'BMP P Tracking Table'!$Z309)*-'BMP P Tracking Table'!$AB309)))/(2*(149.919*'BMP P Tracking Table'!$W309+236.676*'BMP P Tracking Table'!$X309+726*'BMP P Tracking Table'!$Y309+996.798*'BMP P Tracking Table'!$Z309))))),"")</f>
        <v/>
      </c>
      <c r="AF309" s="101" t="str">
        <f>IFERROR((VLOOKUP(CONCATENATE('BMP P Tracking Table'!$T309," ",'BMP P Tracking Table'!$AC309),'Performance Curves'!$C$1:$L$45,MATCH('BMP P Tracking Table'!$AE309,'Performance Curves'!$E$1:$L$1,1)+2,FALSE)-VLOOKUP(CONCATENATE('BMP P Tracking Table'!$T309," ",'BMP P Tracking Table'!$AC309),'Performance Curves'!$C$1:$L$45,MATCH('BMP P Tracking Table'!$AE309,'Performance Curves'!$E$1:$L$1,1)+1,FALSE)),"")</f>
        <v/>
      </c>
      <c r="AG309" s="101" t="str">
        <f>IFERROR(('BMP P Tracking Table'!$AE309-INDEX('Performance Curves'!$E$1:$L$1,1,MATCH('BMP P Tracking Table'!$AE309,'Performance Curves'!$E$1:$L$1,1)))/(INDEX('Performance Curves'!$E$1:$L$1,1,MATCH('BMP P Tracking Table'!$AE309,'Performance Curves'!$E$1:$L$1,1)+1)-INDEX('Performance Curves'!$E$1:$L$1,1,MATCH('BMP P Tracking Table'!$AE309,'Performance Curves'!$E$1:$L$1,1))),"")</f>
        <v/>
      </c>
      <c r="AH309" s="102" t="str">
        <f>IFERROR(IF('BMP P Tracking Table'!$AE309=2,VLOOKUP(CONCATENATE('BMP P Tracking Table'!$T309," ",'BMP P Tracking Table'!$AC309),'Performance Curves'!$C$1:$L$45,MATCH('BMP P Tracking Table'!$AE309,'Performance Curves'!$E$1:$L$1,1)+1,FALSE),'BMP P Tracking Table'!$AF309*'BMP P Tracking Table'!$AG309+VLOOKUP(CONCATENATE('BMP P Tracking Table'!$T309," ",'BMP P Tracking Table'!$AC309),'Performance Curves'!$C$1:$L$45,MATCH('BMP P Tracking Table'!$AE309,'Performance Curves'!$E$1:$L$1,1)+1,FALSE)),"")</f>
        <v/>
      </c>
      <c r="AI309" s="101" t="str">
        <f>IFERROR('BMP P Tracking Table'!$AH309*'BMP P Tracking Table'!$AD309,"")</f>
        <v/>
      </c>
      <c r="AJ309" s="64"/>
      <c r="AK309" s="96"/>
      <c r="AL309" s="96"/>
      <c r="AM309" s="63"/>
      <c r="AN309" s="99" t="str">
        <f t="shared" si="20"/>
        <v/>
      </c>
      <c r="AO309" s="96"/>
      <c r="AP309" s="96"/>
      <c r="AQ309" s="96"/>
      <c r="AR309" s="96"/>
      <c r="AS309" s="96"/>
      <c r="AT309" s="96"/>
      <c r="AU309" s="96"/>
      <c r="AV309" s="64"/>
      <c r="AW309" s="97"/>
      <c r="AX309" s="97"/>
      <c r="AY309" s="101" t="str">
        <f>IF('BMP P Tracking Table'!$AK309="Yes",IF('BMP P Tracking Table'!$AL309="No",'BMP P Tracking Table'!$U309*VLOOKUP('BMP P Tracking Table'!$Q309,'Loading Rates'!$B$1:$L$24,4,FALSE)+IF('BMP P Tracking Table'!$V309="By HSG",'BMP P Tracking Table'!$W309*VLOOKUP('BMP P Tracking Table'!$Q309,'Loading Rates'!$B$1:$L$24,6,FALSE)+'BMP P Tracking Table'!$X309*VLOOKUP('BMP P Tracking Table'!$Q309,'Loading Rates'!$B$1:$L$24,7,FALSE)+'BMP P Tracking Table'!$Y309*VLOOKUP('BMP P Tracking Table'!$Q309,'Loading Rates'!$B$1:$L$24,8,FALSE)+'BMP P Tracking Table'!$Z309*VLOOKUP('BMP P Tracking Table'!$Q309,'Loading Rates'!$B$1:$L$24,9,FALSE),'BMP P Tracking Table'!$AA309*VLOOKUP('BMP P Tracking Table'!$Q309,'Loading Rates'!$B$1:$L$24,10,FALSE)),'BMP P Tracking Table'!$AO309*VLOOKUP('BMP P Tracking Table'!$Q309,'Loading Rates'!$B$1:$L$24,4,FALSE)+IF('BMP P Tracking Table'!$AP309="By HSG",'BMP P Tracking Table'!$AQ309*VLOOKUP('BMP P Tracking Table'!$Q309,'Loading Rates'!$B$1:$L$24,6,FALSE)+'BMP P Tracking Table'!$AR309*VLOOKUP('BMP P Tracking Table'!$Q309,'Loading Rates'!$B$1:$L$24,7,FALSE)+'BMP P Tracking Table'!$AS309*VLOOKUP('BMP P Tracking Table'!$Q309,'Loading Rates'!$B$1:$L$24,8,FALSE)+'BMP P Tracking Table'!$AT309*VLOOKUP('BMP P Tracking Table'!$Q309,'Loading Rates'!$B$1:$L$24,9,FALSE),'BMP P Tracking Table'!$AU309*VLOOKUP('BMP P Tracking Table'!$Q309,'Loading Rates'!$B$1:$L$24,10,FALSE))),"")</f>
        <v/>
      </c>
      <c r="AZ309" s="101" t="str">
        <f>IFERROR(IF('BMP P Tracking Table'!$AL309="Yes",MIN(2,IF('BMP P Tracking Table'!$AP309="Total Pervious",(-(3630*'BMP P Tracking Table'!$AO309+20.691*'BMP P Tracking Table'!$AU309)+SQRT((3630*'BMP P Tracking Table'!$AO309+20.691*'BMP P Tracking Table'!$AU309)^2-(4*(996.798*'BMP P Tracking Table'!$AU309)*-'BMP P Tracking Table'!$AW309)))/(2*(996.798*'BMP P Tracking Table'!$AU309)),IF(SUM('BMP P Tracking Table'!$AQ309:$AT309)=0,'BMP P Tracking Table'!$AU309/(-3630*'BMP P Tracking Table'!$AO309),(-(3630*'BMP P Tracking Table'!$AO309+20.691*'BMP P Tracking Table'!$AT309-216.711*'BMP P Tracking Table'!$AS309-83.853*'BMP P Tracking Table'!$AR309-42.834*'BMP P Tracking Table'!$AQ309)+SQRT((3630*'BMP P Tracking Table'!$AO309+20.691*'BMP P Tracking Table'!$AT309-216.711*'BMP P Tracking Table'!$AS309-83.853*'BMP P Tracking Table'!$AR309-42.834*'BMP P Tracking Table'!$AQ309)^2-(4*(149.919*'BMP P Tracking Table'!$AQ309+236.676*'BMP P Tracking Table'!$AR309+726*'BMP P Tracking Table'!$AS309+996.798*'BMP P Tracking Table'!$AT309)*-'BMP P Tracking Table'!$AW309)))/(2*(149.919*'BMP P Tracking Table'!$AQ309+236.676*'BMP P Tracking Table'!$AR309+726*'BMP P Tracking Table'!$AS309+996.798*'BMP P Tracking Table'!$AT309))))),MIN(2,IF('BMP P Tracking Table'!$AP309="Total Pervious",(-(3630*'BMP P Tracking Table'!$U309+20.691*'BMP P Tracking Table'!$AA309)+SQRT((3630*'BMP P Tracking Table'!$U309+20.691*'BMP P Tracking Table'!$AA309)^2-(4*(996.798*'BMP P Tracking Table'!$AA309)*-'BMP P Tracking Table'!$AW309)))/(2*(996.798*'BMP P Tracking Table'!$AA309)),IF(SUM('BMP P Tracking Table'!$W309:$Z309)=0,'BMP P Tracking Table'!$AW309/(-3630*'BMP P Tracking Table'!$U309),(-(3630*'BMP P Tracking Table'!$U309+20.691*'BMP P Tracking Table'!$Z309-216.711*'BMP P Tracking Table'!$Y309-83.853*'BMP P Tracking Table'!$X309-42.834*'BMP P Tracking Table'!$W309)+SQRT((3630*'BMP P Tracking Table'!$U309+20.691*'BMP P Tracking Table'!$Z309-216.711*'BMP P Tracking Table'!$Y309-83.853*'BMP P Tracking Table'!$X309-42.834*'BMP P Tracking Table'!$W309)^2-(4*(149.919*'BMP P Tracking Table'!$W309+236.676*'BMP P Tracking Table'!$X309+726*'BMP P Tracking Table'!$Y309+996.798*'BMP P Tracking Table'!$Z309)*-'BMP P Tracking Table'!$AW309)))/(2*(149.919*'BMP P Tracking Table'!$W309+236.676*'BMP P Tracking Table'!$X309+726*'BMP P Tracking Table'!$Y309+996.798*'BMP P Tracking Table'!$Z309)))))),"")</f>
        <v/>
      </c>
      <c r="BA309" s="101" t="str">
        <f>IFERROR((VLOOKUP(CONCATENATE('BMP P Tracking Table'!$AV309," ",'BMP P Tracking Table'!$AX309),'Performance Curves'!$C$1:$L$45,MATCH('BMP P Tracking Table'!$AZ309,'Performance Curves'!$E$1:$L$1,1)+2,FALSE)-VLOOKUP(CONCATENATE('BMP P Tracking Table'!$AV309," ",'BMP P Tracking Table'!$AX309),'Performance Curves'!$C$1:$L$45,MATCH('BMP P Tracking Table'!$AZ309,'Performance Curves'!$E$1:$L$1,1)+1,FALSE)),"")</f>
        <v/>
      </c>
      <c r="BB309" s="101" t="str">
        <f>IFERROR(('BMP P Tracking Table'!$AZ309-INDEX('Performance Curves'!$E$1:$L$1,1,MATCH('BMP P Tracking Table'!$AZ309,'Performance Curves'!$E$1:$L$1,1)))/(INDEX('Performance Curves'!$E$1:$L$1,1,MATCH('BMP P Tracking Table'!$AZ309,'Performance Curves'!$E$1:$L$1,1)+1)-INDEX('Performance Curves'!$E$1:$L$1,1,MATCH('BMP P Tracking Table'!$AZ309,'Performance Curves'!$E$1:$L$1,1))),"")</f>
        <v/>
      </c>
      <c r="BC309" s="102" t="str">
        <f>IFERROR(IF('BMP P Tracking Table'!$AZ309=2,VLOOKUP(CONCATENATE('BMP P Tracking Table'!$AV309," ",'BMP P Tracking Table'!$AX309),'Performance Curves'!$C$1:$L$44,MATCH('BMP P Tracking Table'!$AZ309,'Performance Curves'!$E$1:$L$1,1)+1,FALSE),'BMP P Tracking Table'!$BA309*'BMP P Tracking Table'!$BB309+VLOOKUP(CONCATENATE('BMP P Tracking Table'!$AV309," ",'BMP P Tracking Table'!$AX309),'Performance Curves'!$C$1:$L$44,MATCH('BMP P Tracking Table'!$AZ309,'Performance Curves'!$E$1:$L$1,1)+1,FALSE)),"")</f>
        <v/>
      </c>
      <c r="BD309" s="101" t="str">
        <f>IFERROR('BMP P Tracking Table'!$BC309*'BMP P Tracking Table'!$AY309,"")</f>
        <v/>
      </c>
      <c r="BE309" s="96"/>
      <c r="BF309" s="37">
        <f t="shared" si="21"/>
        <v>0</v>
      </c>
    </row>
    <row r="310" spans="1:58" x14ac:dyDescent="0.3">
      <c r="A310" s="64"/>
      <c r="B310" s="64"/>
      <c r="C310" s="64"/>
      <c r="D310" s="64"/>
      <c r="E310" s="93"/>
      <c r="F310" s="93"/>
      <c r="G310" s="64"/>
      <c r="H310" s="64"/>
      <c r="I310" s="64"/>
      <c r="J310" s="94"/>
      <c r="K310" s="64"/>
      <c r="L310" s="64"/>
      <c r="M310" s="64"/>
      <c r="N310" s="64"/>
      <c r="O310" s="64"/>
      <c r="P310" s="64"/>
      <c r="Q310" s="64" t="str">
        <f>IFERROR(VLOOKUP('BMP P Tracking Table'!$P310,Dropdowns!$C$2:$E$15,3,FALSE),"")</f>
        <v/>
      </c>
      <c r="R310" s="64" t="str">
        <f>IFERROR(VLOOKUP('BMP P Tracking Table'!$Q310,Dropdowns!$P$3:$Q$23,2,FALSE),"")</f>
        <v/>
      </c>
      <c r="S310" s="64"/>
      <c r="T310" s="64"/>
      <c r="U310" s="64"/>
      <c r="V310" s="64"/>
      <c r="W310" s="64"/>
      <c r="X310" s="64"/>
      <c r="Y310" s="64"/>
      <c r="Z310" s="64"/>
      <c r="AA310" s="64"/>
      <c r="AB310" s="95"/>
      <c r="AC310" s="64"/>
      <c r="AD310" s="101" t="str">
        <f>IFERROR('BMP P Tracking Table'!$U310*VLOOKUP('BMP P Tracking Table'!$Q310,'Loading Rates'!$B$1:$L$24,4,FALSE)+IF('BMP P Tracking Table'!$V310="By HSG",'BMP P Tracking Table'!$W310*VLOOKUP('BMP P Tracking Table'!$Q310,'Loading Rates'!$B$1:$L$24,6,FALSE)+'BMP P Tracking Table'!$X310*VLOOKUP('BMP P Tracking Table'!$Q310,'Loading Rates'!$B$1:$L$24,7,FALSE)+'BMP P Tracking Table'!$Y310*VLOOKUP('BMP P Tracking Table'!$Q310,'Loading Rates'!$B$1:$L$24,8,FALSE)+'BMP P Tracking Table'!$Z310*VLOOKUP('BMP P Tracking Table'!$Q310,'Loading Rates'!$B$1:$L$24,9,FALSE),'BMP P Tracking Table'!$AA310*VLOOKUP('BMP P Tracking Table'!$Q310,'Loading Rates'!$B$1:$L$24,10,FALSE)),"")</f>
        <v/>
      </c>
      <c r="AE310" s="101" t="str">
        <f>IFERROR(MIN(2,IF('BMP P Tracking Table'!$V310="Total Pervious",(-(3630*'BMP P Tracking Table'!$U310+20.691*'BMP P Tracking Table'!$AA310)+SQRT((3630*'BMP P Tracking Table'!$U310+20.691*'BMP P Tracking Table'!$AA310)^2-(4*(996.798*'BMP P Tracking Table'!$AA310)*-'BMP P Tracking Table'!$AB310)))/(2*(996.798*'BMP P Tracking Table'!$AA310)),IF(SUM('BMP P Tracking Table'!$W310:$Z310)=0,'BMP P Tracking Table'!$AB310/(-3630*'BMP P Tracking Table'!$U310),(-(3630*'BMP P Tracking Table'!$U310+20.691*'BMP P Tracking Table'!$Z310-216.711*'BMP P Tracking Table'!$Y310-83.853*'BMP P Tracking Table'!$X310-42.834*'BMP P Tracking Table'!$W310)+SQRT((3630*'BMP P Tracking Table'!$U310+20.691*'BMP P Tracking Table'!$Z310-216.711*'BMP P Tracking Table'!$Y310-83.853*'BMP P Tracking Table'!$X310-42.834*'BMP P Tracking Table'!$W310)^2-(4*(149.919*'BMP P Tracking Table'!$W310+236.676*'BMP P Tracking Table'!$X310+726*'BMP P Tracking Table'!$Y310+996.798*'BMP P Tracking Table'!$Z310)*-'BMP P Tracking Table'!$AB310)))/(2*(149.919*'BMP P Tracking Table'!$W310+236.676*'BMP P Tracking Table'!$X310+726*'BMP P Tracking Table'!$Y310+996.798*'BMP P Tracking Table'!$Z310))))),"")</f>
        <v/>
      </c>
      <c r="AF310" s="101" t="str">
        <f>IFERROR((VLOOKUP(CONCATENATE('BMP P Tracking Table'!$T310," ",'BMP P Tracking Table'!$AC310),'Performance Curves'!$C$1:$L$45,MATCH('BMP P Tracking Table'!$AE310,'Performance Curves'!$E$1:$L$1,1)+2,FALSE)-VLOOKUP(CONCATENATE('BMP P Tracking Table'!$T310," ",'BMP P Tracking Table'!$AC310),'Performance Curves'!$C$1:$L$45,MATCH('BMP P Tracking Table'!$AE310,'Performance Curves'!$E$1:$L$1,1)+1,FALSE)),"")</f>
        <v/>
      </c>
      <c r="AG310" s="101" t="str">
        <f>IFERROR(('BMP P Tracking Table'!$AE310-INDEX('Performance Curves'!$E$1:$L$1,1,MATCH('BMP P Tracking Table'!$AE310,'Performance Curves'!$E$1:$L$1,1)))/(INDEX('Performance Curves'!$E$1:$L$1,1,MATCH('BMP P Tracking Table'!$AE310,'Performance Curves'!$E$1:$L$1,1)+1)-INDEX('Performance Curves'!$E$1:$L$1,1,MATCH('BMP P Tracking Table'!$AE310,'Performance Curves'!$E$1:$L$1,1))),"")</f>
        <v/>
      </c>
      <c r="AH310" s="102" t="str">
        <f>IFERROR(IF('BMP P Tracking Table'!$AE310=2,VLOOKUP(CONCATENATE('BMP P Tracking Table'!$T310," ",'BMP P Tracking Table'!$AC310),'Performance Curves'!$C$1:$L$45,MATCH('BMP P Tracking Table'!$AE310,'Performance Curves'!$E$1:$L$1,1)+1,FALSE),'BMP P Tracking Table'!$AF310*'BMP P Tracking Table'!$AG310+VLOOKUP(CONCATENATE('BMP P Tracking Table'!$T310," ",'BMP P Tracking Table'!$AC310),'Performance Curves'!$C$1:$L$45,MATCH('BMP P Tracking Table'!$AE310,'Performance Curves'!$E$1:$L$1,1)+1,FALSE)),"")</f>
        <v/>
      </c>
      <c r="AI310" s="101" t="str">
        <f>IFERROR('BMP P Tracking Table'!$AH310*'BMP P Tracking Table'!$AD310,"")</f>
        <v/>
      </c>
      <c r="AJ310" s="64"/>
      <c r="AK310" s="96"/>
      <c r="AL310" s="96"/>
      <c r="AM310" s="63"/>
      <c r="AN310" s="99" t="str">
        <f t="shared" si="20"/>
        <v/>
      </c>
      <c r="AO310" s="96"/>
      <c r="AP310" s="96"/>
      <c r="AQ310" s="96"/>
      <c r="AR310" s="96"/>
      <c r="AS310" s="96"/>
      <c r="AT310" s="96"/>
      <c r="AU310" s="96"/>
      <c r="AV310" s="64"/>
      <c r="AW310" s="97"/>
      <c r="AX310" s="97"/>
      <c r="AY310" s="101" t="str">
        <f>IF('BMP P Tracking Table'!$AK310="Yes",IF('BMP P Tracking Table'!$AL310="No",'BMP P Tracking Table'!$U310*VLOOKUP('BMP P Tracking Table'!$Q310,'Loading Rates'!$B$1:$L$24,4,FALSE)+IF('BMP P Tracking Table'!$V310="By HSG",'BMP P Tracking Table'!$W310*VLOOKUP('BMP P Tracking Table'!$Q310,'Loading Rates'!$B$1:$L$24,6,FALSE)+'BMP P Tracking Table'!$X310*VLOOKUP('BMP P Tracking Table'!$Q310,'Loading Rates'!$B$1:$L$24,7,FALSE)+'BMP P Tracking Table'!$Y310*VLOOKUP('BMP P Tracking Table'!$Q310,'Loading Rates'!$B$1:$L$24,8,FALSE)+'BMP P Tracking Table'!$Z310*VLOOKUP('BMP P Tracking Table'!$Q310,'Loading Rates'!$B$1:$L$24,9,FALSE),'BMP P Tracking Table'!$AA310*VLOOKUP('BMP P Tracking Table'!$Q310,'Loading Rates'!$B$1:$L$24,10,FALSE)),'BMP P Tracking Table'!$AO310*VLOOKUP('BMP P Tracking Table'!$Q310,'Loading Rates'!$B$1:$L$24,4,FALSE)+IF('BMP P Tracking Table'!$AP310="By HSG",'BMP P Tracking Table'!$AQ310*VLOOKUP('BMP P Tracking Table'!$Q310,'Loading Rates'!$B$1:$L$24,6,FALSE)+'BMP P Tracking Table'!$AR310*VLOOKUP('BMP P Tracking Table'!$Q310,'Loading Rates'!$B$1:$L$24,7,FALSE)+'BMP P Tracking Table'!$AS310*VLOOKUP('BMP P Tracking Table'!$Q310,'Loading Rates'!$B$1:$L$24,8,FALSE)+'BMP P Tracking Table'!$AT310*VLOOKUP('BMP P Tracking Table'!$Q310,'Loading Rates'!$B$1:$L$24,9,FALSE),'BMP P Tracking Table'!$AU310*VLOOKUP('BMP P Tracking Table'!$Q310,'Loading Rates'!$B$1:$L$24,10,FALSE))),"")</f>
        <v/>
      </c>
      <c r="AZ310" s="101" t="str">
        <f>IFERROR(IF('BMP P Tracking Table'!$AL310="Yes",MIN(2,IF('BMP P Tracking Table'!$AP310="Total Pervious",(-(3630*'BMP P Tracking Table'!$AO310+20.691*'BMP P Tracking Table'!$AU310)+SQRT((3630*'BMP P Tracking Table'!$AO310+20.691*'BMP P Tracking Table'!$AU310)^2-(4*(996.798*'BMP P Tracking Table'!$AU310)*-'BMP P Tracking Table'!$AW310)))/(2*(996.798*'BMP P Tracking Table'!$AU310)),IF(SUM('BMP P Tracking Table'!$AQ310:$AT310)=0,'BMP P Tracking Table'!$AU310/(-3630*'BMP P Tracking Table'!$AO310),(-(3630*'BMP P Tracking Table'!$AO310+20.691*'BMP P Tracking Table'!$AT310-216.711*'BMP P Tracking Table'!$AS310-83.853*'BMP P Tracking Table'!$AR310-42.834*'BMP P Tracking Table'!$AQ310)+SQRT((3630*'BMP P Tracking Table'!$AO310+20.691*'BMP P Tracking Table'!$AT310-216.711*'BMP P Tracking Table'!$AS310-83.853*'BMP P Tracking Table'!$AR310-42.834*'BMP P Tracking Table'!$AQ310)^2-(4*(149.919*'BMP P Tracking Table'!$AQ310+236.676*'BMP P Tracking Table'!$AR310+726*'BMP P Tracking Table'!$AS310+996.798*'BMP P Tracking Table'!$AT310)*-'BMP P Tracking Table'!$AW310)))/(2*(149.919*'BMP P Tracking Table'!$AQ310+236.676*'BMP P Tracking Table'!$AR310+726*'BMP P Tracking Table'!$AS310+996.798*'BMP P Tracking Table'!$AT310))))),MIN(2,IF('BMP P Tracking Table'!$AP310="Total Pervious",(-(3630*'BMP P Tracking Table'!$U310+20.691*'BMP P Tracking Table'!$AA310)+SQRT((3630*'BMP P Tracking Table'!$U310+20.691*'BMP P Tracking Table'!$AA310)^2-(4*(996.798*'BMP P Tracking Table'!$AA310)*-'BMP P Tracking Table'!$AW310)))/(2*(996.798*'BMP P Tracking Table'!$AA310)),IF(SUM('BMP P Tracking Table'!$W310:$Z310)=0,'BMP P Tracking Table'!$AW310/(-3630*'BMP P Tracking Table'!$U310),(-(3630*'BMP P Tracking Table'!$U310+20.691*'BMP P Tracking Table'!$Z310-216.711*'BMP P Tracking Table'!$Y310-83.853*'BMP P Tracking Table'!$X310-42.834*'BMP P Tracking Table'!$W310)+SQRT((3630*'BMP P Tracking Table'!$U310+20.691*'BMP P Tracking Table'!$Z310-216.711*'BMP P Tracking Table'!$Y310-83.853*'BMP P Tracking Table'!$X310-42.834*'BMP P Tracking Table'!$W310)^2-(4*(149.919*'BMP P Tracking Table'!$W310+236.676*'BMP P Tracking Table'!$X310+726*'BMP P Tracking Table'!$Y310+996.798*'BMP P Tracking Table'!$Z310)*-'BMP P Tracking Table'!$AW310)))/(2*(149.919*'BMP P Tracking Table'!$W310+236.676*'BMP P Tracking Table'!$X310+726*'BMP P Tracking Table'!$Y310+996.798*'BMP P Tracking Table'!$Z310)))))),"")</f>
        <v/>
      </c>
      <c r="BA310" s="101" t="str">
        <f>IFERROR((VLOOKUP(CONCATENATE('BMP P Tracking Table'!$AV310," ",'BMP P Tracking Table'!$AX310),'Performance Curves'!$C$1:$L$45,MATCH('BMP P Tracking Table'!$AZ310,'Performance Curves'!$E$1:$L$1,1)+2,FALSE)-VLOOKUP(CONCATENATE('BMP P Tracking Table'!$AV310," ",'BMP P Tracking Table'!$AX310),'Performance Curves'!$C$1:$L$45,MATCH('BMP P Tracking Table'!$AZ310,'Performance Curves'!$E$1:$L$1,1)+1,FALSE)),"")</f>
        <v/>
      </c>
      <c r="BB310" s="101" t="str">
        <f>IFERROR(('BMP P Tracking Table'!$AZ310-INDEX('Performance Curves'!$E$1:$L$1,1,MATCH('BMP P Tracking Table'!$AZ310,'Performance Curves'!$E$1:$L$1,1)))/(INDEX('Performance Curves'!$E$1:$L$1,1,MATCH('BMP P Tracking Table'!$AZ310,'Performance Curves'!$E$1:$L$1,1)+1)-INDEX('Performance Curves'!$E$1:$L$1,1,MATCH('BMP P Tracking Table'!$AZ310,'Performance Curves'!$E$1:$L$1,1))),"")</f>
        <v/>
      </c>
      <c r="BC310" s="102" t="str">
        <f>IFERROR(IF('BMP P Tracking Table'!$AZ310=2,VLOOKUP(CONCATENATE('BMP P Tracking Table'!$AV310," ",'BMP P Tracking Table'!$AX310),'Performance Curves'!$C$1:$L$44,MATCH('BMP P Tracking Table'!$AZ310,'Performance Curves'!$E$1:$L$1,1)+1,FALSE),'BMP P Tracking Table'!$BA310*'BMP P Tracking Table'!$BB310+VLOOKUP(CONCATENATE('BMP P Tracking Table'!$AV310," ",'BMP P Tracking Table'!$AX310),'Performance Curves'!$C$1:$L$44,MATCH('BMP P Tracking Table'!$AZ310,'Performance Curves'!$E$1:$L$1,1)+1,FALSE)),"")</f>
        <v/>
      </c>
      <c r="BD310" s="101" t="str">
        <f>IFERROR('BMP P Tracking Table'!$BC310*'BMP P Tracking Table'!$AY310,"")</f>
        <v/>
      </c>
      <c r="BE310" s="96"/>
      <c r="BF310" s="37">
        <f t="shared" si="21"/>
        <v>0</v>
      </c>
    </row>
    <row r="311" spans="1:58" x14ac:dyDescent="0.3">
      <c r="A311" s="64"/>
      <c r="B311" s="64"/>
      <c r="C311" s="64"/>
      <c r="D311" s="64"/>
      <c r="E311" s="93"/>
      <c r="F311" s="93"/>
      <c r="G311" s="64"/>
      <c r="H311" s="64"/>
      <c r="I311" s="64"/>
      <c r="J311" s="94"/>
      <c r="K311" s="64"/>
      <c r="L311" s="64"/>
      <c r="M311" s="64"/>
      <c r="N311" s="64"/>
      <c r="O311" s="64"/>
      <c r="P311" s="64"/>
      <c r="Q311" s="64" t="str">
        <f>IFERROR(VLOOKUP('BMP P Tracking Table'!$P311,Dropdowns!$C$2:$E$15,3,FALSE),"")</f>
        <v/>
      </c>
      <c r="R311" s="64" t="str">
        <f>IFERROR(VLOOKUP('BMP P Tracking Table'!$Q311,Dropdowns!$P$3:$Q$23,2,FALSE),"")</f>
        <v/>
      </c>
      <c r="S311" s="64"/>
      <c r="T311" s="64"/>
      <c r="U311" s="64"/>
      <c r="V311" s="64"/>
      <c r="W311" s="64"/>
      <c r="X311" s="64"/>
      <c r="Y311" s="64"/>
      <c r="Z311" s="64"/>
      <c r="AA311" s="64"/>
      <c r="AB311" s="95"/>
      <c r="AC311" s="64"/>
      <c r="AD311" s="101" t="str">
        <f>IFERROR('BMP P Tracking Table'!$U311*VLOOKUP('BMP P Tracking Table'!$Q311,'Loading Rates'!$B$1:$L$24,4,FALSE)+IF('BMP P Tracking Table'!$V311="By HSG",'BMP P Tracking Table'!$W311*VLOOKUP('BMP P Tracking Table'!$Q311,'Loading Rates'!$B$1:$L$24,6,FALSE)+'BMP P Tracking Table'!$X311*VLOOKUP('BMP P Tracking Table'!$Q311,'Loading Rates'!$B$1:$L$24,7,FALSE)+'BMP P Tracking Table'!$Y311*VLOOKUP('BMP P Tracking Table'!$Q311,'Loading Rates'!$B$1:$L$24,8,FALSE)+'BMP P Tracking Table'!$Z311*VLOOKUP('BMP P Tracking Table'!$Q311,'Loading Rates'!$B$1:$L$24,9,FALSE),'BMP P Tracking Table'!$AA311*VLOOKUP('BMP P Tracking Table'!$Q311,'Loading Rates'!$B$1:$L$24,10,FALSE)),"")</f>
        <v/>
      </c>
      <c r="AE311" s="101" t="str">
        <f>IFERROR(MIN(2,IF('BMP P Tracking Table'!$V311="Total Pervious",(-(3630*'BMP P Tracking Table'!$U311+20.691*'BMP P Tracking Table'!$AA311)+SQRT((3630*'BMP P Tracking Table'!$U311+20.691*'BMP P Tracking Table'!$AA311)^2-(4*(996.798*'BMP P Tracking Table'!$AA311)*-'BMP P Tracking Table'!$AB311)))/(2*(996.798*'BMP P Tracking Table'!$AA311)),IF(SUM('BMP P Tracking Table'!$W311:$Z311)=0,'BMP P Tracking Table'!$AB311/(-3630*'BMP P Tracking Table'!$U311),(-(3630*'BMP P Tracking Table'!$U311+20.691*'BMP P Tracking Table'!$Z311-216.711*'BMP P Tracking Table'!$Y311-83.853*'BMP P Tracking Table'!$X311-42.834*'BMP P Tracking Table'!$W311)+SQRT((3630*'BMP P Tracking Table'!$U311+20.691*'BMP P Tracking Table'!$Z311-216.711*'BMP P Tracking Table'!$Y311-83.853*'BMP P Tracking Table'!$X311-42.834*'BMP P Tracking Table'!$W311)^2-(4*(149.919*'BMP P Tracking Table'!$W311+236.676*'BMP P Tracking Table'!$X311+726*'BMP P Tracking Table'!$Y311+996.798*'BMP P Tracking Table'!$Z311)*-'BMP P Tracking Table'!$AB311)))/(2*(149.919*'BMP P Tracking Table'!$W311+236.676*'BMP P Tracking Table'!$X311+726*'BMP P Tracking Table'!$Y311+996.798*'BMP P Tracking Table'!$Z311))))),"")</f>
        <v/>
      </c>
      <c r="AF311" s="101" t="str">
        <f>IFERROR((VLOOKUP(CONCATENATE('BMP P Tracking Table'!$T311," ",'BMP P Tracking Table'!$AC311),'Performance Curves'!$C$1:$L$45,MATCH('BMP P Tracking Table'!$AE311,'Performance Curves'!$E$1:$L$1,1)+2,FALSE)-VLOOKUP(CONCATENATE('BMP P Tracking Table'!$T311," ",'BMP P Tracking Table'!$AC311),'Performance Curves'!$C$1:$L$45,MATCH('BMP P Tracking Table'!$AE311,'Performance Curves'!$E$1:$L$1,1)+1,FALSE)),"")</f>
        <v/>
      </c>
      <c r="AG311" s="101" t="str">
        <f>IFERROR(('BMP P Tracking Table'!$AE311-INDEX('Performance Curves'!$E$1:$L$1,1,MATCH('BMP P Tracking Table'!$AE311,'Performance Curves'!$E$1:$L$1,1)))/(INDEX('Performance Curves'!$E$1:$L$1,1,MATCH('BMP P Tracking Table'!$AE311,'Performance Curves'!$E$1:$L$1,1)+1)-INDEX('Performance Curves'!$E$1:$L$1,1,MATCH('BMP P Tracking Table'!$AE311,'Performance Curves'!$E$1:$L$1,1))),"")</f>
        <v/>
      </c>
      <c r="AH311" s="102" t="str">
        <f>IFERROR(IF('BMP P Tracking Table'!$AE311=2,VLOOKUP(CONCATENATE('BMP P Tracking Table'!$T311," ",'BMP P Tracking Table'!$AC311),'Performance Curves'!$C$1:$L$45,MATCH('BMP P Tracking Table'!$AE311,'Performance Curves'!$E$1:$L$1,1)+1,FALSE),'BMP P Tracking Table'!$AF311*'BMP P Tracking Table'!$AG311+VLOOKUP(CONCATENATE('BMP P Tracking Table'!$T311," ",'BMP P Tracking Table'!$AC311),'Performance Curves'!$C$1:$L$45,MATCH('BMP P Tracking Table'!$AE311,'Performance Curves'!$E$1:$L$1,1)+1,FALSE)),"")</f>
        <v/>
      </c>
      <c r="AI311" s="101" t="str">
        <f>IFERROR('BMP P Tracking Table'!$AH311*'BMP P Tracking Table'!$AD311,"")</f>
        <v/>
      </c>
      <c r="AJ311" s="64"/>
      <c r="AK311" s="96"/>
      <c r="AL311" s="96"/>
      <c r="AM311" s="63"/>
      <c r="AN311" s="99" t="str">
        <f t="shared" si="20"/>
        <v/>
      </c>
      <c r="AO311" s="96"/>
      <c r="AP311" s="96"/>
      <c r="AQ311" s="96"/>
      <c r="AR311" s="96"/>
      <c r="AS311" s="96"/>
      <c r="AT311" s="96"/>
      <c r="AU311" s="96"/>
      <c r="AV311" s="64"/>
      <c r="AW311" s="97"/>
      <c r="AX311" s="97"/>
      <c r="AY311" s="101" t="str">
        <f>IF('BMP P Tracking Table'!$AK311="Yes",IF('BMP P Tracking Table'!$AL311="No",'BMP P Tracking Table'!$U311*VLOOKUP('BMP P Tracking Table'!$Q311,'Loading Rates'!$B$1:$L$24,4,FALSE)+IF('BMP P Tracking Table'!$V311="By HSG",'BMP P Tracking Table'!$W311*VLOOKUP('BMP P Tracking Table'!$Q311,'Loading Rates'!$B$1:$L$24,6,FALSE)+'BMP P Tracking Table'!$X311*VLOOKUP('BMP P Tracking Table'!$Q311,'Loading Rates'!$B$1:$L$24,7,FALSE)+'BMP P Tracking Table'!$Y311*VLOOKUP('BMP P Tracking Table'!$Q311,'Loading Rates'!$B$1:$L$24,8,FALSE)+'BMP P Tracking Table'!$Z311*VLOOKUP('BMP P Tracking Table'!$Q311,'Loading Rates'!$B$1:$L$24,9,FALSE),'BMP P Tracking Table'!$AA311*VLOOKUP('BMP P Tracking Table'!$Q311,'Loading Rates'!$B$1:$L$24,10,FALSE)),'BMP P Tracking Table'!$AO311*VLOOKUP('BMP P Tracking Table'!$Q311,'Loading Rates'!$B$1:$L$24,4,FALSE)+IF('BMP P Tracking Table'!$AP311="By HSG",'BMP P Tracking Table'!$AQ311*VLOOKUP('BMP P Tracking Table'!$Q311,'Loading Rates'!$B$1:$L$24,6,FALSE)+'BMP P Tracking Table'!$AR311*VLOOKUP('BMP P Tracking Table'!$Q311,'Loading Rates'!$B$1:$L$24,7,FALSE)+'BMP P Tracking Table'!$AS311*VLOOKUP('BMP P Tracking Table'!$Q311,'Loading Rates'!$B$1:$L$24,8,FALSE)+'BMP P Tracking Table'!$AT311*VLOOKUP('BMP P Tracking Table'!$Q311,'Loading Rates'!$B$1:$L$24,9,FALSE),'BMP P Tracking Table'!$AU311*VLOOKUP('BMP P Tracking Table'!$Q311,'Loading Rates'!$B$1:$L$24,10,FALSE))),"")</f>
        <v/>
      </c>
      <c r="AZ311" s="101" t="str">
        <f>IFERROR(IF('BMP P Tracking Table'!$AL311="Yes",MIN(2,IF('BMP P Tracking Table'!$AP311="Total Pervious",(-(3630*'BMP P Tracking Table'!$AO311+20.691*'BMP P Tracking Table'!$AU311)+SQRT((3630*'BMP P Tracking Table'!$AO311+20.691*'BMP P Tracking Table'!$AU311)^2-(4*(996.798*'BMP P Tracking Table'!$AU311)*-'BMP P Tracking Table'!$AW311)))/(2*(996.798*'BMP P Tracking Table'!$AU311)),IF(SUM('BMP P Tracking Table'!$AQ311:$AT311)=0,'BMP P Tracking Table'!$AU311/(-3630*'BMP P Tracking Table'!$AO311),(-(3630*'BMP P Tracking Table'!$AO311+20.691*'BMP P Tracking Table'!$AT311-216.711*'BMP P Tracking Table'!$AS311-83.853*'BMP P Tracking Table'!$AR311-42.834*'BMP P Tracking Table'!$AQ311)+SQRT((3630*'BMP P Tracking Table'!$AO311+20.691*'BMP P Tracking Table'!$AT311-216.711*'BMP P Tracking Table'!$AS311-83.853*'BMP P Tracking Table'!$AR311-42.834*'BMP P Tracking Table'!$AQ311)^2-(4*(149.919*'BMP P Tracking Table'!$AQ311+236.676*'BMP P Tracking Table'!$AR311+726*'BMP P Tracking Table'!$AS311+996.798*'BMP P Tracking Table'!$AT311)*-'BMP P Tracking Table'!$AW311)))/(2*(149.919*'BMP P Tracking Table'!$AQ311+236.676*'BMP P Tracking Table'!$AR311+726*'BMP P Tracking Table'!$AS311+996.798*'BMP P Tracking Table'!$AT311))))),MIN(2,IF('BMP P Tracking Table'!$AP311="Total Pervious",(-(3630*'BMP P Tracking Table'!$U311+20.691*'BMP P Tracking Table'!$AA311)+SQRT((3630*'BMP P Tracking Table'!$U311+20.691*'BMP P Tracking Table'!$AA311)^2-(4*(996.798*'BMP P Tracking Table'!$AA311)*-'BMP P Tracking Table'!$AW311)))/(2*(996.798*'BMP P Tracking Table'!$AA311)),IF(SUM('BMP P Tracking Table'!$W311:$Z311)=0,'BMP P Tracking Table'!$AW311/(-3630*'BMP P Tracking Table'!$U311),(-(3630*'BMP P Tracking Table'!$U311+20.691*'BMP P Tracking Table'!$Z311-216.711*'BMP P Tracking Table'!$Y311-83.853*'BMP P Tracking Table'!$X311-42.834*'BMP P Tracking Table'!$W311)+SQRT((3630*'BMP P Tracking Table'!$U311+20.691*'BMP P Tracking Table'!$Z311-216.711*'BMP P Tracking Table'!$Y311-83.853*'BMP P Tracking Table'!$X311-42.834*'BMP P Tracking Table'!$W311)^2-(4*(149.919*'BMP P Tracking Table'!$W311+236.676*'BMP P Tracking Table'!$X311+726*'BMP P Tracking Table'!$Y311+996.798*'BMP P Tracking Table'!$Z311)*-'BMP P Tracking Table'!$AW311)))/(2*(149.919*'BMP P Tracking Table'!$W311+236.676*'BMP P Tracking Table'!$X311+726*'BMP P Tracking Table'!$Y311+996.798*'BMP P Tracking Table'!$Z311)))))),"")</f>
        <v/>
      </c>
      <c r="BA311" s="101" t="str">
        <f>IFERROR((VLOOKUP(CONCATENATE('BMP P Tracking Table'!$AV311," ",'BMP P Tracking Table'!$AX311),'Performance Curves'!$C$1:$L$45,MATCH('BMP P Tracking Table'!$AZ311,'Performance Curves'!$E$1:$L$1,1)+2,FALSE)-VLOOKUP(CONCATENATE('BMP P Tracking Table'!$AV311," ",'BMP P Tracking Table'!$AX311),'Performance Curves'!$C$1:$L$45,MATCH('BMP P Tracking Table'!$AZ311,'Performance Curves'!$E$1:$L$1,1)+1,FALSE)),"")</f>
        <v/>
      </c>
      <c r="BB311" s="101" t="str">
        <f>IFERROR(('BMP P Tracking Table'!$AZ311-INDEX('Performance Curves'!$E$1:$L$1,1,MATCH('BMP P Tracking Table'!$AZ311,'Performance Curves'!$E$1:$L$1,1)))/(INDEX('Performance Curves'!$E$1:$L$1,1,MATCH('BMP P Tracking Table'!$AZ311,'Performance Curves'!$E$1:$L$1,1)+1)-INDEX('Performance Curves'!$E$1:$L$1,1,MATCH('BMP P Tracking Table'!$AZ311,'Performance Curves'!$E$1:$L$1,1))),"")</f>
        <v/>
      </c>
      <c r="BC311" s="102" t="str">
        <f>IFERROR(IF('BMP P Tracking Table'!$AZ311=2,VLOOKUP(CONCATENATE('BMP P Tracking Table'!$AV311," ",'BMP P Tracking Table'!$AX311),'Performance Curves'!$C$1:$L$44,MATCH('BMP P Tracking Table'!$AZ311,'Performance Curves'!$E$1:$L$1,1)+1,FALSE),'BMP P Tracking Table'!$BA311*'BMP P Tracking Table'!$BB311+VLOOKUP(CONCATENATE('BMP P Tracking Table'!$AV311," ",'BMP P Tracking Table'!$AX311),'Performance Curves'!$C$1:$L$44,MATCH('BMP P Tracking Table'!$AZ311,'Performance Curves'!$E$1:$L$1,1)+1,FALSE)),"")</f>
        <v/>
      </c>
      <c r="BD311" s="101" t="str">
        <f>IFERROR('BMP P Tracking Table'!$BC311*'BMP P Tracking Table'!$AY311,"")</f>
        <v/>
      </c>
      <c r="BE311" s="91"/>
      <c r="BF311" s="37">
        <f t="shared" si="21"/>
        <v>0</v>
      </c>
    </row>
    <row r="312" spans="1:58" x14ac:dyDescent="0.3">
      <c r="A312" s="64"/>
      <c r="B312" s="64"/>
      <c r="C312" s="64"/>
      <c r="D312" s="64"/>
      <c r="E312" s="93"/>
      <c r="F312" s="93"/>
      <c r="G312" s="64"/>
      <c r="H312" s="64"/>
      <c r="I312" s="64"/>
      <c r="J312" s="94"/>
      <c r="K312" s="64"/>
      <c r="L312" s="64"/>
      <c r="M312" s="64"/>
      <c r="N312" s="64"/>
      <c r="O312" s="64"/>
      <c r="P312" s="64"/>
      <c r="Q312" s="64" t="str">
        <f>IFERROR(VLOOKUP('BMP P Tracking Table'!$P312,Dropdowns!$C$2:$E$15,3,FALSE),"")</f>
        <v/>
      </c>
      <c r="R312" s="64" t="str">
        <f>IFERROR(VLOOKUP('BMP P Tracking Table'!$Q312,Dropdowns!$P$3:$Q$23,2,FALSE),"")</f>
        <v/>
      </c>
      <c r="S312" s="64"/>
      <c r="T312" s="64"/>
      <c r="U312" s="64"/>
      <c r="V312" s="64"/>
      <c r="W312" s="64"/>
      <c r="X312" s="64"/>
      <c r="Y312" s="64"/>
      <c r="Z312" s="64"/>
      <c r="AA312" s="64"/>
      <c r="AB312" s="95"/>
      <c r="AC312" s="64"/>
      <c r="AD312" s="101" t="str">
        <f>IFERROR('BMP P Tracking Table'!$U312*VLOOKUP('BMP P Tracking Table'!$Q312,'Loading Rates'!$B$1:$L$24,4,FALSE)+IF('BMP P Tracking Table'!$V312="By HSG",'BMP P Tracking Table'!$W312*VLOOKUP('BMP P Tracking Table'!$Q312,'Loading Rates'!$B$1:$L$24,6,FALSE)+'BMP P Tracking Table'!$X312*VLOOKUP('BMP P Tracking Table'!$Q312,'Loading Rates'!$B$1:$L$24,7,FALSE)+'BMP P Tracking Table'!$Y312*VLOOKUP('BMP P Tracking Table'!$Q312,'Loading Rates'!$B$1:$L$24,8,FALSE)+'BMP P Tracking Table'!$Z312*VLOOKUP('BMP P Tracking Table'!$Q312,'Loading Rates'!$B$1:$L$24,9,FALSE),'BMP P Tracking Table'!$AA312*VLOOKUP('BMP P Tracking Table'!$Q312,'Loading Rates'!$B$1:$L$24,10,FALSE)),"")</f>
        <v/>
      </c>
      <c r="AE312" s="101" t="str">
        <f>IFERROR(MIN(2,IF('BMP P Tracking Table'!$V312="Total Pervious",(-(3630*'BMP P Tracking Table'!$U312+20.691*'BMP P Tracking Table'!$AA312)+SQRT((3630*'BMP P Tracking Table'!$U312+20.691*'BMP P Tracking Table'!$AA312)^2-(4*(996.798*'BMP P Tracking Table'!$AA312)*-'BMP P Tracking Table'!$AB312)))/(2*(996.798*'BMP P Tracking Table'!$AA312)),IF(SUM('BMP P Tracking Table'!$W312:$Z312)=0,'BMP P Tracking Table'!$AB312/(-3630*'BMP P Tracking Table'!$U312),(-(3630*'BMP P Tracking Table'!$U312+20.691*'BMP P Tracking Table'!$Z312-216.711*'BMP P Tracking Table'!$Y312-83.853*'BMP P Tracking Table'!$X312-42.834*'BMP P Tracking Table'!$W312)+SQRT((3630*'BMP P Tracking Table'!$U312+20.691*'BMP P Tracking Table'!$Z312-216.711*'BMP P Tracking Table'!$Y312-83.853*'BMP P Tracking Table'!$X312-42.834*'BMP P Tracking Table'!$W312)^2-(4*(149.919*'BMP P Tracking Table'!$W312+236.676*'BMP P Tracking Table'!$X312+726*'BMP P Tracking Table'!$Y312+996.798*'BMP P Tracking Table'!$Z312)*-'BMP P Tracking Table'!$AB312)))/(2*(149.919*'BMP P Tracking Table'!$W312+236.676*'BMP P Tracking Table'!$X312+726*'BMP P Tracking Table'!$Y312+996.798*'BMP P Tracking Table'!$Z312))))),"")</f>
        <v/>
      </c>
      <c r="AF312" s="101" t="str">
        <f>IFERROR((VLOOKUP(CONCATENATE('BMP P Tracking Table'!$T312," ",'BMP P Tracking Table'!$AC312),'Performance Curves'!$C$1:$L$45,MATCH('BMP P Tracking Table'!$AE312,'Performance Curves'!$E$1:$L$1,1)+2,FALSE)-VLOOKUP(CONCATENATE('BMP P Tracking Table'!$T312," ",'BMP P Tracking Table'!$AC312),'Performance Curves'!$C$1:$L$45,MATCH('BMP P Tracking Table'!$AE312,'Performance Curves'!$E$1:$L$1,1)+1,FALSE)),"")</f>
        <v/>
      </c>
      <c r="AG312" s="101" t="str">
        <f>IFERROR(('BMP P Tracking Table'!$AE312-INDEX('Performance Curves'!$E$1:$L$1,1,MATCH('BMP P Tracking Table'!$AE312,'Performance Curves'!$E$1:$L$1,1)))/(INDEX('Performance Curves'!$E$1:$L$1,1,MATCH('BMP P Tracking Table'!$AE312,'Performance Curves'!$E$1:$L$1,1)+1)-INDEX('Performance Curves'!$E$1:$L$1,1,MATCH('BMP P Tracking Table'!$AE312,'Performance Curves'!$E$1:$L$1,1))),"")</f>
        <v/>
      </c>
      <c r="AH312" s="102" t="str">
        <f>IFERROR(IF('BMP P Tracking Table'!$AE312=2,VLOOKUP(CONCATENATE('BMP P Tracking Table'!$T312," ",'BMP P Tracking Table'!$AC312),'Performance Curves'!$C$1:$L$45,MATCH('BMP P Tracking Table'!$AE312,'Performance Curves'!$E$1:$L$1,1)+1,FALSE),'BMP P Tracking Table'!$AF312*'BMP P Tracking Table'!$AG312+VLOOKUP(CONCATENATE('BMP P Tracking Table'!$T312," ",'BMP P Tracking Table'!$AC312),'Performance Curves'!$C$1:$L$45,MATCH('BMP P Tracking Table'!$AE312,'Performance Curves'!$E$1:$L$1,1)+1,FALSE)),"")</f>
        <v/>
      </c>
      <c r="AI312" s="101" t="str">
        <f>IFERROR('BMP P Tracking Table'!$AH312*'BMP P Tracking Table'!$AD312,"")</f>
        <v/>
      </c>
      <c r="AJ312" s="64"/>
      <c r="AK312" s="96"/>
      <c r="AL312" s="96"/>
      <c r="AM312" s="63"/>
      <c r="AN312" s="99" t="str">
        <f t="shared" si="20"/>
        <v/>
      </c>
      <c r="AO312" s="96"/>
      <c r="AP312" s="96"/>
      <c r="AQ312" s="96"/>
      <c r="AR312" s="96"/>
      <c r="AS312" s="96"/>
      <c r="AT312" s="96"/>
      <c r="AU312" s="96"/>
      <c r="AV312" s="64"/>
      <c r="AW312" s="97"/>
      <c r="AX312" s="97"/>
      <c r="AY312" s="101" t="str">
        <f>IF('BMP P Tracking Table'!$AK312="Yes",IF('BMP P Tracking Table'!$AL312="No",'BMP P Tracking Table'!$U312*VLOOKUP('BMP P Tracking Table'!$Q312,'Loading Rates'!$B$1:$L$24,4,FALSE)+IF('BMP P Tracking Table'!$V312="By HSG",'BMP P Tracking Table'!$W312*VLOOKUP('BMP P Tracking Table'!$Q312,'Loading Rates'!$B$1:$L$24,6,FALSE)+'BMP P Tracking Table'!$X312*VLOOKUP('BMP P Tracking Table'!$Q312,'Loading Rates'!$B$1:$L$24,7,FALSE)+'BMP P Tracking Table'!$Y312*VLOOKUP('BMP P Tracking Table'!$Q312,'Loading Rates'!$B$1:$L$24,8,FALSE)+'BMP P Tracking Table'!$Z312*VLOOKUP('BMP P Tracking Table'!$Q312,'Loading Rates'!$B$1:$L$24,9,FALSE),'BMP P Tracking Table'!$AA312*VLOOKUP('BMP P Tracking Table'!$Q312,'Loading Rates'!$B$1:$L$24,10,FALSE)),'BMP P Tracking Table'!$AO312*VLOOKUP('BMP P Tracking Table'!$Q312,'Loading Rates'!$B$1:$L$24,4,FALSE)+IF('BMP P Tracking Table'!$AP312="By HSG",'BMP P Tracking Table'!$AQ312*VLOOKUP('BMP P Tracking Table'!$Q312,'Loading Rates'!$B$1:$L$24,6,FALSE)+'BMP P Tracking Table'!$AR312*VLOOKUP('BMP P Tracking Table'!$Q312,'Loading Rates'!$B$1:$L$24,7,FALSE)+'BMP P Tracking Table'!$AS312*VLOOKUP('BMP P Tracking Table'!$Q312,'Loading Rates'!$B$1:$L$24,8,FALSE)+'BMP P Tracking Table'!$AT312*VLOOKUP('BMP P Tracking Table'!$Q312,'Loading Rates'!$B$1:$L$24,9,FALSE),'BMP P Tracking Table'!$AU312*VLOOKUP('BMP P Tracking Table'!$Q312,'Loading Rates'!$B$1:$L$24,10,FALSE))),"")</f>
        <v/>
      </c>
      <c r="AZ312" s="101" t="str">
        <f>IFERROR(IF('BMP P Tracking Table'!$AL312="Yes",MIN(2,IF('BMP P Tracking Table'!$AP312="Total Pervious",(-(3630*'BMP P Tracking Table'!$AO312+20.691*'BMP P Tracking Table'!$AU312)+SQRT((3630*'BMP P Tracking Table'!$AO312+20.691*'BMP P Tracking Table'!$AU312)^2-(4*(996.798*'BMP P Tracking Table'!$AU312)*-'BMP P Tracking Table'!$AW312)))/(2*(996.798*'BMP P Tracking Table'!$AU312)),IF(SUM('BMP P Tracking Table'!$AQ312:$AT312)=0,'BMP P Tracking Table'!$AU312/(-3630*'BMP P Tracking Table'!$AO312),(-(3630*'BMP P Tracking Table'!$AO312+20.691*'BMP P Tracking Table'!$AT312-216.711*'BMP P Tracking Table'!$AS312-83.853*'BMP P Tracking Table'!$AR312-42.834*'BMP P Tracking Table'!$AQ312)+SQRT((3630*'BMP P Tracking Table'!$AO312+20.691*'BMP P Tracking Table'!$AT312-216.711*'BMP P Tracking Table'!$AS312-83.853*'BMP P Tracking Table'!$AR312-42.834*'BMP P Tracking Table'!$AQ312)^2-(4*(149.919*'BMP P Tracking Table'!$AQ312+236.676*'BMP P Tracking Table'!$AR312+726*'BMP P Tracking Table'!$AS312+996.798*'BMP P Tracking Table'!$AT312)*-'BMP P Tracking Table'!$AW312)))/(2*(149.919*'BMP P Tracking Table'!$AQ312+236.676*'BMP P Tracking Table'!$AR312+726*'BMP P Tracking Table'!$AS312+996.798*'BMP P Tracking Table'!$AT312))))),MIN(2,IF('BMP P Tracking Table'!$AP312="Total Pervious",(-(3630*'BMP P Tracking Table'!$U312+20.691*'BMP P Tracking Table'!$AA312)+SQRT((3630*'BMP P Tracking Table'!$U312+20.691*'BMP P Tracking Table'!$AA312)^2-(4*(996.798*'BMP P Tracking Table'!$AA312)*-'BMP P Tracking Table'!$AW312)))/(2*(996.798*'BMP P Tracking Table'!$AA312)),IF(SUM('BMP P Tracking Table'!$W312:$Z312)=0,'BMP P Tracking Table'!$AW312/(-3630*'BMP P Tracking Table'!$U312),(-(3630*'BMP P Tracking Table'!$U312+20.691*'BMP P Tracking Table'!$Z312-216.711*'BMP P Tracking Table'!$Y312-83.853*'BMP P Tracking Table'!$X312-42.834*'BMP P Tracking Table'!$W312)+SQRT((3630*'BMP P Tracking Table'!$U312+20.691*'BMP P Tracking Table'!$Z312-216.711*'BMP P Tracking Table'!$Y312-83.853*'BMP P Tracking Table'!$X312-42.834*'BMP P Tracking Table'!$W312)^2-(4*(149.919*'BMP P Tracking Table'!$W312+236.676*'BMP P Tracking Table'!$X312+726*'BMP P Tracking Table'!$Y312+996.798*'BMP P Tracking Table'!$Z312)*-'BMP P Tracking Table'!$AW312)))/(2*(149.919*'BMP P Tracking Table'!$W312+236.676*'BMP P Tracking Table'!$X312+726*'BMP P Tracking Table'!$Y312+996.798*'BMP P Tracking Table'!$Z312)))))),"")</f>
        <v/>
      </c>
      <c r="BA312" s="101" t="str">
        <f>IFERROR((VLOOKUP(CONCATENATE('BMP P Tracking Table'!$AV312," ",'BMP P Tracking Table'!$AX312),'Performance Curves'!$C$1:$L$45,MATCH('BMP P Tracking Table'!$AZ312,'Performance Curves'!$E$1:$L$1,1)+2,FALSE)-VLOOKUP(CONCATENATE('BMP P Tracking Table'!$AV312," ",'BMP P Tracking Table'!$AX312),'Performance Curves'!$C$1:$L$45,MATCH('BMP P Tracking Table'!$AZ312,'Performance Curves'!$E$1:$L$1,1)+1,FALSE)),"")</f>
        <v/>
      </c>
      <c r="BB312" s="101" t="str">
        <f>IFERROR(('BMP P Tracking Table'!$AZ312-INDEX('Performance Curves'!$E$1:$L$1,1,MATCH('BMP P Tracking Table'!$AZ312,'Performance Curves'!$E$1:$L$1,1)))/(INDEX('Performance Curves'!$E$1:$L$1,1,MATCH('BMP P Tracking Table'!$AZ312,'Performance Curves'!$E$1:$L$1,1)+1)-INDEX('Performance Curves'!$E$1:$L$1,1,MATCH('BMP P Tracking Table'!$AZ312,'Performance Curves'!$E$1:$L$1,1))),"")</f>
        <v/>
      </c>
      <c r="BC312" s="102" t="str">
        <f>IFERROR(IF('BMP P Tracking Table'!$AZ312=2,VLOOKUP(CONCATENATE('BMP P Tracking Table'!$AV312," ",'BMP P Tracking Table'!$AX312),'Performance Curves'!$C$1:$L$44,MATCH('BMP P Tracking Table'!$AZ312,'Performance Curves'!$E$1:$L$1,1)+1,FALSE),'BMP P Tracking Table'!$BA312*'BMP P Tracking Table'!$BB312+VLOOKUP(CONCATENATE('BMP P Tracking Table'!$AV312," ",'BMP P Tracking Table'!$AX312),'Performance Curves'!$C$1:$L$44,MATCH('BMP P Tracking Table'!$AZ312,'Performance Curves'!$E$1:$L$1,1)+1,FALSE)),"")</f>
        <v/>
      </c>
      <c r="BD312" s="101" t="str">
        <f>IFERROR('BMP P Tracking Table'!$BC312*'BMP P Tracking Table'!$AY312,"")</f>
        <v/>
      </c>
      <c r="BE312" s="96"/>
      <c r="BF312" s="37">
        <f t="shared" si="21"/>
        <v>0</v>
      </c>
    </row>
    <row r="313" spans="1:58" x14ac:dyDescent="0.3">
      <c r="A313" s="64"/>
      <c r="B313" s="64"/>
      <c r="C313" s="64"/>
      <c r="D313" s="64"/>
      <c r="E313" s="93"/>
      <c r="F313" s="93"/>
      <c r="G313" s="64"/>
      <c r="H313" s="64"/>
      <c r="I313" s="64"/>
      <c r="J313" s="94"/>
      <c r="K313" s="64"/>
      <c r="L313" s="64"/>
      <c r="M313" s="64"/>
      <c r="N313" s="64"/>
      <c r="O313" s="64"/>
      <c r="P313" s="64"/>
      <c r="Q313" s="64" t="str">
        <f>IFERROR(VLOOKUP('BMP P Tracking Table'!$P313,Dropdowns!$C$2:$E$15,3,FALSE),"")</f>
        <v/>
      </c>
      <c r="R313" s="64" t="str">
        <f>IFERROR(VLOOKUP('BMP P Tracking Table'!$Q313,Dropdowns!$P$3:$Q$23,2,FALSE),"")</f>
        <v/>
      </c>
      <c r="S313" s="64"/>
      <c r="T313" s="64"/>
      <c r="U313" s="64"/>
      <c r="V313" s="64"/>
      <c r="W313" s="64"/>
      <c r="X313" s="64"/>
      <c r="Y313" s="64"/>
      <c r="Z313" s="64"/>
      <c r="AA313" s="64"/>
      <c r="AB313" s="95"/>
      <c r="AC313" s="64"/>
      <c r="AD313" s="101" t="str">
        <f>IFERROR('BMP P Tracking Table'!$U313*VLOOKUP('BMP P Tracking Table'!$Q313,'Loading Rates'!$B$1:$L$24,4,FALSE)+IF('BMP P Tracking Table'!$V313="By HSG",'BMP P Tracking Table'!$W313*VLOOKUP('BMP P Tracking Table'!$Q313,'Loading Rates'!$B$1:$L$24,6,FALSE)+'BMP P Tracking Table'!$X313*VLOOKUP('BMP P Tracking Table'!$Q313,'Loading Rates'!$B$1:$L$24,7,FALSE)+'BMP P Tracking Table'!$Y313*VLOOKUP('BMP P Tracking Table'!$Q313,'Loading Rates'!$B$1:$L$24,8,FALSE)+'BMP P Tracking Table'!$Z313*VLOOKUP('BMP P Tracking Table'!$Q313,'Loading Rates'!$B$1:$L$24,9,FALSE),'BMP P Tracking Table'!$AA313*VLOOKUP('BMP P Tracking Table'!$Q313,'Loading Rates'!$B$1:$L$24,10,FALSE)),"")</f>
        <v/>
      </c>
      <c r="AE313" s="101" t="str">
        <f>IFERROR(MIN(2,IF('BMP P Tracking Table'!$V313="Total Pervious",(-(3630*'BMP P Tracking Table'!$U313+20.691*'BMP P Tracking Table'!$AA313)+SQRT((3630*'BMP P Tracking Table'!$U313+20.691*'BMP P Tracking Table'!$AA313)^2-(4*(996.798*'BMP P Tracking Table'!$AA313)*-'BMP P Tracking Table'!$AB313)))/(2*(996.798*'BMP P Tracking Table'!$AA313)),IF(SUM('BMP P Tracking Table'!$W313:$Z313)=0,'BMP P Tracking Table'!$AB313/(-3630*'BMP P Tracking Table'!$U313),(-(3630*'BMP P Tracking Table'!$U313+20.691*'BMP P Tracking Table'!$Z313-216.711*'BMP P Tracking Table'!$Y313-83.853*'BMP P Tracking Table'!$X313-42.834*'BMP P Tracking Table'!$W313)+SQRT((3630*'BMP P Tracking Table'!$U313+20.691*'BMP P Tracking Table'!$Z313-216.711*'BMP P Tracking Table'!$Y313-83.853*'BMP P Tracking Table'!$X313-42.834*'BMP P Tracking Table'!$W313)^2-(4*(149.919*'BMP P Tracking Table'!$W313+236.676*'BMP P Tracking Table'!$X313+726*'BMP P Tracking Table'!$Y313+996.798*'BMP P Tracking Table'!$Z313)*-'BMP P Tracking Table'!$AB313)))/(2*(149.919*'BMP P Tracking Table'!$W313+236.676*'BMP P Tracking Table'!$X313+726*'BMP P Tracking Table'!$Y313+996.798*'BMP P Tracking Table'!$Z313))))),"")</f>
        <v/>
      </c>
      <c r="AF313" s="101" t="str">
        <f>IFERROR((VLOOKUP(CONCATENATE('BMP P Tracking Table'!$T313," ",'BMP P Tracking Table'!$AC313),'Performance Curves'!$C$1:$L$45,MATCH('BMP P Tracking Table'!$AE313,'Performance Curves'!$E$1:$L$1,1)+2,FALSE)-VLOOKUP(CONCATENATE('BMP P Tracking Table'!$T313," ",'BMP P Tracking Table'!$AC313),'Performance Curves'!$C$1:$L$45,MATCH('BMP P Tracking Table'!$AE313,'Performance Curves'!$E$1:$L$1,1)+1,FALSE)),"")</f>
        <v/>
      </c>
      <c r="AG313" s="101" t="str">
        <f>IFERROR(('BMP P Tracking Table'!$AE313-INDEX('Performance Curves'!$E$1:$L$1,1,MATCH('BMP P Tracking Table'!$AE313,'Performance Curves'!$E$1:$L$1,1)))/(INDEX('Performance Curves'!$E$1:$L$1,1,MATCH('BMP P Tracking Table'!$AE313,'Performance Curves'!$E$1:$L$1,1)+1)-INDEX('Performance Curves'!$E$1:$L$1,1,MATCH('BMP P Tracking Table'!$AE313,'Performance Curves'!$E$1:$L$1,1))),"")</f>
        <v/>
      </c>
      <c r="AH313" s="102" t="str">
        <f>IFERROR(IF('BMP P Tracking Table'!$AE313=2,VLOOKUP(CONCATENATE('BMP P Tracking Table'!$T313," ",'BMP P Tracking Table'!$AC313),'Performance Curves'!$C$1:$L$45,MATCH('BMP P Tracking Table'!$AE313,'Performance Curves'!$E$1:$L$1,1)+1,FALSE),'BMP P Tracking Table'!$AF313*'BMP P Tracking Table'!$AG313+VLOOKUP(CONCATENATE('BMP P Tracking Table'!$T313," ",'BMP P Tracking Table'!$AC313),'Performance Curves'!$C$1:$L$45,MATCH('BMP P Tracking Table'!$AE313,'Performance Curves'!$E$1:$L$1,1)+1,FALSE)),"")</f>
        <v/>
      </c>
      <c r="AI313" s="101" t="str">
        <f>IFERROR('BMP P Tracking Table'!$AH313*'BMP P Tracking Table'!$AD313,"")</f>
        <v/>
      </c>
      <c r="AJ313" s="64"/>
      <c r="AK313" s="96"/>
      <c r="AL313" s="96"/>
      <c r="AM313" s="63"/>
      <c r="AN313" s="99" t="str">
        <f t="shared" si="20"/>
        <v/>
      </c>
      <c r="AO313" s="96"/>
      <c r="AP313" s="96"/>
      <c r="AQ313" s="96"/>
      <c r="AR313" s="96"/>
      <c r="AS313" s="96"/>
      <c r="AT313" s="96"/>
      <c r="AU313" s="96"/>
      <c r="AV313" s="64"/>
      <c r="AW313" s="97"/>
      <c r="AX313" s="97"/>
      <c r="AY313" s="101" t="str">
        <f>IF('BMP P Tracking Table'!$AK313="Yes",IF('BMP P Tracking Table'!$AL313="No",'BMP P Tracking Table'!$U313*VLOOKUP('BMP P Tracking Table'!$Q313,'Loading Rates'!$B$1:$L$24,4,FALSE)+IF('BMP P Tracking Table'!$V313="By HSG",'BMP P Tracking Table'!$W313*VLOOKUP('BMP P Tracking Table'!$Q313,'Loading Rates'!$B$1:$L$24,6,FALSE)+'BMP P Tracking Table'!$X313*VLOOKUP('BMP P Tracking Table'!$Q313,'Loading Rates'!$B$1:$L$24,7,FALSE)+'BMP P Tracking Table'!$Y313*VLOOKUP('BMP P Tracking Table'!$Q313,'Loading Rates'!$B$1:$L$24,8,FALSE)+'BMP P Tracking Table'!$Z313*VLOOKUP('BMP P Tracking Table'!$Q313,'Loading Rates'!$B$1:$L$24,9,FALSE),'BMP P Tracking Table'!$AA313*VLOOKUP('BMP P Tracking Table'!$Q313,'Loading Rates'!$B$1:$L$24,10,FALSE)),'BMP P Tracking Table'!$AO313*VLOOKUP('BMP P Tracking Table'!$Q313,'Loading Rates'!$B$1:$L$24,4,FALSE)+IF('BMP P Tracking Table'!$AP313="By HSG",'BMP P Tracking Table'!$AQ313*VLOOKUP('BMP P Tracking Table'!$Q313,'Loading Rates'!$B$1:$L$24,6,FALSE)+'BMP P Tracking Table'!$AR313*VLOOKUP('BMP P Tracking Table'!$Q313,'Loading Rates'!$B$1:$L$24,7,FALSE)+'BMP P Tracking Table'!$AS313*VLOOKUP('BMP P Tracking Table'!$Q313,'Loading Rates'!$B$1:$L$24,8,FALSE)+'BMP P Tracking Table'!$AT313*VLOOKUP('BMP P Tracking Table'!$Q313,'Loading Rates'!$B$1:$L$24,9,FALSE),'BMP P Tracking Table'!$AU313*VLOOKUP('BMP P Tracking Table'!$Q313,'Loading Rates'!$B$1:$L$24,10,FALSE))),"")</f>
        <v/>
      </c>
      <c r="AZ313" s="101" t="str">
        <f>IFERROR(IF('BMP P Tracking Table'!$AL313="Yes",MIN(2,IF('BMP P Tracking Table'!$AP313="Total Pervious",(-(3630*'BMP P Tracking Table'!$AO313+20.691*'BMP P Tracking Table'!$AU313)+SQRT((3630*'BMP P Tracking Table'!$AO313+20.691*'BMP P Tracking Table'!$AU313)^2-(4*(996.798*'BMP P Tracking Table'!$AU313)*-'BMP P Tracking Table'!$AW313)))/(2*(996.798*'BMP P Tracking Table'!$AU313)),IF(SUM('BMP P Tracking Table'!$AQ313:$AT313)=0,'BMP P Tracking Table'!$AU313/(-3630*'BMP P Tracking Table'!$AO313),(-(3630*'BMP P Tracking Table'!$AO313+20.691*'BMP P Tracking Table'!$AT313-216.711*'BMP P Tracking Table'!$AS313-83.853*'BMP P Tracking Table'!$AR313-42.834*'BMP P Tracking Table'!$AQ313)+SQRT((3630*'BMP P Tracking Table'!$AO313+20.691*'BMP P Tracking Table'!$AT313-216.711*'BMP P Tracking Table'!$AS313-83.853*'BMP P Tracking Table'!$AR313-42.834*'BMP P Tracking Table'!$AQ313)^2-(4*(149.919*'BMP P Tracking Table'!$AQ313+236.676*'BMP P Tracking Table'!$AR313+726*'BMP P Tracking Table'!$AS313+996.798*'BMP P Tracking Table'!$AT313)*-'BMP P Tracking Table'!$AW313)))/(2*(149.919*'BMP P Tracking Table'!$AQ313+236.676*'BMP P Tracking Table'!$AR313+726*'BMP P Tracking Table'!$AS313+996.798*'BMP P Tracking Table'!$AT313))))),MIN(2,IF('BMP P Tracking Table'!$AP313="Total Pervious",(-(3630*'BMP P Tracking Table'!$U313+20.691*'BMP P Tracking Table'!$AA313)+SQRT((3630*'BMP P Tracking Table'!$U313+20.691*'BMP P Tracking Table'!$AA313)^2-(4*(996.798*'BMP P Tracking Table'!$AA313)*-'BMP P Tracking Table'!$AW313)))/(2*(996.798*'BMP P Tracking Table'!$AA313)),IF(SUM('BMP P Tracking Table'!$W313:$Z313)=0,'BMP P Tracking Table'!$AW313/(-3630*'BMP P Tracking Table'!$U313),(-(3630*'BMP P Tracking Table'!$U313+20.691*'BMP P Tracking Table'!$Z313-216.711*'BMP P Tracking Table'!$Y313-83.853*'BMP P Tracking Table'!$X313-42.834*'BMP P Tracking Table'!$W313)+SQRT((3630*'BMP P Tracking Table'!$U313+20.691*'BMP P Tracking Table'!$Z313-216.711*'BMP P Tracking Table'!$Y313-83.853*'BMP P Tracking Table'!$X313-42.834*'BMP P Tracking Table'!$W313)^2-(4*(149.919*'BMP P Tracking Table'!$W313+236.676*'BMP P Tracking Table'!$X313+726*'BMP P Tracking Table'!$Y313+996.798*'BMP P Tracking Table'!$Z313)*-'BMP P Tracking Table'!$AW313)))/(2*(149.919*'BMP P Tracking Table'!$W313+236.676*'BMP P Tracking Table'!$X313+726*'BMP P Tracking Table'!$Y313+996.798*'BMP P Tracking Table'!$Z313)))))),"")</f>
        <v/>
      </c>
      <c r="BA313" s="101" t="str">
        <f>IFERROR((VLOOKUP(CONCATENATE('BMP P Tracking Table'!$AV313," ",'BMP P Tracking Table'!$AX313),'Performance Curves'!$C$1:$L$45,MATCH('BMP P Tracking Table'!$AZ313,'Performance Curves'!$E$1:$L$1,1)+2,FALSE)-VLOOKUP(CONCATENATE('BMP P Tracking Table'!$AV313," ",'BMP P Tracking Table'!$AX313),'Performance Curves'!$C$1:$L$45,MATCH('BMP P Tracking Table'!$AZ313,'Performance Curves'!$E$1:$L$1,1)+1,FALSE)),"")</f>
        <v/>
      </c>
      <c r="BB313" s="101" t="str">
        <f>IFERROR(('BMP P Tracking Table'!$AZ313-INDEX('Performance Curves'!$E$1:$L$1,1,MATCH('BMP P Tracking Table'!$AZ313,'Performance Curves'!$E$1:$L$1,1)))/(INDEX('Performance Curves'!$E$1:$L$1,1,MATCH('BMP P Tracking Table'!$AZ313,'Performance Curves'!$E$1:$L$1,1)+1)-INDEX('Performance Curves'!$E$1:$L$1,1,MATCH('BMP P Tracking Table'!$AZ313,'Performance Curves'!$E$1:$L$1,1))),"")</f>
        <v/>
      </c>
      <c r="BC313" s="102" t="str">
        <f>IFERROR(IF('BMP P Tracking Table'!$AZ313=2,VLOOKUP(CONCATENATE('BMP P Tracking Table'!$AV313," ",'BMP P Tracking Table'!$AX313),'Performance Curves'!$C$1:$L$44,MATCH('BMP P Tracking Table'!$AZ313,'Performance Curves'!$E$1:$L$1,1)+1,FALSE),'BMP P Tracking Table'!$BA313*'BMP P Tracking Table'!$BB313+VLOOKUP(CONCATENATE('BMP P Tracking Table'!$AV313," ",'BMP P Tracking Table'!$AX313),'Performance Curves'!$C$1:$L$44,MATCH('BMP P Tracking Table'!$AZ313,'Performance Curves'!$E$1:$L$1,1)+1,FALSE)),"")</f>
        <v/>
      </c>
      <c r="BD313" s="101" t="str">
        <f>IFERROR('BMP P Tracking Table'!$BC313*'BMP P Tracking Table'!$AY313,"")</f>
        <v/>
      </c>
      <c r="BE313" s="96"/>
      <c r="BF313" s="37">
        <f t="shared" si="21"/>
        <v>0</v>
      </c>
    </row>
    <row r="314" spans="1:58" x14ac:dyDescent="0.3">
      <c r="A314" s="64"/>
      <c r="B314" s="64"/>
      <c r="C314" s="64"/>
      <c r="D314" s="64"/>
      <c r="E314" s="93"/>
      <c r="F314" s="93"/>
      <c r="G314" s="64"/>
      <c r="H314" s="64"/>
      <c r="I314" s="64"/>
      <c r="J314" s="94"/>
      <c r="K314" s="64"/>
      <c r="L314" s="64"/>
      <c r="M314" s="64"/>
      <c r="N314" s="64"/>
      <c r="O314" s="64"/>
      <c r="P314" s="64"/>
      <c r="Q314" s="64" t="str">
        <f>IFERROR(VLOOKUP('BMP P Tracking Table'!$P314,Dropdowns!$C$2:$E$15,3,FALSE),"")</f>
        <v/>
      </c>
      <c r="R314" s="64" t="str">
        <f>IFERROR(VLOOKUP('BMP P Tracking Table'!$Q314,Dropdowns!$P$3:$Q$23,2,FALSE),"")</f>
        <v/>
      </c>
      <c r="S314" s="64"/>
      <c r="T314" s="64"/>
      <c r="U314" s="64"/>
      <c r="V314" s="64"/>
      <c r="W314" s="64"/>
      <c r="X314" s="64"/>
      <c r="Y314" s="64"/>
      <c r="Z314" s="64"/>
      <c r="AA314" s="64"/>
      <c r="AB314" s="95"/>
      <c r="AC314" s="64"/>
      <c r="AD314" s="101" t="str">
        <f>IFERROR('BMP P Tracking Table'!$U314*VLOOKUP('BMP P Tracking Table'!$Q314,'Loading Rates'!$B$1:$L$24,4,FALSE)+IF('BMP P Tracking Table'!$V314="By HSG",'BMP P Tracking Table'!$W314*VLOOKUP('BMP P Tracking Table'!$Q314,'Loading Rates'!$B$1:$L$24,6,FALSE)+'BMP P Tracking Table'!$X314*VLOOKUP('BMP P Tracking Table'!$Q314,'Loading Rates'!$B$1:$L$24,7,FALSE)+'BMP P Tracking Table'!$Y314*VLOOKUP('BMP P Tracking Table'!$Q314,'Loading Rates'!$B$1:$L$24,8,FALSE)+'BMP P Tracking Table'!$Z314*VLOOKUP('BMP P Tracking Table'!$Q314,'Loading Rates'!$B$1:$L$24,9,FALSE),'BMP P Tracking Table'!$AA314*VLOOKUP('BMP P Tracking Table'!$Q314,'Loading Rates'!$B$1:$L$24,10,FALSE)),"")</f>
        <v/>
      </c>
      <c r="AE314" s="101" t="str">
        <f>IFERROR(MIN(2,IF('BMP P Tracking Table'!$V314="Total Pervious",(-(3630*'BMP P Tracking Table'!$U314+20.691*'BMP P Tracking Table'!$AA314)+SQRT((3630*'BMP P Tracking Table'!$U314+20.691*'BMP P Tracking Table'!$AA314)^2-(4*(996.798*'BMP P Tracking Table'!$AA314)*-'BMP P Tracking Table'!$AB314)))/(2*(996.798*'BMP P Tracking Table'!$AA314)),IF(SUM('BMP P Tracking Table'!$W314:$Z314)=0,'BMP P Tracking Table'!$AB314/(-3630*'BMP P Tracking Table'!$U314),(-(3630*'BMP P Tracking Table'!$U314+20.691*'BMP P Tracking Table'!$Z314-216.711*'BMP P Tracking Table'!$Y314-83.853*'BMP P Tracking Table'!$X314-42.834*'BMP P Tracking Table'!$W314)+SQRT((3630*'BMP P Tracking Table'!$U314+20.691*'BMP P Tracking Table'!$Z314-216.711*'BMP P Tracking Table'!$Y314-83.853*'BMP P Tracking Table'!$X314-42.834*'BMP P Tracking Table'!$W314)^2-(4*(149.919*'BMP P Tracking Table'!$W314+236.676*'BMP P Tracking Table'!$X314+726*'BMP P Tracking Table'!$Y314+996.798*'BMP P Tracking Table'!$Z314)*-'BMP P Tracking Table'!$AB314)))/(2*(149.919*'BMP P Tracking Table'!$W314+236.676*'BMP P Tracking Table'!$X314+726*'BMP P Tracking Table'!$Y314+996.798*'BMP P Tracking Table'!$Z314))))),"")</f>
        <v/>
      </c>
      <c r="AF314" s="101" t="str">
        <f>IFERROR((VLOOKUP(CONCATENATE('BMP P Tracking Table'!$T314," ",'BMP P Tracking Table'!$AC314),'Performance Curves'!$C$1:$L$45,MATCH('BMP P Tracking Table'!$AE314,'Performance Curves'!$E$1:$L$1,1)+2,FALSE)-VLOOKUP(CONCATENATE('BMP P Tracking Table'!$T314," ",'BMP P Tracking Table'!$AC314),'Performance Curves'!$C$1:$L$45,MATCH('BMP P Tracking Table'!$AE314,'Performance Curves'!$E$1:$L$1,1)+1,FALSE)),"")</f>
        <v/>
      </c>
      <c r="AG314" s="101" t="str">
        <f>IFERROR(('BMP P Tracking Table'!$AE314-INDEX('Performance Curves'!$E$1:$L$1,1,MATCH('BMP P Tracking Table'!$AE314,'Performance Curves'!$E$1:$L$1,1)))/(INDEX('Performance Curves'!$E$1:$L$1,1,MATCH('BMP P Tracking Table'!$AE314,'Performance Curves'!$E$1:$L$1,1)+1)-INDEX('Performance Curves'!$E$1:$L$1,1,MATCH('BMP P Tracking Table'!$AE314,'Performance Curves'!$E$1:$L$1,1))),"")</f>
        <v/>
      </c>
      <c r="AH314" s="102" t="str">
        <f>IFERROR(IF('BMP P Tracking Table'!$AE314=2,VLOOKUP(CONCATENATE('BMP P Tracking Table'!$T314," ",'BMP P Tracking Table'!$AC314),'Performance Curves'!$C$1:$L$45,MATCH('BMP P Tracking Table'!$AE314,'Performance Curves'!$E$1:$L$1,1)+1,FALSE),'BMP P Tracking Table'!$AF314*'BMP P Tracking Table'!$AG314+VLOOKUP(CONCATENATE('BMP P Tracking Table'!$T314," ",'BMP P Tracking Table'!$AC314),'Performance Curves'!$C$1:$L$45,MATCH('BMP P Tracking Table'!$AE314,'Performance Curves'!$E$1:$L$1,1)+1,FALSE)),"")</f>
        <v/>
      </c>
      <c r="AI314" s="101" t="str">
        <f>IFERROR('BMP P Tracking Table'!$AH314*'BMP P Tracking Table'!$AD314,"")</f>
        <v/>
      </c>
      <c r="AJ314" s="64"/>
      <c r="AK314" s="96"/>
      <c r="AL314" s="96"/>
      <c r="AM314" s="63"/>
      <c r="AN314" s="99" t="str">
        <f t="shared" si="20"/>
        <v/>
      </c>
      <c r="AO314" s="96"/>
      <c r="AP314" s="96"/>
      <c r="AQ314" s="96"/>
      <c r="AR314" s="96"/>
      <c r="AS314" s="96"/>
      <c r="AT314" s="96"/>
      <c r="AU314" s="96"/>
      <c r="AV314" s="64"/>
      <c r="AW314" s="97"/>
      <c r="AX314" s="97"/>
      <c r="AY314" s="101" t="str">
        <f>IF('BMP P Tracking Table'!$AK314="Yes",IF('BMP P Tracking Table'!$AL314="No",'BMP P Tracking Table'!$U314*VLOOKUP('BMP P Tracking Table'!$Q314,'Loading Rates'!$B$1:$L$24,4,FALSE)+IF('BMP P Tracking Table'!$V314="By HSG",'BMP P Tracking Table'!$W314*VLOOKUP('BMP P Tracking Table'!$Q314,'Loading Rates'!$B$1:$L$24,6,FALSE)+'BMP P Tracking Table'!$X314*VLOOKUP('BMP P Tracking Table'!$Q314,'Loading Rates'!$B$1:$L$24,7,FALSE)+'BMP P Tracking Table'!$Y314*VLOOKUP('BMP P Tracking Table'!$Q314,'Loading Rates'!$B$1:$L$24,8,FALSE)+'BMP P Tracking Table'!$Z314*VLOOKUP('BMP P Tracking Table'!$Q314,'Loading Rates'!$B$1:$L$24,9,FALSE),'BMP P Tracking Table'!$AA314*VLOOKUP('BMP P Tracking Table'!$Q314,'Loading Rates'!$B$1:$L$24,10,FALSE)),'BMP P Tracking Table'!$AO314*VLOOKUP('BMP P Tracking Table'!$Q314,'Loading Rates'!$B$1:$L$24,4,FALSE)+IF('BMP P Tracking Table'!$AP314="By HSG",'BMP P Tracking Table'!$AQ314*VLOOKUP('BMP P Tracking Table'!$Q314,'Loading Rates'!$B$1:$L$24,6,FALSE)+'BMP P Tracking Table'!$AR314*VLOOKUP('BMP P Tracking Table'!$Q314,'Loading Rates'!$B$1:$L$24,7,FALSE)+'BMP P Tracking Table'!$AS314*VLOOKUP('BMP P Tracking Table'!$Q314,'Loading Rates'!$B$1:$L$24,8,FALSE)+'BMP P Tracking Table'!$AT314*VLOOKUP('BMP P Tracking Table'!$Q314,'Loading Rates'!$B$1:$L$24,9,FALSE),'BMP P Tracking Table'!$AU314*VLOOKUP('BMP P Tracking Table'!$Q314,'Loading Rates'!$B$1:$L$24,10,FALSE))),"")</f>
        <v/>
      </c>
      <c r="AZ314" s="101" t="str">
        <f>IFERROR(IF('BMP P Tracking Table'!$AL314="Yes",MIN(2,IF('BMP P Tracking Table'!$AP314="Total Pervious",(-(3630*'BMP P Tracking Table'!$AO314+20.691*'BMP P Tracking Table'!$AU314)+SQRT((3630*'BMP P Tracking Table'!$AO314+20.691*'BMP P Tracking Table'!$AU314)^2-(4*(996.798*'BMP P Tracking Table'!$AU314)*-'BMP P Tracking Table'!$AW314)))/(2*(996.798*'BMP P Tracking Table'!$AU314)),IF(SUM('BMP P Tracking Table'!$AQ314:$AT314)=0,'BMP P Tracking Table'!$AU314/(-3630*'BMP P Tracking Table'!$AO314),(-(3630*'BMP P Tracking Table'!$AO314+20.691*'BMP P Tracking Table'!$AT314-216.711*'BMP P Tracking Table'!$AS314-83.853*'BMP P Tracking Table'!$AR314-42.834*'BMP P Tracking Table'!$AQ314)+SQRT((3630*'BMP P Tracking Table'!$AO314+20.691*'BMP P Tracking Table'!$AT314-216.711*'BMP P Tracking Table'!$AS314-83.853*'BMP P Tracking Table'!$AR314-42.834*'BMP P Tracking Table'!$AQ314)^2-(4*(149.919*'BMP P Tracking Table'!$AQ314+236.676*'BMP P Tracking Table'!$AR314+726*'BMP P Tracking Table'!$AS314+996.798*'BMP P Tracking Table'!$AT314)*-'BMP P Tracking Table'!$AW314)))/(2*(149.919*'BMP P Tracking Table'!$AQ314+236.676*'BMP P Tracking Table'!$AR314+726*'BMP P Tracking Table'!$AS314+996.798*'BMP P Tracking Table'!$AT314))))),MIN(2,IF('BMP P Tracking Table'!$AP314="Total Pervious",(-(3630*'BMP P Tracking Table'!$U314+20.691*'BMP P Tracking Table'!$AA314)+SQRT((3630*'BMP P Tracking Table'!$U314+20.691*'BMP P Tracking Table'!$AA314)^2-(4*(996.798*'BMP P Tracking Table'!$AA314)*-'BMP P Tracking Table'!$AW314)))/(2*(996.798*'BMP P Tracking Table'!$AA314)),IF(SUM('BMP P Tracking Table'!$W314:$Z314)=0,'BMP P Tracking Table'!$AW314/(-3630*'BMP P Tracking Table'!$U314),(-(3630*'BMP P Tracking Table'!$U314+20.691*'BMP P Tracking Table'!$Z314-216.711*'BMP P Tracking Table'!$Y314-83.853*'BMP P Tracking Table'!$X314-42.834*'BMP P Tracking Table'!$W314)+SQRT((3630*'BMP P Tracking Table'!$U314+20.691*'BMP P Tracking Table'!$Z314-216.711*'BMP P Tracking Table'!$Y314-83.853*'BMP P Tracking Table'!$X314-42.834*'BMP P Tracking Table'!$W314)^2-(4*(149.919*'BMP P Tracking Table'!$W314+236.676*'BMP P Tracking Table'!$X314+726*'BMP P Tracking Table'!$Y314+996.798*'BMP P Tracking Table'!$Z314)*-'BMP P Tracking Table'!$AW314)))/(2*(149.919*'BMP P Tracking Table'!$W314+236.676*'BMP P Tracking Table'!$X314+726*'BMP P Tracking Table'!$Y314+996.798*'BMP P Tracking Table'!$Z314)))))),"")</f>
        <v/>
      </c>
      <c r="BA314" s="101" t="str">
        <f>IFERROR((VLOOKUP(CONCATENATE('BMP P Tracking Table'!$AV314," ",'BMP P Tracking Table'!$AX314),'Performance Curves'!$C$1:$L$45,MATCH('BMP P Tracking Table'!$AZ314,'Performance Curves'!$E$1:$L$1,1)+2,FALSE)-VLOOKUP(CONCATENATE('BMP P Tracking Table'!$AV314," ",'BMP P Tracking Table'!$AX314),'Performance Curves'!$C$1:$L$45,MATCH('BMP P Tracking Table'!$AZ314,'Performance Curves'!$E$1:$L$1,1)+1,FALSE)),"")</f>
        <v/>
      </c>
      <c r="BB314" s="101" t="str">
        <f>IFERROR(('BMP P Tracking Table'!$AZ314-INDEX('Performance Curves'!$E$1:$L$1,1,MATCH('BMP P Tracking Table'!$AZ314,'Performance Curves'!$E$1:$L$1,1)))/(INDEX('Performance Curves'!$E$1:$L$1,1,MATCH('BMP P Tracking Table'!$AZ314,'Performance Curves'!$E$1:$L$1,1)+1)-INDEX('Performance Curves'!$E$1:$L$1,1,MATCH('BMP P Tracking Table'!$AZ314,'Performance Curves'!$E$1:$L$1,1))),"")</f>
        <v/>
      </c>
      <c r="BC314" s="102" t="str">
        <f>IFERROR(IF('BMP P Tracking Table'!$AZ314=2,VLOOKUP(CONCATENATE('BMP P Tracking Table'!$AV314," ",'BMP P Tracking Table'!$AX314),'Performance Curves'!$C$1:$L$44,MATCH('BMP P Tracking Table'!$AZ314,'Performance Curves'!$E$1:$L$1,1)+1,FALSE),'BMP P Tracking Table'!$BA314*'BMP P Tracking Table'!$BB314+VLOOKUP(CONCATENATE('BMP P Tracking Table'!$AV314," ",'BMP P Tracking Table'!$AX314),'Performance Curves'!$C$1:$L$44,MATCH('BMP P Tracking Table'!$AZ314,'Performance Curves'!$E$1:$L$1,1)+1,FALSE)),"")</f>
        <v/>
      </c>
      <c r="BD314" s="101" t="str">
        <f>IFERROR('BMP P Tracking Table'!$BC314*'BMP P Tracking Table'!$AY314,"")</f>
        <v/>
      </c>
      <c r="BE314" s="96"/>
      <c r="BF314" s="37">
        <f t="shared" si="21"/>
        <v>0</v>
      </c>
    </row>
    <row r="315" spans="1:58" x14ac:dyDescent="0.3">
      <c r="A315" s="64"/>
      <c r="B315" s="64"/>
      <c r="C315" s="64"/>
      <c r="D315" s="64"/>
      <c r="E315" s="93"/>
      <c r="F315" s="93"/>
      <c r="G315" s="64"/>
      <c r="H315" s="64"/>
      <c r="I315" s="64"/>
      <c r="J315" s="94"/>
      <c r="K315" s="64"/>
      <c r="L315" s="64"/>
      <c r="M315" s="64"/>
      <c r="N315" s="64"/>
      <c r="O315" s="64"/>
      <c r="P315" s="64"/>
      <c r="Q315" s="64" t="str">
        <f>IFERROR(VLOOKUP('BMP P Tracking Table'!$P315,Dropdowns!$C$2:$E$15,3,FALSE),"")</f>
        <v/>
      </c>
      <c r="R315" s="64" t="str">
        <f>IFERROR(VLOOKUP('BMP P Tracking Table'!$Q315,Dropdowns!$P$3:$Q$23,2,FALSE),"")</f>
        <v/>
      </c>
      <c r="S315" s="64"/>
      <c r="T315" s="64"/>
      <c r="U315" s="64"/>
      <c r="V315" s="64"/>
      <c r="W315" s="64"/>
      <c r="X315" s="64"/>
      <c r="Y315" s="64"/>
      <c r="Z315" s="64"/>
      <c r="AA315" s="64"/>
      <c r="AB315" s="95"/>
      <c r="AC315" s="64"/>
      <c r="AD315" s="101" t="str">
        <f>IFERROR('BMP P Tracking Table'!$U315*VLOOKUP('BMP P Tracking Table'!$Q315,'Loading Rates'!$B$1:$L$24,4,FALSE)+IF('BMP P Tracking Table'!$V315="By HSG",'BMP P Tracking Table'!$W315*VLOOKUP('BMP P Tracking Table'!$Q315,'Loading Rates'!$B$1:$L$24,6,FALSE)+'BMP P Tracking Table'!$X315*VLOOKUP('BMP P Tracking Table'!$Q315,'Loading Rates'!$B$1:$L$24,7,FALSE)+'BMP P Tracking Table'!$Y315*VLOOKUP('BMP P Tracking Table'!$Q315,'Loading Rates'!$B$1:$L$24,8,FALSE)+'BMP P Tracking Table'!$Z315*VLOOKUP('BMP P Tracking Table'!$Q315,'Loading Rates'!$B$1:$L$24,9,FALSE),'BMP P Tracking Table'!$AA315*VLOOKUP('BMP P Tracking Table'!$Q315,'Loading Rates'!$B$1:$L$24,10,FALSE)),"")</f>
        <v/>
      </c>
      <c r="AE315" s="101" t="str">
        <f>IFERROR(MIN(2,IF('BMP P Tracking Table'!$V315="Total Pervious",(-(3630*'BMP P Tracking Table'!$U315+20.691*'BMP P Tracking Table'!$AA315)+SQRT((3630*'BMP P Tracking Table'!$U315+20.691*'BMP P Tracking Table'!$AA315)^2-(4*(996.798*'BMP P Tracking Table'!$AA315)*-'BMP P Tracking Table'!$AB315)))/(2*(996.798*'BMP P Tracking Table'!$AA315)),IF(SUM('BMP P Tracking Table'!$W315:$Z315)=0,'BMP P Tracking Table'!$AB315/(-3630*'BMP P Tracking Table'!$U315),(-(3630*'BMP P Tracking Table'!$U315+20.691*'BMP P Tracking Table'!$Z315-216.711*'BMP P Tracking Table'!$Y315-83.853*'BMP P Tracking Table'!$X315-42.834*'BMP P Tracking Table'!$W315)+SQRT((3630*'BMP P Tracking Table'!$U315+20.691*'BMP P Tracking Table'!$Z315-216.711*'BMP P Tracking Table'!$Y315-83.853*'BMP P Tracking Table'!$X315-42.834*'BMP P Tracking Table'!$W315)^2-(4*(149.919*'BMP P Tracking Table'!$W315+236.676*'BMP P Tracking Table'!$X315+726*'BMP P Tracking Table'!$Y315+996.798*'BMP P Tracking Table'!$Z315)*-'BMP P Tracking Table'!$AB315)))/(2*(149.919*'BMP P Tracking Table'!$W315+236.676*'BMP P Tracking Table'!$X315+726*'BMP P Tracking Table'!$Y315+996.798*'BMP P Tracking Table'!$Z315))))),"")</f>
        <v/>
      </c>
      <c r="AF315" s="101" t="str">
        <f>IFERROR((VLOOKUP(CONCATENATE('BMP P Tracking Table'!$T315," ",'BMP P Tracking Table'!$AC315),'Performance Curves'!$C$1:$L$45,MATCH('BMP P Tracking Table'!$AE315,'Performance Curves'!$E$1:$L$1,1)+2,FALSE)-VLOOKUP(CONCATENATE('BMP P Tracking Table'!$T315," ",'BMP P Tracking Table'!$AC315),'Performance Curves'!$C$1:$L$45,MATCH('BMP P Tracking Table'!$AE315,'Performance Curves'!$E$1:$L$1,1)+1,FALSE)),"")</f>
        <v/>
      </c>
      <c r="AG315" s="101" t="str">
        <f>IFERROR(('BMP P Tracking Table'!$AE315-INDEX('Performance Curves'!$E$1:$L$1,1,MATCH('BMP P Tracking Table'!$AE315,'Performance Curves'!$E$1:$L$1,1)))/(INDEX('Performance Curves'!$E$1:$L$1,1,MATCH('BMP P Tracking Table'!$AE315,'Performance Curves'!$E$1:$L$1,1)+1)-INDEX('Performance Curves'!$E$1:$L$1,1,MATCH('BMP P Tracking Table'!$AE315,'Performance Curves'!$E$1:$L$1,1))),"")</f>
        <v/>
      </c>
      <c r="AH315" s="102" t="str">
        <f>IFERROR(IF('BMP P Tracking Table'!$AE315=2,VLOOKUP(CONCATENATE('BMP P Tracking Table'!$T315," ",'BMP P Tracking Table'!$AC315),'Performance Curves'!$C$1:$L$45,MATCH('BMP P Tracking Table'!$AE315,'Performance Curves'!$E$1:$L$1,1)+1,FALSE),'BMP P Tracking Table'!$AF315*'BMP P Tracking Table'!$AG315+VLOOKUP(CONCATENATE('BMP P Tracking Table'!$T315," ",'BMP P Tracking Table'!$AC315),'Performance Curves'!$C$1:$L$45,MATCH('BMP P Tracking Table'!$AE315,'Performance Curves'!$E$1:$L$1,1)+1,FALSE)),"")</f>
        <v/>
      </c>
      <c r="AI315" s="101" t="str">
        <f>IFERROR('BMP P Tracking Table'!$AH315*'BMP P Tracking Table'!$AD315,"")</f>
        <v/>
      </c>
      <c r="AJ315" s="64"/>
      <c r="AK315" s="96"/>
      <c r="AL315" s="96"/>
      <c r="AM315" s="63"/>
      <c r="AN315" s="99" t="str">
        <f t="shared" si="20"/>
        <v/>
      </c>
      <c r="AO315" s="96"/>
      <c r="AP315" s="96"/>
      <c r="AQ315" s="96"/>
      <c r="AR315" s="96"/>
      <c r="AS315" s="96"/>
      <c r="AT315" s="96"/>
      <c r="AU315" s="96"/>
      <c r="AV315" s="64"/>
      <c r="AW315" s="97"/>
      <c r="AX315" s="97"/>
      <c r="AY315" s="101" t="str">
        <f>IF('BMP P Tracking Table'!$AK315="Yes",IF('BMP P Tracking Table'!$AL315="No",'BMP P Tracking Table'!$U315*VLOOKUP('BMP P Tracking Table'!$Q315,'Loading Rates'!$B$1:$L$24,4,FALSE)+IF('BMP P Tracking Table'!$V315="By HSG",'BMP P Tracking Table'!$W315*VLOOKUP('BMP P Tracking Table'!$Q315,'Loading Rates'!$B$1:$L$24,6,FALSE)+'BMP P Tracking Table'!$X315*VLOOKUP('BMP P Tracking Table'!$Q315,'Loading Rates'!$B$1:$L$24,7,FALSE)+'BMP P Tracking Table'!$Y315*VLOOKUP('BMP P Tracking Table'!$Q315,'Loading Rates'!$B$1:$L$24,8,FALSE)+'BMP P Tracking Table'!$Z315*VLOOKUP('BMP P Tracking Table'!$Q315,'Loading Rates'!$B$1:$L$24,9,FALSE),'BMP P Tracking Table'!$AA315*VLOOKUP('BMP P Tracking Table'!$Q315,'Loading Rates'!$B$1:$L$24,10,FALSE)),'BMP P Tracking Table'!$AO315*VLOOKUP('BMP P Tracking Table'!$Q315,'Loading Rates'!$B$1:$L$24,4,FALSE)+IF('BMP P Tracking Table'!$AP315="By HSG",'BMP P Tracking Table'!$AQ315*VLOOKUP('BMP P Tracking Table'!$Q315,'Loading Rates'!$B$1:$L$24,6,FALSE)+'BMP P Tracking Table'!$AR315*VLOOKUP('BMP P Tracking Table'!$Q315,'Loading Rates'!$B$1:$L$24,7,FALSE)+'BMP P Tracking Table'!$AS315*VLOOKUP('BMP P Tracking Table'!$Q315,'Loading Rates'!$B$1:$L$24,8,FALSE)+'BMP P Tracking Table'!$AT315*VLOOKUP('BMP P Tracking Table'!$Q315,'Loading Rates'!$B$1:$L$24,9,FALSE),'BMP P Tracking Table'!$AU315*VLOOKUP('BMP P Tracking Table'!$Q315,'Loading Rates'!$B$1:$L$24,10,FALSE))),"")</f>
        <v/>
      </c>
      <c r="AZ315" s="101" t="str">
        <f>IFERROR(IF('BMP P Tracking Table'!$AL315="Yes",MIN(2,IF('BMP P Tracking Table'!$AP315="Total Pervious",(-(3630*'BMP P Tracking Table'!$AO315+20.691*'BMP P Tracking Table'!$AU315)+SQRT((3630*'BMP P Tracking Table'!$AO315+20.691*'BMP P Tracking Table'!$AU315)^2-(4*(996.798*'BMP P Tracking Table'!$AU315)*-'BMP P Tracking Table'!$AW315)))/(2*(996.798*'BMP P Tracking Table'!$AU315)),IF(SUM('BMP P Tracking Table'!$AQ315:$AT315)=0,'BMP P Tracking Table'!$AU315/(-3630*'BMP P Tracking Table'!$AO315),(-(3630*'BMP P Tracking Table'!$AO315+20.691*'BMP P Tracking Table'!$AT315-216.711*'BMP P Tracking Table'!$AS315-83.853*'BMP P Tracking Table'!$AR315-42.834*'BMP P Tracking Table'!$AQ315)+SQRT((3630*'BMP P Tracking Table'!$AO315+20.691*'BMP P Tracking Table'!$AT315-216.711*'BMP P Tracking Table'!$AS315-83.853*'BMP P Tracking Table'!$AR315-42.834*'BMP P Tracking Table'!$AQ315)^2-(4*(149.919*'BMP P Tracking Table'!$AQ315+236.676*'BMP P Tracking Table'!$AR315+726*'BMP P Tracking Table'!$AS315+996.798*'BMP P Tracking Table'!$AT315)*-'BMP P Tracking Table'!$AW315)))/(2*(149.919*'BMP P Tracking Table'!$AQ315+236.676*'BMP P Tracking Table'!$AR315+726*'BMP P Tracking Table'!$AS315+996.798*'BMP P Tracking Table'!$AT315))))),MIN(2,IF('BMP P Tracking Table'!$AP315="Total Pervious",(-(3630*'BMP P Tracking Table'!$U315+20.691*'BMP P Tracking Table'!$AA315)+SQRT((3630*'BMP P Tracking Table'!$U315+20.691*'BMP P Tracking Table'!$AA315)^2-(4*(996.798*'BMP P Tracking Table'!$AA315)*-'BMP P Tracking Table'!$AW315)))/(2*(996.798*'BMP P Tracking Table'!$AA315)),IF(SUM('BMP P Tracking Table'!$W315:$Z315)=0,'BMP P Tracking Table'!$AW315/(-3630*'BMP P Tracking Table'!$U315),(-(3630*'BMP P Tracking Table'!$U315+20.691*'BMP P Tracking Table'!$Z315-216.711*'BMP P Tracking Table'!$Y315-83.853*'BMP P Tracking Table'!$X315-42.834*'BMP P Tracking Table'!$W315)+SQRT((3630*'BMP P Tracking Table'!$U315+20.691*'BMP P Tracking Table'!$Z315-216.711*'BMP P Tracking Table'!$Y315-83.853*'BMP P Tracking Table'!$X315-42.834*'BMP P Tracking Table'!$W315)^2-(4*(149.919*'BMP P Tracking Table'!$W315+236.676*'BMP P Tracking Table'!$X315+726*'BMP P Tracking Table'!$Y315+996.798*'BMP P Tracking Table'!$Z315)*-'BMP P Tracking Table'!$AW315)))/(2*(149.919*'BMP P Tracking Table'!$W315+236.676*'BMP P Tracking Table'!$X315+726*'BMP P Tracking Table'!$Y315+996.798*'BMP P Tracking Table'!$Z315)))))),"")</f>
        <v/>
      </c>
      <c r="BA315" s="101" t="str">
        <f>IFERROR((VLOOKUP(CONCATENATE('BMP P Tracking Table'!$AV315," ",'BMP P Tracking Table'!$AX315),'Performance Curves'!$C$1:$L$45,MATCH('BMP P Tracking Table'!$AZ315,'Performance Curves'!$E$1:$L$1,1)+2,FALSE)-VLOOKUP(CONCATENATE('BMP P Tracking Table'!$AV315," ",'BMP P Tracking Table'!$AX315),'Performance Curves'!$C$1:$L$45,MATCH('BMP P Tracking Table'!$AZ315,'Performance Curves'!$E$1:$L$1,1)+1,FALSE)),"")</f>
        <v/>
      </c>
      <c r="BB315" s="101" t="str">
        <f>IFERROR(('BMP P Tracking Table'!$AZ315-INDEX('Performance Curves'!$E$1:$L$1,1,MATCH('BMP P Tracking Table'!$AZ315,'Performance Curves'!$E$1:$L$1,1)))/(INDEX('Performance Curves'!$E$1:$L$1,1,MATCH('BMP P Tracking Table'!$AZ315,'Performance Curves'!$E$1:$L$1,1)+1)-INDEX('Performance Curves'!$E$1:$L$1,1,MATCH('BMP P Tracking Table'!$AZ315,'Performance Curves'!$E$1:$L$1,1))),"")</f>
        <v/>
      </c>
      <c r="BC315" s="102" t="str">
        <f>IFERROR(IF('BMP P Tracking Table'!$AZ315=2,VLOOKUP(CONCATENATE('BMP P Tracking Table'!$AV315," ",'BMP P Tracking Table'!$AX315),'Performance Curves'!$C$1:$L$44,MATCH('BMP P Tracking Table'!$AZ315,'Performance Curves'!$E$1:$L$1,1)+1,FALSE),'BMP P Tracking Table'!$BA315*'BMP P Tracking Table'!$BB315+VLOOKUP(CONCATENATE('BMP P Tracking Table'!$AV315," ",'BMP P Tracking Table'!$AX315),'Performance Curves'!$C$1:$L$44,MATCH('BMP P Tracking Table'!$AZ315,'Performance Curves'!$E$1:$L$1,1)+1,FALSE)),"")</f>
        <v/>
      </c>
      <c r="BD315" s="101" t="str">
        <f>IFERROR('BMP P Tracking Table'!$BC315*'BMP P Tracking Table'!$AY315,"")</f>
        <v/>
      </c>
      <c r="BE315" s="96"/>
      <c r="BF315" s="37">
        <f t="shared" si="21"/>
        <v>0</v>
      </c>
    </row>
    <row r="316" spans="1:58" x14ac:dyDescent="0.3">
      <c r="A316" s="64"/>
      <c r="B316" s="64"/>
      <c r="C316" s="64"/>
      <c r="D316" s="64"/>
      <c r="E316" s="93"/>
      <c r="F316" s="93"/>
      <c r="G316" s="64"/>
      <c r="H316" s="64"/>
      <c r="I316" s="64"/>
      <c r="J316" s="94"/>
      <c r="K316" s="64"/>
      <c r="L316" s="64"/>
      <c r="M316" s="64"/>
      <c r="N316" s="64"/>
      <c r="O316" s="64"/>
      <c r="P316" s="64"/>
      <c r="Q316" s="64" t="str">
        <f>IFERROR(VLOOKUP('BMP P Tracking Table'!$P316,Dropdowns!$C$2:$E$15,3,FALSE),"")</f>
        <v/>
      </c>
      <c r="R316" s="64" t="str">
        <f>IFERROR(VLOOKUP('BMP P Tracking Table'!$Q316,Dropdowns!$P$3:$Q$23,2,FALSE),"")</f>
        <v/>
      </c>
      <c r="S316" s="64"/>
      <c r="T316" s="64"/>
      <c r="U316" s="64"/>
      <c r="V316" s="64"/>
      <c r="W316" s="64"/>
      <c r="X316" s="64"/>
      <c r="Y316" s="64"/>
      <c r="Z316" s="64"/>
      <c r="AA316" s="64"/>
      <c r="AB316" s="95"/>
      <c r="AC316" s="64"/>
      <c r="AD316" s="101" t="str">
        <f>IFERROR('BMP P Tracking Table'!$U316*VLOOKUP('BMP P Tracking Table'!$Q316,'Loading Rates'!$B$1:$L$24,4,FALSE)+IF('BMP P Tracking Table'!$V316="By HSG",'BMP P Tracking Table'!$W316*VLOOKUP('BMP P Tracking Table'!$Q316,'Loading Rates'!$B$1:$L$24,6,FALSE)+'BMP P Tracking Table'!$X316*VLOOKUP('BMP P Tracking Table'!$Q316,'Loading Rates'!$B$1:$L$24,7,FALSE)+'BMP P Tracking Table'!$Y316*VLOOKUP('BMP P Tracking Table'!$Q316,'Loading Rates'!$B$1:$L$24,8,FALSE)+'BMP P Tracking Table'!$Z316*VLOOKUP('BMP P Tracking Table'!$Q316,'Loading Rates'!$B$1:$L$24,9,FALSE),'BMP P Tracking Table'!$AA316*VLOOKUP('BMP P Tracking Table'!$Q316,'Loading Rates'!$B$1:$L$24,10,FALSE)),"")</f>
        <v/>
      </c>
      <c r="AE316" s="101" t="str">
        <f>IFERROR(MIN(2,IF('BMP P Tracking Table'!$V316="Total Pervious",(-(3630*'BMP P Tracking Table'!$U316+20.691*'BMP P Tracking Table'!$AA316)+SQRT((3630*'BMP P Tracking Table'!$U316+20.691*'BMP P Tracking Table'!$AA316)^2-(4*(996.798*'BMP P Tracking Table'!$AA316)*-'BMP P Tracking Table'!$AB316)))/(2*(996.798*'BMP P Tracking Table'!$AA316)),IF(SUM('BMP P Tracking Table'!$W316:$Z316)=0,'BMP P Tracking Table'!$AB316/(-3630*'BMP P Tracking Table'!$U316),(-(3630*'BMP P Tracking Table'!$U316+20.691*'BMP P Tracking Table'!$Z316-216.711*'BMP P Tracking Table'!$Y316-83.853*'BMP P Tracking Table'!$X316-42.834*'BMP P Tracking Table'!$W316)+SQRT((3630*'BMP P Tracking Table'!$U316+20.691*'BMP P Tracking Table'!$Z316-216.711*'BMP P Tracking Table'!$Y316-83.853*'BMP P Tracking Table'!$X316-42.834*'BMP P Tracking Table'!$W316)^2-(4*(149.919*'BMP P Tracking Table'!$W316+236.676*'BMP P Tracking Table'!$X316+726*'BMP P Tracking Table'!$Y316+996.798*'BMP P Tracking Table'!$Z316)*-'BMP P Tracking Table'!$AB316)))/(2*(149.919*'BMP P Tracking Table'!$W316+236.676*'BMP P Tracking Table'!$X316+726*'BMP P Tracking Table'!$Y316+996.798*'BMP P Tracking Table'!$Z316))))),"")</f>
        <v/>
      </c>
      <c r="AF316" s="101" t="str">
        <f>IFERROR((VLOOKUP(CONCATENATE('BMP P Tracking Table'!$T316," ",'BMP P Tracking Table'!$AC316),'Performance Curves'!$C$1:$L$45,MATCH('BMP P Tracking Table'!$AE316,'Performance Curves'!$E$1:$L$1,1)+2,FALSE)-VLOOKUP(CONCATENATE('BMP P Tracking Table'!$T316," ",'BMP P Tracking Table'!$AC316),'Performance Curves'!$C$1:$L$45,MATCH('BMP P Tracking Table'!$AE316,'Performance Curves'!$E$1:$L$1,1)+1,FALSE)),"")</f>
        <v/>
      </c>
      <c r="AG316" s="101" t="str">
        <f>IFERROR(('BMP P Tracking Table'!$AE316-INDEX('Performance Curves'!$E$1:$L$1,1,MATCH('BMP P Tracking Table'!$AE316,'Performance Curves'!$E$1:$L$1,1)))/(INDEX('Performance Curves'!$E$1:$L$1,1,MATCH('BMP P Tracking Table'!$AE316,'Performance Curves'!$E$1:$L$1,1)+1)-INDEX('Performance Curves'!$E$1:$L$1,1,MATCH('BMP P Tracking Table'!$AE316,'Performance Curves'!$E$1:$L$1,1))),"")</f>
        <v/>
      </c>
      <c r="AH316" s="102" t="str">
        <f>IFERROR(IF('BMP P Tracking Table'!$AE316=2,VLOOKUP(CONCATENATE('BMP P Tracking Table'!$T316," ",'BMP P Tracking Table'!$AC316),'Performance Curves'!$C$1:$L$45,MATCH('BMP P Tracking Table'!$AE316,'Performance Curves'!$E$1:$L$1,1)+1,FALSE),'BMP P Tracking Table'!$AF316*'BMP P Tracking Table'!$AG316+VLOOKUP(CONCATENATE('BMP P Tracking Table'!$T316," ",'BMP P Tracking Table'!$AC316),'Performance Curves'!$C$1:$L$45,MATCH('BMP P Tracking Table'!$AE316,'Performance Curves'!$E$1:$L$1,1)+1,FALSE)),"")</f>
        <v/>
      </c>
      <c r="AI316" s="101" t="str">
        <f>IFERROR('BMP P Tracking Table'!$AH316*'BMP P Tracking Table'!$AD316,"")</f>
        <v/>
      </c>
      <c r="AJ316" s="64"/>
      <c r="AK316" s="96"/>
      <c r="AL316" s="96"/>
      <c r="AM316" s="63"/>
      <c r="AN316" s="99" t="str">
        <f t="shared" si="20"/>
        <v/>
      </c>
      <c r="AO316" s="96"/>
      <c r="AP316" s="96"/>
      <c r="AQ316" s="96"/>
      <c r="AR316" s="96"/>
      <c r="AS316" s="96"/>
      <c r="AT316" s="96"/>
      <c r="AU316" s="96"/>
      <c r="AV316" s="64"/>
      <c r="AW316" s="97"/>
      <c r="AX316" s="97"/>
      <c r="AY316" s="101" t="str">
        <f>IF('BMP P Tracking Table'!$AK316="Yes",IF('BMP P Tracking Table'!$AL316="No",'BMP P Tracking Table'!$U316*VLOOKUP('BMP P Tracking Table'!$Q316,'Loading Rates'!$B$1:$L$24,4,FALSE)+IF('BMP P Tracking Table'!$V316="By HSG",'BMP P Tracking Table'!$W316*VLOOKUP('BMP P Tracking Table'!$Q316,'Loading Rates'!$B$1:$L$24,6,FALSE)+'BMP P Tracking Table'!$X316*VLOOKUP('BMP P Tracking Table'!$Q316,'Loading Rates'!$B$1:$L$24,7,FALSE)+'BMP P Tracking Table'!$Y316*VLOOKUP('BMP P Tracking Table'!$Q316,'Loading Rates'!$B$1:$L$24,8,FALSE)+'BMP P Tracking Table'!$Z316*VLOOKUP('BMP P Tracking Table'!$Q316,'Loading Rates'!$B$1:$L$24,9,FALSE),'BMP P Tracking Table'!$AA316*VLOOKUP('BMP P Tracking Table'!$Q316,'Loading Rates'!$B$1:$L$24,10,FALSE)),'BMP P Tracking Table'!$AO316*VLOOKUP('BMP P Tracking Table'!$Q316,'Loading Rates'!$B$1:$L$24,4,FALSE)+IF('BMP P Tracking Table'!$AP316="By HSG",'BMP P Tracking Table'!$AQ316*VLOOKUP('BMP P Tracking Table'!$Q316,'Loading Rates'!$B$1:$L$24,6,FALSE)+'BMP P Tracking Table'!$AR316*VLOOKUP('BMP P Tracking Table'!$Q316,'Loading Rates'!$B$1:$L$24,7,FALSE)+'BMP P Tracking Table'!$AS316*VLOOKUP('BMP P Tracking Table'!$Q316,'Loading Rates'!$B$1:$L$24,8,FALSE)+'BMP P Tracking Table'!$AT316*VLOOKUP('BMP P Tracking Table'!$Q316,'Loading Rates'!$B$1:$L$24,9,FALSE),'BMP P Tracking Table'!$AU316*VLOOKUP('BMP P Tracking Table'!$Q316,'Loading Rates'!$B$1:$L$24,10,FALSE))),"")</f>
        <v/>
      </c>
      <c r="AZ316" s="101" t="str">
        <f>IFERROR(IF('BMP P Tracking Table'!$AL316="Yes",MIN(2,IF('BMP P Tracking Table'!$AP316="Total Pervious",(-(3630*'BMP P Tracking Table'!$AO316+20.691*'BMP P Tracking Table'!$AU316)+SQRT((3630*'BMP P Tracking Table'!$AO316+20.691*'BMP P Tracking Table'!$AU316)^2-(4*(996.798*'BMP P Tracking Table'!$AU316)*-'BMP P Tracking Table'!$AW316)))/(2*(996.798*'BMP P Tracking Table'!$AU316)),IF(SUM('BMP P Tracking Table'!$AQ316:$AT316)=0,'BMP P Tracking Table'!$AU316/(-3630*'BMP P Tracking Table'!$AO316),(-(3630*'BMP P Tracking Table'!$AO316+20.691*'BMP P Tracking Table'!$AT316-216.711*'BMP P Tracking Table'!$AS316-83.853*'BMP P Tracking Table'!$AR316-42.834*'BMP P Tracking Table'!$AQ316)+SQRT((3630*'BMP P Tracking Table'!$AO316+20.691*'BMP P Tracking Table'!$AT316-216.711*'BMP P Tracking Table'!$AS316-83.853*'BMP P Tracking Table'!$AR316-42.834*'BMP P Tracking Table'!$AQ316)^2-(4*(149.919*'BMP P Tracking Table'!$AQ316+236.676*'BMP P Tracking Table'!$AR316+726*'BMP P Tracking Table'!$AS316+996.798*'BMP P Tracking Table'!$AT316)*-'BMP P Tracking Table'!$AW316)))/(2*(149.919*'BMP P Tracking Table'!$AQ316+236.676*'BMP P Tracking Table'!$AR316+726*'BMP P Tracking Table'!$AS316+996.798*'BMP P Tracking Table'!$AT316))))),MIN(2,IF('BMP P Tracking Table'!$AP316="Total Pervious",(-(3630*'BMP P Tracking Table'!$U316+20.691*'BMP P Tracking Table'!$AA316)+SQRT((3630*'BMP P Tracking Table'!$U316+20.691*'BMP P Tracking Table'!$AA316)^2-(4*(996.798*'BMP P Tracking Table'!$AA316)*-'BMP P Tracking Table'!$AW316)))/(2*(996.798*'BMP P Tracking Table'!$AA316)),IF(SUM('BMP P Tracking Table'!$W316:$Z316)=0,'BMP P Tracking Table'!$AW316/(-3630*'BMP P Tracking Table'!$U316),(-(3630*'BMP P Tracking Table'!$U316+20.691*'BMP P Tracking Table'!$Z316-216.711*'BMP P Tracking Table'!$Y316-83.853*'BMP P Tracking Table'!$X316-42.834*'BMP P Tracking Table'!$W316)+SQRT((3630*'BMP P Tracking Table'!$U316+20.691*'BMP P Tracking Table'!$Z316-216.711*'BMP P Tracking Table'!$Y316-83.853*'BMP P Tracking Table'!$X316-42.834*'BMP P Tracking Table'!$W316)^2-(4*(149.919*'BMP P Tracking Table'!$W316+236.676*'BMP P Tracking Table'!$X316+726*'BMP P Tracking Table'!$Y316+996.798*'BMP P Tracking Table'!$Z316)*-'BMP P Tracking Table'!$AW316)))/(2*(149.919*'BMP P Tracking Table'!$W316+236.676*'BMP P Tracking Table'!$X316+726*'BMP P Tracking Table'!$Y316+996.798*'BMP P Tracking Table'!$Z316)))))),"")</f>
        <v/>
      </c>
      <c r="BA316" s="101" t="str">
        <f>IFERROR((VLOOKUP(CONCATENATE('BMP P Tracking Table'!$AV316," ",'BMP P Tracking Table'!$AX316),'Performance Curves'!$C$1:$L$45,MATCH('BMP P Tracking Table'!$AZ316,'Performance Curves'!$E$1:$L$1,1)+2,FALSE)-VLOOKUP(CONCATENATE('BMP P Tracking Table'!$AV316," ",'BMP P Tracking Table'!$AX316),'Performance Curves'!$C$1:$L$45,MATCH('BMP P Tracking Table'!$AZ316,'Performance Curves'!$E$1:$L$1,1)+1,FALSE)),"")</f>
        <v/>
      </c>
      <c r="BB316" s="101" t="str">
        <f>IFERROR(('BMP P Tracking Table'!$AZ316-INDEX('Performance Curves'!$E$1:$L$1,1,MATCH('BMP P Tracking Table'!$AZ316,'Performance Curves'!$E$1:$L$1,1)))/(INDEX('Performance Curves'!$E$1:$L$1,1,MATCH('BMP P Tracking Table'!$AZ316,'Performance Curves'!$E$1:$L$1,1)+1)-INDEX('Performance Curves'!$E$1:$L$1,1,MATCH('BMP P Tracking Table'!$AZ316,'Performance Curves'!$E$1:$L$1,1))),"")</f>
        <v/>
      </c>
      <c r="BC316" s="102" t="str">
        <f>IFERROR(IF('BMP P Tracking Table'!$AZ316=2,VLOOKUP(CONCATENATE('BMP P Tracking Table'!$AV316," ",'BMP P Tracking Table'!$AX316),'Performance Curves'!$C$1:$L$44,MATCH('BMP P Tracking Table'!$AZ316,'Performance Curves'!$E$1:$L$1,1)+1,FALSE),'BMP P Tracking Table'!$BA316*'BMP P Tracking Table'!$BB316+VLOOKUP(CONCATENATE('BMP P Tracking Table'!$AV316," ",'BMP P Tracking Table'!$AX316),'Performance Curves'!$C$1:$L$44,MATCH('BMP P Tracking Table'!$AZ316,'Performance Curves'!$E$1:$L$1,1)+1,FALSE)),"")</f>
        <v/>
      </c>
      <c r="BD316" s="101" t="str">
        <f>IFERROR('BMP P Tracking Table'!$BC316*'BMP P Tracking Table'!$AY316,"")</f>
        <v/>
      </c>
      <c r="BE316" s="96"/>
      <c r="BF316" s="37">
        <f t="shared" si="21"/>
        <v>0</v>
      </c>
    </row>
    <row r="317" spans="1:58" x14ac:dyDescent="0.3">
      <c r="A317" s="64"/>
      <c r="B317" s="64"/>
      <c r="C317" s="64"/>
      <c r="D317" s="64"/>
      <c r="E317" s="93"/>
      <c r="F317" s="93"/>
      <c r="G317" s="64"/>
      <c r="H317" s="64"/>
      <c r="I317" s="64"/>
      <c r="J317" s="94"/>
      <c r="K317" s="64"/>
      <c r="L317" s="64"/>
      <c r="M317" s="64"/>
      <c r="N317" s="64"/>
      <c r="O317" s="64"/>
      <c r="P317" s="64"/>
      <c r="Q317" s="64" t="str">
        <f>IFERROR(VLOOKUP('BMP P Tracking Table'!$P317,Dropdowns!$C$2:$E$15,3,FALSE),"")</f>
        <v/>
      </c>
      <c r="R317" s="64" t="str">
        <f>IFERROR(VLOOKUP('BMP P Tracking Table'!$Q317,Dropdowns!$P$3:$Q$23,2,FALSE),"")</f>
        <v/>
      </c>
      <c r="S317" s="64"/>
      <c r="T317" s="64"/>
      <c r="U317" s="64"/>
      <c r="V317" s="64"/>
      <c r="W317" s="64"/>
      <c r="X317" s="64"/>
      <c r="Y317" s="64"/>
      <c r="Z317" s="64"/>
      <c r="AA317" s="64"/>
      <c r="AB317" s="95"/>
      <c r="AC317" s="64"/>
      <c r="AD317" s="101" t="str">
        <f>IFERROR('BMP P Tracking Table'!$U317*VLOOKUP('BMP P Tracking Table'!$Q317,'Loading Rates'!$B$1:$L$24,4,FALSE)+IF('BMP P Tracking Table'!$V317="By HSG",'BMP P Tracking Table'!$W317*VLOOKUP('BMP P Tracking Table'!$Q317,'Loading Rates'!$B$1:$L$24,6,FALSE)+'BMP P Tracking Table'!$X317*VLOOKUP('BMP P Tracking Table'!$Q317,'Loading Rates'!$B$1:$L$24,7,FALSE)+'BMP P Tracking Table'!$Y317*VLOOKUP('BMP P Tracking Table'!$Q317,'Loading Rates'!$B$1:$L$24,8,FALSE)+'BMP P Tracking Table'!$Z317*VLOOKUP('BMP P Tracking Table'!$Q317,'Loading Rates'!$B$1:$L$24,9,FALSE),'BMP P Tracking Table'!$AA317*VLOOKUP('BMP P Tracking Table'!$Q317,'Loading Rates'!$B$1:$L$24,10,FALSE)),"")</f>
        <v/>
      </c>
      <c r="AE317" s="101" t="str">
        <f>IFERROR(MIN(2,IF('BMP P Tracking Table'!$V317="Total Pervious",(-(3630*'BMP P Tracking Table'!$U317+20.691*'BMP P Tracking Table'!$AA317)+SQRT((3630*'BMP P Tracking Table'!$U317+20.691*'BMP P Tracking Table'!$AA317)^2-(4*(996.798*'BMP P Tracking Table'!$AA317)*-'BMP P Tracking Table'!$AB317)))/(2*(996.798*'BMP P Tracking Table'!$AA317)),IF(SUM('BMP P Tracking Table'!$W317:$Z317)=0,'BMP P Tracking Table'!$AB317/(-3630*'BMP P Tracking Table'!$U317),(-(3630*'BMP P Tracking Table'!$U317+20.691*'BMP P Tracking Table'!$Z317-216.711*'BMP P Tracking Table'!$Y317-83.853*'BMP P Tracking Table'!$X317-42.834*'BMP P Tracking Table'!$W317)+SQRT((3630*'BMP P Tracking Table'!$U317+20.691*'BMP P Tracking Table'!$Z317-216.711*'BMP P Tracking Table'!$Y317-83.853*'BMP P Tracking Table'!$X317-42.834*'BMP P Tracking Table'!$W317)^2-(4*(149.919*'BMP P Tracking Table'!$W317+236.676*'BMP P Tracking Table'!$X317+726*'BMP P Tracking Table'!$Y317+996.798*'BMP P Tracking Table'!$Z317)*-'BMP P Tracking Table'!$AB317)))/(2*(149.919*'BMP P Tracking Table'!$W317+236.676*'BMP P Tracking Table'!$X317+726*'BMP P Tracking Table'!$Y317+996.798*'BMP P Tracking Table'!$Z317))))),"")</f>
        <v/>
      </c>
      <c r="AF317" s="101" t="str">
        <f>IFERROR((VLOOKUP(CONCATENATE('BMP P Tracking Table'!$T317," ",'BMP P Tracking Table'!$AC317),'Performance Curves'!$C$1:$L$45,MATCH('BMP P Tracking Table'!$AE317,'Performance Curves'!$E$1:$L$1,1)+2,FALSE)-VLOOKUP(CONCATENATE('BMP P Tracking Table'!$T317," ",'BMP P Tracking Table'!$AC317),'Performance Curves'!$C$1:$L$45,MATCH('BMP P Tracking Table'!$AE317,'Performance Curves'!$E$1:$L$1,1)+1,FALSE)),"")</f>
        <v/>
      </c>
      <c r="AG317" s="101" t="str">
        <f>IFERROR(('BMP P Tracking Table'!$AE317-INDEX('Performance Curves'!$E$1:$L$1,1,MATCH('BMP P Tracking Table'!$AE317,'Performance Curves'!$E$1:$L$1,1)))/(INDEX('Performance Curves'!$E$1:$L$1,1,MATCH('BMP P Tracking Table'!$AE317,'Performance Curves'!$E$1:$L$1,1)+1)-INDEX('Performance Curves'!$E$1:$L$1,1,MATCH('BMP P Tracking Table'!$AE317,'Performance Curves'!$E$1:$L$1,1))),"")</f>
        <v/>
      </c>
      <c r="AH317" s="102" t="str">
        <f>IFERROR(IF('BMP P Tracking Table'!$AE317=2,VLOOKUP(CONCATENATE('BMP P Tracking Table'!$T317," ",'BMP P Tracking Table'!$AC317),'Performance Curves'!$C$1:$L$45,MATCH('BMP P Tracking Table'!$AE317,'Performance Curves'!$E$1:$L$1,1)+1,FALSE),'BMP P Tracking Table'!$AF317*'BMP P Tracking Table'!$AG317+VLOOKUP(CONCATENATE('BMP P Tracking Table'!$T317," ",'BMP P Tracking Table'!$AC317),'Performance Curves'!$C$1:$L$45,MATCH('BMP P Tracking Table'!$AE317,'Performance Curves'!$E$1:$L$1,1)+1,FALSE)),"")</f>
        <v/>
      </c>
      <c r="AI317" s="101" t="str">
        <f>IFERROR('BMP P Tracking Table'!$AH317*'BMP P Tracking Table'!$AD317,"")</f>
        <v/>
      </c>
      <c r="AJ317" s="64"/>
      <c r="AK317" s="96"/>
      <c r="AL317" s="96"/>
      <c r="AM317" s="63"/>
      <c r="AN317" s="99" t="str">
        <f t="shared" si="20"/>
        <v/>
      </c>
      <c r="AO317" s="96"/>
      <c r="AP317" s="96"/>
      <c r="AQ317" s="96"/>
      <c r="AR317" s="96"/>
      <c r="AS317" s="96"/>
      <c r="AT317" s="96"/>
      <c r="AU317" s="96"/>
      <c r="AV317" s="64"/>
      <c r="AW317" s="97"/>
      <c r="AX317" s="97"/>
      <c r="AY317" s="101" t="str">
        <f>IF('BMP P Tracking Table'!$AK317="Yes",IF('BMP P Tracking Table'!$AL317="No",'BMP P Tracking Table'!$U317*VLOOKUP('BMP P Tracking Table'!$Q317,'Loading Rates'!$B$1:$L$24,4,FALSE)+IF('BMP P Tracking Table'!$V317="By HSG",'BMP P Tracking Table'!$W317*VLOOKUP('BMP P Tracking Table'!$Q317,'Loading Rates'!$B$1:$L$24,6,FALSE)+'BMP P Tracking Table'!$X317*VLOOKUP('BMP P Tracking Table'!$Q317,'Loading Rates'!$B$1:$L$24,7,FALSE)+'BMP P Tracking Table'!$Y317*VLOOKUP('BMP P Tracking Table'!$Q317,'Loading Rates'!$B$1:$L$24,8,FALSE)+'BMP P Tracking Table'!$Z317*VLOOKUP('BMP P Tracking Table'!$Q317,'Loading Rates'!$B$1:$L$24,9,FALSE),'BMP P Tracking Table'!$AA317*VLOOKUP('BMP P Tracking Table'!$Q317,'Loading Rates'!$B$1:$L$24,10,FALSE)),'BMP P Tracking Table'!$AO317*VLOOKUP('BMP P Tracking Table'!$Q317,'Loading Rates'!$B$1:$L$24,4,FALSE)+IF('BMP P Tracking Table'!$AP317="By HSG",'BMP P Tracking Table'!$AQ317*VLOOKUP('BMP P Tracking Table'!$Q317,'Loading Rates'!$B$1:$L$24,6,FALSE)+'BMP P Tracking Table'!$AR317*VLOOKUP('BMP P Tracking Table'!$Q317,'Loading Rates'!$B$1:$L$24,7,FALSE)+'BMP P Tracking Table'!$AS317*VLOOKUP('BMP P Tracking Table'!$Q317,'Loading Rates'!$B$1:$L$24,8,FALSE)+'BMP P Tracking Table'!$AT317*VLOOKUP('BMP P Tracking Table'!$Q317,'Loading Rates'!$B$1:$L$24,9,FALSE),'BMP P Tracking Table'!$AU317*VLOOKUP('BMP P Tracking Table'!$Q317,'Loading Rates'!$B$1:$L$24,10,FALSE))),"")</f>
        <v/>
      </c>
      <c r="AZ317" s="101" t="str">
        <f>IFERROR(IF('BMP P Tracking Table'!$AL317="Yes",MIN(2,IF('BMP P Tracking Table'!$AP317="Total Pervious",(-(3630*'BMP P Tracking Table'!$AO317+20.691*'BMP P Tracking Table'!$AU317)+SQRT((3630*'BMP P Tracking Table'!$AO317+20.691*'BMP P Tracking Table'!$AU317)^2-(4*(996.798*'BMP P Tracking Table'!$AU317)*-'BMP P Tracking Table'!$AW317)))/(2*(996.798*'BMP P Tracking Table'!$AU317)),IF(SUM('BMP P Tracking Table'!$AQ317:$AT317)=0,'BMP P Tracking Table'!$AU317/(-3630*'BMP P Tracking Table'!$AO317),(-(3630*'BMP P Tracking Table'!$AO317+20.691*'BMP P Tracking Table'!$AT317-216.711*'BMP P Tracking Table'!$AS317-83.853*'BMP P Tracking Table'!$AR317-42.834*'BMP P Tracking Table'!$AQ317)+SQRT((3630*'BMP P Tracking Table'!$AO317+20.691*'BMP P Tracking Table'!$AT317-216.711*'BMP P Tracking Table'!$AS317-83.853*'BMP P Tracking Table'!$AR317-42.834*'BMP P Tracking Table'!$AQ317)^2-(4*(149.919*'BMP P Tracking Table'!$AQ317+236.676*'BMP P Tracking Table'!$AR317+726*'BMP P Tracking Table'!$AS317+996.798*'BMP P Tracking Table'!$AT317)*-'BMP P Tracking Table'!$AW317)))/(2*(149.919*'BMP P Tracking Table'!$AQ317+236.676*'BMP P Tracking Table'!$AR317+726*'BMP P Tracking Table'!$AS317+996.798*'BMP P Tracking Table'!$AT317))))),MIN(2,IF('BMP P Tracking Table'!$AP317="Total Pervious",(-(3630*'BMP P Tracking Table'!$U317+20.691*'BMP P Tracking Table'!$AA317)+SQRT((3630*'BMP P Tracking Table'!$U317+20.691*'BMP P Tracking Table'!$AA317)^2-(4*(996.798*'BMP P Tracking Table'!$AA317)*-'BMP P Tracking Table'!$AW317)))/(2*(996.798*'BMP P Tracking Table'!$AA317)),IF(SUM('BMP P Tracking Table'!$W317:$Z317)=0,'BMP P Tracking Table'!$AW317/(-3630*'BMP P Tracking Table'!$U317),(-(3630*'BMP P Tracking Table'!$U317+20.691*'BMP P Tracking Table'!$Z317-216.711*'BMP P Tracking Table'!$Y317-83.853*'BMP P Tracking Table'!$X317-42.834*'BMP P Tracking Table'!$W317)+SQRT((3630*'BMP P Tracking Table'!$U317+20.691*'BMP P Tracking Table'!$Z317-216.711*'BMP P Tracking Table'!$Y317-83.853*'BMP P Tracking Table'!$X317-42.834*'BMP P Tracking Table'!$W317)^2-(4*(149.919*'BMP P Tracking Table'!$W317+236.676*'BMP P Tracking Table'!$X317+726*'BMP P Tracking Table'!$Y317+996.798*'BMP P Tracking Table'!$Z317)*-'BMP P Tracking Table'!$AW317)))/(2*(149.919*'BMP P Tracking Table'!$W317+236.676*'BMP P Tracking Table'!$X317+726*'BMP P Tracking Table'!$Y317+996.798*'BMP P Tracking Table'!$Z317)))))),"")</f>
        <v/>
      </c>
      <c r="BA317" s="101" t="str">
        <f>IFERROR((VLOOKUP(CONCATENATE('BMP P Tracking Table'!$AV317," ",'BMP P Tracking Table'!$AX317),'Performance Curves'!$C$1:$L$45,MATCH('BMP P Tracking Table'!$AZ317,'Performance Curves'!$E$1:$L$1,1)+2,FALSE)-VLOOKUP(CONCATENATE('BMP P Tracking Table'!$AV317," ",'BMP P Tracking Table'!$AX317),'Performance Curves'!$C$1:$L$45,MATCH('BMP P Tracking Table'!$AZ317,'Performance Curves'!$E$1:$L$1,1)+1,FALSE)),"")</f>
        <v/>
      </c>
      <c r="BB317" s="101" t="str">
        <f>IFERROR(('BMP P Tracking Table'!$AZ317-INDEX('Performance Curves'!$E$1:$L$1,1,MATCH('BMP P Tracking Table'!$AZ317,'Performance Curves'!$E$1:$L$1,1)))/(INDEX('Performance Curves'!$E$1:$L$1,1,MATCH('BMP P Tracking Table'!$AZ317,'Performance Curves'!$E$1:$L$1,1)+1)-INDEX('Performance Curves'!$E$1:$L$1,1,MATCH('BMP P Tracking Table'!$AZ317,'Performance Curves'!$E$1:$L$1,1))),"")</f>
        <v/>
      </c>
      <c r="BC317" s="102" t="str">
        <f>IFERROR(IF('BMP P Tracking Table'!$AZ317=2,VLOOKUP(CONCATENATE('BMP P Tracking Table'!$AV317," ",'BMP P Tracking Table'!$AX317),'Performance Curves'!$C$1:$L$44,MATCH('BMP P Tracking Table'!$AZ317,'Performance Curves'!$E$1:$L$1,1)+1,FALSE),'BMP P Tracking Table'!$BA317*'BMP P Tracking Table'!$BB317+VLOOKUP(CONCATENATE('BMP P Tracking Table'!$AV317," ",'BMP P Tracking Table'!$AX317),'Performance Curves'!$C$1:$L$44,MATCH('BMP P Tracking Table'!$AZ317,'Performance Curves'!$E$1:$L$1,1)+1,FALSE)),"")</f>
        <v/>
      </c>
      <c r="BD317" s="101" t="str">
        <f>IFERROR('BMP P Tracking Table'!$BC317*'BMP P Tracking Table'!$AY317,"")</f>
        <v/>
      </c>
      <c r="BE317" s="96"/>
      <c r="BF317" s="37">
        <f t="shared" si="21"/>
        <v>0</v>
      </c>
    </row>
    <row r="318" spans="1:58" x14ac:dyDescent="0.3">
      <c r="A318" s="64"/>
      <c r="B318" s="64"/>
      <c r="C318" s="64"/>
      <c r="D318" s="64"/>
      <c r="E318" s="93"/>
      <c r="F318" s="93"/>
      <c r="G318" s="64"/>
      <c r="H318" s="64"/>
      <c r="I318" s="64"/>
      <c r="J318" s="94"/>
      <c r="K318" s="64"/>
      <c r="L318" s="64"/>
      <c r="M318" s="64"/>
      <c r="N318" s="64"/>
      <c r="O318" s="64"/>
      <c r="P318" s="64"/>
      <c r="Q318" s="64" t="str">
        <f>IFERROR(VLOOKUP('BMP P Tracking Table'!$P318,Dropdowns!$C$2:$E$15,3,FALSE),"")</f>
        <v/>
      </c>
      <c r="R318" s="64" t="str">
        <f>IFERROR(VLOOKUP('BMP P Tracking Table'!$Q318,Dropdowns!$P$3:$Q$23,2,FALSE),"")</f>
        <v/>
      </c>
      <c r="S318" s="64"/>
      <c r="T318" s="64"/>
      <c r="U318" s="64"/>
      <c r="V318" s="64"/>
      <c r="W318" s="64"/>
      <c r="X318" s="64"/>
      <c r="Y318" s="64"/>
      <c r="Z318" s="64"/>
      <c r="AA318" s="64"/>
      <c r="AB318" s="95"/>
      <c r="AC318" s="64"/>
      <c r="AD318" s="101" t="str">
        <f>IFERROR('BMP P Tracking Table'!$U318*VLOOKUP('BMP P Tracking Table'!$Q318,'Loading Rates'!$B$1:$L$24,4,FALSE)+IF('BMP P Tracking Table'!$V318="By HSG",'BMP P Tracking Table'!$W318*VLOOKUP('BMP P Tracking Table'!$Q318,'Loading Rates'!$B$1:$L$24,6,FALSE)+'BMP P Tracking Table'!$X318*VLOOKUP('BMP P Tracking Table'!$Q318,'Loading Rates'!$B$1:$L$24,7,FALSE)+'BMP P Tracking Table'!$Y318*VLOOKUP('BMP P Tracking Table'!$Q318,'Loading Rates'!$B$1:$L$24,8,FALSE)+'BMP P Tracking Table'!$Z318*VLOOKUP('BMP P Tracking Table'!$Q318,'Loading Rates'!$B$1:$L$24,9,FALSE),'BMP P Tracking Table'!$AA318*VLOOKUP('BMP P Tracking Table'!$Q318,'Loading Rates'!$B$1:$L$24,10,FALSE)),"")</f>
        <v/>
      </c>
      <c r="AE318" s="101" t="str">
        <f>IFERROR(MIN(2,IF('BMP P Tracking Table'!$V318="Total Pervious",(-(3630*'BMP P Tracking Table'!$U318+20.691*'BMP P Tracking Table'!$AA318)+SQRT((3630*'BMP P Tracking Table'!$U318+20.691*'BMP P Tracking Table'!$AA318)^2-(4*(996.798*'BMP P Tracking Table'!$AA318)*-'BMP P Tracking Table'!$AB318)))/(2*(996.798*'BMP P Tracking Table'!$AA318)),IF(SUM('BMP P Tracking Table'!$W318:$Z318)=0,'BMP P Tracking Table'!$AB318/(-3630*'BMP P Tracking Table'!$U318),(-(3630*'BMP P Tracking Table'!$U318+20.691*'BMP P Tracking Table'!$Z318-216.711*'BMP P Tracking Table'!$Y318-83.853*'BMP P Tracking Table'!$X318-42.834*'BMP P Tracking Table'!$W318)+SQRT((3630*'BMP P Tracking Table'!$U318+20.691*'BMP P Tracking Table'!$Z318-216.711*'BMP P Tracking Table'!$Y318-83.853*'BMP P Tracking Table'!$X318-42.834*'BMP P Tracking Table'!$W318)^2-(4*(149.919*'BMP P Tracking Table'!$W318+236.676*'BMP P Tracking Table'!$X318+726*'BMP P Tracking Table'!$Y318+996.798*'BMP P Tracking Table'!$Z318)*-'BMP P Tracking Table'!$AB318)))/(2*(149.919*'BMP P Tracking Table'!$W318+236.676*'BMP P Tracking Table'!$X318+726*'BMP P Tracking Table'!$Y318+996.798*'BMP P Tracking Table'!$Z318))))),"")</f>
        <v/>
      </c>
      <c r="AF318" s="101" t="str">
        <f>IFERROR((VLOOKUP(CONCATENATE('BMP P Tracking Table'!$T318," ",'BMP P Tracking Table'!$AC318),'Performance Curves'!$C$1:$L$45,MATCH('BMP P Tracking Table'!$AE318,'Performance Curves'!$E$1:$L$1,1)+2,FALSE)-VLOOKUP(CONCATENATE('BMP P Tracking Table'!$T318," ",'BMP P Tracking Table'!$AC318),'Performance Curves'!$C$1:$L$45,MATCH('BMP P Tracking Table'!$AE318,'Performance Curves'!$E$1:$L$1,1)+1,FALSE)),"")</f>
        <v/>
      </c>
      <c r="AG318" s="101" t="str">
        <f>IFERROR(('BMP P Tracking Table'!$AE318-INDEX('Performance Curves'!$E$1:$L$1,1,MATCH('BMP P Tracking Table'!$AE318,'Performance Curves'!$E$1:$L$1,1)))/(INDEX('Performance Curves'!$E$1:$L$1,1,MATCH('BMP P Tracking Table'!$AE318,'Performance Curves'!$E$1:$L$1,1)+1)-INDEX('Performance Curves'!$E$1:$L$1,1,MATCH('BMP P Tracking Table'!$AE318,'Performance Curves'!$E$1:$L$1,1))),"")</f>
        <v/>
      </c>
      <c r="AH318" s="102" t="str">
        <f>IFERROR(IF('BMP P Tracking Table'!$AE318=2,VLOOKUP(CONCATENATE('BMP P Tracking Table'!$T318," ",'BMP P Tracking Table'!$AC318),'Performance Curves'!$C$1:$L$45,MATCH('BMP P Tracking Table'!$AE318,'Performance Curves'!$E$1:$L$1,1)+1,FALSE),'BMP P Tracking Table'!$AF318*'BMP P Tracking Table'!$AG318+VLOOKUP(CONCATENATE('BMP P Tracking Table'!$T318," ",'BMP P Tracking Table'!$AC318),'Performance Curves'!$C$1:$L$45,MATCH('BMP P Tracking Table'!$AE318,'Performance Curves'!$E$1:$L$1,1)+1,FALSE)),"")</f>
        <v/>
      </c>
      <c r="AI318" s="101" t="str">
        <f>IFERROR('BMP P Tracking Table'!$AH318*'BMP P Tracking Table'!$AD318,"")</f>
        <v/>
      </c>
      <c r="AJ318" s="64"/>
      <c r="AK318" s="96"/>
      <c r="AL318" s="96"/>
      <c r="AM318" s="63"/>
      <c r="AN318" s="99" t="str">
        <f t="shared" si="20"/>
        <v/>
      </c>
      <c r="AO318" s="96"/>
      <c r="AP318" s="96"/>
      <c r="AQ318" s="96"/>
      <c r="AR318" s="96"/>
      <c r="AS318" s="96"/>
      <c r="AT318" s="96"/>
      <c r="AU318" s="96"/>
      <c r="AV318" s="64"/>
      <c r="AW318" s="97"/>
      <c r="AX318" s="97"/>
      <c r="AY318" s="101" t="str">
        <f>IF('BMP P Tracking Table'!$AK318="Yes",IF('BMP P Tracking Table'!$AL318="No",'BMP P Tracking Table'!$U318*VLOOKUP('BMP P Tracking Table'!$Q318,'Loading Rates'!$B$1:$L$24,4,FALSE)+IF('BMP P Tracking Table'!$V318="By HSG",'BMP P Tracking Table'!$W318*VLOOKUP('BMP P Tracking Table'!$Q318,'Loading Rates'!$B$1:$L$24,6,FALSE)+'BMP P Tracking Table'!$X318*VLOOKUP('BMP P Tracking Table'!$Q318,'Loading Rates'!$B$1:$L$24,7,FALSE)+'BMP P Tracking Table'!$Y318*VLOOKUP('BMP P Tracking Table'!$Q318,'Loading Rates'!$B$1:$L$24,8,FALSE)+'BMP P Tracking Table'!$Z318*VLOOKUP('BMP P Tracking Table'!$Q318,'Loading Rates'!$B$1:$L$24,9,FALSE),'BMP P Tracking Table'!$AA318*VLOOKUP('BMP P Tracking Table'!$Q318,'Loading Rates'!$B$1:$L$24,10,FALSE)),'BMP P Tracking Table'!$AO318*VLOOKUP('BMP P Tracking Table'!$Q318,'Loading Rates'!$B$1:$L$24,4,FALSE)+IF('BMP P Tracking Table'!$AP318="By HSG",'BMP P Tracking Table'!$AQ318*VLOOKUP('BMP P Tracking Table'!$Q318,'Loading Rates'!$B$1:$L$24,6,FALSE)+'BMP P Tracking Table'!$AR318*VLOOKUP('BMP P Tracking Table'!$Q318,'Loading Rates'!$B$1:$L$24,7,FALSE)+'BMP P Tracking Table'!$AS318*VLOOKUP('BMP P Tracking Table'!$Q318,'Loading Rates'!$B$1:$L$24,8,FALSE)+'BMP P Tracking Table'!$AT318*VLOOKUP('BMP P Tracking Table'!$Q318,'Loading Rates'!$B$1:$L$24,9,FALSE),'BMP P Tracking Table'!$AU318*VLOOKUP('BMP P Tracking Table'!$Q318,'Loading Rates'!$B$1:$L$24,10,FALSE))),"")</f>
        <v/>
      </c>
      <c r="AZ318" s="101" t="str">
        <f>IFERROR(IF('BMP P Tracking Table'!$AL318="Yes",MIN(2,IF('BMP P Tracking Table'!$AP318="Total Pervious",(-(3630*'BMP P Tracking Table'!$AO318+20.691*'BMP P Tracking Table'!$AU318)+SQRT((3630*'BMP P Tracking Table'!$AO318+20.691*'BMP P Tracking Table'!$AU318)^2-(4*(996.798*'BMP P Tracking Table'!$AU318)*-'BMP P Tracking Table'!$AW318)))/(2*(996.798*'BMP P Tracking Table'!$AU318)),IF(SUM('BMP P Tracking Table'!$AQ318:$AT318)=0,'BMP P Tracking Table'!$AU318/(-3630*'BMP P Tracking Table'!$AO318),(-(3630*'BMP P Tracking Table'!$AO318+20.691*'BMP P Tracking Table'!$AT318-216.711*'BMP P Tracking Table'!$AS318-83.853*'BMP P Tracking Table'!$AR318-42.834*'BMP P Tracking Table'!$AQ318)+SQRT((3630*'BMP P Tracking Table'!$AO318+20.691*'BMP P Tracking Table'!$AT318-216.711*'BMP P Tracking Table'!$AS318-83.853*'BMP P Tracking Table'!$AR318-42.834*'BMP P Tracking Table'!$AQ318)^2-(4*(149.919*'BMP P Tracking Table'!$AQ318+236.676*'BMP P Tracking Table'!$AR318+726*'BMP P Tracking Table'!$AS318+996.798*'BMP P Tracking Table'!$AT318)*-'BMP P Tracking Table'!$AW318)))/(2*(149.919*'BMP P Tracking Table'!$AQ318+236.676*'BMP P Tracking Table'!$AR318+726*'BMP P Tracking Table'!$AS318+996.798*'BMP P Tracking Table'!$AT318))))),MIN(2,IF('BMP P Tracking Table'!$AP318="Total Pervious",(-(3630*'BMP P Tracking Table'!$U318+20.691*'BMP P Tracking Table'!$AA318)+SQRT((3630*'BMP P Tracking Table'!$U318+20.691*'BMP P Tracking Table'!$AA318)^2-(4*(996.798*'BMP P Tracking Table'!$AA318)*-'BMP P Tracking Table'!$AW318)))/(2*(996.798*'BMP P Tracking Table'!$AA318)),IF(SUM('BMP P Tracking Table'!$W318:$Z318)=0,'BMP P Tracking Table'!$AW318/(-3630*'BMP P Tracking Table'!$U318),(-(3630*'BMP P Tracking Table'!$U318+20.691*'BMP P Tracking Table'!$Z318-216.711*'BMP P Tracking Table'!$Y318-83.853*'BMP P Tracking Table'!$X318-42.834*'BMP P Tracking Table'!$W318)+SQRT((3630*'BMP P Tracking Table'!$U318+20.691*'BMP P Tracking Table'!$Z318-216.711*'BMP P Tracking Table'!$Y318-83.853*'BMP P Tracking Table'!$X318-42.834*'BMP P Tracking Table'!$W318)^2-(4*(149.919*'BMP P Tracking Table'!$W318+236.676*'BMP P Tracking Table'!$X318+726*'BMP P Tracking Table'!$Y318+996.798*'BMP P Tracking Table'!$Z318)*-'BMP P Tracking Table'!$AW318)))/(2*(149.919*'BMP P Tracking Table'!$W318+236.676*'BMP P Tracking Table'!$X318+726*'BMP P Tracking Table'!$Y318+996.798*'BMP P Tracking Table'!$Z318)))))),"")</f>
        <v/>
      </c>
      <c r="BA318" s="101" t="str">
        <f>IFERROR((VLOOKUP(CONCATENATE('BMP P Tracking Table'!$AV318," ",'BMP P Tracking Table'!$AX318),'Performance Curves'!$C$1:$L$45,MATCH('BMP P Tracking Table'!$AZ318,'Performance Curves'!$E$1:$L$1,1)+2,FALSE)-VLOOKUP(CONCATENATE('BMP P Tracking Table'!$AV318," ",'BMP P Tracking Table'!$AX318),'Performance Curves'!$C$1:$L$45,MATCH('BMP P Tracking Table'!$AZ318,'Performance Curves'!$E$1:$L$1,1)+1,FALSE)),"")</f>
        <v/>
      </c>
      <c r="BB318" s="101" t="str">
        <f>IFERROR(('BMP P Tracking Table'!$AZ318-INDEX('Performance Curves'!$E$1:$L$1,1,MATCH('BMP P Tracking Table'!$AZ318,'Performance Curves'!$E$1:$L$1,1)))/(INDEX('Performance Curves'!$E$1:$L$1,1,MATCH('BMP P Tracking Table'!$AZ318,'Performance Curves'!$E$1:$L$1,1)+1)-INDEX('Performance Curves'!$E$1:$L$1,1,MATCH('BMP P Tracking Table'!$AZ318,'Performance Curves'!$E$1:$L$1,1))),"")</f>
        <v/>
      </c>
      <c r="BC318" s="102" t="str">
        <f>IFERROR(IF('BMP P Tracking Table'!$AZ318=2,VLOOKUP(CONCATENATE('BMP P Tracking Table'!$AV318," ",'BMP P Tracking Table'!$AX318),'Performance Curves'!$C$1:$L$44,MATCH('BMP P Tracking Table'!$AZ318,'Performance Curves'!$E$1:$L$1,1)+1,FALSE),'BMP P Tracking Table'!$BA318*'BMP P Tracking Table'!$BB318+VLOOKUP(CONCATENATE('BMP P Tracking Table'!$AV318," ",'BMP P Tracking Table'!$AX318),'Performance Curves'!$C$1:$L$44,MATCH('BMP P Tracking Table'!$AZ318,'Performance Curves'!$E$1:$L$1,1)+1,FALSE)),"")</f>
        <v/>
      </c>
      <c r="BD318" s="101" t="str">
        <f>IFERROR('BMP P Tracking Table'!$BC318*'BMP P Tracking Table'!$AY318,"")</f>
        <v/>
      </c>
      <c r="BE318" s="96"/>
      <c r="BF318" s="37">
        <f t="shared" si="21"/>
        <v>0</v>
      </c>
    </row>
    <row r="319" spans="1:58" x14ac:dyDescent="0.3">
      <c r="A319" s="64"/>
      <c r="B319" s="64"/>
      <c r="C319" s="64"/>
      <c r="D319" s="64"/>
      <c r="E319" s="93"/>
      <c r="F319" s="93"/>
      <c r="G319" s="64"/>
      <c r="H319" s="64"/>
      <c r="I319" s="64"/>
      <c r="J319" s="94"/>
      <c r="K319" s="64"/>
      <c r="L319" s="64"/>
      <c r="M319" s="64"/>
      <c r="N319" s="64"/>
      <c r="O319" s="64"/>
      <c r="P319" s="64"/>
      <c r="Q319" s="64" t="str">
        <f>IFERROR(VLOOKUP('BMP P Tracking Table'!$P319,Dropdowns!$C$2:$E$15,3,FALSE),"")</f>
        <v/>
      </c>
      <c r="R319" s="64" t="str">
        <f>IFERROR(VLOOKUP('BMP P Tracking Table'!$Q319,Dropdowns!$P$3:$Q$23,2,FALSE),"")</f>
        <v/>
      </c>
      <c r="S319" s="64"/>
      <c r="T319" s="64"/>
      <c r="U319" s="64"/>
      <c r="V319" s="64"/>
      <c r="W319" s="64"/>
      <c r="X319" s="64"/>
      <c r="Y319" s="64"/>
      <c r="Z319" s="64"/>
      <c r="AA319" s="64"/>
      <c r="AB319" s="95"/>
      <c r="AC319" s="64"/>
      <c r="AD319" s="101" t="str">
        <f>IFERROR('BMP P Tracking Table'!$U319*VLOOKUP('BMP P Tracking Table'!$Q319,'Loading Rates'!$B$1:$L$24,4,FALSE)+IF('BMP P Tracking Table'!$V319="By HSG",'BMP P Tracking Table'!$W319*VLOOKUP('BMP P Tracking Table'!$Q319,'Loading Rates'!$B$1:$L$24,6,FALSE)+'BMP P Tracking Table'!$X319*VLOOKUP('BMP P Tracking Table'!$Q319,'Loading Rates'!$B$1:$L$24,7,FALSE)+'BMP P Tracking Table'!$Y319*VLOOKUP('BMP P Tracking Table'!$Q319,'Loading Rates'!$B$1:$L$24,8,FALSE)+'BMP P Tracking Table'!$Z319*VLOOKUP('BMP P Tracking Table'!$Q319,'Loading Rates'!$B$1:$L$24,9,FALSE),'BMP P Tracking Table'!$AA319*VLOOKUP('BMP P Tracking Table'!$Q319,'Loading Rates'!$B$1:$L$24,10,FALSE)),"")</f>
        <v/>
      </c>
      <c r="AE319" s="101" t="str">
        <f>IFERROR(MIN(2,IF('BMP P Tracking Table'!$V319="Total Pervious",(-(3630*'BMP P Tracking Table'!$U319+20.691*'BMP P Tracking Table'!$AA319)+SQRT((3630*'BMP P Tracking Table'!$U319+20.691*'BMP P Tracking Table'!$AA319)^2-(4*(996.798*'BMP P Tracking Table'!$AA319)*-'BMP P Tracking Table'!$AB319)))/(2*(996.798*'BMP P Tracking Table'!$AA319)),IF(SUM('BMP P Tracking Table'!$W319:$Z319)=0,'BMP P Tracking Table'!$AB319/(-3630*'BMP P Tracking Table'!$U319),(-(3630*'BMP P Tracking Table'!$U319+20.691*'BMP P Tracking Table'!$Z319-216.711*'BMP P Tracking Table'!$Y319-83.853*'BMP P Tracking Table'!$X319-42.834*'BMP P Tracking Table'!$W319)+SQRT((3630*'BMP P Tracking Table'!$U319+20.691*'BMP P Tracking Table'!$Z319-216.711*'BMP P Tracking Table'!$Y319-83.853*'BMP P Tracking Table'!$X319-42.834*'BMP P Tracking Table'!$W319)^2-(4*(149.919*'BMP P Tracking Table'!$W319+236.676*'BMP P Tracking Table'!$X319+726*'BMP P Tracking Table'!$Y319+996.798*'BMP P Tracking Table'!$Z319)*-'BMP P Tracking Table'!$AB319)))/(2*(149.919*'BMP P Tracking Table'!$W319+236.676*'BMP P Tracking Table'!$X319+726*'BMP P Tracking Table'!$Y319+996.798*'BMP P Tracking Table'!$Z319))))),"")</f>
        <v/>
      </c>
      <c r="AF319" s="101" t="str">
        <f>IFERROR((VLOOKUP(CONCATENATE('BMP P Tracking Table'!$T319," ",'BMP P Tracking Table'!$AC319),'Performance Curves'!$C$1:$L$45,MATCH('BMP P Tracking Table'!$AE319,'Performance Curves'!$E$1:$L$1,1)+2,FALSE)-VLOOKUP(CONCATENATE('BMP P Tracking Table'!$T319," ",'BMP P Tracking Table'!$AC319),'Performance Curves'!$C$1:$L$45,MATCH('BMP P Tracking Table'!$AE319,'Performance Curves'!$E$1:$L$1,1)+1,FALSE)),"")</f>
        <v/>
      </c>
      <c r="AG319" s="101" t="str">
        <f>IFERROR(('BMP P Tracking Table'!$AE319-INDEX('Performance Curves'!$E$1:$L$1,1,MATCH('BMP P Tracking Table'!$AE319,'Performance Curves'!$E$1:$L$1,1)))/(INDEX('Performance Curves'!$E$1:$L$1,1,MATCH('BMP P Tracking Table'!$AE319,'Performance Curves'!$E$1:$L$1,1)+1)-INDEX('Performance Curves'!$E$1:$L$1,1,MATCH('BMP P Tracking Table'!$AE319,'Performance Curves'!$E$1:$L$1,1))),"")</f>
        <v/>
      </c>
      <c r="AH319" s="102" t="str">
        <f>IFERROR(IF('BMP P Tracking Table'!$AE319=2,VLOOKUP(CONCATENATE('BMP P Tracking Table'!$T319," ",'BMP P Tracking Table'!$AC319),'Performance Curves'!$C$1:$L$45,MATCH('BMP P Tracking Table'!$AE319,'Performance Curves'!$E$1:$L$1,1)+1,FALSE),'BMP P Tracking Table'!$AF319*'BMP P Tracking Table'!$AG319+VLOOKUP(CONCATENATE('BMP P Tracking Table'!$T319," ",'BMP P Tracking Table'!$AC319),'Performance Curves'!$C$1:$L$45,MATCH('BMP P Tracking Table'!$AE319,'Performance Curves'!$E$1:$L$1,1)+1,FALSE)),"")</f>
        <v/>
      </c>
      <c r="AI319" s="101" t="str">
        <f>IFERROR('BMP P Tracking Table'!$AH319*'BMP P Tracking Table'!$AD319,"")</f>
        <v/>
      </c>
      <c r="AJ319" s="64"/>
      <c r="AK319" s="96"/>
      <c r="AL319" s="96"/>
      <c r="AM319" s="63"/>
      <c r="AN319" s="99" t="str">
        <f t="shared" si="20"/>
        <v/>
      </c>
      <c r="AO319" s="96"/>
      <c r="AP319" s="96"/>
      <c r="AQ319" s="96"/>
      <c r="AR319" s="96"/>
      <c r="AS319" s="96"/>
      <c r="AT319" s="96"/>
      <c r="AU319" s="96"/>
      <c r="AV319" s="64"/>
      <c r="AW319" s="97"/>
      <c r="AX319" s="97"/>
      <c r="AY319" s="101" t="str">
        <f>IF('BMP P Tracking Table'!$AK319="Yes",IF('BMP P Tracking Table'!$AL319="No",'BMP P Tracking Table'!$U319*VLOOKUP('BMP P Tracking Table'!$Q319,'Loading Rates'!$B$1:$L$24,4,FALSE)+IF('BMP P Tracking Table'!$V319="By HSG",'BMP P Tracking Table'!$W319*VLOOKUP('BMP P Tracking Table'!$Q319,'Loading Rates'!$B$1:$L$24,6,FALSE)+'BMP P Tracking Table'!$X319*VLOOKUP('BMP P Tracking Table'!$Q319,'Loading Rates'!$B$1:$L$24,7,FALSE)+'BMP P Tracking Table'!$Y319*VLOOKUP('BMP P Tracking Table'!$Q319,'Loading Rates'!$B$1:$L$24,8,FALSE)+'BMP P Tracking Table'!$Z319*VLOOKUP('BMP P Tracking Table'!$Q319,'Loading Rates'!$B$1:$L$24,9,FALSE),'BMP P Tracking Table'!$AA319*VLOOKUP('BMP P Tracking Table'!$Q319,'Loading Rates'!$B$1:$L$24,10,FALSE)),'BMP P Tracking Table'!$AO319*VLOOKUP('BMP P Tracking Table'!$Q319,'Loading Rates'!$B$1:$L$24,4,FALSE)+IF('BMP P Tracking Table'!$AP319="By HSG",'BMP P Tracking Table'!$AQ319*VLOOKUP('BMP P Tracking Table'!$Q319,'Loading Rates'!$B$1:$L$24,6,FALSE)+'BMP P Tracking Table'!$AR319*VLOOKUP('BMP P Tracking Table'!$Q319,'Loading Rates'!$B$1:$L$24,7,FALSE)+'BMP P Tracking Table'!$AS319*VLOOKUP('BMP P Tracking Table'!$Q319,'Loading Rates'!$B$1:$L$24,8,FALSE)+'BMP P Tracking Table'!$AT319*VLOOKUP('BMP P Tracking Table'!$Q319,'Loading Rates'!$B$1:$L$24,9,FALSE),'BMP P Tracking Table'!$AU319*VLOOKUP('BMP P Tracking Table'!$Q319,'Loading Rates'!$B$1:$L$24,10,FALSE))),"")</f>
        <v/>
      </c>
      <c r="AZ319" s="101" t="str">
        <f>IFERROR(IF('BMP P Tracking Table'!$AL319="Yes",MIN(2,IF('BMP P Tracking Table'!$AP319="Total Pervious",(-(3630*'BMP P Tracking Table'!$AO319+20.691*'BMP P Tracking Table'!$AU319)+SQRT((3630*'BMP P Tracking Table'!$AO319+20.691*'BMP P Tracking Table'!$AU319)^2-(4*(996.798*'BMP P Tracking Table'!$AU319)*-'BMP P Tracking Table'!$AW319)))/(2*(996.798*'BMP P Tracking Table'!$AU319)),IF(SUM('BMP P Tracking Table'!$AQ319:$AT319)=0,'BMP P Tracking Table'!$AU319/(-3630*'BMP P Tracking Table'!$AO319),(-(3630*'BMP P Tracking Table'!$AO319+20.691*'BMP P Tracking Table'!$AT319-216.711*'BMP P Tracking Table'!$AS319-83.853*'BMP P Tracking Table'!$AR319-42.834*'BMP P Tracking Table'!$AQ319)+SQRT((3630*'BMP P Tracking Table'!$AO319+20.691*'BMP P Tracking Table'!$AT319-216.711*'BMP P Tracking Table'!$AS319-83.853*'BMP P Tracking Table'!$AR319-42.834*'BMP P Tracking Table'!$AQ319)^2-(4*(149.919*'BMP P Tracking Table'!$AQ319+236.676*'BMP P Tracking Table'!$AR319+726*'BMP P Tracking Table'!$AS319+996.798*'BMP P Tracking Table'!$AT319)*-'BMP P Tracking Table'!$AW319)))/(2*(149.919*'BMP P Tracking Table'!$AQ319+236.676*'BMP P Tracking Table'!$AR319+726*'BMP P Tracking Table'!$AS319+996.798*'BMP P Tracking Table'!$AT319))))),MIN(2,IF('BMP P Tracking Table'!$AP319="Total Pervious",(-(3630*'BMP P Tracking Table'!$U319+20.691*'BMP P Tracking Table'!$AA319)+SQRT((3630*'BMP P Tracking Table'!$U319+20.691*'BMP P Tracking Table'!$AA319)^2-(4*(996.798*'BMP P Tracking Table'!$AA319)*-'BMP P Tracking Table'!$AW319)))/(2*(996.798*'BMP P Tracking Table'!$AA319)),IF(SUM('BMP P Tracking Table'!$W319:$Z319)=0,'BMP P Tracking Table'!$AW319/(-3630*'BMP P Tracking Table'!$U319),(-(3630*'BMP P Tracking Table'!$U319+20.691*'BMP P Tracking Table'!$Z319-216.711*'BMP P Tracking Table'!$Y319-83.853*'BMP P Tracking Table'!$X319-42.834*'BMP P Tracking Table'!$W319)+SQRT((3630*'BMP P Tracking Table'!$U319+20.691*'BMP P Tracking Table'!$Z319-216.711*'BMP P Tracking Table'!$Y319-83.853*'BMP P Tracking Table'!$X319-42.834*'BMP P Tracking Table'!$W319)^2-(4*(149.919*'BMP P Tracking Table'!$W319+236.676*'BMP P Tracking Table'!$X319+726*'BMP P Tracking Table'!$Y319+996.798*'BMP P Tracking Table'!$Z319)*-'BMP P Tracking Table'!$AW319)))/(2*(149.919*'BMP P Tracking Table'!$W319+236.676*'BMP P Tracking Table'!$X319+726*'BMP P Tracking Table'!$Y319+996.798*'BMP P Tracking Table'!$Z319)))))),"")</f>
        <v/>
      </c>
      <c r="BA319" s="101" t="str">
        <f>IFERROR((VLOOKUP(CONCATENATE('BMP P Tracking Table'!$AV319," ",'BMP P Tracking Table'!$AX319),'Performance Curves'!$C$1:$L$45,MATCH('BMP P Tracking Table'!$AZ319,'Performance Curves'!$E$1:$L$1,1)+2,FALSE)-VLOOKUP(CONCATENATE('BMP P Tracking Table'!$AV319," ",'BMP P Tracking Table'!$AX319),'Performance Curves'!$C$1:$L$45,MATCH('BMP P Tracking Table'!$AZ319,'Performance Curves'!$E$1:$L$1,1)+1,FALSE)),"")</f>
        <v/>
      </c>
      <c r="BB319" s="101" t="str">
        <f>IFERROR(('BMP P Tracking Table'!$AZ319-INDEX('Performance Curves'!$E$1:$L$1,1,MATCH('BMP P Tracking Table'!$AZ319,'Performance Curves'!$E$1:$L$1,1)))/(INDEX('Performance Curves'!$E$1:$L$1,1,MATCH('BMP P Tracking Table'!$AZ319,'Performance Curves'!$E$1:$L$1,1)+1)-INDEX('Performance Curves'!$E$1:$L$1,1,MATCH('BMP P Tracking Table'!$AZ319,'Performance Curves'!$E$1:$L$1,1))),"")</f>
        <v/>
      </c>
      <c r="BC319" s="102" t="str">
        <f>IFERROR(IF('BMP P Tracking Table'!$AZ319=2,VLOOKUP(CONCATENATE('BMP P Tracking Table'!$AV319," ",'BMP P Tracking Table'!$AX319),'Performance Curves'!$C$1:$L$44,MATCH('BMP P Tracking Table'!$AZ319,'Performance Curves'!$E$1:$L$1,1)+1,FALSE),'BMP P Tracking Table'!$BA319*'BMP P Tracking Table'!$BB319+VLOOKUP(CONCATENATE('BMP P Tracking Table'!$AV319," ",'BMP P Tracking Table'!$AX319),'Performance Curves'!$C$1:$L$44,MATCH('BMP P Tracking Table'!$AZ319,'Performance Curves'!$E$1:$L$1,1)+1,FALSE)),"")</f>
        <v/>
      </c>
      <c r="BD319" s="101" t="str">
        <f>IFERROR('BMP P Tracking Table'!$BC319*'BMP P Tracking Table'!$AY319,"")</f>
        <v/>
      </c>
      <c r="BE319" s="96"/>
      <c r="BF319" s="37">
        <f t="shared" si="21"/>
        <v>0</v>
      </c>
    </row>
    <row r="320" spans="1:58" x14ac:dyDescent="0.3">
      <c r="A320" s="64"/>
      <c r="B320" s="64"/>
      <c r="C320" s="64"/>
      <c r="D320" s="64"/>
      <c r="E320" s="93"/>
      <c r="F320" s="93"/>
      <c r="G320" s="64"/>
      <c r="H320" s="64"/>
      <c r="I320" s="64"/>
      <c r="J320" s="94"/>
      <c r="K320" s="64"/>
      <c r="L320" s="64"/>
      <c r="M320" s="64"/>
      <c r="N320" s="64"/>
      <c r="O320" s="64"/>
      <c r="P320" s="64"/>
      <c r="Q320" s="64" t="str">
        <f>IFERROR(VLOOKUP('BMP P Tracking Table'!$P320,Dropdowns!$C$2:$E$15,3,FALSE),"")</f>
        <v/>
      </c>
      <c r="R320" s="64" t="str">
        <f>IFERROR(VLOOKUP('BMP P Tracking Table'!$Q320,Dropdowns!$P$3:$Q$23,2,FALSE),"")</f>
        <v/>
      </c>
      <c r="S320" s="64"/>
      <c r="T320" s="64"/>
      <c r="U320" s="64"/>
      <c r="V320" s="64"/>
      <c r="W320" s="64"/>
      <c r="X320" s="64"/>
      <c r="Y320" s="64"/>
      <c r="Z320" s="64"/>
      <c r="AA320" s="64"/>
      <c r="AB320" s="95"/>
      <c r="AC320" s="64"/>
      <c r="AD320" s="101" t="str">
        <f>IFERROR('BMP P Tracking Table'!$U320*VLOOKUP('BMP P Tracking Table'!$Q320,'Loading Rates'!$B$1:$L$24,4,FALSE)+IF('BMP P Tracking Table'!$V320="By HSG",'BMP P Tracking Table'!$W320*VLOOKUP('BMP P Tracking Table'!$Q320,'Loading Rates'!$B$1:$L$24,6,FALSE)+'BMP P Tracking Table'!$X320*VLOOKUP('BMP P Tracking Table'!$Q320,'Loading Rates'!$B$1:$L$24,7,FALSE)+'BMP P Tracking Table'!$Y320*VLOOKUP('BMP P Tracking Table'!$Q320,'Loading Rates'!$B$1:$L$24,8,FALSE)+'BMP P Tracking Table'!$Z320*VLOOKUP('BMP P Tracking Table'!$Q320,'Loading Rates'!$B$1:$L$24,9,FALSE),'BMP P Tracking Table'!$AA320*VLOOKUP('BMP P Tracking Table'!$Q320,'Loading Rates'!$B$1:$L$24,10,FALSE)),"")</f>
        <v/>
      </c>
      <c r="AE320" s="101" t="str">
        <f>IFERROR(MIN(2,IF('BMP P Tracking Table'!$V320="Total Pervious",(-(3630*'BMP P Tracking Table'!$U320+20.691*'BMP P Tracking Table'!$AA320)+SQRT((3630*'BMP P Tracking Table'!$U320+20.691*'BMP P Tracking Table'!$AA320)^2-(4*(996.798*'BMP P Tracking Table'!$AA320)*-'BMP P Tracking Table'!$AB320)))/(2*(996.798*'BMP P Tracking Table'!$AA320)),IF(SUM('BMP P Tracking Table'!$W320:$Z320)=0,'BMP P Tracking Table'!$AB320/(-3630*'BMP P Tracking Table'!$U320),(-(3630*'BMP P Tracking Table'!$U320+20.691*'BMP P Tracking Table'!$Z320-216.711*'BMP P Tracking Table'!$Y320-83.853*'BMP P Tracking Table'!$X320-42.834*'BMP P Tracking Table'!$W320)+SQRT((3630*'BMP P Tracking Table'!$U320+20.691*'BMP P Tracking Table'!$Z320-216.711*'BMP P Tracking Table'!$Y320-83.853*'BMP P Tracking Table'!$X320-42.834*'BMP P Tracking Table'!$W320)^2-(4*(149.919*'BMP P Tracking Table'!$W320+236.676*'BMP P Tracking Table'!$X320+726*'BMP P Tracking Table'!$Y320+996.798*'BMP P Tracking Table'!$Z320)*-'BMP P Tracking Table'!$AB320)))/(2*(149.919*'BMP P Tracking Table'!$W320+236.676*'BMP P Tracking Table'!$X320+726*'BMP P Tracking Table'!$Y320+996.798*'BMP P Tracking Table'!$Z320))))),"")</f>
        <v/>
      </c>
      <c r="AF320" s="101" t="str">
        <f>IFERROR((VLOOKUP(CONCATENATE('BMP P Tracking Table'!$T320," ",'BMP P Tracking Table'!$AC320),'Performance Curves'!$C$1:$L$45,MATCH('BMP P Tracking Table'!$AE320,'Performance Curves'!$E$1:$L$1,1)+2,FALSE)-VLOOKUP(CONCATENATE('BMP P Tracking Table'!$T320," ",'BMP P Tracking Table'!$AC320),'Performance Curves'!$C$1:$L$45,MATCH('BMP P Tracking Table'!$AE320,'Performance Curves'!$E$1:$L$1,1)+1,FALSE)),"")</f>
        <v/>
      </c>
      <c r="AG320" s="101" t="str">
        <f>IFERROR(('BMP P Tracking Table'!$AE320-INDEX('Performance Curves'!$E$1:$L$1,1,MATCH('BMP P Tracking Table'!$AE320,'Performance Curves'!$E$1:$L$1,1)))/(INDEX('Performance Curves'!$E$1:$L$1,1,MATCH('BMP P Tracking Table'!$AE320,'Performance Curves'!$E$1:$L$1,1)+1)-INDEX('Performance Curves'!$E$1:$L$1,1,MATCH('BMP P Tracking Table'!$AE320,'Performance Curves'!$E$1:$L$1,1))),"")</f>
        <v/>
      </c>
      <c r="AH320" s="102" t="str">
        <f>IFERROR(IF('BMP P Tracking Table'!$AE320=2,VLOOKUP(CONCATENATE('BMP P Tracking Table'!$T320," ",'BMP P Tracking Table'!$AC320),'Performance Curves'!$C$1:$L$45,MATCH('BMP P Tracking Table'!$AE320,'Performance Curves'!$E$1:$L$1,1)+1,FALSE),'BMP P Tracking Table'!$AF320*'BMP P Tracking Table'!$AG320+VLOOKUP(CONCATENATE('BMP P Tracking Table'!$T320," ",'BMP P Tracking Table'!$AC320),'Performance Curves'!$C$1:$L$45,MATCH('BMP P Tracking Table'!$AE320,'Performance Curves'!$E$1:$L$1,1)+1,FALSE)),"")</f>
        <v/>
      </c>
      <c r="AI320" s="101" t="str">
        <f>IFERROR('BMP P Tracking Table'!$AH320*'BMP P Tracking Table'!$AD320,"")</f>
        <v/>
      </c>
      <c r="AJ320" s="64"/>
      <c r="AK320" s="96"/>
      <c r="AL320" s="96"/>
      <c r="AM320" s="63"/>
      <c r="AN320" s="99" t="str">
        <f t="shared" si="20"/>
        <v/>
      </c>
      <c r="AO320" s="96"/>
      <c r="AP320" s="96"/>
      <c r="AQ320" s="96"/>
      <c r="AR320" s="96"/>
      <c r="AS320" s="96"/>
      <c r="AT320" s="96"/>
      <c r="AU320" s="96"/>
      <c r="AV320" s="64"/>
      <c r="AW320" s="97"/>
      <c r="AX320" s="97"/>
      <c r="AY320" s="101" t="str">
        <f>IF('BMP P Tracking Table'!$AK320="Yes",IF('BMP P Tracking Table'!$AL320="No",'BMP P Tracking Table'!$U320*VLOOKUP('BMP P Tracking Table'!$Q320,'Loading Rates'!$B$1:$L$24,4,FALSE)+IF('BMP P Tracking Table'!$V320="By HSG",'BMP P Tracking Table'!$W320*VLOOKUP('BMP P Tracking Table'!$Q320,'Loading Rates'!$B$1:$L$24,6,FALSE)+'BMP P Tracking Table'!$X320*VLOOKUP('BMP P Tracking Table'!$Q320,'Loading Rates'!$B$1:$L$24,7,FALSE)+'BMP P Tracking Table'!$Y320*VLOOKUP('BMP P Tracking Table'!$Q320,'Loading Rates'!$B$1:$L$24,8,FALSE)+'BMP P Tracking Table'!$Z320*VLOOKUP('BMP P Tracking Table'!$Q320,'Loading Rates'!$B$1:$L$24,9,FALSE),'BMP P Tracking Table'!$AA320*VLOOKUP('BMP P Tracking Table'!$Q320,'Loading Rates'!$B$1:$L$24,10,FALSE)),'BMP P Tracking Table'!$AO320*VLOOKUP('BMP P Tracking Table'!$Q320,'Loading Rates'!$B$1:$L$24,4,FALSE)+IF('BMP P Tracking Table'!$AP320="By HSG",'BMP P Tracking Table'!$AQ320*VLOOKUP('BMP P Tracking Table'!$Q320,'Loading Rates'!$B$1:$L$24,6,FALSE)+'BMP P Tracking Table'!$AR320*VLOOKUP('BMP P Tracking Table'!$Q320,'Loading Rates'!$B$1:$L$24,7,FALSE)+'BMP P Tracking Table'!$AS320*VLOOKUP('BMP P Tracking Table'!$Q320,'Loading Rates'!$B$1:$L$24,8,FALSE)+'BMP P Tracking Table'!$AT320*VLOOKUP('BMP P Tracking Table'!$Q320,'Loading Rates'!$B$1:$L$24,9,FALSE),'BMP P Tracking Table'!$AU320*VLOOKUP('BMP P Tracking Table'!$Q320,'Loading Rates'!$B$1:$L$24,10,FALSE))),"")</f>
        <v/>
      </c>
      <c r="AZ320" s="101" t="str">
        <f>IFERROR(IF('BMP P Tracking Table'!$AL320="Yes",MIN(2,IF('BMP P Tracking Table'!$AP320="Total Pervious",(-(3630*'BMP P Tracking Table'!$AO320+20.691*'BMP P Tracking Table'!$AU320)+SQRT((3630*'BMP P Tracking Table'!$AO320+20.691*'BMP P Tracking Table'!$AU320)^2-(4*(996.798*'BMP P Tracking Table'!$AU320)*-'BMP P Tracking Table'!$AW320)))/(2*(996.798*'BMP P Tracking Table'!$AU320)),IF(SUM('BMP P Tracking Table'!$AQ320:$AT320)=0,'BMP P Tracking Table'!$AU320/(-3630*'BMP P Tracking Table'!$AO320),(-(3630*'BMP P Tracking Table'!$AO320+20.691*'BMP P Tracking Table'!$AT320-216.711*'BMP P Tracking Table'!$AS320-83.853*'BMP P Tracking Table'!$AR320-42.834*'BMP P Tracking Table'!$AQ320)+SQRT((3630*'BMP P Tracking Table'!$AO320+20.691*'BMP P Tracking Table'!$AT320-216.711*'BMP P Tracking Table'!$AS320-83.853*'BMP P Tracking Table'!$AR320-42.834*'BMP P Tracking Table'!$AQ320)^2-(4*(149.919*'BMP P Tracking Table'!$AQ320+236.676*'BMP P Tracking Table'!$AR320+726*'BMP P Tracking Table'!$AS320+996.798*'BMP P Tracking Table'!$AT320)*-'BMP P Tracking Table'!$AW320)))/(2*(149.919*'BMP P Tracking Table'!$AQ320+236.676*'BMP P Tracking Table'!$AR320+726*'BMP P Tracking Table'!$AS320+996.798*'BMP P Tracking Table'!$AT320))))),MIN(2,IF('BMP P Tracking Table'!$AP320="Total Pervious",(-(3630*'BMP P Tracking Table'!$U320+20.691*'BMP P Tracking Table'!$AA320)+SQRT((3630*'BMP P Tracking Table'!$U320+20.691*'BMP P Tracking Table'!$AA320)^2-(4*(996.798*'BMP P Tracking Table'!$AA320)*-'BMP P Tracking Table'!$AW320)))/(2*(996.798*'BMP P Tracking Table'!$AA320)),IF(SUM('BMP P Tracking Table'!$W320:$Z320)=0,'BMP P Tracking Table'!$AW320/(-3630*'BMP P Tracking Table'!$U320),(-(3630*'BMP P Tracking Table'!$U320+20.691*'BMP P Tracking Table'!$Z320-216.711*'BMP P Tracking Table'!$Y320-83.853*'BMP P Tracking Table'!$X320-42.834*'BMP P Tracking Table'!$W320)+SQRT((3630*'BMP P Tracking Table'!$U320+20.691*'BMP P Tracking Table'!$Z320-216.711*'BMP P Tracking Table'!$Y320-83.853*'BMP P Tracking Table'!$X320-42.834*'BMP P Tracking Table'!$W320)^2-(4*(149.919*'BMP P Tracking Table'!$W320+236.676*'BMP P Tracking Table'!$X320+726*'BMP P Tracking Table'!$Y320+996.798*'BMP P Tracking Table'!$Z320)*-'BMP P Tracking Table'!$AW320)))/(2*(149.919*'BMP P Tracking Table'!$W320+236.676*'BMP P Tracking Table'!$X320+726*'BMP P Tracking Table'!$Y320+996.798*'BMP P Tracking Table'!$Z320)))))),"")</f>
        <v/>
      </c>
      <c r="BA320" s="101" t="str">
        <f>IFERROR((VLOOKUP(CONCATENATE('BMP P Tracking Table'!$AV320," ",'BMP P Tracking Table'!$AX320),'Performance Curves'!$C$1:$L$45,MATCH('BMP P Tracking Table'!$AZ320,'Performance Curves'!$E$1:$L$1,1)+2,FALSE)-VLOOKUP(CONCATENATE('BMP P Tracking Table'!$AV320," ",'BMP P Tracking Table'!$AX320),'Performance Curves'!$C$1:$L$45,MATCH('BMP P Tracking Table'!$AZ320,'Performance Curves'!$E$1:$L$1,1)+1,FALSE)),"")</f>
        <v/>
      </c>
      <c r="BB320" s="101" t="str">
        <f>IFERROR(('BMP P Tracking Table'!$AZ320-INDEX('Performance Curves'!$E$1:$L$1,1,MATCH('BMP P Tracking Table'!$AZ320,'Performance Curves'!$E$1:$L$1,1)))/(INDEX('Performance Curves'!$E$1:$L$1,1,MATCH('BMP P Tracking Table'!$AZ320,'Performance Curves'!$E$1:$L$1,1)+1)-INDEX('Performance Curves'!$E$1:$L$1,1,MATCH('BMP P Tracking Table'!$AZ320,'Performance Curves'!$E$1:$L$1,1))),"")</f>
        <v/>
      </c>
      <c r="BC320" s="102" t="str">
        <f>IFERROR(IF('BMP P Tracking Table'!$AZ320=2,VLOOKUP(CONCATENATE('BMP P Tracking Table'!$AV320," ",'BMP P Tracking Table'!$AX320),'Performance Curves'!$C$1:$L$44,MATCH('BMP P Tracking Table'!$AZ320,'Performance Curves'!$E$1:$L$1,1)+1,FALSE),'BMP P Tracking Table'!$BA320*'BMP P Tracking Table'!$BB320+VLOOKUP(CONCATENATE('BMP P Tracking Table'!$AV320," ",'BMP P Tracking Table'!$AX320),'Performance Curves'!$C$1:$L$44,MATCH('BMP P Tracking Table'!$AZ320,'Performance Curves'!$E$1:$L$1,1)+1,FALSE)),"")</f>
        <v/>
      </c>
      <c r="BD320" s="101" t="str">
        <f>IFERROR('BMP P Tracking Table'!$BC320*'BMP P Tracking Table'!$AY320,"")</f>
        <v/>
      </c>
      <c r="BE320" s="96"/>
      <c r="BF320" s="37">
        <f t="shared" si="21"/>
        <v>0</v>
      </c>
    </row>
    <row r="321" spans="1:58" x14ac:dyDescent="0.3">
      <c r="A321" s="64"/>
      <c r="B321" s="64"/>
      <c r="C321" s="64"/>
      <c r="D321" s="64"/>
      <c r="E321" s="93"/>
      <c r="F321" s="93"/>
      <c r="G321" s="64"/>
      <c r="H321" s="64"/>
      <c r="I321" s="64"/>
      <c r="J321" s="94"/>
      <c r="K321" s="64"/>
      <c r="L321" s="64"/>
      <c r="M321" s="64"/>
      <c r="N321" s="64"/>
      <c r="O321" s="64"/>
      <c r="P321" s="64"/>
      <c r="Q321" s="64" t="str">
        <f>IFERROR(VLOOKUP('BMP P Tracking Table'!$P321,Dropdowns!$C$2:$E$15,3,FALSE),"")</f>
        <v/>
      </c>
      <c r="R321" s="64" t="str">
        <f>IFERROR(VLOOKUP('BMP P Tracking Table'!$Q321,Dropdowns!$P$3:$Q$23,2,FALSE),"")</f>
        <v/>
      </c>
      <c r="S321" s="64"/>
      <c r="T321" s="64"/>
      <c r="U321" s="64"/>
      <c r="V321" s="64"/>
      <c r="W321" s="64"/>
      <c r="X321" s="64"/>
      <c r="Y321" s="64"/>
      <c r="Z321" s="64"/>
      <c r="AA321" s="64"/>
      <c r="AB321" s="95"/>
      <c r="AC321" s="64"/>
      <c r="AD321" s="101" t="str">
        <f>IFERROR('BMP P Tracking Table'!$U321*VLOOKUP('BMP P Tracking Table'!$Q321,'Loading Rates'!$B$1:$L$24,4,FALSE)+IF('BMP P Tracking Table'!$V321="By HSG",'BMP P Tracking Table'!$W321*VLOOKUP('BMP P Tracking Table'!$Q321,'Loading Rates'!$B$1:$L$24,6,FALSE)+'BMP P Tracking Table'!$X321*VLOOKUP('BMP P Tracking Table'!$Q321,'Loading Rates'!$B$1:$L$24,7,FALSE)+'BMP P Tracking Table'!$Y321*VLOOKUP('BMP P Tracking Table'!$Q321,'Loading Rates'!$B$1:$L$24,8,FALSE)+'BMP P Tracking Table'!$Z321*VLOOKUP('BMP P Tracking Table'!$Q321,'Loading Rates'!$B$1:$L$24,9,FALSE),'BMP P Tracking Table'!$AA321*VLOOKUP('BMP P Tracking Table'!$Q321,'Loading Rates'!$B$1:$L$24,10,FALSE)),"")</f>
        <v/>
      </c>
      <c r="AE321" s="101" t="str">
        <f>IFERROR(MIN(2,IF('BMP P Tracking Table'!$V321="Total Pervious",(-(3630*'BMP P Tracking Table'!$U321+20.691*'BMP P Tracking Table'!$AA321)+SQRT((3630*'BMP P Tracking Table'!$U321+20.691*'BMP P Tracking Table'!$AA321)^2-(4*(996.798*'BMP P Tracking Table'!$AA321)*-'BMP P Tracking Table'!$AB321)))/(2*(996.798*'BMP P Tracking Table'!$AA321)),IF(SUM('BMP P Tracking Table'!$W321:$Z321)=0,'BMP P Tracking Table'!$AB321/(-3630*'BMP P Tracking Table'!$U321),(-(3630*'BMP P Tracking Table'!$U321+20.691*'BMP P Tracking Table'!$Z321-216.711*'BMP P Tracking Table'!$Y321-83.853*'BMP P Tracking Table'!$X321-42.834*'BMP P Tracking Table'!$W321)+SQRT((3630*'BMP P Tracking Table'!$U321+20.691*'BMP P Tracking Table'!$Z321-216.711*'BMP P Tracking Table'!$Y321-83.853*'BMP P Tracking Table'!$X321-42.834*'BMP P Tracking Table'!$W321)^2-(4*(149.919*'BMP P Tracking Table'!$W321+236.676*'BMP P Tracking Table'!$X321+726*'BMP P Tracking Table'!$Y321+996.798*'BMP P Tracking Table'!$Z321)*-'BMP P Tracking Table'!$AB321)))/(2*(149.919*'BMP P Tracking Table'!$W321+236.676*'BMP P Tracking Table'!$X321+726*'BMP P Tracking Table'!$Y321+996.798*'BMP P Tracking Table'!$Z321))))),"")</f>
        <v/>
      </c>
      <c r="AF321" s="101" t="str">
        <f>IFERROR((VLOOKUP(CONCATENATE('BMP P Tracking Table'!$T321," ",'BMP P Tracking Table'!$AC321),'Performance Curves'!$C$1:$L$45,MATCH('BMP P Tracking Table'!$AE321,'Performance Curves'!$E$1:$L$1,1)+2,FALSE)-VLOOKUP(CONCATENATE('BMP P Tracking Table'!$T321," ",'BMP P Tracking Table'!$AC321),'Performance Curves'!$C$1:$L$45,MATCH('BMP P Tracking Table'!$AE321,'Performance Curves'!$E$1:$L$1,1)+1,FALSE)),"")</f>
        <v/>
      </c>
      <c r="AG321" s="101" t="str">
        <f>IFERROR(('BMP P Tracking Table'!$AE321-INDEX('Performance Curves'!$E$1:$L$1,1,MATCH('BMP P Tracking Table'!$AE321,'Performance Curves'!$E$1:$L$1,1)))/(INDEX('Performance Curves'!$E$1:$L$1,1,MATCH('BMP P Tracking Table'!$AE321,'Performance Curves'!$E$1:$L$1,1)+1)-INDEX('Performance Curves'!$E$1:$L$1,1,MATCH('BMP P Tracking Table'!$AE321,'Performance Curves'!$E$1:$L$1,1))),"")</f>
        <v/>
      </c>
      <c r="AH321" s="102" t="str">
        <f>IFERROR(IF('BMP P Tracking Table'!$AE321=2,VLOOKUP(CONCATENATE('BMP P Tracking Table'!$T321," ",'BMP P Tracking Table'!$AC321),'Performance Curves'!$C$1:$L$45,MATCH('BMP P Tracking Table'!$AE321,'Performance Curves'!$E$1:$L$1,1)+1,FALSE),'BMP P Tracking Table'!$AF321*'BMP P Tracking Table'!$AG321+VLOOKUP(CONCATENATE('BMP P Tracking Table'!$T321," ",'BMP P Tracking Table'!$AC321),'Performance Curves'!$C$1:$L$45,MATCH('BMP P Tracking Table'!$AE321,'Performance Curves'!$E$1:$L$1,1)+1,FALSE)),"")</f>
        <v/>
      </c>
      <c r="AI321" s="101" t="str">
        <f>IFERROR('BMP P Tracking Table'!$AH321*'BMP P Tracking Table'!$AD321,"")</f>
        <v/>
      </c>
      <c r="AJ321" s="64"/>
      <c r="AK321" s="96"/>
      <c r="AL321" s="96"/>
      <c r="AM321" s="63"/>
      <c r="AN321" s="99" t="str">
        <f t="shared" si="20"/>
        <v/>
      </c>
      <c r="AO321" s="96"/>
      <c r="AP321" s="96"/>
      <c r="AQ321" s="96"/>
      <c r="AR321" s="96"/>
      <c r="AS321" s="96"/>
      <c r="AT321" s="96"/>
      <c r="AU321" s="96"/>
      <c r="AV321" s="64"/>
      <c r="AW321" s="97"/>
      <c r="AX321" s="97"/>
      <c r="AY321" s="101" t="str">
        <f>IF('BMP P Tracking Table'!$AK321="Yes",IF('BMP P Tracking Table'!$AL321="No",'BMP P Tracking Table'!$U321*VLOOKUP('BMP P Tracking Table'!$Q321,'Loading Rates'!$B$1:$L$24,4,FALSE)+IF('BMP P Tracking Table'!$V321="By HSG",'BMP P Tracking Table'!$W321*VLOOKUP('BMP P Tracking Table'!$Q321,'Loading Rates'!$B$1:$L$24,6,FALSE)+'BMP P Tracking Table'!$X321*VLOOKUP('BMP P Tracking Table'!$Q321,'Loading Rates'!$B$1:$L$24,7,FALSE)+'BMP P Tracking Table'!$Y321*VLOOKUP('BMP P Tracking Table'!$Q321,'Loading Rates'!$B$1:$L$24,8,FALSE)+'BMP P Tracking Table'!$Z321*VLOOKUP('BMP P Tracking Table'!$Q321,'Loading Rates'!$B$1:$L$24,9,FALSE),'BMP P Tracking Table'!$AA321*VLOOKUP('BMP P Tracking Table'!$Q321,'Loading Rates'!$B$1:$L$24,10,FALSE)),'BMP P Tracking Table'!$AO321*VLOOKUP('BMP P Tracking Table'!$Q321,'Loading Rates'!$B$1:$L$24,4,FALSE)+IF('BMP P Tracking Table'!$AP321="By HSG",'BMP P Tracking Table'!$AQ321*VLOOKUP('BMP P Tracking Table'!$Q321,'Loading Rates'!$B$1:$L$24,6,FALSE)+'BMP P Tracking Table'!$AR321*VLOOKUP('BMP P Tracking Table'!$Q321,'Loading Rates'!$B$1:$L$24,7,FALSE)+'BMP P Tracking Table'!$AS321*VLOOKUP('BMP P Tracking Table'!$Q321,'Loading Rates'!$B$1:$L$24,8,FALSE)+'BMP P Tracking Table'!$AT321*VLOOKUP('BMP P Tracking Table'!$Q321,'Loading Rates'!$B$1:$L$24,9,FALSE),'BMP P Tracking Table'!$AU321*VLOOKUP('BMP P Tracking Table'!$Q321,'Loading Rates'!$B$1:$L$24,10,FALSE))),"")</f>
        <v/>
      </c>
      <c r="AZ321" s="101" t="str">
        <f>IFERROR(IF('BMP P Tracking Table'!$AL321="Yes",MIN(2,IF('BMP P Tracking Table'!$AP321="Total Pervious",(-(3630*'BMP P Tracking Table'!$AO321+20.691*'BMP P Tracking Table'!$AU321)+SQRT((3630*'BMP P Tracking Table'!$AO321+20.691*'BMP P Tracking Table'!$AU321)^2-(4*(996.798*'BMP P Tracking Table'!$AU321)*-'BMP P Tracking Table'!$AW321)))/(2*(996.798*'BMP P Tracking Table'!$AU321)),IF(SUM('BMP P Tracking Table'!$AQ321:$AT321)=0,'BMP P Tracking Table'!$AU321/(-3630*'BMP P Tracking Table'!$AO321),(-(3630*'BMP P Tracking Table'!$AO321+20.691*'BMP P Tracking Table'!$AT321-216.711*'BMP P Tracking Table'!$AS321-83.853*'BMP P Tracking Table'!$AR321-42.834*'BMP P Tracking Table'!$AQ321)+SQRT((3630*'BMP P Tracking Table'!$AO321+20.691*'BMP P Tracking Table'!$AT321-216.711*'BMP P Tracking Table'!$AS321-83.853*'BMP P Tracking Table'!$AR321-42.834*'BMP P Tracking Table'!$AQ321)^2-(4*(149.919*'BMP P Tracking Table'!$AQ321+236.676*'BMP P Tracking Table'!$AR321+726*'BMP P Tracking Table'!$AS321+996.798*'BMP P Tracking Table'!$AT321)*-'BMP P Tracking Table'!$AW321)))/(2*(149.919*'BMP P Tracking Table'!$AQ321+236.676*'BMP P Tracking Table'!$AR321+726*'BMP P Tracking Table'!$AS321+996.798*'BMP P Tracking Table'!$AT321))))),MIN(2,IF('BMP P Tracking Table'!$AP321="Total Pervious",(-(3630*'BMP P Tracking Table'!$U321+20.691*'BMP P Tracking Table'!$AA321)+SQRT((3630*'BMP P Tracking Table'!$U321+20.691*'BMP P Tracking Table'!$AA321)^2-(4*(996.798*'BMP P Tracking Table'!$AA321)*-'BMP P Tracking Table'!$AW321)))/(2*(996.798*'BMP P Tracking Table'!$AA321)),IF(SUM('BMP P Tracking Table'!$W321:$Z321)=0,'BMP P Tracking Table'!$AW321/(-3630*'BMP P Tracking Table'!$U321),(-(3630*'BMP P Tracking Table'!$U321+20.691*'BMP P Tracking Table'!$Z321-216.711*'BMP P Tracking Table'!$Y321-83.853*'BMP P Tracking Table'!$X321-42.834*'BMP P Tracking Table'!$W321)+SQRT((3630*'BMP P Tracking Table'!$U321+20.691*'BMP P Tracking Table'!$Z321-216.711*'BMP P Tracking Table'!$Y321-83.853*'BMP P Tracking Table'!$X321-42.834*'BMP P Tracking Table'!$W321)^2-(4*(149.919*'BMP P Tracking Table'!$W321+236.676*'BMP P Tracking Table'!$X321+726*'BMP P Tracking Table'!$Y321+996.798*'BMP P Tracking Table'!$Z321)*-'BMP P Tracking Table'!$AW321)))/(2*(149.919*'BMP P Tracking Table'!$W321+236.676*'BMP P Tracking Table'!$X321+726*'BMP P Tracking Table'!$Y321+996.798*'BMP P Tracking Table'!$Z321)))))),"")</f>
        <v/>
      </c>
      <c r="BA321" s="101" t="str">
        <f>IFERROR((VLOOKUP(CONCATENATE('BMP P Tracking Table'!$AV321," ",'BMP P Tracking Table'!$AX321),'Performance Curves'!$C$1:$L$45,MATCH('BMP P Tracking Table'!$AZ321,'Performance Curves'!$E$1:$L$1,1)+2,FALSE)-VLOOKUP(CONCATENATE('BMP P Tracking Table'!$AV321," ",'BMP P Tracking Table'!$AX321),'Performance Curves'!$C$1:$L$45,MATCH('BMP P Tracking Table'!$AZ321,'Performance Curves'!$E$1:$L$1,1)+1,FALSE)),"")</f>
        <v/>
      </c>
      <c r="BB321" s="101" t="str">
        <f>IFERROR(('BMP P Tracking Table'!$AZ321-INDEX('Performance Curves'!$E$1:$L$1,1,MATCH('BMP P Tracking Table'!$AZ321,'Performance Curves'!$E$1:$L$1,1)))/(INDEX('Performance Curves'!$E$1:$L$1,1,MATCH('BMP P Tracking Table'!$AZ321,'Performance Curves'!$E$1:$L$1,1)+1)-INDEX('Performance Curves'!$E$1:$L$1,1,MATCH('BMP P Tracking Table'!$AZ321,'Performance Curves'!$E$1:$L$1,1))),"")</f>
        <v/>
      </c>
      <c r="BC321" s="102" t="str">
        <f>IFERROR(IF('BMP P Tracking Table'!$AZ321=2,VLOOKUP(CONCATENATE('BMP P Tracking Table'!$AV321," ",'BMP P Tracking Table'!$AX321),'Performance Curves'!$C$1:$L$44,MATCH('BMP P Tracking Table'!$AZ321,'Performance Curves'!$E$1:$L$1,1)+1,FALSE),'BMP P Tracking Table'!$BA321*'BMP P Tracking Table'!$BB321+VLOOKUP(CONCATENATE('BMP P Tracking Table'!$AV321," ",'BMP P Tracking Table'!$AX321),'Performance Curves'!$C$1:$L$44,MATCH('BMP P Tracking Table'!$AZ321,'Performance Curves'!$E$1:$L$1,1)+1,FALSE)),"")</f>
        <v/>
      </c>
      <c r="BD321" s="101" t="str">
        <f>IFERROR('BMP P Tracking Table'!$BC321*'BMP P Tracking Table'!$AY321,"")</f>
        <v/>
      </c>
      <c r="BE321" s="96"/>
      <c r="BF321" s="37">
        <f t="shared" si="21"/>
        <v>0</v>
      </c>
    </row>
    <row r="322" spans="1:58" x14ac:dyDescent="0.3">
      <c r="A322" s="64"/>
      <c r="B322" s="64"/>
      <c r="C322" s="64"/>
      <c r="D322" s="64"/>
      <c r="E322" s="93"/>
      <c r="F322" s="93"/>
      <c r="G322" s="64"/>
      <c r="H322" s="64"/>
      <c r="I322" s="64"/>
      <c r="J322" s="94"/>
      <c r="K322" s="64"/>
      <c r="L322" s="64"/>
      <c r="M322" s="64"/>
      <c r="N322" s="64"/>
      <c r="O322" s="64"/>
      <c r="P322" s="64"/>
      <c r="Q322" s="64" t="str">
        <f>IFERROR(VLOOKUP('BMP P Tracking Table'!$P322,Dropdowns!$C$2:$E$15,3,FALSE),"")</f>
        <v/>
      </c>
      <c r="R322" s="64" t="str">
        <f>IFERROR(VLOOKUP('BMP P Tracking Table'!$Q322,Dropdowns!$P$3:$Q$23,2,FALSE),"")</f>
        <v/>
      </c>
      <c r="S322" s="64"/>
      <c r="T322" s="64"/>
      <c r="U322" s="64"/>
      <c r="V322" s="64"/>
      <c r="W322" s="64"/>
      <c r="X322" s="64"/>
      <c r="Y322" s="64"/>
      <c r="Z322" s="64"/>
      <c r="AA322" s="64"/>
      <c r="AB322" s="95"/>
      <c r="AC322" s="64"/>
      <c r="AD322" s="101" t="str">
        <f>IFERROR('BMP P Tracking Table'!$U322*VLOOKUP('BMP P Tracking Table'!$Q322,'Loading Rates'!$B$1:$L$24,4,FALSE)+IF('BMP P Tracking Table'!$V322="By HSG",'BMP P Tracking Table'!$W322*VLOOKUP('BMP P Tracking Table'!$Q322,'Loading Rates'!$B$1:$L$24,6,FALSE)+'BMP P Tracking Table'!$X322*VLOOKUP('BMP P Tracking Table'!$Q322,'Loading Rates'!$B$1:$L$24,7,FALSE)+'BMP P Tracking Table'!$Y322*VLOOKUP('BMP P Tracking Table'!$Q322,'Loading Rates'!$B$1:$L$24,8,FALSE)+'BMP P Tracking Table'!$Z322*VLOOKUP('BMP P Tracking Table'!$Q322,'Loading Rates'!$B$1:$L$24,9,FALSE),'BMP P Tracking Table'!$AA322*VLOOKUP('BMP P Tracking Table'!$Q322,'Loading Rates'!$B$1:$L$24,10,FALSE)),"")</f>
        <v/>
      </c>
      <c r="AE322" s="101" t="str">
        <f>IFERROR(MIN(2,IF('BMP P Tracking Table'!$V322="Total Pervious",(-(3630*'BMP P Tracking Table'!$U322+20.691*'BMP P Tracking Table'!$AA322)+SQRT((3630*'BMP P Tracking Table'!$U322+20.691*'BMP P Tracking Table'!$AA322)^2-(4*(996.798*'BMP P Tracking Table'!$AA322)*-'BMP P Tracking Table'!$AB322)))/(2*(996.798*'BMP P Tracking Table'!$AA322)),IF(SUM('BMP P Tracking Table'!$W322:$Z322)=0,'BMP P Tracking Table'!$AB322/(-3630*'BMP P Tracking Table'!$U322),(-(3630*'BMP P Tracking Table'!$U322+20.691*'BMP P Tracking Table'!$Z322-216.711*'BMP P Tracking Table'!$Y322-83.853*'BMP P Tracking Table'!$X322-42.834*'BMP P Tracking Table'!$W322)+SQRT((3630*'BMP P Tracking Table'!$U322+20.691*'BMP P Tracking Table'!$Z322-216.711*'BMP P Tracking Table'!$Y322-83.853*'BMP P Tracking Table'!$X322-42.834*'BMP P Tracking Table'!$W322)^2-(4*(149.919*'BMP P Tracking Table'!$W322+236.676*'BMP P Tracking Table'!$X322+726*'BMP P Tracking Table'!$Y322+996.798*'BMP P Tracking Table'!$Z322)*-'BMP P Tracking Table'!$AB322)))/(2*(149.919*'BMP P Tracking Table'!$W322+236.676*'BMP P Tracking Table'!$X322+726*'BMP P Tracking Table'!$Y322+996.798*'BMP P Tracking Table'!$Z322))))),"")</f>
        <v/>
      </c>
      <c r="AF322" s="101" t="str">
        <f>IFERROR((VLOOKUP(CONCATENATE('BMP P Tracking Table'!$T322," ",'BMP P Tracking Table'!$AC322),'Performance Curves'!$C$1:$L$45,MATCH('BMP P Tracking Table'!$AE322,'Performance Curves'!$E$1:$L$1,1)+2,FALSE)-VLOOKUP(CONCATENATE('BMP P Tracking Table'!$T322," ",'BMP P Tracking Table'!$AC322),'Performance Curves'!$C$1:$L$45,MATCH('BMP P Tracking Table'!$AE322,'Performance Curves'!$E$1:$L$1,1)+1,FALSE)),"")</f>
        <v/>
      </c>
      <c r="AG322" s="101" t="str">
        <f>IFERROR(('BMP P Tracking Table'!$AE322-INDEX('Performance Curves'!$E$1:$L$1,1,MATCH('BMP P Tracking Table'!$AE322,'Performance Curves'!$E$1:$L$1,1)))/(INDEX('Performance Curves'!$E$1:$L$1,1,MATCH('BMP P Tracking Table'!$AE322,'Performance Curves'!$E$1:$L$1,1)+1)-INDEX('Performance Curves'!$E$1:$L$1,1,MATCH('BMP P Tracking Table'!$AE322,'Performance Curves'!$E$1:$L$1,1))),"")</f>
        <v/>
      </c>
      <c r="AH322" s="102" t="str">
        <f>IFERROR(IF('BMP P Tracking Table'!$AE322=2,VLOOKUP(CONCATENATE('BMP P Tracking Table'!$T322," ",'BMP P Tracking Table'!$AC322),'Performance Curves'!$C$1:$L$45,MATCH('BMP P Tracking Table'!$AE322,'Performance Curves'!$E$1:$L$1,1)+1,FALSE),'BMP P Tracking Table'!$AF322*'BMP P Tracking Table'!$AG322+VLOOKUP(CONCATENATE('BMP P Tracking Table'!$T322," ",'BMP P Tracking Table'!$AC322),'Performance Curves'!$C$1:$L$45,MATCH('BMP P Tracking Table'!$AE322,'Performance Curves'!$E$1:$L$1,1)+1,FALSE)),"")</f>
        <v/>
      </c>
      <c r="AI322" s="101" t="str">
        <f>IFERROR('BMP P Tracking Table'!$AH322*'BMP P Tracking Table'!$AD322,"")</f>
        <v/>
      </c>
      <c r="AJ322" s="64"/>
      <c r="AK322" s="96"/>
      <c r="AL322" s="96"/>
      <c r="AM322" s="63"/>
      <c r="AN322" s="99" t="str">
        <f t="shared" si="20"/>
        <v/>
      </c>
      <c r="AO322" s="96"/>
      <c r="AP322" s="96"/>
      <c r="AQ322" s="96"/>
      <c r="AR322" s="96"/>
      <c r="AS322" s="96"/>
      <c r="AT322" s="96"/>
      <c r="AU322" s="96"/>
      <c r="AV322" s="64"/>
      <c r="AW322" s="97"/>
      <c r="AX322" s="97"/>
      <c r="AY322" s="101" t="str">
        <f>IF('BMP P Tracking Table'!$AK322="Yes",IF('BMP P Tracking Table'!$AL322="No",'BMP P Tracking Table'!$U322*VLOOKUP('BMP P Tracking Table'!$Q322,'Loading Rates'!$B$1:$L$24,4,FALSE)+IF('BMP P Tracking Table'!$V322="By HSG",'BMP P Tracking Table'!$W322*VLOOKUP('BMP P Tracking Table'!$Q322,'Loading Rates'!$B$1:$L$24,6,FALSE)+'BMP P Tracking Table'!$X322*VLOOKUP('BMP P Tracking Table'!$Q322,'Loading Rates'!$B$1:$L$24,7,FALSE)+'BMP P Tracking Table'!$Y322*VLOOKUP('BMP P Tracking Table'!$Q322,'Loading Rates'!$B$1:$L$24,8,FALSE)+'BMP P Tracking Table'!$Z322*VLOOKUP('BMP P Tracking Table'!$Q322,'Loading Rates'!$B$1:$L$24,9,FALSE),'BMP P Tracking Table'!$AA322*VLOOKUP('BMP P Tracking Table'!$Q322,'Loading Rates'!$B$1:$L$24,10,FALSE)),'BMP P Tracking Table'!$AO322*VLOOKUP('BMP P Tracking Table'!$Q322,'Loading Rates'!$B$1:$L$24,4,FALSE)+IF('BMP P Tracking Table'!$AP322="By HSG",'BMP P Tracking Table'!$AQ322*VLOOKUP('BMP P Tracking Table'!$Q322,'Loading Rates'!$B$1:$L$24,6,FALSE)+'BMP P Tracking Table'!$AR322*VLOOKUP('BMP P Tracking Table'!$Q322,'Loading Rates'!$B$1:$L$24,7,FALSE)+'BMP P Tracking Table'!$AS322*VLOOKUP('BMP P Tracking Table'!$Q322,'Loading Rates'!$B$1:$L$24,8,FALSE)+'BMP P Tracking Table'!$AT322*VLOOKUP('BMP P Tracking Table'!$Q322,'Loading Rates'!$B$1:$L$24,9,FALSE),'BMP P Tracking Table'!$AU322*VLOOKUP('BMP P Tracking Table'!$Q322,'Loading Rates'!$B$1:$L$24,10,FALSE))),"")</f>
        <v/>
      </c>
      <c r="AZ322" s="101" t="str">
        <f>IFERROR(IF('BMP P Tracking Table'!$AL322="Yes",MIN(2,IF('BMP P Tracking Table'!$AP322="Total Pervious",(-(3630*'BMP P Tracking Table'!$AO322+20.691*'BMP P Tracking Table'!$AU322)+SQRT((3630*'BMP P Tracking Table'!$AO322+20.691*'BMP P Tracking Table'!$AU322)^2-(4*(996.798*'BMP P Tracking Table'!$AU322)*-'BMP P Tracking Table'!$AW322)))/(2*(996.798*'BMP P Tracking Table'!$AU322)),IF(SUM('BMP P Tracking Table'!$AQ322:$AT322)=0,'BMP P Tracking Table'!$AU322/(-3630*'BMP P Tracking Table'!$AO322),(-(3630*'BMP P Tracking Table'!$AO322+20.691*'BMP P Tracking Table'!$AT322-216.711*'BMP P Tracking Table'!$AS322-83.853*'BMP P Tracking Table'!$AR322-42.834*'BMP P Tracking Table'!$AQ322)+SQRT((3630*'BMP P Tracking Table'!$AO322+20.691*'BMP P Tracking Table'!$AT322-216.711*'BMP P Tracking Table'!$AS322-83.853*'BMP P Tracking Table'!$AR322-42.834*'BMP P Tracking Table'!$AQ322)^2-(4*(149.919*'BMP P Tracking Table'!$AQ322+236.676*'BMP P Tracking Table'!$AR322+726*'BMP P Tracking Table'!$AS322+996.798*'BMP P Tracking Table'!$AT322)*-'BMP P Tracking Table'!$AW322)))/(2*(149.919*'BMP P Tracking Table'!$AQ322+236.676*'BMP P Tracking Table'!$AR322+726*'BMP P Tracking Table'!$AS322+996.798*'BMP P Tracking Table'!$AT322))))),MIN(2,IF('BMP P Tracking Table'!$AP322="Total Pervious",(-(3630*'BMP P Tracking Table'!$U322+20.691*'BMP P Tracking Table'!$AA322)+SQRT((3630*'BMP P Tracking Table'!$U322+20.691*'BMP P Tracking Table'!$AA322)^2-(4*(996.798*'BMP P Tracking Table'!$AA322)*-'BMP P Tracking Table'!$AW322)))/(2*(996.798*'BMP P Tracking Table'!$AA322)),IF(SUM('BMP P Tracking Table'!$W322:$Z322)=0,'BMP P Tracking Table'!$AW322/(-3630*'BMP P Tracking Table'!$U322),(-(3630*'BMP P Tracking Table'!$U322+20.691*'BMP P Tracking Table'!$Z322-216.711*'BMP P Tracking Table'!$Y322-83.853*'BMP P Tracking Table'!$X322-42.834*'BMP P Tracking Table'!$W322)+SQRT((3630*'BMP P Tracking Table'!$U322+20.691*'BMP P Tracking Table'!$Z322-216.711*'BMP P Tracking Table'!$Y322-83.853*'BMP P Tracking Table'!$X322-42.834*'BMP P Tracking Table'!$W322)^2-(4*(149.919*'BMP P Tracking Table'!$W322+236.676*'BMP P Tracking Table'!$X322+726*'BMP P Tracking Table'!$Y322+996.798*'BMP P Tracking Table'!$Z322)*-'BMP P Tracking Table'!$AW322)))/(2*(149.919*'BMP P Tracking Table'!$W322+236.676*'BMP P Tracking Table'!$X322+726*'BMP P Tracking Table'!$Y322+996.798*'BMP P Tracking Table'!$Z322)))))),"")</f>
        <v/>
      </c>
      <c r="BA322" s="101" t="str">
        <f>IFERROR((VLOOKUP(CONCATENATE('BMP P Tracking Table'!$AV322," ",'BMP P Tracking Table'!$AX322),'Performance Curves'!$C$1:$L$45,MATCH('BMP P Tracking Table'!$AZ322,'Performance Curves'!$E$1:$L$1,1)+2,FALSE)-VLOOKUP(CONCATENATE('BMP P Tracking Table'!$AV322," ",'BMP P Tracking Table'!$AX322),'Performance Curves'!$C$1:$L$45,MATCH('BMP P Tracking Table'!$AZ322,'Performance Curves'!$E$1:$L$1,1)+1,FALSE)),"")</f>
        <v/>
      </c>
      <c r="BB322" s="101" t="str">
        <f>IFERROR(('BMP P Tracking Table'!$AZ322-INDEX('Performance Curves'!$E$1:$L$1,1,MATCH('BMP P Tracking Table'!$AZ322,'Performance Curves'!$E$1:$L$1,1)))/(INDEX('Performance Curves'!$E$1:$L$1,1,MATCH('BMP P Tracking Table'!$AZ322,'Performance Curves'!$E$1:$L$1,1)+1)-INDEX('Performance Curves'!$E$1:$L$1,1,MATCH('BMP P Tracking Table'!$AZ322,'Performance Curves'!$E$1:$L$1,1))),"")</f>
        <v/>
      </c>
      <c r="BC322" s="102" t="str">
        <f>IFERROR(IF('BMP P Tracking Table'!$AZ322=2,VLOOKUP(CONCATENATE('BMP P Tracking Table'!$AV322," ",'BMP P Tracking Table'!$AX322),'Performance Curves'!$C$1:$L$44,MATCH('BMP P Tracking Table'!$AZ322,'Performance Curves'!$E$1:$L$1,1)+1,FALSE),'BMP P Tracking Table'!$BA322*'BMP P Tracking Table'!$BB322+VLOOKUP(CONCATENATE('BMP P Tracking Table'!$AV322," ",'BMP P Tracking Table'!$AX322),'Performance Curves'!$C$1:$L$44,MATCH('BMP P Tracking Table'!$AZ322,'Performance Curves'!$E$1:$L$1,1)+1,FALSE)),"")</f>
        <v/>
      </c>
      <c r="BD322" s="101" t="str">
        <f>IFERROR('BMP P Tracking Table'!$BC322*'BMP P Tracking Table'!$AY322,"")</f>
        <v/>
      </c>
      <c r="BE322" s="96"/>
      <c r="BF322" s="37">
        <f t="shared" si="21"/>
        <v>0</v>
      </c>
    </row>
    <row r="323" spans="1:58" x14ac:dyDescent="0.3">
      <c r="A323" s="64"/>
      <c r="B323" s="64"/>
      <c r="C323" s="64"/>
      <c r="D323" s="64"/>
      <c r="E323" s="93"/>
      <c r="F323" s="93"/>
      <c r="G323" s="64"/>
      <c r="H323" s="64"/>
      <c r="I323" s="64"/>
      <c r="J323" s="94"/>
      <c r="K323" s="64"/>
      <c r="L323" s="64"/>
      <c r="M323" s="64"/>
      <c r="N323" s="64"/>
      <c r="O323" s="64"/>
      <c r="P323" s="64"/>
      <c r="Q323" s="64" t="str">
        <f>IFERROR(VLOOKUP('BMP P Tracking Table'!$P323,Dropdowns!$C$2:$E$15,3,FALSE),"")</f>
        <v/>
      </c>
      <c r="R323" s="64" t="str">
        <f>IFERROR(VLOOKUP('BMP P Tracking Table'!$Q323,Dropdowns!$P$3:$Q$23,2,FALSE),"")</f>
        <v/>
      </c>
      <c r="S323" s="64"/>
      <c r="T323" s="64"/>
      <c r="U323" s="64"/>
      <c r="V323" s="64"/>
      <c r="W323" s="64"/>
      <c r="X323" s="64"/>
      <c r="Y323" s="64"/>
      <c r="Z323" s="64"/>
      <c r="AA323" s="64"/>
      <c r="AB323" s="95"/>
      <c r="AC323" s="64"/>
      <c r="AD323" s="101" t="str">
        <f>IFERROR('BMP P Tracking Table'!$U323*VLOOKUP('BMP P Tracking Table'!$Q323,'Loading Rates'!$B$1:$L$24,4,FALSE)+IF('BMP P Tracking Table'!$V323="By HSG",'BMP P Tracking Table'!$W323*VLOOKUP('BMP P Tracking Table'!$Q323,'Loading Rates'!$B$1:$L$24,6,FALSE)+'BMP P Tracking Table'!$X323*VLOOKUP('BMP P Tracking Table'!$Q323,'Loading Rates'!$B$1:$L$24,7,FALSE)+'BMP P Tracking Table'!$Y323*VLOOKUP('BMP P Tracking Table'!$Q323,'Loading Rates'!$B$1:$L$24,8,FALSE)+'BMP P Tracking Table'!$Z323*VLOOKUP('BMP P Tracking Table'!$Q323,'Loading Rates'!$B$1:$L$24,9,FALSE),'BMP P Tracking Table'!$AA323*VLOOKUP('BMP P Tracking Table'!$Q323,'Loading Rates'!$B$1:$L$24,10,FALSE)),"")</f>
        <v/>
      </c>
      <c r="AE323" s="101" t="str">
        <f>IFERROR(MIN(2,IF('BMP P Tracking Table'!$V323="Total Pervious",(-(3630*'BMP P Tracking Table'!$U323+20.691*'BMP P Tracking Table'!$AA323)+SQRT((3630*'BMP P Tracking Table'!$U323+20.691*'BMP P Tracking Table'!$AA323)^2-(4*(996.798*'BMP P Tracking Table'!$AA323)*-'BMP P Tracking Table'!$AB323)))/(2*(996.798*'BMP P Tracking Table'!$AA323)),IF(SUM('BMP P Tracking Table'!$W323:$Z323)=0,'BMP P Tracking Table'!$AB323/(-3630*'BMP P Tracking Table'!$U323),(-(3630*'BMP P Tracking Table'!$U323+20.691*'BMP P Tracking Table'!$Z323-216.711*'BMP P Tracking Table'!$Y323-83.853*'BMP P Tracking Table'!$X323-42.834*'BMP P Tracking Table'!$W323)+SQRT((3630*'BMP P Tracking Table'!$U323+20.691*'BMP P Tracking Table'!$Z323-216.711*'BMP P Tracking Table'!$Y323-83.853*'BMP P Tracking Table'!$X323-42.834*'BMP P Tracking Table'!$W323)^2-(4*(149.919*'BMP P Tracking Table'!$W323+236.676*'BMP P Tracking Table'!$X323+726*'BMP P Tracking Table'!$Y323+996.798*'BMP P Tracking Table'!$Z323)*-'BMP P Tracking Table'!$AB323)))/(2*(149.919*'BMP P Tracking Table'!$W323+236.676*'BMP P Tracking Table'!$X323+726*'BMP P Tracking Table'!$Y323+996.798*'BMP P Tracking Table'!$Z323))))),"")</f>
        <v/>
      </c>
      <c r="AF323" s="101" t="str">
        <f>IFERROR((VLOOKUP(CONCATENATE('BMP P Tracking Table'!$T323," ",'BMP P Tracking Table'!$AC323),'Performance Curves'!$C$1:$L$45,MATCH('BMP P Tracking Table'!$AE323,'Performance Curves'!$E$1:$L$1,1)+2,FALSE)-VLOOKUP(CONCATENATE('BMP P Tracking Table'!$T323," ",'BMP P Tracking Table'!$AC323),'Performance Curves'!$C$1:$L$45,MATCH('BMP P Tracking Table'!$AE323,'Performance Curves'!$E$1:$L$1,1)+1,FALSE)),"")</f>
        <v/>
      </c>
      <c r="AG323" s="101" t="str">
        <f>IFERROR(('BMP P Tracking Table'!$AE323-INDEX('Performance Curves'!$E$1:$L$1,1,MATCH('BMP P Tracking Table'!$AE323,'Performance Curves'!$E$1:$L$1,1)))/(INDEX('Performance Curves'!$E$1:$L$1,1,MATCH('BMP P Tracking Table'!$AE323,'Performance Curves'!$E$1:$L$1,1)+1)-INDEX('Performance Curves'!$E$1:$L$1,1,MATCH('BMP P Tracking Table'!$AE323,'Performance Curves'!$E$1:$L$1,1))),"")</f>
        <v/>
      </c>
      <c r="AH323" s="102" t="str">
        <f>IFERROR(IF('BMP P Tracking Table'!$AE323=2,VLOOKUP(CONCATENATE('BMP P Tracking Table'!$T323," ",'BMP P Tracking Table'!$AC323),'Performance Curves'!$C$1:$L$45,MATCH('BMP P Tracking Table'!$AE323,'Performance Curves'!$E$1:$L$1,1)+1,FALSE),'BMP P Tracking Table'!$AF323*'BMP P Tracking Table'!$AG323+VLOOKUP(CONCATENATE('BMP P Tracking Table'!$T323," ",'BMP P Tracking Table'!$AC323),'Performance Curves'!$C$1:$L$45,MATCH('BMP P Tracking Table'!$AE323,'Performance Curves'!$E$1:$L$1,1)+1,FALSE)),"")</f>
        <v/>
      </c>
      <c r="AI323" s="101" t="str">
        <f>IFERROR('BMP P Tracking Table'!$AH323*'BMP P Tracking Table'!$AD323,"")</f>
        <v/>
      </c>
      <c r="AJ323" s="64"/>
      <c r="AK323" s="96"/>
      <c r="AL323" s="96"/>
      <c r="AM323" s="63"/>
      <c r="AN323" s="99" t="str">
        <f t="shared" si="20"/>
        <v/>
      </c>
      <c r="AO323" s="96"/>
      <c r="AP323" s="96"/>
      <c r="AQ323" s="96"/>
      <c r="AR323" s="96"/>
      <c r="AS323" s="96"/>
      <c r="AT323" s="96"/>
      <c r="AU323" s="96"/>
      <c r="AV323" s="64"/>
      <c r="AW323" s="97"/>
      <c r="AX323" s="97"/>
      <c r="AY323" s="101" t="str">
        <f>IF('BMP P Tracking Table'!$AK323="Yes",IF('BMP P Tracking Table'!$AL323="No",'BMP P Tracking Table'!$U323*VLOOKUP('BMP P Tracking Table'!$Q323,'Loading Rates'!$B$1:$L$24,4,FALSE)+IF('BMP P Tracking Table'!$V323="By HSG",'BMP P Tracking Table'!$W323*VLOOKUP('BMP P Tracking Table'!$Q323,'Loading Rates'!$B$1:$L$24,6,FALSE)+'BMP P Tracking Table'!$X323*VLOOKUP('BMP P Tracking Table'!$Q323,'Loading Rates'!$B$1:$L$24,7,FALSE)+'BMP P Tracking Table'!$Y323*VLOOKUP('BMP P Tracking Table'!$Q323,'Loading Rates'!$B$1:$L$24,8,FALSE)+'BMP P Tracking Table'!$Z323*VLOOKUP('BMP P Tracking Table'!$Q323,'Loading Rates'!$B$1:$L$24,9,FALSE),'BMP P Tracking Table'!$AA323*VLOOKUP('BMP P Tracking Table'!$Q323,'Loading Rates'!$B$1:$L$24,10,FALSE)),'BMP P Tracking Table'!$AO323*VLOOKUP('BMP P Tracking Table'!$Q323,'Loading Rates'!$B$1:$L$24,4,FALSE)+IF('BMP P Tracking Table'!$AP323="By HSG",'BMP P Tracking Table'!$AQ323*VLOOKUP('BMP P Tracking Table'!$Q323,'Loading Rates'!$B$1:$L$24,6,FALSE)+'BMP P Tracking Table'!$AR323*VLOOKUP('BMP P Tracking Table'!$Q323,'Loading Rates'!$B$1:$L$24,7,FALSE)+'BMP P Tracking Table'!$AS323*VLOOKUP('BMP P Tracking Table'!$Q323,'Loading Rates'!$B$1:$L$24,8,FALSE)+'BMP P Tracking Table'!$AT323*VLOOKUP('BMP P Tracking Table'!$Q323,'Loading Rates'!$B$1:$L$24,9,FALSE),'BMP P Tracking Table'!$AU323*VLOOKUP('BMP P Tracking Table'!$Q323,'Loading Rates'!$B$1:$L$24,10,FALSE))),"")</f>
        <v/>
      </c>
      <c r="AZ323" s="101" t="str">
        <f>IFERROR(IF('BMP P Tracking Table'!$AL323="Yes",MIN(2,IF('BMP P Tracking Table'!$AP323="Total Pervious",(-(3630*'BMP P Tracking Table'!$AO323+20.691*'BMP P Tracking Table'!$AU323)+SQRT((3630*'BMP P Tracking Table'!$AO323+20.691*'BMP P Tracking Table'!$AU323)^2-(4*(996.798*'BMP P Tracking Table'!$AU323)*-'BMP P Tracking Table'!$AW323)))/(2*(996.798*'BMP P Tracking Table'!$AU323)),IF(SUM('BMP P Tracking Table'!$AQ323:$AT323)=0,'BMP P Tracking Table'!$AU323/(-3630*'BMP P Tracking Table'!$AO323),(-(3630*'BMP P Tracking Table'!$AO323+20.691*'BMP P Tracking Table'!$AT323-216.711*'BMP P Tracking Table'!$AS323-83.853*'BMP P Tracking Table'!$AR323-42.834*'BMP P Tracking Table'!$AQ323)+SQRT((3630*'BMP P Tracking Table'!$AO323+20.691*'BMP P Tracking Table'!$AT323-216.711*'BMP P Tracking Table'!$AS323-83.853*'BMP P Tracking Table'!$AR323-42.834*'BMP P Tracking Table'!$AQ323)^2-(4*(149.919*'BMP P Tracking Table'!$AQ323+236.676*'BMP P Tracking Table'!$AR323+726*'BMP P Tracking Table'!$AS323+996.798*'BMP P Tracking Table'!$AT323)*-'BMP P Tracking Table'!$AW323)))/(2*(149.919*'BMP P Tracking Table'!$AQ323+236.676*'BMP P Tracking Table'!$AR323+726*'BMP P Tracking Table'!$AS323+996.798*'BMP P Tracking Table'!$AT323))))),MIN(2,IF('BMP P Tracking Table'!$AP323="Total Pervious",(-(3630*'BMP P Tracking Table'!$U323+20.691*'BMP P Tracking Table'!$AA323)+SQRT((3630*'BMP P Tracking Table'!$U323+20.691*'BMP P Tracking Table'!$AA323)^2-(4*(996.798*'BMP P Tracking Table'!$AA323)*-'BMP P Tracking Table'!$AW323)))/(2*(996.798*'BMP P Tracking Table'!$AA323)),IF(SUM('BMP P Tracking Table'!$W323:$Z323)=0,'BMP P Tracking Table'!$AW323/(-3630*'BMP P Tracking Table'!$U323),(-(3630*'BMP P Tracking Table'!$U323+20.691*'BMP P Tracking Table'!$Z323-216.711*'BMP P Tracking Table'!$Y323-83.853*'BMP P Tracking Table'!$X323-42.834*'BMP P Tracking Table'!$W323)+SQRT((3630*'BMP P Tracking Table'!$U323+20.691*'BMP P Tracking Table'!$Z323-216.711*'BMP P Tracking Table'!$Y323-83.853*'BMP P Tracking Table'!$X323-42.834*'BMP P Tracking Table'!$W323)^2-(4*(149.919*'BMP P Tracking Table'!$W323+236.676*'BMP P Tracking Table'!$X323+726*'BMP P Tracking Table'!$Y323+996.798*'BMP P Tracking Table'!$Z323)*-'BMP P Tracking Table'!$AW323)))/(2*(149.919*'BMP P Tracking Table'!$W323+236.676*'BMP P Tracking Table'!$X323+726*'BMP P Tracking Table'!$Y323+996.798*'BMP P Tracking Table'!$Z323)))))),"")</f>
        <v/>
      </c>
      <c r="BA323" s="101" t="str">
        <f>IFERROR((VLOOKUP(CONCATENATE('BMP P Tracking Table'!$AV323," ",'BMP P Tracking Table'!$AX323),'Performance Curves'!$C$1:$L$45,MATCH('BMP P Tracking Table'!$AZ323,'Performance Curves'!$E$1:$L$1,1)+2,FALSE)-VLOOKUP(CONCATENATE('BMP P Tracking Table'!$AV323," ",'BMP P Tracking Table'!$AX323),'Performance Curves'!$C$1:$L$45,MATCH('BMP P Tracking Table'!$AZ323,'Performance Curves'!$E$1:$L$1,1)+1,FALSE)),"")</f>
        <v/>
      </c>
      <c r="BB323" s="101" t="str">
        <f>IFERROR(('BMP P Tracking Table'!$AZ323-INDEX('Performance Curves'!$E$1:$L$1,1,MATCH('BMP P Tracking Table'!$AZ323,'Performance Curves'!$E$1:$L$1,1)))/(INDEX('Performance Curves'!$E$1:$L$1,1,MATCH('BMP P Tracking Table'!$AZ323,'Performance Curves'!$E$1:$L$1,1)+1)-INDEX('Performance Curves'!$E$1:$L$1,1,MATCH('BMP P Tracking Table'!$AZ323,'Performance Curves'!$E$1:$L$1,1))),"")</f>
        <v/>
      </c>
      <c r="BC323" s="102" t="str">
        <f>IFERROR(IF('BMP P Tracking Table'!$AZ323=2,VLOOKUP(CONCATENATE('BMP P Tracking Table'!$AV323," ",'BMP P Tracking Table'!$AX323),'Performance Curves'!$C$1:$L$44,MATCH('BMP P Tracking Table'!$AZ323,'Performance Curves'!$E$1:$L$1,1)+1,FALSE),'BMP P Tracking Table'!$BA323*'BMP P Tracking Table'!$BB323+VLOOKUP(CONCATENATE('BMP P Tracking Table'!$AV323," ",'BMP P Tracking Table'!$AX323),'Performance Curves'!$C$1:$L$44,MATCH('BMP P Tracking Table'!$AZ323,'Performance Curves'!$E$1:$L$1,1)+1,FALSE)),"")</f>
        <v/>
      </c>
      <c r="BD323" s="101" t="str">
        <f>IFERROR('BMP P Tracking Table'!$BC323*'BMP P Tracking Table'!$AY323,"")</f>
        <v/>
      </c>
      <c r="BE323" s="96"/>
      <c r="BF323" s="37">
        <f t="shared" si="21"/>
        <v>0</v>
      </c>
    </row>
    <row r="324" spans="1:58" x14ac:dyDescent="0.3">
      <c r="A324" s="64"/>
      <c r="B324" s="64"/>
      <c r="C324" s="64"/>
      <c r="D324" s="64"/>
      <c r="E324" s="93"/>
      <c r="F324" s="93"/>
      <c r="G324" s="64"/>
      <c r="H324" s="64"/>
      <c r="I324" s="64"/>
      <c r="J324" s="94"/>
      <c r="K324" s="64"/>
      <c r="L324" s="64"/>
      <c r="M324" s="64"/>
      <c r="N324" s="64"/>
      <c r="O324" s="64"/>
      <c r="P324" s="64"/>
      <c r="Q324" s="64" t="str">
        <f>IFERROR(VLOOKUP('BMP P Tracking Table'!$P324,Dropdowns!$C$2:$E$15,3,FALSE),"")</f>
        <v/>
      </c>
      <c r="R324" s="64" t="str">
        <f>IFERROR(VLOOKUP('BMP P Tracking Table'!$Q324,Dropdowns!$P$3:$Q$23,2,FALSE),"")</f>
        <v/>
      </c>
      <c r="S324" s="64"/>
      <c r="T324" s="64"/>
      <c r="U324" s="64"/>
      <c r="V324" s="64"/>
      <c r="W324" s="64"/>
      <c r="X324" s="64"/>
      <c r="Y324" s="64"/>
      <c r="Z324" s="64"/>
      <c r="AA324" s="64"/>
      <c r="AB324" s="95"/>
      <c r="AC324" s="64"/>
      <c r="AD324" s="101" t="str">
        <f>IFERROR('BMP P Tracking Table'!$U324*VLOOKUP('BMP P Tracking Table'!$Q324,'Loading Rates'!$B$1:$L$24,4,FALSE)+IF('BMP P Tracking Table'!$V324="By HSG",'BMP P Tracking Table'!$W324*VLOOKUP('BMP P Tracking Table'!$Q324,'Loading Rates'!$B$1:$L$24,6,FALSE)+'BMP P Tracking Table'!$X324*VLOOKUP('BMP P Tracking Table'!$Q324,'Loading Rates'!$B$1:$L$24,7,FALSE)+'BMP P Tracking Table'!$Y324*VLOOKUP('BMP P Tracking Table'!$Q324,'Loading Rates'!$B$1:$L$24,8,FALSE)+'BMP P Tracking Table'!$Z324*VLOOKUP('BMP P Tracking Table'!$Q324,'Loading Rates'!$B$1:$L$24,9,FALSE),'BMP P Tracking Table'!$AA324*VLOOKUP('BMP P Tracking Table'!$Q324,'Loading Rates'!$B$1:$L$24,10,FALSE)),"")</f>
        <v/>
      </c>
      <c r="AE324" s="101" t="str">
        <f>IFERROR(MIN(2,IF('BMP P Tracking Table'!$V324="Total Pervious",(-(3630*'BMP P Tracking Table'!$U324+20.691*'BMP P Tracking Table'!$AA324)+SQRT((3630*'BMP P Tracking Table'!$U324+20.691*'BMP P Tracking Table'!$AA324)^2-(4*(996.798*'BMP P Tracking Table'!$AA324)*-'BMP P Tracking Table'!$AB324)))/(2*(996.798*'BMP P Tracking Table'!$AA324)),IF(SUM('BMP P Tracking Table'!$W324:$Z324)=0,'BMP P Tracking Table'!$AB324/(-3630*'BMP P Tracking Table'!$U324),(-(3630*'BMP P Tracking Table'!$U324+20.691*'BMP P Tracking Table'!$Z324-216.711*'BMP P Tracking Table'!$Y324-83.853*'BMP P Tracking Table'!$X324-42.834*'BMP P Tracking Table'!$W324)+SQRT((3630*'BMP P Tracking Table'!$U324+20.691*'BMP P Tracking Table'!$Z324-216.711*'BMP P Tracking Table'!$Y324-83.853*'BMP P Tracking Table'!$X324-42.834*'BMP P Tracking Table'!$W324)^2-(4*(149.919*'BMP P Tracking Table'!$W324+236.676*'BMP P Tracking Table'!$X324+726*'BMP P Tracking Table'!$Y324+996.798*'BMP P Tracking Table'!$Z324)*-'BMP P Tracking Table'!$AB324)))/(2*(149.919*'BMP P Tracking Table'!$W324+236.676*'BMP P Tracking Table'!$X324+726*'BMP P Tracking Table'!$Y324+996.798*'BMP P Tracking Table'!$Z324))))),"")</f>
        <v/>
      </c>
      <c r="AF324" s="101" t="str">
        <f>IFERROR((VLOOKUP(CONCATENATE('BMP P Tracking Table'!$T324," ",'BMP P Tracking Table'!$AC324),'Performance Curves'!$C$1:$L$45,MATCH('BMP P Tracking Table'!$AE324,'Performance Curves'!$E$1:$L$1,1)+2,FALSE)-VLOOKUP(CONCATENATE('BMP P Tracking Table'!$T324," ",'BMP P Tracking Table'!$AC324),'Performance Curves'!$C$1:$L$45,MATCH('BMP P Tracking Table'!$AE324,'Performance Curves'!$E$1:$L$1,1)+1,FALSE)),"")</f>
        <v/>
      </c>
      <c r="AG324" s="101" t="str">
        <f>IFERROR(('BMP P Tracking Table'!$AE324-INDEX('Performance Curves'!$E$1:$L$1,1,MATCH('BMP P Tracking Table'!$AE324,'Performance Curves'!$E$1:$L$1,1)))/(INDEX('Performance Curves'!$E$1:$L$1,1,MATCH('BMP P Tracking Table'!$AE324,'Performance Curves'!$E$1:$L$1,1)+1)-INDEX('Performance Curves'!$E$1:$L$1,1,MATCH('BMP P Tracking Table'!$AE324,'Performance Curves'!$E$1:$L$1,1))),"")</f>
        <v/>
      </c>
      <c r="AH324" s="102" t="str">
        <f>IFERROR(IF('BMP P Tracking Table'!$AE324=2,VLOOKUP(CONCATENATE('BMP P Tracking Table'!$T324," ",'BMP P Tracking Table'!$AC324),'Performance Curves'!$C$1:$L$45,MATCH('BMP P Tracking Table'!$AE324,'Performance Curves'!$E$1:$L$1,1)+1,FALSE),'BMP P Tracking Table'!$AF324*'BMP P Tracking Table'!$AG324+VLOOKUP(CONCATENATE('BMP P Tracking Table'!$T324," ",'BMP P Tracking Table'!$AC324),'Performance Curves'!$C$1:$L$45,MATCH('BMP P Tracking Table'!$AE324,'Performance Curves'!$E$1:$L$1,1)+1,FALSE)),"")</f>
        <v/>
      </c>
      <c r="AI324" s="101" t="str">
        <f>IFERROR('BMP P Tracking Table'!$AH324*'BMP P Tracking Table'!$AD324,"")</f>
        <v/>
      </c>
      <c r="AJ324" s="64"/>
      <c r="AK324" s="96"/>
      <c r="AL324" s="96"/>
      <c r="AM324" s="63"/>
      <c r="AN324" s="99" t="str">
        <f t="shared" si="20"/>
        <v/>
      </c>
      <c r="AO324" s="96"/>
      <c r="AP324" s="96"/>
      <c r="AQ324" s="96"/>
      <c r="AR324" s="96"/>
      <c r="AS324" s="96"/>
      <c r="AT324" s="96"/>
      <c r="AU324" s="96"/>
      <c r="AV324" s="64"/>
      <c r="AW324" s="97"/>
      <c r="AX324" s="97"/>
      <c r="AY324" s="101" t="str">
        <f>IF('BMP P Tracking Table'!$AK324="Yes",IF('BMP P Tracking Table'!$AL324="No",'BMP P Tracking Table'!$U324*VLOOKUP('BMP P Tracking Table'!$Q324,'Loading Rates'!$B$1:$L$24,4,FALSE)+IF('BMP P Tracking Table'!$V324="By HSG",'BMP P Tracking Table'!$W324*VLOOKUP('BMP P Tracking Table'!$Q324,'Loading Rates'!$B$1:$L$24,6,FALSE)+'BMP P Tracking Table'!$X324*VLOOKUP('BMP P Tracking Table'!$Q324,'Loading Rates'!$B$1:$L$24,7,FALSE)+'BMP P Tracking Table'!$Y324*VLOOKUP('BMP P Tracking Table'!$Q324,'Loading Rates'!$B$1:$L$24,8,FALSE)+'BMP P Tracking Table'!$Z324*VLOOKUP('BMP P Tracking Table'!$Q324,'Loading Rates'!$B$1:$L$24,9,FALSE),'BMP P Tracking Table'!$AA324*VLOOKUP('BMP P Tracking Table'!$Q324,'Loading Rates'!$B$1:$L$24,10,FALSE)),'BMP P Tracking Table'!$AO324*VLOOKUP('BMP P Tracking Table'!$Q324,'Loading Rates'!$B$1:$L$24,4,FALSE)+IF('BMP P Tracking Table'!$AP324="By HSG",'BMP P Tracking Table'!$AQ324*VLOOKUP('BMP P Tracking Table'!$Q324,'Loading Rates'!$B$1:$L$24,6,FALSE)+'BMP P Tracking Table'!$AR324*VLOOKUP('BMP P Tracking Table'!$Q324,'Loading Rates'!$B$1:$L$24,7,FALSE)+'BMP P Tracking Table'!$AS324*VLOOKUP('BMP P Tracking Table'!$Q324,'Loading Rates'!$B$1:$L$24,8,FALSE)+'BMP P Tracking Table'!$AT324*VLOOKUP('BMP P Tracking Table'!$Q324,'Loading Rates'!$B$1:$L$24,9,FALSE),'BMP P Tracking Table'!$AU324*VLOOKUP('BMP P Tracking Table'!$Q324,'Loading Rates'!$B$1:$L$24,10,FALSE))),"")</f>
        <v/>
      </c>
      <c r="AZ324" s="101" t="str">
        <f>IFERROR(IF('BMP P Tracking Table'!$AL324="Yes",MIN(2,IF('BMP P Tracking Table'!$AP324="Total Pervious",(-(3630*'BMP P Tracking Table'!$AO324+20.691*'BMP P Tracking Table'!$AU324)+SQRT((3630*'BMP P Tracking Table'!$AO324+20.691*'BMP P Tracking Table'!$AU324)^2-(4*(996.798*'BMP P Tracking Table'!$AU324)*-'BMP P Tracking Table'!$AW324)))/(2*(996.798*'BMP P Tracking Table'!$AU324)),IF(SUM('BMP P Tracking Table'!$AQ324:$AT324)=0,'BMP P Tracking Table'!$AU324/(-3630*'BMP P Tracking Table'!$AO324),(-(3630*'BMP P Tracking Table'!$AO324+20.691*'BMP P Tracking Table'!$AT324-216.711*'BMP P Tracking Table'!$AS324-83.853*'BMP P Tracking Table'!$AR324-42.834*'BMP P Tracking Table'!$AQ324)+SQRT((3630*'BMP P Tracking Table'!$AO324+20.691*'BMP P Tracking Table'!$AT324-216.711*'BMP P Tracking Table'!$AS324-83.853*'BMP P Tracking Table'!$AR324-42.834*'BMP P Tracking Table'!$AQ324)^2-(4*(149.919*'BMP P Tracking Table'!$AQ324+236.676*'BMP P Tracking Table'!$AR324+726*'BMP P Tracking Table'!$AS324+996.798*'BMP P Tracking Table'!$AT324)*-'BMP P Tracking Table'!$AW324)))/(2*(149.919*'BMP P Tracking Table'!$AQ324+236.676*'BMP P Tracking Table'!$AR324+726*'BMP P Tracking Table'!$AS324+996.798*'BMP P Tracking Table'!$AT324))))),MIN(2,IF('BMP P Tracking Table'!$AP324="Total Pervious",(-(3630*'BMP P Tracking Table'!$U324+20.691*'BMP P Tracking Table'!$AA324)+SQRT((3630*'BMP P Tracking Table'!$U324+20.691*'BMP P Tracking Table'!$AA324)^2-(4*(996.798*'BMP P Tracking Table'!$AA324)*-'BMP P Tracking Table'!$AW324)))/(2*(996.798*'BMP P Tracking Table'!$AA324)),IF(SUM('BMP P Tracking Table'!$W324:$Z324)=0,'BMP P Tracking Table'!$AW324/(-3630*'BMP P Tracking Table'!$U324),(-(3630*'BMP P Tracking Table'!$U324+20.691*'BMP P Tracking Table'!$Z324-216.711*'BMP P Tracking Table'!$Y324-83.853*'BMP P Tracking Table'!$X324-42.834*'BMP P Tracking Table'!$W324)+SQRT((3630*'BMP P Tracking Table'!$U324+20.691*'BMP P Tracking Table'!$Z324-216.711*'BMP P Tracking Table'!$Y324-83.853*'BMP P Tracking Table'!$X324-42.834*'BMP P Tracking Table'!$W324)^2-(4*(149.919*'BMP P Tracking Table'!$W324+236.676*'BMP P Tracking Table'!$X324+726*'BMP P Tracking Table'!$Y324+996.798*'BMP P Tracking Table'!$Z324)*-'BMP P Tracking Table'!$AW324)))/(2*(149.919*'BMP P Tracking Table'!$W324+236.676*'BMP P Tracking Table'!$X324+726*'BMP P Tracking Table'!$Y324+996.798*'BMP P Tracking Table'!$Z324)))))),"")</f>
        <v/>
      </c>
      <c r="BA324" s="101" t="str">
        <f>IFERROR((VLOOKUP(CONCATENATE('BMP P Tracking Table'!$AV324," ",'BMP P Tracking Table'!$AX324),'Performance Curves'!$C$1:$L$45,MATCH('BMP P Tracking Table'!$AZ324,'Performance Curves'!$E$1:$L$1,1)+2,FALSE)-VLOOKUP(CONCATENATE('BMP P Tracking Table'!$AV324," ",'BMP P Tracking Table'!$AX324),'Performance Curves'!$C$1:$L$45,MATCH('BMP P Tracking Table'!$AZ324,'Performance Curves'!$E$1:$L$1,1)+1,FALSE)),"")</f>
        <v/>
      </c>
      <c r="BB324" s="101" t="str">
        <f>IFERROR(('BMP P Tracking Table'!$AZ324-INDEX('Performance Curves'!$E$1:$L$1,1,MATCH('BMP P Tracking Table'!$AZ324,'Performance Curves'!$E$1:$L$1,1)))/(INDEX('Performance Curves'!$E$1:$L$1,1,MATCH('BMP P Tracking Table'!$AZ324,'Performance Curves'!$E$1:$L$1,1)+1)-INDEX('Performance Curves'!$E$1:$L$1,1,MATCH('BMP P Tracking Table'!$AZ324,'Performance Curves'!$E$1:$L$1,1))),"")</f>
        <v/>
      </c>
      <c r="BC324" s="102" t="str">
        <f>IFERROR(IF('BMP P Tracking Table'!$AZ324=2,VLOOKUP(CONCATENATE('BMP P Tracking Table'!$AV324," ",'BMP P Tracking Table'!$AX324),'Performance Curves'!$C$1:$L$44,MATCH('BMP P Tracking Table'!$AZ324,'Performance Curves'!$E$1:$L$1,1)+1,FALSE),'BMP P Tracking Table'!$BA324*'BMP P Tracking Table'!$BB324+VLOOKUP(CONCATENATE('BMP P Tracking Table'!$AV324," ",'BMP P Tracking Table'!$AX324),'Performance Curves'!$C$1:$L$44,MATCH('BMP P Tracking Table'!$AZ324,'Performance Curves'!$E$1:$L$1,1)+1,FALSE)),"")</f>
        <v/>
      </c>
      <c r="BD324" s="101" t="str">
        <f>IFERROR('BMP P Tracking Table'!$BC324*'BMP P Tracking Table'!$AY324,"")</f>
        <v/>
      </c>
      <c r="BE324" s="96"/>
      <c r="BF324" s="37">
        <f t="shared" si="21"/>
        <v>0</v>
      </c>
    </row>
    <row r="325" spans="1:58" x14ac:dyDescent="0.3">
      <c r="A325" s="64"/>
      <c r="B325" s="64"/>
      <c r="C325" s="64"/>
      <c r="D325" s="64"/>
      <c r="E325" s="93"/>
      <c r="F325" s="93"/>
      <c r="G325" s="64"/>
      <c r="H325" s="64"/>
      <c r="I325" s="64"/>
      <c r="J325" s="94"/>
      <c r="K325" s="64"/>
      <c r="L325" s="64"/>
      <c r="M325" s="64"/>
      <c r="N325" s="64"/>
      <c r="O325" s="64"/>
      <c r="P325" s="64"/>
      <c r="Q325" s="64" t="str">
        <f>IFERROR(VLOOKUP('BMP P Tracking Table'!$P325,Dropdowns!$C$2:$E$15,3,FALSE),"")</f>
        <v/>
      </c>
      <c r="R325" s="64" t="str">
        <f>IFERROR(VLOOKUP('BMP P Tracking Table'!$Q325,Dropdowns!$P$3:$Q$23,2,FALSE),"")</f>
        <v/>
      </c>
      <c r="S325" s="64"/>
      <c r="T325" s="64"/>
      <c r="U325" s="64"/>
      <c r="V325" s="64"/>
      <c r="W325" s="64"/>
      <c r="X325" s="64"/>
      <c r="Y325" s="64"/>
      <c r="Z325" s="64"/>
      <c r="AA325" s="64"/>
      <c r="AB325" s="95"/>
      <c r="AC325" s="64"/>
      <c r="AD325" s="101" t="str">
        <f>IFERROR('BMP P Tracking Table'!$U325*VLOOKUP('BMP P Tracking Table'!$Q325,'Loading Rates'!$B$1:$L$24,4,FALSE)+IF('BMP P Tracking Table'!$V325="By HSG",'BMP P Tracking Table'!$W325*VLOOKUP('BMP P Tracking Table'!$Q325,'Loading Rates'!$B$1:$L$24,6,FALSE)+'BMP P Tracking Table'!$X325*VLOOKUP('BMP P Tracking Table'!$Q325,'Loading Rates'!$B$1:$L$24,7,FALSE)+'BMP P Tracking Table'!$Y325*VLOOKUP('BMP P Tracking Table'!$Q325,'Loading Rates'!$B$1:$L$24,8,FALSE)+'BMP P Tracking Table'!$Z325*VLOOKUP('BMP P Tracking Table'!$Q325,'Loading Rates'!$B$1:$L$24,9,FALSE),'BMP P Tracking Table'!$AA325*VLOOKUP('BMP P Tracking Table'!$Q325,'Loading Rates'!$B$1:$L$24,10,FALSE)),"")</f>
        <v/>
      </c>
      <c r="AE325" s="101" t="str">
        <f>IFERROR(MIN(2,IF('BMP P Tracking Table'!$V325="Total Pervious",(-(3630*'BMP P Tracking Table'!$U325+20.691*'BMP P Tracking Table'!$AA325)+SQRT((3630*'BMP P Tracking Table'!$U325+20.691*'BMP P Tracking Table'!$AA325)^2-(4*(996.798*'BMP P Tracking Table'!$AA325)*-'BMP P Tracking Table'!$AB325)))/(2*(996.798*'BMP P Tracking Table'!$AA325)),IF(SUM('BMP P Tracking Table'!$W325:$Z325)=0,'BMP P Tracking Table'!$AB325/(-3630*'BMP P Tracking Table'!$U325),(-(3630*'BMP P Tracking Table'!$U325+20.691*'BMP P Tracking Table'!$Z325-216.711*'BMP P Tracking Table'!$Y325-83.853*'BMP P Tracking Table'!$X325-42.834*'BMP P Tracking Table'!$W325)+SQRT((3630*'BMP P Tracking Table'!$U325+20.691*'BMP P Tracking Table'!$Z325-216.711*'BMP P Tracking Table'!$Y325-83.853*'BMP P Tracking Table'!$X325-42.834*'BMP P Tracking Table'!$W325)^2-(4*(149.919*'BMP P Tracking Table'!$W325+236.676*'BMP P Tracking Table'!$X325+726*'BMP P Tracking Table'!$Y325+996.798*'BMP P Tracking Table'!$Z325)*-'BMP P Tracking Table'!$AB325)))/(2*(149.919*'BMP P Tracking Table'!$W325+236.676*'BMP P Tracking Table'!$X325+726*'BMP P Tracking Table'!$Y325+996.798*'BMP P Tracking Table'!$Z325))))),"")</f>
        <v/>
      </c>
      <c r="AF325" s="101" t="str">
        <f>IFERROR((VLOOKUP(CONCATENATE('BMP P Tracking Table'!$T325," ",'BMP P Tracking Table'!$AC325),'Performance Curves'!$C$1:$L$45,MATCH('BMP P Tracking Table'!$AE325,'Performance Curves'!$E$1:$L$1,1)+2,FALSE)-VLOOKUP(CONCATENATE('BMP P Tracking Table'!$T325," ",'BMP P Tracking Table'!$AC325),'Performance Curves'!$C$1:$L$45,MATCH('BMP P Tracking Table'!$AE325,'Performance Curves'!$E$1:$L$1,1)+1,FALSE)),"")</f>
        <v/>
      </c>
      <c r="AG325" s="101" t="str">
        <f>IFERROR(('BMP P Tracking Table'!$AE325-INDEX('Performance Curves'!$E$1:$L$1,1,MATCH('BMP P Tracking Table'!$AE325,'Performance Curves'!$E$1:$L$1,1)))/(INDEX('Performance Curves'!$E$1:$L$1,1,MATCH('BMP P Tracking Table'!$AE325,'Performance Curves'!$E$1:$L$1,1)+1)-INDEX('Performance Curves'!$E$1:$L$1,1,MATCH('BMP P Tracking Table'!$AE325,'Performance Curves'!$E$1:$L$1,1))),"")</f>
        <v/>
      </c>
      <c r="AH325" s="102" t="str">
        <f>IFERROR(IF('BMP P Tracking Table'!$AE325=2,VLOOKUP(CONCATENATE('BMP P Tracking Table'!$T325," ",'BMP P Tracking Table'!$AC325),'Performance Curves'!$C$1:$L$45,MATCH('BMP P Tracking Table'!$AE325,'Performance Curves'!$E$1:$L$1,1)+1,FALSE),'BMP P Tracking Table'!$AF325*'BMP P Tracking Table'!$AG325+VLOOKUP(CONCATENATE('BMP P Tracking Table'!$T325," ",'BMP P Tracking Table'!$AC325),'Performance Curves'!$C$1:$L$45,MATCH('BMP P Tracking Table'!$AE325,'Performance Curves'!$E$1:$L$1,1)+1,FALSE)),"")</f>
        <v/>
      </c>
      <c r="AI325" s="101" t="str">
        <f>IFERROR('BMP P Tracking Table'!$AH325*'BMP P Tracking Table'!$AD325,"")</f>
        <v/>
      </c>
      <c r="AJ325" s="64"/>
      <c r="AK325" s="96"/>
      <c r="AL325" s="96"/>
      <c r="AM325" s="63"/>
      <c r="AN325" s="99" t="str">
        <f t="shared" si="20"/>
        <v/>
      </c>
      <c r="AO325" s="96"/>
      <c r="AP325" s="96"/>
      <c r="AQ325" s="96"/>
      <c r="AR325" s="96"/>
      <c r="AS325" s="96"/>
      <c r="AT325" s="96"/>
      <c r="AU325" s="96"/>
      <c r="AV325" s="64"/>
      <c r="AW325" s="97"/>
      <c r="AX325" s="97"/>
      <c r="AY325" s="101" t="str">
        <f>IF('BMP P Tracking Table'!$AK325="Yes",IF('BMP P Tracking Table'!$AL325="No",'BMP P Tracking Table'!$U325*VLOOKUP('BMP P Tracking Table'!$Q325,'Loading Rates'!$B$1:$L$24,4,FALSE)+IF('BMP P Tracking Table'!$V325="By HSG",'BMP P Tracking Table'!$W325*VLOOKUP('BMP P Tracking Table'!$Q325,'Loading Rates'!$B$1:$L$24,6,FALSE)+'BMP P Tracking Table'!$X325*VLOOKUP('BMP P Tracking Table'!$Q325,'Loading Rates'!$B$1:$L$24,7,FALSE)+'BMP P Tracking Table'!$Y325*VLOOKUP('BMP P Tracking Table'!$Q325,'Loading Rates'!$B$1:$L$24,8,FALSE)+'BMP P Tracking Table'!$Z325*VLOOKUP('BMP P Tracking Table'!$Q325,'Loading Rates'!$B$1:$L$24,9,FALSE),'BMP P Tracking Table'!$AA325*VLOOKUP('BMP P Tracking Table'!$Q325,'Loading Rates'!$B$1:$L$24,10,FALSE)),'BMP P Tracking Table'!$AO325*VLOOKUP('BMP P Tracking Table'!$Q325,'Loading Rates'!$B$1:$L$24,4,FALSE)+IF('BMP P Tracking Table'!$AP325="By HSG",'BMP P Tracking Table'!$AQ325*VLOOKUP('BMP P Tracking Table'!$Q325,'Loading Rates'!$B$1:$L$24,6,FALSE)+'BMP P Tracking Table'!$AR325*VLOOKUP('BMP P Tracking Table'!$Q325,'Loading Rates'!$B$1:$L$24,7,FALSE)+'BMP P Tracking Table'!$AS325*VLOOKUP('BMP P Tracking Table'!$Q325,'Loading Rates'!$B$1:$L$24,8,FALSE)+'BMP P Tracking Table'!$AT325*VLOOKUP('BMP P Tracking Table'!$Q325,'Loading Rates'!$B$1:$L$24,9,FALSE),'BMP P Tracking Table'!$AU325*VLOOKUP('BMP P Tracking Table'!$Q325,'Loading Rates'!$B$1:$L$24,10,FALSE))),"")</f>
        <v/>
      </c>
      <c r="AZ325" s="101" t="str">
        <f>IFERROR(IF('BMP P Tracking Table'!$AL325="Yes",MIN(2,IF('BMP P Tracking Table'!$AP325="Total Pervious",(-(3630*'BMP P Tracking Table'!$AO325+20.691*'BMP P Tracking Table'!$AU325)+SQRT((3630*'BMP P Tracking Table'!$AO325+20.691*'BMP P Tracking Table'!$AU325)^2-(4*(996.798*'BMP P Tracking Table'!$AU325)*-'BMP P Tracking Table'!$AW325)))/(2*(996.798*'BMP P Tracking Table'!$AU325)),IF(SUM('BMP P Tracking Table'!$AQ325:$AT325)=0,'BMP P Tracking Table'!$AU325/(-3630*'BMP P Tracking Table'!$AO325),(-(3630*'BMP P Tracking Table'!$AO325+20.691*'BMP P Tracking Table'!$AT325-216.711*'BMP P Tracking Table'!$AS325-83.853*'BMP P Tracking Table'!$AR325-42.834*'BMP P Tracking Table'!$AQ325)+SQRT((3630*'BMP P Tracking Table'!$AO325+20.691*'BMP P Tracking Table'!$AT325-216.711*'BMP P Tracking Table'!$AS325-83.853*'BMP P Tracking Table'!$AR325-42.834*'BMP P Tracking Table'!$AQ325)^2-(4*(149.919*'BMP P Tracking Table'!$AQ325+236.676*'BMP P Tracking Table'!$AR325+726*'BMP P Tracking Table'!$AS325+996.798*'BMP P Tracking Table'!$AT325)*-'BMP P Tracking Table'!$AW325)))/(2*(149.919*'BMP P Tracking Table'!$AQ325+236.676*'BMP P Tracking Table'!$AR325+726*'BMP P Tracking Table'!$AS325+996.798*'BMP P Tracking Table'!$AT325))))),MIN(2,IF('BMP P Tracking Table'!$AP325="Total Pervious",(-(3630*'BMP P Tracking Table'!$U325+20.691*'BMP P Tracking Table'!$AA325)+SQRT((3630*'BMP P Tracking Table'!$U325+20.691*'BMP P Tracking Table'!$AA325)^2-(4*(996.798*'BMP P Tracking Table'!$AA325)*-'BMP P Tracking Table'!$AW325)))/(2*(996.798*'BMP P Tracking Table'!$AA325)),IF(SUM('BMP P Tracking Table'!$W325:$Z325)=0,'BMP P Tracking Table'!$AW325/(-3630*'BMP P Tracking Table'!$U325),(-(3630*'BMP P Tracking Table'!$U325+20.691*'BMP P Tracking Table'!$Z325-216.711*'BMP P Tracking Table'!$Y325-83.853*'BMP P Tracking Table'!$X325-42.834*'BMP P Tracking Table'!$W325)+SQRT((3630*'BMP P Tracking Table'!$U325+20.691*'BMP P Tracking Table'!$Z325-216.711*'BMP P Tracking Table'!$Y325-83.853*'BMP P Tracking Table'!$X325-42.834*'BMP P Tracking Table'!$W325)^2-(4*(149.919*'BMP P Tracking Table'!$W325+236.676*'BMP P Tracking Table'!$X325+726*'BMP P Tracking Table'!$Y325+996.798*'BMP P Tracking Table'!$Z325)*-'BMP P Tracking Table'!$AW325)))/(2*(149.919*'BMP P Tracking Table'!$W325+236.676*'BMP P Tracking Table'!$X325+726*'BMP P Tracking Table'!$Y325+996.798*'BMP P Tracking Table'!$Z325)))))),"")</f>
        <v/>
      </c>
      <c r="BA325" s="101" t="str">
        <f>IFERROR((VLOOKUP(CONCATENATE('BMP P Tracking Table'!$AV325," ",'BMP P Tracking Table'!$AX325),'Performance Curves'!$C$1:$L$45,MATCH('BMP P Tracking Table'!$AZ325,'Performance Curves'!$E$1:$L$1,1)+2,FALSE)-VLOOKUP(CONCATENATE('BMP P Tracking Table'!$AV325," ",'BMP P Tracking Table'!$AX325),'Performance Curves'!$C$1:$L$45,MATCH('BMP P Tracking Table'!$AZ325,'Performance Curves'!$E$1:$L$1,1)+1,FALSE)),"")</f>
        <v/>
      </c>
      <c r="BB325" s="101" t="str">
        <f>IFERROR(('BMP P Tracking Table'!$AZ325-INDEX('Performance Curves'!$E$1:$L$1,1,MATCH('BMP P Tracking Table'!$AZ325,'Performance Curves'!$E$1:$L$1,1)))/(INDEX('Performance Curves'!$E$1:$L$1,1,MATCH('BMP P Tracking Table'!$AZ325,'Performance Curves'!$E$1:$L$1,1)+1)-INDEX('Performance Curves'!$E$1:$L$1,1,MATCH('BMP P Tracking Table'!$AZ325,'Performance Curves'!$E$1:$L$1,1))),"")</f>
        <v/>
      </c>
      <c r="BC325" s="102" t="str">
        <f>IFERROR(IF('BMP P Tracking Table'!$AZ325=2,VLOOKUP(CONCATENATE('BMP P Tracking Table'!$AV325," ",'BMP P Tracking Table'!$AX325),'Performance Curves'!$C$1:$L$44,MATCH('BMP P Tracking Table'!$AZ325,'Performance Curves'!$E$1:$L$1,1)+1,FALSE),'BMP P Tracking Table'!$BA325*'BMP P Tracking Table'!$BB325+VLOOKUP(CONCATENATE('BMP P Tracking Table'!$AV325," ",'BMP P Tracking Table'!$AX325),'Performance Curves'!$C$1:$L$44,MATCH('BMP P Tracking Table'!$AZ325,'Performance Curves'!$E$1:$L$1,1)+1,FALSE)),"")</f>
        <v/>
      </c>
      <c r="BD325" s="101" t="str">
        <f>IFERROR('BMP P Tracking Table'!$BC325*'BMP P Tracking Table'!$AY325,"")</f>
        <v/>
      </c>
      <c r="BE325" s="96"/>
      <c r="BF325" s="37">
        <f t="shared" si="21"/>
        <v>0</v>
      </c>
    </row>
    <row r="326" spans="1:58" x14ac:dyDescent="0.3">
      <c r="A326" s="64"/>
      <c r="B326" s="64"/>
      <c r="C326" s="64"/>
      <c r="D326" s="64"/>
      <c r="E326" s="93"/>
      <c r="F326" s="93"/>
      <c r="G326" s="64"/>
      <c r="H326" s="64"/>
      <c r="I326" s="64"/>
      <c r="J326" s="94"/>
      <c r="K326" s="64"/>
      <c r="L326" s="64"/>
      <c r="M326" s="64"/>
      <c r="N326" s="64"/>
      <c r="O326" s="64"/>
      <c r="P326" s="64"/>
      <c r="Q326" s="64" t="str">
        <f>IFERROR(VLOOKUP('BMP P Tracking Table'!$P326,Dropdowns!$C$2:$E$15,3,FALSE),"")</f>
        <v/>
      </c>
      <c r="R326" s="64" t="str">
        <f>IFERROR(VLOOKUP('BMP P Tracking Table'!$Q326,Dropdowns!$P$3:$Q$23,2,FALSE),"")</f>
        <v/>
      </c>
      <c r="S326" s="64"/>
      <c r="T326" s="64"/>
      <c r="U326" s="64"/>
      <c r="V326" s="64"/>
      <c r="W326" s="64"/>
      <c r="X326" s="64"/>
      <c r="Y326" s="64"/>
      <c r="Z326" s="64"/>
      <c r="AA326" s="64"/>
      <c r="AB326" s="95"/>
      <c r="AC326" s="64"/>
      <c r="AD326" s="101" t="str">
        <f>IFERROR('BMP P Tracking Table'!$U326*VLOOKUP('BMP P Tracking Table'!$Q326,'Loading Rates'!$B$1:$L$24,4,FALSE)+IF('BMP P Tracking Table'!$V326="By HSG",'BMP P Tracking Table'!$W326*VLOOKUP('BMP P Tracking Table'!$Q326,'Loading Rates'!$B$1:$L$24,6,FALSE)+'BMP P Tracking Table'!$X326*VLOOKUP('BMP P Tracking Table'!$Q326,'Loading Rates'!$B$1:$L$24,7,FALSE)+'BMP P Tracking Table'!$Y326*VLOOKUP('BMP P Tracking Table'!$Q326,'Loading Rates'!$B$1:$L$24,8,FALSE)+'BMP P Tracking Table'!$Z326*VLOOKUP('BMP P Tracking Table'!$Q326,'Loading Rates'!$B$1:$L$24,9,FALSE),'BMP P Tracking Table'!$AA326*VLOOKUP('BMP P Tracking Table'!$Q326,'Loading Rates'!$B$1:$L$24,10,FALSE)),"")</f>
        <v/>
      </c>
      <c r="AE326" s="101" t="str">
        <f>IFERROR(MIN(2,IF('BMP P Tracking Table'!$V326="Total Pervious",(-(3630*'BMP P Tracking Table'!$U326+20.691*'BMP P Tracking Table'!$AA326)+SQRT((3630*'BMP P Tracking Table'!$U326+20.691*'BMP P Tracking Table'!$AA326)^2-(4*(996.798*'BMP P Tracking Table'!$AA326)*-'BMP P Tracking Table'!$AB326)))/(2*(996.798*'BMP P Tracking Table'!$AA326)),IF(SUM('BMP P Tracking Table'!$W326:$Z326)=0,'BMP P Tracking Table'!$AB326/(-3630*'BMP P Tracking Table'!$U326),(-(3630*'BMP P Tracking Table'!$U326+20.691*'BMP P Tracking Table'!$Z326-216.711*'BMP P Tracking Table'!$Y326-83.853*'BMP P Tracking Table'!$X326-42.834*'BMP P Tracking Table'!$W326)+SQRT((3630*'BMP P Tracking Table'!$U326+20.691*'BMP P Tracking Table'!$Z326-216.711*'BMP P Tracking Table'!$Y326-83.853*'BMP P Tracking Table'!$X326-42.834*'BMP P Tracking Table'!$W326)^2-(4*(149.919*'BMP P Tracking Table'!$W326+236.676*'BMP P Tracking Table'!$X326+726*'BMP P Tracking Table'!$Y326+996.798*'BMP P Tracking Table'!$Z326)*-'BMP P Tracking Table'!$AB326)))/(2*(149.919*'BMP P Tracking Table'!$W326+236.676*'BMP P Tracking Table'!$X326+726*'BMP P Tracking Table'!$Y326+996.798*'BMP P Tracking Table'!$Z326))))),"")</f>
        <v/>
      </c>
      <c r="AF326" s="101" t="str">
        <f>IFERROR((VLOOKUP(CONCATENATE('BMP P Tracking Table'!$T326," ",'BMP P Tracking Table'!$AC326),'Performance Curves'!$C$1:$L$45,MATCH('BMP P Tracking Table'!$AE326,'Performance Curves'!$E$1:$L$1,1)+2,FALSE)-VLOOKUP(CONCATENATE('BMP P Tracking Table'!$T326," ",'BMP P Tracking Table'!$AC326),'Performance Curves'!$C$1:$L$45,MATCH('BMP P Tracking Table'!$AE326,'Performance Curves'!$E$1:$L$1,1)+1,FALSE)),"")</f>
        <v/>
      </c>
      <c r="AG326" s="101" t="str">
        <f>IFERROR(('BMP P Tracking Table'!$AE326-INDEX('Performance Curves'!$E$1:$L$1,1,MATCH('BMP P Tracking Table'!$AE326,'Performance Curves'!$E$1:$L$1,1)))/(INDEX('Performance Curves'!$E$1:$L$1,1,MATCH('BMP P Tracking Table'!$AE326,'Performance Curves'!$E$1:$L$1,1)+1)-INDEX('Performance Curves'!$E$1:$L$1,1,MATCH('BMP P Tracking Table'!$AE326,'Performance Curves'!$E$1:$L$1,1))),"")</f>
        <v/>
      </c>
      <c r="AH326" s="102" t="str">
        <f>IFERROR(IF('BMP P Tracking Table'!$AE326=2,VLOOKUP(CONCATENATE('BMP P Tracking Table'!$T326," ",'BMP P Tracking Table'!$AC326),'Performance Curves'!$C$1:$L$45,MATCH('BMP P Tracking Table'!$AE326,'Performance Curves'!$E$1:$L$1,1)+1,FALSE),'BMP P Tracking Table'!$AF326*'BMP P Tracking Table'!$AG326+VLOOKUP(CONCATENATE('BMP P Tracking Table'!$T326," ",'BMP P Tracking Table'!$AC326),'Performance Curves'!$C$1:$L$45,MATCH('BMP P Tracking Table'!$AE326,'Performance Curves'!$E$1:$L$1,1)+1,FALSE)),"")</f>
        <v/>
      </c>
      <c r="AI326" s="101" t="str">
        <f>IFERROR('BMP P Tracking Table'!$AH326*'BMP P Tracking Table'!$AD326,"")</f>
        <v/>
      </c>
      <c r="AJ326" s="64"/>
      <c r="AK326" s="96"/>
      <c r="AL326" s="96"/>
      <c r="AM326" s="63"/>
      <c r="AN326" s="99" t="str">
        <f t="shared" si="20"/>
        <v/>
      </c>
      <c r="AO326" s="96"/>
      <c r="AP326" s="96"/>
      <c r="AQ326" s="96"/>
      <c r="AR326" s="96"/>
      <c r="AS326" s="96"/>
      <c r="AT326" s="96"/>
      <c r="AU326" s="96"/>
      <c r="AV326" s="64"/>
      <c r="AW326" s="97"/>
      <c r="AX326" s="97"/>
      <c r="AY326" s="101" t="str">
        <f>IF('BMP P Tracking Table'!$AK326="Yes",IF('BMP P Tracking Table'!$AL326="No",'BMP P Tracking Table'!$U326*VLOOKUP('BMP P Tracking Table'!$Q326,'Loading Rates'!$B$1:$L$24,4,FALSE)+IF('BMP P Tracking Table'!$V326="By HSG",'BMP P Tracking Table'!$W326*VLOOKUP('BMP P Tracking Table'!$Q326,'Loading Rates'!$B$1:$L$24,6,FALSE)+'BMP P Tracking Table'!$X326*VLOOKUP('BMP P Tracking Table'!$Q326,'Loading Rates'!$B$1:$L$24,7,FALSE)+'BMP P Tracking Table'!$Y326*VLOOKUP('BMP P Tracking Table'!$Q326,'Loading Rates'!$B$1:$L$24,8,FALSE)+'BMP P Tracking Table'!$Z326*VLOOKUP('BMP P Tracking Table'!$Q326,'Loading Rates'!$B$1:$L$24,9,FALSE),'BMP P Tracking Table'!$AA326*VLOOKUP('BMP P Tracking Table'!$Q326,'Loading Rates'!$B$1:$L$24,10,FALSE)),'BMP P Tracking Table'!$AO326*VLOOKUP('BMP P Tracking Table'!$Q326,'Loading Rates'!$B$1:$L$24,4,FALSE)+IF('BMP P Tracking Table'!$AP326="By HSG",'BMP P Tracking Table'!$AQ326*VLOOKUP('BMP P Tracking Table'!$Q326,'Loading Rates'!$B$1:$L$24,6,FALSE)+'BMP P Tracking Table'!$AR326*VLOOKUP('BMP P Tracking Table'!$Q326,'Loading Rates'!$B$1:$L$24,7,FALSE)+'BMP P Tracking Table'!$AS326*VLOOKUP('BMP P Tracking Table'!$Q326,'Loading Rates'!$B$1:$L$24,8,FALSE)+'BMP P Tracking Table'!$AT326*VLOOKUP('BMP P Tracking Table'!$Q326,'Loading Rates'!$B$1:$L$24,9,FALSE),'BMP P Tracking Table'!$AU326*VLOOKUP('BMP P Tracking Table'!$Q326,'Loading Rates'!$B$1:$L$24,10,FALSE))),"")</f>
        <v/>
      </c>
      <c r="AZ326" s="101" t="str">
        <f>IFERROR(IF('BMP P Tracking Table'!$AL326="Yes",MIN(2,IF('BMP P Tracking Table'!$AP326="Total Pervious",(-(3630*'BMP P Tracking Table'!$AO326+20.691*'BMP P Tracking Table'!$AU326)+SQRT((3630*'BMP P Tracking Table'!$AO326+20.691*'BMP P Tracking Table'!$AU326)^2-(4*(996.798*'BMP P Tracking Table'!$AU326)*-'BMP P Tracking Table'!$AW326)))/(2*(996.798*'BMP P Tracking Table'!$AU326)),IF(SUM('BMP P Tracking Table'!$AQ326:$AT326)=0,'BMP P Tracking Table'!$AU326/(-3630*'BMP P Tracking Table'!$AO326),(-(3630*'BMP P Tracking Table'!$AO326+20.691*'BMP P Tracking Table'!$AT326-216.711*'BMP P Tracking Table'!$AS326-83.853*'BMP P Tracking Table'!$AR326-42.834*'BMP P Tracking Table'!$AQ326)+SQRT((3630*'BMP P Tracking Table'!$AO326+20.691*'BMP P Tracking Table'!$AT326-216.711*'BMP P Tracking Table'!$AS326-83.853*'BMP P Tracking Table'!$AR326-42.834*'BMP P Tracking Table'!$AQ326)^2-(4*(149.919*'BMP P Tracking Table'!$AQ326+236.676*'BMP P Tracking Table'!$AR326+726*'BMP P Tracking Table'!$AS326+996.798*'BMP P Tracking Table'!$AT326)*-'BMP P Tracking Table'!$AW326)))/(2*(149.919*'BMP P Tracking Table'!$AQ326+236.676*'BMP P Tracking Table'!$AR326+726*'BMP P Tracking Table'!$AS326+996.798*'BMP P Tracking Table'!$AT326))))),MIN(2,IF('BMP P Tracking Table'!$AP326="Total Pervious",(-(3630*'BMP P Tracking Table'!$U326+20.691*'BMP P Tracking Table'!$AA326)+SQRT((3630*'BMP P Tracking Table'!$U326+20.691*'BMP P Tracking Table'!$AA326)^2-(4*(996.798*'BMP P Tracking Table'!$AA326)*-'BMP P Tracking Table'!$AW326)))/(2*(996.798*'BMP P Tracking Table'!$AA326)),IF(SUM('BMP P Tracking Table'!$W326:$Z326)=0,'BMP P Tracking Table'!$AW326/(-3630*'BMP P Tracking Table'!$U326),(-(3630*'BMP P Tracking Table'!$U326+20.691*'BMP P Tracking Table'!$Z326-216.711*'BMP P Tracking Table'!$Y326-83.853*'BMP P Tracking Table'!$X326-42.834*'BMP P Tracking Table'!$W326)+SQRT((3630*'BMP P Tracking Table'!$U326+20.691*'BMP P Tracking Table'!$Z326-216.711*'BMP P Tracking Table'!$Y326-83.853*'BMP P Tracking Table'!$X326-42.834*'BMP P Tracking Table'!$W326)^2-(4*(149.919*'BMP P Tracking Table'!$W326+236.676*'BMP P Tracking Table'!$X326+726*'BMP P Tracking Table'!$Y326+996.798*'BMP P Tracking Table'!$Z326)*-'BMP P Tracking Table'!$AW326)))/(2*(149.919*'BMP P Tracking Table'!$W326+236.676*'BMP P Tracking Table'!$X326+726*'BMP P Tracking Table'!$Y326+996.798*'BMP P Tracking Table'!$Z326)))))),"")</f>
        <v/>
      </c>
      <c r="BA326" s="101" t="str">
        <f>IFERROR((VLOOKUP(CONCATENATE('BMP P Tracking Table'!$AV326," ",'BMP P Tracking Table'!$AX326),'Performance Curves'!$C$1:$L$45,MATCH('BMP P Tracking Table'!$AZ326,'Performance Curves'!$E$1:$L$1,1)+2,FALSE)-VLOOKUP(CONCATENATE('BMP P Tracking Table'!$AV326," ",'BMP P Tracking Table'!$AX326),'Performance Curves'!$C$1:$L$45,MATCH('BMP P Tracking Table'!$AZ326,'Performance Curves'!$E$1:$L$1,1)+1,FALSE)),"")</f>
        <v/>
      </c>
      <c r="BB326" s="101" t="str">
        <f>IFERROR(('BMP P Tracking Table'!$AZ326-INDEX('Performance Curves'!$E$1:$L$1,1,MATCH('BMP P Tracking Table'!$AZ326,'Performance Curves'!$E$1:$L$1,1)))/(INDEX('Performance Curves'!$E$1:$L$1,1,MATCH('BMP P Tracking Table'!$AZ326,'Performance Curves'!$E$1:$L$1,1)+1)-INDEX('Performance Curves'!$E$1:$L$1,1,MATCH('BMP P Tracking Table'!$AZ326,'Performance Curves'!$E$1:$L$1,1))),"")</f>
        <v/>
      </c>
      <c r="BC326" s="102" t="str">
        <f>IFERROR(IF('BMP P Tracking Table'!$AZ326=2,VLOOKUP(CONCATENATE('BMP P Tracking Table'!$AV326," ",'BMP P Tracking Table'!$AX326),'Performance Curves'!$C$1:$L$44,MATCH('BMP P Tracking Table'!$AZ326,'Performance Curves'!$E$1:$L$1,1)+1,FALSE),'BMP P Tracking Table'!$BA326*'BMP P Tracking Table'!$BB326+VLOOKUP(CONCATENATE('BMP P Tracking Table'!$AV326," ",'BMP P Tracking Table'!$AX326),'Performance Curves'!$C$1:$L$44,MATCH('BMP P Tracking Table'!$AZ326,'Performance Curves'!$E$1:$L$1,1)+1,FALSE)),"")</f>
        <v/>
      </c>
      <c r="BD326" s="101" t="str">
        <f>IFERROR('BMP P Tracking Table'!$BC326*'BMP P Tracking Table'!$AY326,"")</f>
        <v/>
      </c>
      <c r="BE326" s="91"/>
      <c r="BF326" s="37">
        <f t="shared" si="21"/>
        <v>0</v>
      </c>
    </row>
    <row r="327" spans="1:58" x14ac:dyDescent="0.3">
      <c r="A327" s="64"/>
      <c r="B327" s="64"/>
      <c r="C327" s="64"/>
      <c r="D327" s="64"/>
      <c r="E327" s="93"/>
      <c r="F327" s="93"/>
      <c r="G327" s="64"/>
      <c r="H327" s="64"/>
      <c r="I327" s="64"/>
      <c r="J327" s="94"/>
      <c r="K327" s="64"/>
      <c r="L327" s="64"/>
      <c r="M327" s="64"/>
      <c r="N327" s="64"/>
      <c r="O327" s="64"/>
      <c r="P327" s="64"/>
      <c r="Q327" s="64" t="str">
        <f>IFERROR(VLOOKUP('BMP P Tracking Table'!$P327,Dropdowns!$C$2:$E$15,3,FALSE),"")</f>
        <v/>
      </c>
      <c r="R327" s="64" t="str">
        <f>IFERROR(VLOOKUP('BMP P Tracking Table'!$Q327,Dropdowns!$P$3:$Q$23,2,FALSE),"")</f>
        <v/>
      </c>
      <c r="S327" s="64"/>
      <c r="T327" s="64"/>
      <c r="U327" s="64"/>
      <c r="V327" s="64"/>
      <c r="W327" s="64"/>
      <c r="X327" s="64"/>
      <c r="Y327" s="64"/>
      <c r="Z327" s="64"/>
      <c r="AA327" s="64"/>
      <c r="AB327" s="95"/>
      <c r="AC327" s="64"/>
      <c r="AD327" s="101" t="str">
        <f>IFERROR('BMP P Tracking Table'!$U327*VLOOKUP('BMP P Tracking Table'!$Q327,'Loading Rates'!$B$1:$L$24,4,FALSE)+IF('BMP P Tracking Table'!$V327="By HSG",'BMP P Tracking Table'!$W327*VLOOKUP('BMP P Tracking Table'!$Q327,'Loading Rates'!$B$1:$L$24,6,FALSE)+'BMP P Tracking Table'!$X327*VLOOKUP('BMP P Tracking Table'!$Q327,'Loading Rates'!$B$1:$L$24,7,FALSE)+'BMP P Tracking Table'!$Y327*VLOOKUP('BMP P Tracking Table'!$Q327,'Loading Rates'!$B$1:$L$24,8,FALSE)+'BMP P Tracking Table'!$Z327*VLOOKUP('BMP P Tracking Table'!$Q327,'Loading Rates'!$B$1:$L$24,9,FALSE),'BMP P Tracking Table'!$AA327*VLOOKUP('BMP P Tracking Table'!$Q327,'Loading Rates'!$B$1:$L$24,10,FALSE)),"")</f>
        <v/>
      </c>
      <c r="AE327" s="101" t="str">
        <f>IFERROR(MIN(2,IF('BMP P Tracking Table'!$V327="Total Pervious",(-(3630*'BMP P Tracking Table'!$U327+20.691*'BMP P Tracking Table'!$AA327)+SQRT((3630*'BMP P Tracking Table'!$U327+20.691*'BMP P Tracking Table'!$AA327)^2-(4*(996.798*'BMP P Tracking Table'!$AA327)*-'BMP P Tracking Table'!$AB327)))/(2*(996.798*'BMP P Tracking Table'!$AA327)),IF(SUM('BMP P Tracking Table'!$W327:$Z327)=0,'BMP P Tracking Table'!$AB327/(-3630*'BMP P Tracking Table'!$U327),(-(3630*'BMP P Tracking Table'!$U327+20.691*'BMP P Tracking Table'!$Z327-216.711*'BMP P Tracking Table'!$Y327-83.853*'BMP P Tracking Table'!$X327-42.834*'BMP P Tracking Table'!$W327)+SQRT((3630*'BMP P Tracking Table'!$U327+20.691*'BMP P Tracking Table'!$Z327-216.711*'BMP P Tracking Table'!$Y327-83.853*'BMP P Tracking Table'!$X327-42.834*'BMP P Tracking Table'!$W327)^2-(4*(149.919*'BMP P Tracking Table'!$W327+236.676*'BMP P Tracking Table'!$X327+726*'BMP P Tracking Table'!$Y327+996.798*'BMP P Tracking Table'!$Z327)*-'BMP P Tracking Table'!$AB327)))/(2*(149.919*'BMP P Tracking Table'!$W327+236.676*'BMP P Tracking Table'!$X327+726*'BMP P Tracking Table'!$Y327+996.798*'BMP P Tracking Table'!$Z327))))),"")</f>
        <v/>
      </c>
      <c r="AF327" s="101" t="str">
        <f>IFERROR((VLOOKUP(CONCATENATE('BMP P Tracking Table'!$T327," ",'BMP P Tracking Table'!$AC327),'Performance Curves'!$C$1:$L$45,MATCH('BMP P Tracking Table'!$AE327,'Performance Curves'!$E$1:$L$1,1)+2,FALSE)-VLOOKUP(CONCATENATE('BMP P Tracking Table'!$T327," ",'BMP P Tracking Table'!$AC327),'Performance Curves'!$C$1:$L$45,MATCH('BMP P Tracking Table'!$AE327,'Performance Curves'!$E$1:$L$1,1)+1,FALSE)),"")</f>
        <v/>
      </c>
      <c r="AG327" s="101" t="str">
        <f>IFERROR(('BMP P Tracking Table'!$AE327-INDEX('Performance Curves'!$E$1:$L$1,1,MATCH('BMP P Tracking Table'!$AE327,'Performance Curves'!$E$1:$L$1,1)))/(INDEX('Performance Curves'!$E$1:$L$1,1,MATCH('BMP P Tracking Table'!$AE327,'Performance Curves'!$E$1:$L$1,1)+1)-INDEX('Performance Curves'!$E$1:$L$1,1,MATCH('BMP P Tracking Table'!$AE327,'Performance Curves'!$E$1:$L$1,1))),"")</f>
        <v/>
      </c>
      <c r="AH327" s="102" t="str">
        <f>IFERROR(IF('BMP P Tracking Table'!$AE327=2,VLOOKUP(CONCATENATE('BMP P Tracking Table'!$T327," ",'BMP P Tracking Table'!$AC327),'Performance Curves'!$C$1:$L$45,MATCH('BMP P Tracking Table'!$AE327,'Performance Curves'!$E$1:$L$1,1)+1,FALSE),'BMP P Tracking Table'!$AF327*'BMP P Tracking Table'!$AG327+VLOOKUP(CONCATENATE('BMP P Tracking Table'!$T327," ",'BMP P Tracking Table'!$AC327),'Performance Curves'!$C$1:$L$45,MATCH('BMP P Tracking Table'!$AE327,'Performance Curves'!$E$1:$L$1,1)+1,FALSE)),"")</f>
        <v/>
      </c>
      <c r="AI327" s="101" t="str">
        <f>IFERROR('BMP P Tracking Table'!$AH327*'BMP P Tracking Table'!$AD327,"")</f>
        <v/>
      </c>
      <c r="AJ327" s="64"/>
      <c r="AK327" s="96"/>
      <c r="AL327" s="96"/>
      <c r="AM327" s="63"/>
      <c r="AN327" s="99" t="str">
        <f t="shared" si="20"/>
        <v/>
      </c>
      <c r="AO327" s="96"/>
      <c r="AP327" s="96"/>
      <c r="AQ327" s="96"/>
      <c r="AR327" s="96"/>
      <c r="AS327" s="96"/>
      <c r="AT327" s="96"/>
      <c r="AU327" s="96"/>
      <c r="AV327" s="64"/>
      <c r="AW327" s="97"/>
      <c r="AX327" s="97"/>
      <c r="AY327" s="101" t="str">
        <f>IF('BMP P Tracking Table'!$AK327="Yes",IF('BMP P Tracking Table'!$AL327="No",'BMP P Tracking Table'!$U327*VLOOKUP('BMP P Tracking Table'!$Q327,'Loading Rates'!$B$1:$L$24,4,FALSE)+IF('BMP P Tracking Table'!$V327="By HSG",'BMP P Tracking Table'!$W327*VLOOKUP('BMP P Tracking Table'!$Q327,'Loading Rates'!$B$1:$L$24,6,FALSE)+'BMP P Tracking Table'!$X327*VLOOKUP('BMP P Tracking Table'!$Q327,'Loading Rates'!$B$1:$L$24,7,FALSE)+'BMP P Tracking Table'!$Y327*VLOOKUP('BMP P Tracking Table'!$Q327,'Loading Rates'!$B$1:$L$24,8,FALSE)+'BMP P Tracking Table'!$Z327*VLOOKUP('BMP P Tracking Table'!$Q327,'Loading Rates'!$B$1:$L$24,9,FALSE),'BMP P Tracking Table'!$AA327*VLOOKUP('BMP P Tracking Table'!$Q327,'Loading Rates'!$B$1:$L$24,10,FALSE)),'BMP P Tracking Table'!$AO327*VLOOKUP('BMP P Tracking Table'!$Q327,'Loading Rates'!$B$1:$L$24,4,FALSE)+IF('BMP P Tracking Table'!$AP327="By HSG",'BMP P Tracking Table'!$AQ327*VLOOKUP('BMP P Tracking Table'!$Q327,'Loading Rates'!$B$1:$L$24,6,FALSE)+'BMP P Tracking Table'!$AR327*VLOOKUP('BMP P Tracking Table'!$Q327,'Loading Rates'!$B$1:$L$24,7,FALSE)+'BMP P Tracking Table'!$AS327*VLOOKUP('BMP P Tracking Table'!$Q327,'Loading Rates'!$B$1:$L$24,8,FALSE)+'BMP P Tracking Table'!$AT327*VLOOKUP('BMP P Tracking Table'!$Q327,'Loading Rates'!$B$1:$L$24,9,FALSE),'BMP P Tracking Table'!$AU327*VLOOKUP('BMP P Tracking Table'!$Q327,'Loading Rates'!$B$1:$L$24,10,FALSE))),"")</f>
        <v/>
      </c>
      <c r="AZ327" s="101" t="str">
        <f>IFERROR(IF('BMP P Tracking Table'!$AL327="Yes",MIN(2,IF('BMP P Tracking Table'!$AP327="Total Pervious",(-(3630*'BMP P Tracking Table'!$AO327+20.691*'BMP P Tracking Table'!$AU327)+SQRT((3630*'BMP P Tracking Table'!$AO327+20.691*'BMP P Tracking Table'!$AU327)^2-(4*(996.798*'BMP P Tracking Table'!$AU327)*-'BMP P Tracking Table'!$AW327)))/(2*(996.798*'BMP P Tracking Table'!$AU327)),IF(SUM('BMP P Tracking Table'!$AQ327:$AT327)=0,'BMP P Tracking Table'!$AU327/(-3630*'BMP P Tracking Table'!$AO327),(-(3630*'BMP P Tracking Table'!$AO327+20.691*'BMP P Tracking Table'!$AT327-216.711*'BMP P Tracking Table'!$AS327-83.853*'BMP P Tracking Table'!$AR327-42.834*'BMP P Tracking Table'!$AQ327)+SQRT((3630*'BMP P Tracking Table'!$AO327+20.691*'BMP P Tracking Table'!$AT327-216.711*'BMP P Tracking Table'!$AS327-83.853*'BMP P Tracking Table'!$AR327-42.834*'BMP P Tracking Table'!$AQ327)^2-(4*(149.919*'BMP P Tracking Table'!$AQ327+236.676*'BMP P Tracking Table'!$AR327+726*'BMP P Tracking Table'!$AS327+996.798*'BMP P Tracking Table'!$AT327)*-'BMP P Tracking Table'!$AW327)))/(2*(149.919*'BMP P Tracking Table'!$AQ327+236.676*'BMP P Tracking Table'!$AR327+726*'BMP P Tracking Table'!$AS327+996.798*'BMP P Tracking Table'!$AT327))))),MIN(2,IF('BMP P Tracking Table'!$AP327="Total Pervious",(-(3630*'BMP P Tracking Table'!$U327+20.691*'BMP P Tracking Table'!$AA327)+SQRT((3630*'BMP P Tracking Table'!$U327+20.691*'BMP P Tracking Table'!$AA327)^2-(4*(996.798*'BMP P Tracking Table'!$AA327)*-'BMP P Tracking Table'!$AW327)))/(2*(996.798*'BMP P Tracking Table'!$AA327)),IF(SUM('BMP P Tracking Table'!$W327:$Z327)=0,'BMP P Tracking Table'!$AW327/(-3630*'BMP P Tracking Table'!$U327),(-(3630*'BMP P Tracking Table'!$U327+20.691*'BMP P Tracking Table'!$Z327-216.711*'BMP P Tracking Table'!$Y327-83.853*'BMP P Tracking Table'!$X327-42.834*'BMP P Tracking Table'!$W327)+SQRT((3630*'BMP P Tracking Table'!$U327+20.691*'BMP P Tracking Table'!$Z327-216.711*'BMP P Tracking Table'!$Y327-83.853*'BMP P Tracking Table'!$X327-42.834*'BMP P Tracking Table'!$W327)^2-(4*(149.919*'BMP P Tracking Table'!$W327+236.676*'BMP P Tracking Table'!$X327+726*'BMP P Tracking Table'!$Y327+996.798*'BMP P Tracking Table'!$Z327)*-'BMP P Tracking Table'!$AW327)))/(2*(149.919*'BMP P Tracking Table'!$W327+236.676*'BMP P Tracking Table'!$X327+726*'BMP P Tracking Table'!$Y327+996.798*'BMP P Tracking Table'!$Z327)))))),"")</f>
        <v/>
      </c>
      <c r="BA327" s="101" t="str">
        <f>IFERROR((VLOOKUP(CONCATENATE('BMP P Tracking Table'!$AV327," ",'BMP P Tracking Table'!$AX327),'Performance Curves'!$C$1:$L$45,MATCH('BMP P Tracking Table'!$AZ327,'Performance Curves'!$E$1:$L$1,1)+2,FALSE)-VLOOKUP(CONCATENATE('BMP P Tracking Table'!$AV327," ",'BMP P Tracking Table'!$AX327),'Performance Curves'!$C$1:$L$45,MATCH('BMP P Tracking Table'!$AZ327,'Performance Curves'!$E$1:$L$1,1)+1,FALSE)),"")</f>
        <v/>
      </c>
      <c r="BB327" s="101" t="str">
        <f>IFERROR(('BMP P Tracking Table'!$AZ327-INDEX('Performance Curves'!$E$1:$L$1,1,MATCH('BMP P Tracking Table'!$AZ327,'Performance Curves'!$E$1:$L$1,1)))/(INDEX('Performance Curves'!$E$1:$L$1,1,MATCH('BMP P Tracking Table'!$AZ327,'Performance Curves'!$E$1:$L$1,1)+1)-INDEX('Performance Curves'!$E$1:$L$1,1,MATCH('BMP P Tracking Table'!$AZ327,'Performance Curves'!$E$1:$L$1,1))),"")</f>
        <v/>
      </c>
      <c r="BC327" s="102" t="str">
        <f>IFERROR(IF('BMP P Tracking Table'!$AZ327=2,VLOOKUP(CONCATENATE('BMP P Tracking Table'!$AV327," ",'BMP P Tracking Table'!$AX327),'Performance Curves'!$C$1:$L$44,MATCH('BMP P Tracking Table'!$AZ327,'Performance Curves'!$E$1:$L$1,1)+1,FALSE),'BMP P Tracking Table'!$BA327*'BMP P Tracking Table'!$BB327+VLOOKUP(CONCATENATE('BMP P Tracking Table'!$AV327," ",'BMP P Tracking Table'!$AX327),'Performance Curves'!$C$1:$L$44,MATCH('BMP P Tracking Table'!$AZ327,'Performance Curves'!$E$1:$L$1,1)+1,FALSE)),"")</f>
        <v/>
      </c>
      <c r="BD327" s="101" t="str">
        <f>IFERROR('BMP P Tracking Table'!$BC327*'BMP P Tracking Table'!$AY327,"")</f>
        <v/>
      </c>
      <c r="BE327" s="96"/>
      <c r="BF327" s="37">
        <f t="shared" si="21"/>
        <v>0</v>
      </c>
    </row>
    <row r="328" spans="1:58" x14ac:dyDescent="0.3">
      <c r="A328" s="64"/>
      <c r="B328" s="64"/>
      <c r="C328" s="64"/>
      <c r="D328" s="64"/>
      <c r="E328" s="93"/>
      <c r="F328" s="93"/>
      <c r="G328" s="64"/>
      <c r="H328" s="64"/>
      <c r="I328" s="64"/>
      <c r="J328" s="94"/>
      <c r="K328" s="64"/>
      <c r="L328" s="64"/>
      <c r="M328" s="64"/>
      <c r="N328" s="64"/>
      <c r="O328" s="64"/>
      <c r="P328" s="64"/>
      <c r="Q328" s="64" t="str">
        <f>IFERROR(VLOOKUP('BMP P Tracking Table'!$P328,Dropdowns!$C$2:$E$15,3,FALSE),"")</f>
        <v/>
      </c>
      <c r="R328" s="64" t="str">
        <f>IFERROR(VLOOKUP('BMP P Tracking Table'!$Q328,Dropdowns!$P$3:$Q$23,2,FALSE),"")</f>
        <v/>
      </c>
      <c r="S328" s="64"/>
      <c r="T328" s="64"/>
      <c r="U328" s="64"/>
      <c r="V328" s="64"/>
      <c r="W328" s="64"/>
      <c r="X328" s="64"/>
      <c r="Y328" s="64"/>
      <c r="Z328" s="64"/>
      <c r="AA328" s="64"/>
      <c r="AB328" s="95"/>
      <c r="AC328" s="64"/>
      <c r="AD328" s="101" t="str">
        <f>IFERROR('BMP P Tracking Table'!$U328*VLOOKUP('BMP P Tracking Table'!$Q328,'Loading Rates'!$B$1:$L$24,4,FALSE)+IF('BMP P Tracking Table'!$V328="By HSG",'BMP P Tracking Table'!$W328*VLOOKUP('BMP P Tracking Table'!$Q328,'Loading Rates'!$B$1:$L$24,6,FALSE)+'BMP P Tracking Table'!$X328*VLOOKUP('BMP P Tracking Table'!$Q328,'Loading Rates'!$B$1:$L$24,7,FALSE)+'BMP P Tracking Table'!$Y328*VLOOKUP('BMP P Tracking Table'!$Q328,'Loading Rates'!$B$1:$L$24,8,FALSE)+'BMP P Tracking Table'!$Z328*VLOOKUP('BMP P Tracking Table'!$Q328,'Loading Rates'!$B$1:$L$24,9,FALSE),'BMP P Tracking Table'!$AA328*VLOOKUP('BMP P Tracking Table'!$Q328,'Loading Rates'!$B$1:$L$24,10,FALSE)),"")</f>
        <v/>
      </c>
      <c r="AE328" s="101" t="str">
        <f>IFERROR(MIN(2,IF('BMP P Tracking Table'!$V328="Total Pervious",(-(3630*'BMP P Tracking Table'!$U328+20.691*'BMP P Tracking Table'!$AA328)+SQRT((3630*'BMP P Tracking Table'!$U328+20.691*'BMP P Tracking Table'!$AA328)^2-(4*(996.798*'BMP P Tracking Table'!$AA328)*-'BMP P Tracking Table'!$AB328)))/(2*(996.798*'BMP P Tracking Table'!$AA328)),IF(SUM('BMP P Tracking Table'!$W328:$Z328)=0,'BMP P Tracking Table'!$AB328/(-3630*'BMP P Tracking Table'!$U328),(-(3630*'BMP P Tracking Table'!$U328+20.691*'BMP P Tracking Table'!$Z328-216.711*'BMP P Tracking Table'!$Y328-83.853*'BMP P Tracking Table'!$X328-42.834*'BMP P Tracking Table'!$W328)+SQRT((3630*'BMP P Tracking Table'!$U328+20.691*'BMP P Tracking Table'!$Z328-216.711*'BMP P Tracking Table'!$Y328-83.853*'BMP P Tracking Table'!$X328-42.834*'BMP P Tracking Table'!$W328)^2-(4*(149.919*'BMP P Tracking Table'!$W328+236.676*'BMP P Tracking Table'!$X328+726*'BMP P Tracking Table'!$Y328+996.798*'BMP P Tracking Table'!$Z328)*-'BMP P Tracking Table'!$AB328)))/(2*(149.919*'BMP P Tracking Table'!$W328+236.676*'BMP P Tracking Table'!$X328+726*'BMP P Tracking Table'!$Y328+996.798*'BMP P Tracking Table'!$Z328))))),"")</f>
        <v/>
      </c>
      <c r="AF328" s="101" t="str">
        <f>IFERROR((VLOOKUP(CONCATENATE('BMP P Tracking Table'!$T328," ",'BMP P Tracking Table'!$AC328),'Performance Curves'!$C$1:$L$45,MATCH('BMP P Tracking Table'!$AE328,'Performance Curves'!$E$1:$L$1,1)+2,FALSE)-VLOOKUP(CONCATENATE('BMP P Tracking Table'!$T328," ",'BMP P Tracking Table'!$AC328),'Performance Curves'!$C$1:$L$45,MATCH('BMP P Tracking Table'!$AE328,'Performance Curves'!$E$1:$L$1,1)+1,FALSE)),"")</f>
        <v/>
      </c>
      <c r="AG328" s="101" t="str">
        <f>IFERROR(('BMP P Tracking Table'!$AE328-INDEX('Performance Curves'!$E$1:$L$1,1,MATCH('BMP P Tracking Table'!$AE328,'Performance Curves'!$E$1:$L$1,1)))/(INDEX('Performance Curves'!$E$1:$L$1,1,MATCH('BMP P Tracking Table'!$AE328,'Performance Curves'!$E$1:$L$1,1)+1)-INDEX('Performance Curves'!$E$1:$L$1,1,MATCH('BMP P Tracking Table'!$AE328,'Performance Curves'!$E$1:$L$1,1))),"")</f>
        <v/>
      </c>
      <c r="AH328" s="102" t="str">
        <f>IFERROR(IF('BMP P Tracking Table'!$AE328=2,VLOOKUP(CONCATENATE('BMP P Tracking Table'!$T328," ",'BMP P Tracking Table'!$AC328),'Performance Curves'!$C$1:$L$45,MATCH('BMP P Tracking Table'!$AE328,'Performance Curves'!$E$1:$L$1,1)+1,FALSE),'BMP P Tracking Table'!$AF328*'BMP P Tracking Table'!$AG328+VLOOKUP(CONCATENATE('BMP P Tracking Table'!$T328," ",'BMP P Tracking Table'!$AC328),'Performance Curves'!$C$1:$L$45,MATCH('BMP P Tracking Table'!$AE328,'Performance Curves'!$E$1:$L$1,1)+1,FALSE)),"")</f>
        <v/>
      </c>
      <c r="AI328" s="101" t="str">
        <f>IFERROR('BMP P Tracking Table'!$AH328*'BMP P Tracking Table'!$AD328,"")</f>
        <v/>
      </c>
      <c r="AJ328" s="64"/>
      <c r="AK328" s="96"/>
      <c r="AL328" s="96"/>
      <c r="AM328" s="63"/>
      <c r="AN328" s="99" t="str">
        <f t="shared" si="20"/>
        <v/>
      </c>
      <c r="AO328" s="96"/>
      <c r="AP328" s="96"/>
      <c r="AQ328" s="96"/>
      <c r="AR328" s="96"/>
      <c r="AS328" s="96"/>
      <c r="AT328" s="96"/>
      <c r="AU328" s="96"/>
      <c r="AV328" s="64"/>
      <c r="AW328" s="97"/>
      <c r="AX328" s="97"/>
      <c r="AY328" s="101" t="str">
        <f>IF('BMP P Tracking Table'!$AK328="Yes",IF('BMP P Tracking Table'!$AL328="No",'BMP P Tracking Table'!$U328*VLOOKUP('BMP P Tracking Table'!$Q328,'Loading Rates'!$B$1:$L$24,4,FALSE)+IF('BMP P Tracking Table'!$V328="By HSG",'BMP P Tracking Table'!$W328*VLOOKUP('BMP P Tracking Table'!$Q328,'Loading Rates'!$B$1:$L$24,6,FALSE)+'BMP P Tracking Table'!$X328*VLOOKUP('BMP P Tracking Table'!$Q328,'Loading Rates'!$B$1:$L$24,7,FALSE)+'BMP P Tracking Table'!$Y328*VLOOKUP('BMP P Tracking Table'!$Q328,'Loading Rates'!$B$1:$L$24,8,FALSE)+'BMP P Tracking Table'!$Z328*VLOOKUP('BMP P Tracking Table'!$Q328,'Loading Rates'!$B$1:$L$24,9,FALSE),'BMP P Tracking Table'!$AA328*VLOOKUP('BMP P Tracking Table'!$Q328,'Loading Rates'!$B$1:$L$24,10,FALSE)),'BMP P Tracking Table'!$AO328*VLOOKUP('BMP P Tracking Table'!$Q328,'Loading Rates'!$B$1:$L$24,4,FALSE)+IF('BMP P Tracking Table'!$AP328="By HSG",'BMP P Tracking Table'!$AQ328*VLOOKUP('BMP P Tracking Table'!$Q328,'Loading Rates'!$B$1:$L$24,6,FALSE)+'BMP P Tracking Table'!$AR328*VLOOKUP('BMP P Tracking Table'!$Q328,'Loading Rates'!$B$1:$L$24,7,FALSE)+'BMP P Tracking Table'!$AS328*VLOOKUP('BMP P Tracking Table'!$Q328,'Loading Rates'!$B$1:$L$24,8,FALSE)+'BMP P Tracking Table'!$AT328*VLOOKUP('BMP P Tracking Table'!$Q328,'Loading Rates'!$B$1:$L$24,9,FALSE),'BMP P Tracking Table'!$AU328*VLOOKUP('BMP P Tracking Table'!$Q328,'Loading Rates'!$B$1:$L$24,10,FALSE))),"")</f>
        <v/>
      </c>
      <c r="AZ328" s="101" t="str">
        <f>IFERROR(IF('BMP P Tracking Table'!$AL328="Yes",MIN(2,IF('BMP P Tracking Table'!$AP328="Total Pervious",(-(3630*'BMP P Tracking Table'!$AO328+20.691*'BMP P Tracking Table'!$AU328)+SQRT((3630*'BMP P Tracking Table'!$AO328+20.691*'BMP P Tracking Table'!$AU328)^2-(4*(996.798*'BMP P Tracking Table'!$AU328)*-'BMP P Tracking Table'!$AW328)))/(2*(996.798*'BMP P Tracking Table'!$AU328)),IF(SUM('BMP P Tracking Table'!$AQ328:$AT328)=0,'BMP P Tracking Table'!$AU328/(-3630*'BMP P Tracking Table'!$AO328),(-(3630*'BMP P Tracking Table'!$AO328+20.691*'BMP P Tracking Table'!$AT328-216.711*'BMP P Tracking Table'!$AS328-83.853*'BMP P Tracking Table'!$AR328-42.834*'BMP P Tracking Table'!$AQ328)+SQRT((3630*'BMP P Tracking Table'!$AO328+20.691*'BMP P Tracking Table'!$AT328-216.711*'BMP P Tracking Table'!$AS328-83.853*'BMP P Tracking Table'!$AR328-42.834*'BMP P Tracking Table'!$AQ328)^2-(4*(149.919*'BMP P Tracking Table'!$AQ328+236.676*'BMP P Tracking Table'!$AR328+726*'BMP P Tracking Table'!$AS328+996.798*'BMP P Tracking Table'!$AT328)*-'BMP P Tracking Table'!$AW328)))/(2*(149.919*'BMP P Tracking Table'!$AQ328+236.676*'BMP P Tracking Table'!$AR328+726*'BMP P Tracking Table'!$AS328+996.798*'BMP P Tracking Table'!$AT328))))),MIN(2,IF('BMP P Tracking Table'!$AP328="Total Pervious",(-(3630*'BMP P Tracking Table'!$U328+20.691*'BMP P Tracking Table'!$AA328)+SQRT((3630*'BMP P Tracking Table'!$U328+20.691*'BMP P Tracking Table'!$AA328)^2-(4*(996.798*'BMP P Tracking Table'!$AA328)*-'BMP P Tracking Table'!$AW328)))/(2*(996.798*'BMP P Tracking Table'!$AA328)),IF(SUM('BMP P Tracking Table'!$W328:$Z328)=0,'BMP P Tracking Table'!$AW328/(-3630*'BMP P Tracking Table'!$U328),(-(3630*'BMP P Tracking Table'!$U328+20.691*'BMP P Tracking Table'!$Z328-216.711*'BMP P Tracking Table'!$Y328-83.853*'BMP P Tracking Table'!$X328-42.834*'BMP P Tracking Table'!$W328)+SQRT((3630*'BMP P Tracking Table'!$U328+20.691*'BMP P Tracking Table'!$Z328-216.711*'BMP P Tracking Table'!$Y328-83.853*'BMP P Tracking Table'!$X328-42.834*'BMP P Tracking Table'!$W328)^2-(4*(149.919*'BMP P Tracking Table'!$W328+236.676*'BMP P Tracking Table'!$X328+726*'BMP P Tracking Table'!$Y328+996.798*'BMP P Tracking Table'!$Z328)*-'BMP P Tracking Table'!$AW328)))/(2*(149.919*'BMP P Tracking Table'!$W328+236.676*'BMP P Tracking Table'!$X328+726*'BMP P Tracking Table'!$Y328+996.798*'BMP P Tracking Table'!$Z328)))))),"")</f>
        <v/>
      </c>
      <c r="BA328" s="101" t="str">
        <f>IFERROR((VLOOKUP(CONCATENATE('BMP P Tracking Table'!$AV328," ",'BMP P Tracking Table'!$AX328),'Performance Curves'!$C$1:$L$45,MATCH('BMP P Tracking Table'!$AZ328,'Performance Curves'!$E$1:$L$1,1)+2,FALSE)-VLOOKUP(CONCATENATE('BMP P Tracking Table'!$AV328," ",'BMP P Tracking Table'!$AX328),'Performance Curves'!$C$1:$L$45,MATCH('BMP P Tracking Table'!$AZ328,'Performance Curves'!$E$1:$L$1,1)+1,FALSE)),"")</f>
        <v/>
      </c>
      <c r="BB328" s="101" t="str">
        <f>IFERROR(('BMP P Tracking Table'!$AZ328-INDEX('Performance Curves'!$E$1:$L$1,1,MATCH('BMP P Tracking Table'!$AZ328,'Performance Curves'!$E$1:$L$1,1)))/(INDEX('Performance Curves'!$E$1:$L$1,1,MATCH('BMP P Tracking Table'!$AZ328,'Performance Curves'!$E$1:$L$1,1)+1)-INDEX('Performance Curves'!$E$1:$L$1,1,MATCH('BMP P Tracking Table'!$AZ328,'Performance Curves'!$E$1:$L$1,1))),"")</f>
        <v/>
      </c>
      <c r="BC328" s="102" t="str">
        <f>IFERROR(IF('BMP P Tracking Table'!$AZ328=2,VLOOKUP(CONCATENATE('BMP P Tracking Table'!$AV328," ",'BMP P Tracking Table'!$AX328),'Performance Curves'!$C$1:$L$44,MATCH('BMP P Tracking Table'!$AZ328,'Performance Curves'!$E$1:$L$1,1)+1,FALSE),'BMP P Tracking Table'!$BA328*'BMP P Tracking Table'!$BB328+VLOOKUP(CONCATENATE('BMP P Tracking Table'!$AV328," ",'BMP P Tracking Table'!$AX328),'Performance Curves'!$C$1:$L$44,MATCH('BMP P Tracking Table'!$AZ328,'Performance Curves'!$E$1:$L$1,1)+1,FALSE)),"")</f>
        <v/>
      </c>
      <c r="BD328" s="101" t="str">
        <f>IFERROR('BMP P Tracking Table'!$BC328*'BMP P Tracking Table'!$AY328,"")</f>
        <v/>
      </c>
      <c r="BE328" s="96"/>
      <c r="BF328" s="37">
        <f t="shared" si="21"/>
        <v>0</v>
      </c>
    </row>
    <row r="329" spans="1:58" x14ac:dyDescent="0.3">
      <c r="A329" s="64"/>
      <c r="B329" s="64"/>
      <c r="C329" s="64"/>
      <c r="D329" s="64"/>
      <c r="E329" s="93"/>
      <c r="F329" s="93"/>
      <c r="G329" s="64"/>
      <c r="H329" s="64"/>
      <c r="I329" s="64"/>
      <c r="J329" s="94"/>
      <c r="K329" s="64"/>
      <c r="L329" s="64"/>
      <c r="M329" s="64"/>
      <c r="N329" s="64"/>
      <c r="O329" s="64"/>
      <c r="P329" s="64"/>
      <c r="Q329" s="64" t="str">
        <f>IFERROR(VLOOKUP('BMP P Tracking Table'!$P329,Dropdowns!$C$2:$E$15,3,FALSE),"")</f>
        <v/>
      </c>
      <c r="R329" s="64" t="str">
        <f>IFERROR(VLOOKUP('BMP P Tracking Table'!$Q329,Dropdowns!$P$3:$Q$23,2,FALSE),"")</f>
        <v/>
      </c>
      <c r="S329" s="64"/>
      <c r="T329" s="64"/>
      <c r="U329" s="64"/>
      <c r="V329" s="64"/>
      <c r="W329" s="64"/>
      <c r="X329" s="64"/>
      <c r="Y329" s="64"/>
      <c r="Z329" s="64"/>
      <c r="AA329" s="64"/>
      <c r="AB329" s="95"/>
      <c r="AC329" s="64"/>
      <c r="AD329" s="101" t="str">
        <f>IFERROR('BMP P Tracking Table'!$U329*VLOOKUP('BMP P Tracking Table'!$Q329,'Loading Rates'!$B$1:$L$24,4,FALSE)+IF('BMP P Tracking Table'!$V329="By HSG",'BMP P Tracking Table'!$W329*VLOOKUP('BMP P Tracking Table'!$Q329,'Loading Rates'!$B$1:$L$24,6,FALSE)+'BMP P Tracking Table'!$X329*VLOOKUP('BMP P Tracking Table'!$Q329,'Loading Rates'!$B$1:$L$24,7,FALSE)+'BMP P Tracking Table'!$Y329*VLOOKUP('BMP P Tracking Table'!$Q329,'Loading Rates'!$B$1:$L$24,8,FALSE)+'BMP P Tracking Table'!$Z329*VLOOKUP('BMP P Tracking Table'!$Q329,'Loading Rates'!$B$1:$L$24,9,FALSE),'BMP P Tracking Table'!$AA329*VLOOKUP('BMP P Tracking Table'!$Q329,'Loading Rates'!$B$1:$L$24,10,FALSE)),"")</f>
        <v/>
      </c>
      <c r="AE329" s="101" t="str">
        <f>IFERROR(MIN(2,IF('BMP P Tracking Table'!$V329="Total Pervious",(-(3630*'BMP P Tracking Table'!$U329+20.691*'BMP P Tracking Table'!$AA329)+SQRT((3630*'BMP P Tracking Table'!$U329+20.691*'BMP P Tracking Table'!$AA329)^2-(4*(996.798*'BMP P Tracking Table'!$AA329)*-'BMP P Tracking Table'!$AB329)))/(2*(996.798*'BMP P Tracking Table'!$AA329)),IF(SUM('BMP P Tracking Table'!$W329:$Z329)=0,'BMP P Tracking Table'!$AB329/(-3630*'BMP P Tracking Table'!$U329),(-(3630*'BMP P Tracking Table'!$U329+20.691*'BMP P Tracking Table'!$Z329-216.711*'BMP P Tracking Table'!$Y329-83.853*'BMP P Tracking Table'!$X329-42.834*'BMP P Tracking Table'!$W329)+SQRT((3630*'BMP P Tracking Table'!$U329+20.691*'BMP P Tracking Table'!$Z329-216.711*'BMP P Tracking Table'!$Y329-83.853*'BMP P Tracking Table'!$X329-42.834*'BMP P Tracking Table'!$W329)^2-(4*(149.919*'BMP P Tracking Table'!$W329+236.676*'BMP P Tracking Table'!$X329+726*'BMP P Tracking Table'!$Y329+996.798*'BMP P Tracking Table'!$Z329)*-'BMP P Tracking Table'!$AB329)))/(2*(149.919*'BMP P Tracking Table'!$W329+236.676*'BMP P Tracking Table'!$X329+726*'BMP P Tracking Table'!$Y329+996.798*'BMP P Tracking Table'!$Z329))))),"")</f>
        <v/>
      </c>
      <c r="AF329" s="101" t="str">
        <f>IFERROR((VLOOKUP(CONCATENATE('BMP P Tracking Table'!$T329," ",'BMP P Tracking Table'!$AC329),'Performance Curves'!$C$1:$L$45,MATCH('BMP P Tracking Table'!$AE329,'Performance Curves'!$E$1:$L$1,1)+2,FALSE)-VLOOKUP(CONCATENATE('BMP P Tracking Table'!$T329," ",'BMP P Tracking Table'!$AC329),'Performance Curves'!$C$1:$L$45,MATCH('BMP P Tracking Table'!$AE329,'Performance Curves'!$E$1:$L$1,1)+1,FALSE)),"")</f>
        <v/>
      </c>
      <c r="AG329" s="101" t="str">
        <f>IFERROR(('BMP P Tracking Table'!$AE329-INDEX('Performance Curves'!$E$1:$L$1,1,MATCH('BMP P Tracking Table'!$AE329,'Performance Curves'!$E$1:$L$1,1)))/(INDEX('Performance Curves'!$E$1:$L$1,1,MATCH('BMP P Tracking Table'!$AE329,'Performance Curves'!$E$1:$L$1,1)+1)-INDEX('Performance Curves'!$E$1:$L$1,1,MATCH('BMP P Tracking Table'!$AE329,'Performance Curves'!$E$1:$L$1,1))),"")</f>
        <v/>
      </c>
      <c r="AH329" s="102" t="str">
        <f>IFERROR(IF('BMP P Tracking Table'!$AE329=2,VLOOKUP(CONCATENATE('BMP P Tracking Table'!$T329," ",'BMP P Tracking Table'!$AC329),'Performance Curves'!$C$1:$L$45,MATCH('BMP P Tracking Table'!$AE329,'Performance Curves'!$E$1:$L$1,1)+1,FALSE),'BMP P Tracking Table'!$AF329*'BMP P Tracking Table'!$AG329+VLOOKUP(CONCATENATE('BMP P Tracking Table'!$T329," ",'BMP P Tracking Table'!$AC329),'Performance Curves'!$C$1:$L$45,MATCH('BMP P Tracking Table'!$AE329,'Performance Curves'!$E$1:$L$1,1)+1,FALSE)),"")</f>
        <v/>
      </c>
      <c r="AI329" s="101" t="str">
        <f>IFERROR('BMP P Tracking Table'!$AH329*'BMP P Tracking Table'!$AD329,"")</f>
        <v/>
      </c>
      <c r="AJ329" s="64"/>
      <c r="AK329" s="96"/>
      <c r="AL329" s="96"/>
      <c r="AM329" s="63"/>
      <c r="AN329" s="99" t="str">
        <f t="shared" si="20"/>
        <v/>
      </c>
      <c r="AO329" s="96"/>
      <c r="AP329" s="96"/>
      <c r="AQ329" s="96"/>
      <c r="AR329" s="96"/>
      <c r="AS329" s="96"/>
      <c r="AT329" s="96"/>
      <c r="AU329" s="96"/>
      <c r="AV329" s="64"/>
      <c r="AW329" s="97"/>
      <c r="AX329" s="97"/>
      <c r="AY329" s="101" t="str">
        <f>IF('BMP P Tracking Table'!$AK329="Yes",IF('BMP P Tracking Table'!$AL329="No",'BMP P Tracking Table'!$U329*VLOOKUP('BMP P Tracking Table'!$Q329,'Loading Rates'!$B$1:$L$24,4,FALSE)+IF('BMP P Tracking Table'!$V329="By HSG",'BMP P Tracking Table'!$W329*VLOOKUP('BMP P Tracking Table'!$Q329,'Loading Rates'!$B$1:$L$24,6,FALSE)+'BMP P Tracking Table'!$X329*VLOOKUP('BMP P Tracking Table'!$Q329,'Loading Rates'!$B$1:$L$24,7,FALSE)+'BMP P Tracking Table'!$Y329*VLOOKUP('BMP P Tracking Table'!$Q329,'Loading Rates'!$B$1:$L$24,8,FALSE)+'BMP P Tracking Table'!$Z329*VLOOKUP('BMP P Tracking Table'!$Q329,'Loading Rates'!$B$1:$L$24,9,FALSE),'BMP P Tracking Table'!$AA329*VLOOKUP('BMP P Tracking Table'!$Q329,'Loading Rates'!$B$1:$L$24,10,FALSE)),'BMP P Tracking Table'!$AO329*VLOOKUP('BMP P Tracking Table'!$Q329,'Loading Rates'!$B$1:$L$24,4,FALSE)+IF('BMP P Tracking Table'!$AP329="By HSG",'BMP P Tracking Table'!$AQ329*VLOOKUP('BMP P Tracking Table'!$Q329,'Loading Rates'!$B$1:$L$24,6,FALSE)+'BMP P Tracking Table'!$AR329*VLOOKUP('BMP P Tracking Table'!$Q329,'Loading Rates'!$B$1:$L$24,7,FALSE)+'BMP P Tracking Table'!$AS329*VLOOKUP('BMP P Tracking Table'!$Q329,'Loading Rates'!$B$1:$L$24,8,FALSE)+'BMP P Tracking Table'!$AT329*VLOOKUP('BMP P Tracking Table'!$Q329,'Loading Rates'!$B$1:$L$24,9,FALSE),'BMP P Tracking Table'!$AU329*VLOOKUP('BMP P Tracking Table'!$Q329,'Loading Rates'!$B$1:$L$24,10,FALSE))),"")</f>
        <v/>
      </c>
      <c r="AZ329" s="101" t="str">
        <f>IFERROR(IF('BMP P Tracking Table'!$AL329="Yes",MIN(2,IF('BMP P Tracking Table'!$AP329="Total Pervious",(-(3630*'BMP P Tracking Table'!$AO329+20.691*'BMP P Tracking Table'!$AU329)+SQRT((3630*'BMP P Tracking Table'!$AO329+20.691*'BMP P Tracking Table'!$AU329)^2-(4*(996.798*'BMP P Tracking Table'!$AU329)*-'BMP P Tracking Table'!$AW329)))/(2*(996.798*'BMP P Tracking Table'!$AU329)),IF(SUM('BMP P Tracking Table'!$AQ329:$AT329)=0,'BMP P Tracking Table'!$AU329/(-3630*'BMP P Tracking Table'!$AO329),(-(3630*'BMP P Tracking Table'!$AO329+20.691*'BMP P Tracking Table'!$AT329-216.711*'BMP P Tracking Table'!$AS329-83.853*'BMP P Tracking Table'!$AR329-42.834*'BMP P Tracking Table'!$AQ329)+SQRT((3630*'BMP P Tracking Table'!$AO329+20.691*'BMP P Tracking Table'!$AT329-216.711*'BMP P Tracking Table'!$AS329-83.853*'BMP P Tracking Table'!$AR329-42.834*'BMP P Tracking Table'!$AQ329)^2-(4*(149.919*'BMP P Tracking Table'!$AQ329+236.676*'BMP P Tracking Table'!$AR329+726*'BMP P Tracking Table'!$AS329+996.798*'BMP P Tracking Table'!$AT329)*-'BMP P Tracking Table'!$AW329)))/(2*(149.919*'BMP P Tracking Table'!$AQ329+236.676*'BMP P Tracking Table'!$AR329+726*'BMP P Tracking Table'!$AS329+996.798*'BMP P Tracking Table'!$AT329))))),MIN(2,IF('BMP P Tracking Table'!$AP329="Total Pervious",(-(3630*'BMP P Tracking Table'!$U329+20.691*'BMP P Tracking Table'!$AA329)+SQRT((3630*'BMP P Tracking Table'!$U329+20.691*'BMP P Tracking Table'!$AA329)^2-(4*(996.798*'BMP P Tracking Table'!$AA329)*-'BMP P Tracking Table'!$AW329)))/(2*(996.798*'BMP P Tracking Table'!$AA329)),IF(SUM('BMP P Tracking Table'!$W329:$Z329)=0,'BMP P Tracking Table'!$AW329/(-3630*'BMP P Tracking Table'!$U329),(-(3630*'BMP P Tracking Table'!$U329+20.691*'BMP P Tracking Table'!$Z329-216.711*'BMP P Tracking Table'!$Y329-83.853*'BMP P Tracking Table'!$X329-42.834*'BMP P Tracking Table'!$W329)+SQRT((3630*'BMP P Tracking Table'!$U329+20.691*'BMP P Tracking Table'!$Z329-216.711*'BMP P Tracking Table'!$Y329-83.853*'BMP P Tracking Table'!$X329-42.834*'BMP P Tracking Table'!$W329)^2-(4*(149.919*'BMP P Tracking Table'!$W329+236.676*'BMP P Tracking Table'!$X329+726*'BMP P Tracking Table'!$Y329+996.798*'BMP P Tracking Table'!$Z329)*-'BMP P Tracking Table'!$AW329)))/(2*(149.919*'BMP P Tracking Table'!$W329+236.676*'BMP P Tracking Table'!$X329+726*'BMP P Tracking Table'!$Y329+996.798*'BMP P Tracking Table'!$Z329)))))),"")</f>
        <v/>
      </c>
      <c r="BA329" s="101" t="str">
        <f>IFERROR((VLOOKUP(CONCATENATE('BMP P Tracking Table'!$AV329," ",'BMP P Tracking Table'!$AX329),'Performance Curves'!$C$1:$L$45,MATCH('BMP P Tracking Table'!$AZ329,'Performance Curves'!$E$1:$L$1,1)+2,FALSE)-VLOOKUP(CONCATENATE('BMP P Tracking Table'!$AV329," ",'BMP P Tracking Table'!$AX329),'Performance Curves'!$C$1:$L$45,MATCH('BMP P Tracking Table'!$AZ329,'Performance Curves'!$E$1:$L$1,1)+1,FALSE)),"")</f>
        <v/>
      </c>
      <c r="BB329" s="101" t="str">
        <f>IFERROR(('BMP P Tracking Table'!$AZ329-INDEX('Performance Curves'!$E$1:$L$1,1,MATCH('BMP P Tracking Table'!$AZ329,'Performance Curves'!$E$1:$L$1,1)))/(INDEX('Performance Curves'!$E$1:$L$1,1,MATCH('BMP P Tracking Table'!$AZ329,'Performance Curves'!$E$1:$L$1,1)+1)-INDEX('Performance Curves'!$E$1:$L$1,1,MATCH('BMP P Tracking Table'!$AZ329,'Performance Curves'!$E$1:$L$1,1))),"")</f>
        <v/>
      </c>
      <c r="BC329" s="102" t="str">
        <f>IFERROR(IF('BMP P Tracking Table'!$AZ329=2,VLOOKUP(CONCATENATE('BMP P Tracking Table'!$AV329," ",'BMP P Tracking Table'!$AX329),'Performance Curves'!$C$1:$L$44,MATCH('BMP P Tracking Table'!$AZ329,'Performance Curves'!$E$1:$L$1,1)+1,FALSE),'BMP P Tracking Table'!$BA329*'BMP P Tracking Table'!$BB329+VLOOKUP(CONCATENATE('BMP P Tracking Table'!$AV329," ",'BMP P Tracking Table'!$AX329),'Performance Curves'!$C$1:$L$44,MATCH('BMP P Tracking Table'!$AZ329,'Performance Curves'!$E$1:$L$1,1)+1,FALSE)),"")</f>
        <v/>
      </c>
      <c r="BD329" s="101" t="str">
        <f>IFERROR('BMP P Tracking Table'!$BC329*'BMP P Tracking Table'!$AY329,"")</f>
        <v/>
      </c>
      <c r="BE329" s="96"/>
      <c r="BF329" s="37">
        <f t="shared" si="21"/>
        <v>0</v>
      </c>
    </row>
    <row r="330" spans="1:58" x14ac:dyDescent="0.3">
      <c r="A330" s="64"/>
      <c r="B330" s="64"/>
      <c r="C330" s="64"/>
      <c r="D330" s="64"/>
      <c r="E330" s="93"/>
      <c r="F330" s="93"/>
      <c r="G330" s="64"/>
      <c r="H330" s="64"/>
      <c r="I330" s="64"/>
      <c r="J330" s="94"/>
      <c r="K330" s="64"/>
      <c r="L330" s="64"/>
      <c r="M330" s="64"/>
      <c r="N330" s="64"/>
      <c r="O330" s="64"/>
      <c r="P330" s="64"/>
      <c r="Q330" s="64" t="str">
        <f>IFERROR(VLOOKUP('BMP P Tracking Table'!$P330,Dropdowns!$C$2:$E$15,3,FALSE),"")</f>
        <v/>
      </c>
      <c r="R330" s="64" t="str">
        <f>IFERROR(VLOOKUP('BMP P Tracking Table'!$Q330,Dropdowns!$P$3:$Q$23,2,FALSE),"")</f>
        <v/>
      </c>
      <c r="S330" s="64"/>
      <c r="T330" s="64"/>
      <c r="U330" s="64"/>
      <c r="V330" s="64"/>
      <c r="W330" s="64"/>
      <c r="X330" s="64"/>
      <c r="Y330" s="64"/>
      <c r="Z330" s="64"/>
      <c r="AA330" s="64"/>
      <c r="AB330" s="95"/>
      <c r="AC330" s="64"/>
      <c r="AD330" s="101" t="str">
        <f>IFERROR('BMP P Tracking Table'!$U330*VLOOKUP('BMP P Tracking Table'!$Q330,'Loading Rates'!$B$1:$L$24,4,FALSE)+IF('BMP P Tracking Table'!$V330="By HSG",'BMP P Tracking Table'!$W330*VLOOKUP('BMP P Tracking Table'!$Q330,'Loading Rates'!$B$1:$L$24,6,FALSE)+'BMP P Tracking Table'!$X330*VLOOKUP('BMP P Tracking Table'!$Q330,'Loading Rates'!$B$1:$L$24,7,FALSE)+'BMP P Tracking Table'!$Y330*VLOOKUP('BMP P Tracking Table'!$Q330,'Loading Rates'!$B$1:$L$24,8,FALSE)+'BMP P Tracking Table'!$Z330*VLOOKUP('BMP P Tracking Table'!$Q330,'Loading Rates'!$B$1:$L$24,9,FALSE),'BMP P Tracking Table'!$AA330*VLOOKUP('BMP P Tracking Table'!$Q330,'Loading Rates'!$B$1:$L$24,10,FALSE)),"")</f>
        <v/>
      </c>
      <c r="AE330" s="101" t="str">
        <f>IFERROR(MIN(2,IF('BMP P Tracking Table'!$V330="Total Pervious",(-(3630*'BMP P Tracking Table'!$U330+20.691*'BMP P Tracking Table'!$AA330)+SQRT((3630*'BMP P Tracking Table'!$U330+20.691*'BMP P Tracking Table'!$AA330)^2-(4*(996.798*'BMP P Tracking Table'!$AA330)*-'BMP P Tracking Table'!$AB330)))/(2*(996.798*'BMP P Tracking Table'!$AA330)),IF(SUM('BMP P Tracking Table'!$W330:$Z330)=0,'BMP P Tracking Table'!$AB330/(-3630*'BMP P Tracking Table'!$U330),(-(3630*'BMP P Tracking Table'!$U330+20.691*'BMP P Tracking Table'!$Z330-216.711*'BMP P Tracking Table'!$Y330-83.853*'BMP P Tracking Table'!$X330-42.834*'BMP P Tracking Table'!$W330)+SQRT((3630*'BMP P Tracking Table'!$U330+20.691*'BMP P Tracking Table'!$Z330-216.711*'BMP P Tracking Table'!$Y330-83.853*'BMP P Tracking Table'!$X330-42.834*'BMP P Tracking Table'!$W330)^2-(4*(149.919*'BMP P Tracking Table'!$W330+236.676*'BMP P Tracking Table'!$X330+726*'BMP P Tracking Table'!$Y330+996.798*'BMP P Tracking Table'!$Z330)*-'BMP P Tracking Table'!$AB330)))/(2*(149.919*'BMP P Tracking Table'!$W330+236.676*'BMP P Tracking Table'!$X330+726*'BMP P Tracking Table'!$Y330+996.798*'BMP P Tracking Table'!$Z330))))),"")</f>
        <v/>
      </c>
      <c r="AF330" s="101" t="str">
        <f>IFERROR((VLOOKUP(CONCATENATE('BMP P Tracking Table'!$T330," ",'BMP P Tracking Table'!$AC330),'Performance Curves'!$C$1:$L$45,MATCH('BMP P Tracking Table'!$AE330,'Performance Curves'!$E$1:$L$1,1)+2,FALSE)-VLOOKUP(CONCATENATE('BMP P Tracking Table'!$T330," ",'BMP P Tracking Table'!$AC330),'Performance Curves'!$C$1:$L$45,MATCH('BMP P Tracking Table'!$AE330,'Performance Curves'!$E$1:$L$1,1)+1,FALSE)),"")</f>
        <v/>
      </c>
      <c r="AG330" s="101" t="str">
        <f>IFERROR(('BMP P Tracking Table'!$AE330-INDEX('Performance Curves'!$E$1:$L$1,1,MATCH('BMP P Tracking Table'!$AE330,'Performance Curves'!$E$1:$L$1,1)))/(INDEX('Performance Curves'!$E$1:$L$1,1,MATCH('BMP P Tracking Table'!$AE330,'Performance Curves'!$E$1:$L$1,1)+1)-INDEX('Performance Curves'!$E$1:$L$1,1,MATCH('BMP P Tracking Table'!$AE330,'Performance Curves'!$E$1:$L$1,1))),"")</f>
        <v/>
      </c>
      <c r="AH330" s="102" t="str">
        <f>IFERROR(IF('BMP P Tracking Table'!$AE330=2,VLOOKUP(CONCATENATE('BMP P Tracking Table'!$T330," ",'BMP P Tracking Table'!$AC330),'Performance Curves'!$C$1:$L$45,MATCH('BMP P Tracking Table'!$AE330,'Performance Curves'!$E$1:$L$1,1)+1,FALSE),'BMP P Tracking Table'!$AF330*'BMP P Tracking Table'!$AG330+VLOOKUP(CONCATENATE('BMP P Tracking Table'!$T330," ",'BMP P Tracking Table'!$AC330),'Performance Curves'!$C$1:$L$45,MATCH('BMP P Tracking Table'!$AE330,'Performance Curves'!$E$1:$L$1,1)+1,FALSE)),"")</f>
        <v/>
      </c>
      <c r="AI330" s="101" t="str">
        <f>IFERROR('BMP P Tracking Table'!$AH330*'BMP P Tracking Table'!$AD330,"")</f>
        <v/>
      </c>
      <c r="AJ330" s="64"/>
      <c r="AK330" s="96"/>
      <c r="AL330" s="96"/>
      <c r="AM330" s="63"/>
      <c r="AN330" s="99" t="str">
        <f t="shared" si="20"/>
        <v/>
      </c>
      <c r="AO330" s="96"/>
      <c r="AP330" s="96"/>
      <c r="AQ330" s="96"/>
      <c r="AR330" s="96"/>
      <c r="AS330" s="96"/>
      <c r="AT330" s="96"/>
      <c r="AU330" s="96"/>
      <c r="AV330" s="64"/>
      <c r="AW330" s="97"/>
      <c r="AX330" s="97"/>
      <c r="AY330" s="101" t="str">
        <f>IF('BMP P Tracking Table'!$AK330="Yes",IF('BMP P Tracking Table'!$AL330="No",'BMP P Tracking Table'!$U330*VLOOKUP('BMP P Tracking Table'!$Q330,'Loading Rates'!$B$1:$L$24,4,FALSE)+IF('BMP P Tracking Table'!$V330="By HSG",'BMP P Tracking Table'!$W330*VLOOKUP('BMP P Tracking Table'!$Q330,'Loading Rates'!$B$1:$L$24,6,FALSE)+'BMP P Tracking Table'!$X330*VLOOKUP('BMP P Tracking Table'!$Q330,'Loading Rates'!$B$1:$L$24,7,FALSE)+'BMP P Tracking Table'!$Y330*VLOOKUP('BMP P Tracking Table'!$Q330,'Loading Rates'!$B$1:$L$24,8,FALSE)+'BMP P Tracking Table'!$Z330*VLOOKUP('BMP P Tracking Table'!$Q330,'Loading Rates'!$B$1:$L$24,9,FALSE),'BMP P Tracking Table'!$AA330*VLOOKUP('BMP P Tracking Table'!$Q330,'Loading Rates'!$B$1:$L$24,10,FALSE)),'BMP P Tracking Table'!$AO330*VLOOKUP('BMP P Tracking Table'!$Q330,'Loading Rates'!$B$1:$L$24,4,FALSE)+IF('BMP P Tracking Table'!$AP330="By HSG",'BMP P Tracking Table'!$AQ330*VLOOKUP('BMP P Tracking Table'!$Q330,'Loading Rates'!$B$1:$L$24,6,FALSE)+'BMP P Tracking Table'!$AR330*VLOOKUP('BMP P Tracking Table'!$Q330,'Loading Rates'!$B$1:$L$24,7,FALSE)+'BMP P Tracking Table'!$AS330*VLOOKUP('BMP P Tracking Table'!$Q330,'Loading Rates'!$B$1:$L$24,8,FALSE)+'BMP P Tracking Table'!$AT330*VLOOKUP('BMP P Tracking Table'!$Q330,'Loading Rates'!$B$1:$L$24,9,FALSE),'BMP P Tracking Table'!$AU330*VLOOKUP('BMP P Tracking Table'!$Q330,'Loading Rates'!$B$1:$L$24,10,FALSE))),"")</f>
        <v/>
      </c>
      <c r="AZ330" s="101" t="str">
        <f>IFERROR(IF('BMP P Tracking Table'!$AL330="Yes",MIN(2,IF('BMP P Tracking Table'!$AP330="Total Pervious",(-(3630*'BMP P Tracking Table'!$AO330+20.691*'BMP P Tracking Table'!$AU330)+SQRT((3630*'BMP P Tracking Table'!$AO330+20.691*'BMP P Tracking Table'!$AU330)^2-(4*(996.798*'BMP P Tracking Table'!$AU330)*-'BMP P Tracking Table'!$AW330)))/(2*(996.798*'BMP P Tracking Table'!$AU330)),IF(SUM('BMP P Tracking Table'!$AQ330:$AT330)=0,'BMP P Tracking Table'!$AU330/(-3630*'BMP P Tracking Table'!$AO330),(-(3630*'BMP P Tracking Table'!$AO330+20.691*'BMP P Tracking Table'!$AT330-216.711*'BMP P Tracking Table'!$AS330-83.853*'BMP P Tracking Table'!$AR330-42.834*'BMP P Tracking Table'!$AQ330)+SQRT((3630*'BMP P Tracking Table'!$AO330+20.691*'BMP P Tracking Table'!$AT330-216.711*'BMP P Tracking Table'!$AS330-83.853*'BMP P Tracking Table'!$AR330-42.834*'BMP P Tracking Table'!$AQ330)^2-(4*(149.919*'BMP P Tracking Table'!$AQ330+236.676*'BMP P Tracking Table'!$AR330+726*'BMP P Tracking Table'!$AS330+996.798*'BMP P Tracking Table'!$AT330)*-'BMP P Tracking Table'!$AW330)))/(2*(149.919*'BMP P Tracking Table'!$AQ330+236.676*'BMP P Tracking Table'!$AR330+726*'BMP P Tracking Table'!$AS330+996.798*'BMP P Tracking Table'!$AT330))))),MIN(2,IF('BMP P Tracking Table'!$AP330="Total Pervious",(-(3630*'BMP P Tracking Table'!$U330+20.691*'BMP P Tracking Table'!$AA330)+SQRT((3630*'BMP P Tracking Table'!$U330+20.691*'BMP P Tracking Table'!$AA330)^2-(4*(996.798*'BMP P Tracking Table'!$AA330)*-'BMP P Tracking Table'!$AW330)))/(2*(996.798*'BMP P Tracking Table'!$AA330)),IF(SUM('BMP P Tracking Table'!$W330:$Z330)=0,'BMP P Tracking Table'!$AW330/(-3630*'BMP P Tracking Table'!$U330),(-(3630*'BMP P Tracking Table'!$U330+20.691*'BMP P Tracking Table'!$Z330-216.711*'BMP P Tracking Table'!$Y330-83.853*'BMP P Tracking Table'!$X330-42.834*'BMP P Tracking Table'!$W330)+SQRT((3630*'BMP P Tracking Table'!$U330+20.691*'BMP P Tracking Table'!$Z330-216.711*'BMP P Tracking Table'!$Y330-83.853*'BMP P Tracking Table'!$X330-42.834*'BMP P Tracking Table'!$W330)^2-(4*(149.919*'BMP P Tracking Table'!$W330+236.676*'BMP P Tracking Table'!$X330+726*'BMP P Tracking Table'!$Y330+996.798*'BMP P Tracking Table'!$Z330)*-'BMP P Tracking Table'!$AW330)))/(2*(149.919*'BMP P Tracking Table'!$W330+236.676*'BMP P Tracking Table'!$X330+726*'BMP P Tracking Table'!$Y330+996.798*'BMP P Tracking Table'!$Z330)))))),"")</f>
        <v/>
      </c>
      <c r="BA330" s="101" t="str">
        <f>IFERROR((VLOOKUP(CONCATENATE('BMP P Tracking Table'!$AV330," ",'BMP P Tracking Table'!$AX330),'Performance Curves'!$C$1:$L$45,MATCH('BMP P Tracking Table'!$AZ330,'Performance Curves'!$E$1:$L$1,1)+2,FALSE)-VLOOKUP(CONCATENATE('BMP P Tracking Table'!$AV330," ",'BMP P Tracking Table'!$AX330),'Performance Curves'!$C$1:$L$45,MATCH('BMP P Tracking Table'!$AZ330,'Performance Curves'!$E$1:$L$1,1)+1,FALSE)),"")</f>
        <v/>
      </c>
      <c r="BB330" s="101" t="str">
        <f>IFERROR(('BMP P Tracking Table'!$AZ330-INDEX('Performance Curves'!$E$1:$L$1,1,MATCH('BMP P Tracking Table'!$AZ330,'Performance Curves'!$E$1:$L$1,1)))/(INDEX('Performance Curves'!$E$1:$L$1,1,MATCH('BMP P Tracking Table'!$AZ330,'Performance Curves'!$E$1:$L$1,1)+1)-INDEX('Performance Curves'!$E$1:$L$1,1,MATCH('BMP P Tracking Table'!$AZ330,'Performance Curves'!$E$1:$L$1,1))),"")</f>
        <v/>
      </c>
      <c r="BC330" s="102" t="str">
        <f>IFERROR(IF('BMP P Tracking Table'!$AZ330=2,VLOOKUP(CONCATENATE('BMP P Tracking Table'!$AV330," ",'BMP P Tracking Table'!$AX330),'Performance Curves'!$C$1:$L$44,MATCH('BMP P Tracking Table'!$AZ330,'Performance Curves'!$E$1:$L$1,1)+1,FALSE),'BMP P Tracking Table'!$BA330*'BMP P Tracking Table'!$BB330+VLOOKUP(CONCATENATE('BMP P Tracking Table'!$AV330," ",'BMP P Tracking Table'!$AX330),'Performance Curves'!$C$1:$L$44,MATCH('BMP P Tracking Table'!$AZ330,'Performance Curves'!$E$1:$L$1,1)+1,FALSE)),"")</f>
        <v/>
      </c>
      <c r="BD330" s="101" t="str">
        <f>IFERROR('BMP P Tracking Table'!$BC330*'BMP P Tracking Table'!$AY330,"")</f>
        <v/>
      </c>
      <c r="BE330" s="96"/>
      <c r="BF330" s="37">
        <f t="shared" si="21"/>
        <v>0</v>
      </c>
    </row>
    <row r="331" spans="1:58" x14ac:dyDescent="0.3">
      <c r="A331" s="64"/>
      <c r="B331" s="64"/>
      <c r="C331" s="64"/>
      <c r="D331" s="64"/>
      <c r="E331" s="93"/>
      <c r="F331" s="93"/>
      <c r="G331" s="64"/>
      <c r="H331" s="64"/>
      <c r="I331" s="64"/>
      <c r="J331" s="94"/>
      <c r="K331" s="64"/>
      <c r="L331" s="64"/>
      <c r="M331" s="64"/>
      <c r="N331" s="64"/>
      <c r="O331" s="64"/>
      <c r="P331" s="64"/>
      <c r="Q331" s="64" t="str">
        <f>IFERROR(VLOOKUP('BMP P Tracking Table'!$P331,Dropdowns!$C$2:$E$15,3,FALSE),"")</f>
        <v/>
      </c>
      <c r="R331" s="64" t="str">
        <f>IFERROR(VLOOKUP('BMP P Tracking Table'!$Q331,Dropdowns!$P$3:$Q$23,2,FALSE),"")</f>
        <v/>
      </c>
      <c r="S331" s="64"/>
      <c r="T331" s="64"/>
      <c r="U331" s="64"/>
      <c r="V331" s="64"/>
      <c r="W331" s="64"/>
      <c r="X331" s="64"/>
      <c r="Y331" s="64"/>
      <c r="Z331" s="64"/>
      <c r="AA331" s="64"/>
      <c r="AB331" s="95"/>
      <c r="AC331" s="64"/>
      <c r="AD331" s="101" t="str">
        <f>IFERROR('BMP P Tracking Table'!$U331*VLOOKUP('BMP P Tracking Table'!$Q331,'Loading Rates'!$B$1:$L$24,4,FALSE)+IF('BMP P Tracking Table'!$V331="By HSG",'BMP P Tracking Table'!$W331*VLOOKUP('BMP P Tracking Table'!$Q331,'Loading Rates'!$B$1:$L$24,6,FALSE)+'BMP P Tracking Table'!$X331*VLOOKUP('BMP P Tracking Table'!$Q331,'Loading Rates'!$B$1:$L$24,7,FALSE)+'BMP P Tracking Table'!$Y331*VLOOKUP('BMP P Tracking Table'!$Q331,'Loading Rates'!$B$1:$L$24,8,FALSE)+'BMP P Tracking Table'!$Z331*VLOOKUP('BMP P Tracking Table'!$Q331,'Loading Rates'!$B$1:$L$24,9,FALSE),'BMP P Tracking Table'!$AA331*VLOOKUP('BMP P Tracking Table'!$Q331,'Loading Rates'!$B$1:$L$24,10,FALSE)),"")</f>
        <v/>
      </c>
      <c r="AE331" s="101" t="str">
        <f>IFERROR(MIN(2,IF('BMP P Tracking Table'!$V331="Total Pervious",(-(3630*'BMP P Tracking Table'!$U331+20.691*'BMP P Tracking Table'!$AA331)+SQRT((3630*'BMP P Tracking Table'!$U331+20.691*'BMP P Tracking Table'!$AA331)^2-(4*(996.798*'BMP P Tracking Table'!$AA331)*-'BMP P Tracking Table'!$AB331)))/(2*(996.798*'BMP P Tracking Table'!$AA331)),IF(SUM('BMP P Tracking Table'!$W331:$Z331)=0,'BMP P Tracking Table'!$AB331/(-3630*'BMP P Tracking Table'!$U331),(-(3630*'BMP P Tracking Table'!$U331+20.691*'BMP P Tracking Table'!$Z331-216.711*'BMP P Tracking Table'!$Y331-83.853*'BMP P Tracking Table'!$X331-42.834*'BMP P Tracking Table'!$W331)+SQRT((3630*'BMP P Tracking Table'!$U331+20.691*'BMP P Tracking Table'!$Z331-216.711*'BMP P Tracking Table'!$Y331-83.853*'BMP P Tracking Table'!$X331-42.834*'BMP P Tracking Table'!$W331)^2-(4*(149.919*'BMP P Tracking Table'!$W331+236.676*'BMP P Tracking Table'!$X331+726*'BMP P Tracking Table'!$Y331+996.798*'BMP P Tracking Table'!$Z331)*-'BMP P Tracking Table'!$AB331)))/(2*(149.919*'BMP P Tracking Table'!$W331+236.676*'BMP P Tracking Table'!$X331+726*'BMP P Tracking Table'!$Y331+996.798*'BMP P Tracking Table'!$Z331))))),"")</f>
        <v/>
      </c>
      <c r="AF331" s="101" t="str">
        <f>IFERROR((VLOOKUP(CONCATENATE('BMP P Tracking Table'!$T331," ",'BMP P Tracking Table'!$AC331),'Performance Curves'!$C$1:$L$45,MATCH('BMP P Tracking Table'!$AE331,'Performance Curves'!$E$1:$L$1,1)+2,FALSE)-VLOOKUP(CONCATENATE('BMP P Tracking Table'!$T331," ",'BMP P Tracking Table'!$AC331),'Performance Curves'!$C$1:$L$45,MATCH('BMP P Tracking Table'!$AE331,'Performance Curves'!$E$1:$L$1,1)+1,FALSE)),"")</f>
        <v/>
      </c>
      <c r="AG331" s="101" t="str">
        <f>IFERROR(('BMP P Tracking Table'!$AE331-INDEX('Performance Curves'!$E$1:$L$1,1,MATCH('BMP P Tracking Table'!$AE331,'Performance Curves'!$E$1:$L$1,1)))/(INDEX('Performance Curves'!$E$1:$L$1,1,MATCH('BMP P Tracking Table'!$AE331,'Performance Curves'!$E$1:$L$1,1)+1)-INDEX('Performance Curves'!$E$1:$L$1,1,MATCH('BMP P Tracking Table'!$AE331,'Performance Curves'!$E$1:$L$1,1))),"")</f>
        <v/>
      </c>
      <c r="AH331" s="102" t="str">
        <f>IFERROR(IF('BMP P Tracking Table'!$AE331=2,VLOOKUP(CONCATENATE('BMP P Tracking Table'!$T331," ",'BMP P Tracking Table'!$AC331),'Performance Curves'!$C$1:$L$45,MATCH('BMP P Tracking Table'!$AE331,'Performance Curves'!$E$1:$L$1,1)+1,FALSE),'BMP P Tracking Table'!$AF331*'BMP P Tracking Table'!$AG331+VLOOKUP(CONCATENATE('BMP P Tracking Table'!$T331," ",'BMP P Tracking Table'!$AC331),'Performance Curves'!$C$1:$L$45,MATCH('BMP P Tracking Table'!$AE331,'Performance Curves'!$E$1:$L$1,1)+1,FALSE)),"")</f>
        <v/>
      </c>
      <c r="AI331" s="101" t="str">
        <f>IFERROR('BMP P Tracking Table'!$AH331*'BMP P Tracking Table'!$AD331,"")</f>
        <v/>
      </c>
      <c r="AJ331" s="64"/>
      <c r="AK331" s="96"/>
      <c r="AL331" s="96"/>
      <c r="AM331" s="63"/>
      <c r="AN331" s="99" t="str">
        <f t="shared" si="20"/>
        <v/>
      </c>
      <c r="AO331" s="96"/>
      <c r="AP331" s="96"/>
      <c r="AQ331" s="96"/>
      <c r="AR331" s="96"/>
      <c r="AS331" s="96"/>
      <c r="AT331" s="96"/>
      <c r="AU331" s="96"/>
      <c r="AV331" s="64"/>
      <c r="AW331" s="97"/>
      <c r="AX331" s="97"/>
      <c r="AY331" s="101" t="str">
        <f>IF('BMP P Tracking Table'!$AK331="Yes",IF('BMP P Tracking Table'!$AL331="No",'BMP P Tracking Table'!$U331*VLOOKUP('BMP P Tracking Table'!$Q331,'Loading Rates'!$B$1:$L$24,4,FALSE)+IF('BMP P Tracking Table'!$V331="By HSG",'BMP P Tracking Table'!$W331*VLOOKUP('BMP P Tracking Table'!$Q331,'Loading Rates'!$B$1:$L$24,6,FALSE)+'BMP P Tracking Table'!$X331*VLOOKUP('BMP P Tracking Table'!$Q331,'Loading Rates'!$B$1:$L$24,7,FALSE)+'BMP P Tracking Table'!$Y331*VLOOKUP('BMP P Tracking Table'!$Q331,'Loading Rates'!$B$1:$L$24,8,FALSE)+'BMP P Tracking Table'!$Z331*VLOOKUP('BMP P Tracking Table'!$Q331,'Loading Rates'!$B$1:$L$24,9,FALSE),'BMP P Tracking Table'!$AA331*VLOOKUP('BMP P Tracking Table'!$Q331,'Loading Rates'!$B$1:$L$24,10,FALSE)),'BMP P Tracking Table'!$AO331*VLOOKUP('BMP P Tracking Table'!$Q331,'Loading Rates'!$B$1:$L$24,4,FALSE)+IF('BMP P Tracking Table'!$AP331="By HSG",'BMP P Tracking Table'!$AQ331*VLOOKUP('BMP P Tracking Table'!$Q331,'Loading Rates'!$B$1:$L$24,6,FALSE)+'BMP P Tracking Table'!$AR331*VLOOKUP('BMP P Tracking Table'!$Q331,'Loading Rates'!$B$1:$L$24,7,FALSE)+'BMP P Tracking Table'!$AS331*VLOOKUP('BMP P Tracking Table'!$Q331,'Loading Rates'!$B$1:$L$24,8,FALSE)+'BMP P Tracking Table'!$AT331*VLOOKUP('BMP P Tracking Table'!$Q331,'Loading Rates'!$B$1:$L$24,9,FALSE),'BMP P Tracking Table'!$AU331*VLOOKUP('BMP P Tracking Table'!$Q331,'Loading Rates'!$B$1:$L$24,10,FALSE))),"")</f>
        <v/>
      </c>
      <c r="AZ331" s="101" t="str">
        <f>IFERROR(IF('BMP P Tracking Table'!$AL331="Yes",MIN(2,IF('BMP P Tracking Table'!$AP331="Total Pervious",(-(3630*'BMP P Tracking Table'!$AO331+20.691*'BMP P Tracking Table'!$AU331)+SQRT((3630*'BMP P Tracking Table'!$AO331+20.691*'BMP P Tracking Table'!$AU331)^2-(4*(996.798*'BMP P Tracking Table'!$AU331)*-'BMP P Tracking Table'!$AW331)))/(2*(996.798*'BMP P Tracking Table'!$AU331)),IF(SUM('BMP P Tracking Table'!$AQ331:$AT331)=0,'BMP P Tracking Table'!$AU331/(-3630*'BMP P Tracking Table'!$AO331),(-(3630*'BMP P Tracking Table'!$AO331+20.691*'BMP P Tracking Table'!$AT331-216.711*'BMP P Tracking Table'!$AS331-83.853*'BMP P Tracking Table'!$AR331-42.834*'BMP P Tracking Table'!$AQ331)+SQRT((3630*'BMP P Tracking Table'!$AO331+20.691*'BMP P Tracking Table'!$AT331-216.711*'BMP P Tracking Table'!$AS331-83.853*'BMP P Tracking Table'!$AR331-42.834*'BMP P Tracking Table'!$AQ331)^2-(4*(149.919*'BMP P Tracking Table'!$AQ331+236.676*'BMP P Tracking Table'!$AR331+726*'BMP P Tracking Table'!$AS331+996.798*'BMP P Tracking Table'!$AT331)*-'BMP P Tracking Table'!$AW331)))/(2*(149.919*'BMP P Tracking Table'!$AQ331+236.676*'BMP P Tracking Table'!$AR331+726*'BMP P Tracking Table'!$AS331+996.798*'BMP P Tracking Table'!$AT331))))),MIN(2,IF('BMP P Tracking Table'!$AP331="Total Pervious",(-(3630*'BMP P Tracking Table'!$U331+20.691*'BMP P Tracking Table'!$AA331)+SQRT((3630*'BMP P Tracking Table'!$U331+20.691*'BMP P Tracking Table'!$AA331)^2-(4*(996.798*'BMP P Tracking Table'!$AA331)*-'BMP P Tracking Table'!$AW331)))/(2*(996.798*'BMP P Tracking Table'!$AA331)),IF(SUM('BMP P Tracking Table'!$W331:$Z331)=0,'BMP P Tracking Table'!$AW331/(-3630*'BMP P Tracking Table'!$U331),(-(3630*'BMP P Tracking Table'!$U331+20.691*'BMP P Tracking Table'!$Z331-216.711*'BMP P Tracking Table'!$Y331-83.853*'BMP P Tracking Table'!$X331-42.834*'BMP P Tracking Table'!$W331)+SQRT((3630*'BMP P Tracking Table'!$U331+20.691*'BMP P Tracking Table'!$Z331-216.711*'BMP P Tracking Table'!$Y331-83.853*'BMP P Tracking Table'!$X331-42.834*'BMP P Tracking Table'!$W331)^2-(4*(149.919*'BMP P Tracking Table'!$W331+236.676*'BMP P Tracking Table'!$X331+726*'BMP P Tracking Table'!$Y331+996.798*'BMP P Tracking Table'!$Z331)*-'BMP P Tracking Table'!$AW331)))/(2*(149.919*'BMP P Tracking Table'!$W331+236.676*'BMP P Tracking Table'!$X331+726*'BMP P Tracking Table'!$Y331+996.798*'BMP P Tracking Table'!$Z331)))))),"")</f>
        <v/>
      </c>
      <c r="BA331" s="101" t="str">
        <f>IFERROR((VLOOKUP(CONCATENATE('BMP P Tracking Table'!$AV331," ",'BMP P Tracking Table'!$AX331),'Performance Curves'!$C$1:$L$45,MATCH('BMP P Tracking Table'!$AZ331,'Performance Curves'!$E$1:$L$1,1)+2,FALSE)-VLOOKUP(CONCATENATE('BMP P Tracking Table'!$AV331," ",'BMP P Tracking Table'!$AX331),'Performance Curves'!$C$1:$L$45,MATCH('BMP P Tracking Table'!$AZ331,'Performance Curves'!$E$1:$L$1,1)+1,FALSE)),"")</f>
        <v/>
      </c>
      <c r="BB331" s="101" t="str">
        <f>IFERROR(('BMP P Tracking Table'!$AZ331-INDEX('Performance Curves'!$E$1:$L$1,1,MATCH('BMP P Tracking Table'!$AZ331,'Performance Curves'!$E$1:$L$1,1)))/(INDEX('Performance Curves'!$E$1:$L$1,1,MATCH('BMP P Tracking Table'!$AZ331,'Performance Curves'!$E$1:$L$1,1)+1)-INDEX('Performance Curves'!$E$1:$L$1,1,MATCH('BMP P Tracking Table'!$AZ331,'Performance Curves'!$E$1:$L$1,1))),"")</f>
        <v/>
      </c>
      <c r="BC331" s="102" t="str">
        <f>IFERROR(IF('BMP P Tracking Table'!$AZ331=2,VLOOKUP(CONCATENATE('BMP P Tracking Table'!$AV331," ",'BMP P Tracking Table'!$AX331),'Performance Curves'!$C$1:$L$44,MATCH('BMP P Tracking Table'!$AZ331,'Performance Curves'!$E$1:$L$1,1)+1,FALSE),'BMP P Tracking Table'!$BA331*'BMP P Tracking Table'!$BB331+VLOOKUP(CONCATENATE('BMP P Tracking Table'!$AV331," ",'BMP P Tracking Table'!$AX331),'Performance Curves'!$C$1:$L$44,MATCH('BMP P Tracking Table'!$AZ331,'Performance Curves'!$E$1:$L$1,1)+1,FALSE)),"")</f>
        <v/>
      </c>
      <c r="BD331" s="101" t="str">
        <f>IFERROR('BMP P Tracking Table'!$BC331*'BMP P Tracking Table'!$AY331,"")</f>
        <v/>
      </c>
      <c r="BE331" s="96"/>
      <c r="BF331" s="37">
        <f t="shared" si="21"/>
        <v>0</v>
      </c>
    </row>
    <row r="332" spans="1:58" x14ac:dyDescent="0.3">
      <c r="A332" s="64"/>
      <c r="B332" s="64"/>
      <c r="C332" s="64"/>
      <c r="D332" s="64"/>
      <c r="E332" s="93"/>
      <c r="F332" s="93"/>
      <c r="G332" s="64"/>
      <c r="H332" s="64"/>
      <c r="I332" s="64"/>
      <c r="J332" s="94"/>
      <c r="K332" s="64"/>
      <c r="L332" s="64"/>
      <c r="M332" s="64"/>
      <c r="N332" s="64"/>
      <c r="O332" s="64"/>
      <c r="P332" s="64"/>
      <c r="Q332" s="64" t="str">
        <f>IFERROR(VLOOKUP('BMP P Tracking Table'!$P332,Dropdowns!$C$2:$E$15,3,FALSE),"")</f>
        <v/>
      </c>
      <c r="R332" s="64" t="str">
        <f>IFERROR(VLOOKUP('BMP P Tracking Table'!$Q332,Dropdowns!$P$3:$Q$23,2,FALSE),"")</f>
        <v/>
      </c>
      <c r="S332" s="64"/>
      <c r="T332" s="64"/>
      <c r="U332" s="64"/>
      <c r="V332" s="64"/>
      <c r="W332" s="64"/>
      <c r="X332" s="64"/>
      <c r="Y332" s="64"/>
      <c r="Z332" s="64"/>
      <c r="AA332" s="64"/>
      <c r="AB332" s="95"/>
      <c r="AC332" s="64"/>
      <c r="AD332" s="101" t="str">
        <f>IFERROR('BMP P Tracking Table'!$U332*VLOOKUP('BMP P Tracking Table'!$Q332,'Loading Rates'!$B$1:$L$24,4,FALSE)+IF('BMP P Tracking Table'!$V332="By HSG",'BMP P Tracking Table'!$W332*VLOOKUP('BMP P Tracking Table'!$Q332,'Loading Rates'!$B$1:$L$24,6,FALSE)+'BMP P Tracking Table'!$X332*VLOOKUP('BMP P Tracking Table'!$Q332,'Loading Rates'!$B$1:$L$24,7,FALSE)+'BMP P Tracking Table'!$Y332*VLOOKUP('BMP P Tracking Table'!$Q332,'Loading Rates'!$B$1:$L$24,8,FALSE)+'BMP P Tracking Table'!$Z332*VLOOKUP('BMP P Tracking Table'!$Q332,'Loading Rates'!$B$1:$L$24,9,FALSE),'BMP P Tracking Table'!$AA332*VLOOKUP('BMP P Tracking Table'!$Q332,'Loading Rates'!$B$1:$L$24,10,FALSE)),"")</f>
        <v/>
      </c>
      <c r="AE332" s="101" t="str">
        <f>IFERROR(MIN(2,IF('BMP P Tracking Table'!$V332="Total Pervious",(-(3630*'BMP P Tracking Table'!$U332+20.691*'BMP P Tracking Table'!$AA332)+SQRT((3630*'BMP P Tracking Table'!$U332+20.691*'BMP P Tracking Table'!$AA332)^2-(4*(996.798*'BMP P Tracking Table'!$AA332)*-'BMP P Tracking Table'!$AB332)))/(2*(996.798*'BMP P Tracking Table'!$AA332)),IF(SUM('BMP P Tracking Table'!$W332:$Z332)=0,'BMP P Tracking Table'!$AB332/(-3630*'BMP P Tracking Table'!$U332),(-(3630*'BMP P Tracking Table'!$U332+20.691*'BMP P Tracking Table'!$Z332-216.711*'BMP P Tracking Table'!$Y332-83.853*'BMP P Tracking Table'!$X332-42.834*'BMP P Tracking Table'!$W332)+SQRT((3630*'BMP P Tracking Table'!$U332+20.691*'BMP P Tracking Table'!$Z332-216.711*'BMP P Tracking Table'!$Y332-83.853*'BMP P Tracking Table'!$X332-42.834*'BMP P Tracking Table'!$W332)^2-(4*(149.919*'BMP P Tracking Table'!$W332+236.676*'BMP P Tracking Table'!$X332+726*'BMP P Tracking Table'!$Y332+996.798*'BMP P Tracking Table'!$Z332)*-'BMP P Tracking Table'!$AB332)))/(2*(149.919*'BMP P Tracking Table'!$W332+236.676*'BMP P Tracking Table'!$X332+726*'BMP P Tracking Table'!$Y332+996.798*'BMP P Tracking Table'!$Z332))))),"")</f>
        <v/>
      </c>
      <c r="AF332" s="101" t="str">
        <f>IFERROR((VLOOKUP(CONCATENATE('BMP P Tracking Table'!$T332," ",'BMP P Tracking Table'!$AC332),'Performance Curves'!$C$1:$L$45,MATCH('BMP P Tracking Table'!$AE332,'Performance Curves'!$E$1:$L$1,1)+2,FALSE)-VLOOKUP(CONCATENATE('BMP P Tracking Table'!$T332," ",'BMP P Tracking Table'!$AC332),'Performance Curves'!$C$1:$L$45,MATCH('BMP P Tracking Table'!$AE332,'Performance Curves'!$E$1:$L$1,1)+1,FALSE)),"")</f>
        <v/>
      </c>
      <c r="AG332" s="101" t="str">
        <f>IFERROR(('BMP P Tracking Table'!$AE332-INDEX('Performance Curves'!$E$1:$L$1,1,MATCH('BMP P Tracking Table'!$AE332,'Performance Curves'!$E$1:$L$1,1)))/(INDEX('Performance Curves'!$E$1:$L$1,1,MATCH('BMP P Tracking Table'!$AE332,'Performance Curves'!$E$1:$L$1,1)+1)-INDEX('Performance Curves'!$E$1:$L$1,1,MATCH('BMP P Tracking Table'!$AE332,'Performance Curves'!$E$1:$L$1,1))),"")</f>
        <v/>
      </c>
      <c r="AH332" s="102" t="str">
        <f>IFERROR(IF('BMP P Tracking Table'!$AE332=2,VLOOKUP(CONCATENATE('BMP P Tracking Table'!$T332," ",'BMP P Tracking Table'!$AC332),'Performance Curves'!$C$1:$L$45,MATCH('BMP P Tracking Table'!$AE332,'Performance Curves'!$E$1:$L$1,1)+1,FALSE),'BMP P Tracking Table'!$AF332*'BMP P Tracking Table'!$AG332+VLOOKUP(CONCATENATE('BMP P Tracking Table'!$T332," ",'BMP P Tracking Table'!$AC332),'Performance Curves'!$C$1:$L$45,MATCH('BMP P Tracking Table'!$AE332,'Performance Curves'!$E$1:$L$1,1)+1,FALSE)),"")</f>
        <v/>
      </c>
      <c r="AI332" s="101" t="str">
        <f>IFERROR('BMP P Tracking Table'!$AH332*'BMP P Tracking Table'!$AD332,"")</f>
        <v/>
      </c>
      <c r="AJ332" s="64"/>
      <c r="AK332" s="96"/>
      <c r="AL332" s="96"/>
      <c r="AM332" s="63"/>
      <c r="AN332" s="99" t="str">
        <f t="shared" si="20"/>
        <v/>
      </c>
      <c r="AO332" s="96"/>
      <c r="AP332" s="96"/>
      <c r="AQ332" s="96"/>
      <c r="AR332" s="96"/>
      <c r="AS332" s="96"/>
      <c r="AT332" s="96"/>
      <c r="AU332" s="96"/>
      <c r="AV332" s="64"/>
      <c r="AW332" s="97"/>
      <c r="AX332" s="97"/>
      <c r="AY332" s="101" t="str">
        <f>IF('BMP P Tracking Table'!$AK332="Yes",IF('BMP P Tracking Table'!$AL332="No",'BMP P Tracking Table'!$U332*VLOOKUP('BMP P Tracking Table'!$Q332,'Loading Rates'!$B$1:$L$24,4,FALSE)+IF('BMP P Tracking Table'!$V332="By HSG",'BMP P Tracking Table'!$W332*VLOOKUP('BMP P Tracking Table'!$Q332,'Loading Rates'!$B$1:$L$24,6,FALSE)+'BMP P Tracking Table'!$X332*VLOOKUP('BMP P Tracking Table'!$Q332,'Loading Rates'!$B$1:$L$24,7,FALSE)+'BMP P Tracking Table'!$Y332*VLOOKUP('BMP P Tracking Table'!$Q332,'Loading Rates'!$B$1:$L$24,8,FALSE)+'BMP P Tracking Table'!$Z332*VLOOKUP('BMP P Tracking Table'!$Q332,'Loading Rates'!$B$1:$L$24,9,FALSE),'BMP P Tracking Table'!$AA332*VLOOKUP('BMP P Tracking Table'!$Q332,'Loading Rates'!$B$1:$L$24,10,FALSE)),'BMP P Tracking Table'!$AO332*VLOOKUP('BMP P Tracking Table'!$Q332,'Loading Rates'!$B$1:$L$24,4,FALSE)+IF('BMP P Tracking Table'!$AP332="By HSG",'BMP P Tracking Table'!$AQ332*VLOOKUP('BMP P Tracking Table'!$Q332,'Loading Rates'!$B$1:$L$24,6,FALSE)+'BMP P Tracking Table'!$AR332*VLOOKUP('BMP P Tracking Table'!$Q332,'Loading Rates'!$B$1:$L$24,7,FALSE)+'BMP P Tracking Table'!$AS332*VLOOKUP('BMP P Tracking Table'!$Q332,'Loading Rates'!$B$1:$L$24,8,FALSE)+'BMP P Tracking Table'!$AT332*VLOOKUP('BMP P Tracking Table'!$Q332,'Loading Rates'!$B$1:$L$24,9,FALSE),'BMP P Tracking Table'!$AU332*VLOOKUP('BMP P Tracking Table'!$Q332,'Loading Rates'!$B$1:$L$24,10,FALSE))),"")</f>
        <v/>
      </c>
      <c r="AZ332" s="101" t="str">
        <f>IFERROR(IF('BMP P Tracking Table'!$AL332="Yes",MIN(2,IF('BMP P Tracking Table'!$AP332="Total Pervious",(-(3630*'BMP P Tracking Table'!$AO332+20.691*'BMP P Tracking Table'!$AU332)+SQRT((3630*'BMP P Tracking Table'!$AO332+20.691*'BMP P Tracking Table'!$AU332)^2-(4*(996.798*'BMP P Tracking Table'!$AU332)*-'BMP P Tracking Table'!$AW332)))/(2*(996.798*'BMP P Tracking Table'!$AU332)),IF(SUM('BMP P Tracking Table'!$AQ332:$AT332)=0,'BMP P Tracking Table'!$AU332/(-3630*'BMP P Tracking Table'!$AO332),(-(3630*'BMP P Tracking Table'!$AO332+20.691*'BMP P Tracking Table'!$AT332-216.711*'BMP P Tracking Table'!$AS332-83.853*'BMP P Tracking Table'!$AR332-42.834*'BMP P Tracking Table'!$AQ332)+SQRT((3630*'BMP P Tracking Table'!$AO332+20.691*'BMP P Tracking Table'!$AT332-216.711*'BMP P Tracking Table'!$AS332-83.853*'BMP P Tracking Table'!$AR332-42.834*'BMP P Tracking Table'!$AQ332)^2-(4*(149.919*'BMP P Tracking Table'!$AQ332+236.676*'BMP P Tracking Table'!$AR332+726*'BMP P Tracking Table'!$AS332+996.798*'BMP P Tracking Table'!$AT332)*-'BMP P Tracking Table'!$AW332)))/(2*(149.919*'BMP P Tracking Table'!$AQ332+236.676*'BMP P Tracking Table'!$AR332+726*'BMP P Tracking Table'!$AS332+996.798*'BMP P Tracking Table'!$AT332))))),MIN(2,IF('BMP P Tracking Table'!$AP332="Total Pervious",(-(3630*'BMP P Tracking Table'!$U332+20.691*'BMP P Tracking Table'!$AA332)+SQRT((3630*'BMP P Tracking Table'!$U332+20.691*'BMP P Tracking Table'!$AA332)^2-(4*(996.798*'BMP P Tracking Table'!$AA332)*-'BMP P Tracking Table'!$AW332)))/(2*(996.798*'BMP P Tracking Table'!$AA332)),IF(SUM('BMP P Tracking Table'!$W332:$Z332)=0,'BMP P Tracking Table'!$AW332/(-3630*'BMP P Tracking Table'!$U332),(-(3630*'BMP P Tracking Table'!$U332+20.691*'BMP P Tracking Table'!$Z332-216.711*'BMP P Tracking Table'!$Y332-83.853*'BMP P Tracking Table'!$X332-42.834*'BMP P Tracking Table'!$W332)+SQRT((3630*'BMP P Tracking Table'!$U332+20.691*'BMP P Tracking Table'!$Z332-216.711*'BMP P Tracking Table'!$Y332-83.853*'BMP P Tracking Table'!$X332-42.834*'BMP P Tracking Table'!$W332)^2-(4*(149.919*'BMP P Tracking Table'!$W332+236.676*'BMP P Tracking Table'!$X332+726*'BMP P Tracking Table'!$Y332+996.798*'BMP P Tracking Table'!$Z332)*-'BMP P Tracking Table'!$AW332)))/(2*(149.919*'BMP P Tracking Table'!$W332+236.676*'BMP P Tracking Table'!$X332+726*'BMP P Tracking Table'!$Y332+996.798*'BMP P Tracking Table'!$Z332)))))),"")</f>
        <v/>
      </c>
      <c r="BA332" s="101" t="str">
        <f>IFERROR((VLOOKUP(CONCATENATE('BMP P Tracking Table'!$AV332," ",'BMP P Tracking Table'!$AX332),'Performance Curves'!$C$1:$L$45,MATCH('BMP P Tracking Table'!$AZ332,'Performance Curves'!$E$1:$L$1,1)+2,FALSE)-VLOOKUP(CONCATENATE('BMP P Tracking Table'!$AV332," ",'BMP P Tracking Table'!$AX332),'Performance Curves'!$C$1:$L$45,MATCH('BMP P Tracking Table'!$AZ332,'Performance Curves'!$E$1:$L$1,1)+1,FALSE)),"")</f>
        <v/>
      </c>
      <c r="BB332" s="101" t="str">
        <f>IFERROR(('BMP P Tracking Table'!$AZ332-INDEX('Performance Curves'!$E$1:$L$1,1,MATCH('BMP P Tracking Table'!$AZ332,'Performance Curves'!$E$1:$L$1,1)))/(INDEX('Performance Curves'!$E$1:$L$1,1,MATCH('BMP P Tracking Table'!$AZ332,'Performance Curves'!$E$1:$L$1,1)+1)-INDEX('Performance Curves'!$E$1:$L$1,1,MATCH('BMP P Tracking Table'!$AZ332,'Performance Curves'!$E$1:$L$1,1))),"")</f>
        <v/>
      </c>
      <c r="BC332" s="102" t="str">
        <f>IFERROR(IF('BMP P Tracking Table'!$AZ332=2,VLOOKUP(CONCATENATE('BMP P Tracking Table'!$AV332," ",'BMP P Tracking Table'!$AX332),'Performance Curves'!$C$1:$L$44,MATCH('BMP P Tracking Table'!$AZ332,'Performance Curves'!$E$1:$L$1,1)+1,FALSE),'BMP P Tracking Table'!$BA332*'BMP P Tracking Table'!$BB332+VLOOKUP(CONCATENATE('BMP P Tracking Table'!$AV332," ",'BMP P Tracking Table'!$AX332),'Performance Curves'!$C$1:$L$44,MATCH('BMP P Tracking Table'!$AZ332,'Performance Curves'!$E$1:$L$1,1)+1,FALSE)),"")</f>
        <v/>
      </c>
      <c r="BD332" s="101" t="str">
        <f>IFERROR('BMP P Tracking Table'!$BC332*'BMP P Tracking Table'!$AY332,"")</f>
        <v/>
      </c>
      <c r="BE332" s="96"/>
      <c r="BF332" s="37">
        <f t="shared" si="21"/>
        <v>0</v>
      </c>
    </row>
    <row r="333" spans="1:58" x14ac:dyDescent="0.3">
      <c r="A333" s="64"/>
      <c r="B333" s="64"/>
      <c r="C333" s="64"/>
      <c r="D333" s="64"/>
      <c r="E333" s="93"/>
      <c r="F333" s="93"/>
      <c r="G333" s="64"/>
      <c r="H333" s="64"/>
      <c r="I333" s="64"/>
      <c r="J333" s="94"/>
      <c r="K333" s="64"/>
      <c r="L333" s="64"/>
      <c r="M333" s="64"/>
      <c r="N333" s="64"/>
      <c r="O333" s="64"/>
      <c r="P333" s="64"/>
      <c r="Q333" s="64" t="str">
        <f>IFERROR(VLOOKUP('BMP P Tracking Table'!$P333,Dropdowns!$C$2:$E$15,3,FALSE),"")</f>
        <v/>
      </c>
      <c r="R333" s="64" t="str">
        <f>IFERROR(VLOOKUP('BMP P Tracking Table'!$Q333,Dropdowns!$P$3:$Q$23,2,FALSE),"")</f>
        <v/>
      </c>
      <c r="S333" s="64"/>
      <c r="T333" s="64"/>
      <c r="U333" s="64"/>
      <c r="V333" s="64"/>
      <c r="W333" s="64"/>
      <c r="X333" s="64"/>
      <c r="Y333" s="64"/>
      <c r="Z333" s="64"/>
      <c r="AA333" s="64"/>
      <c r="AB333" s="95"/>
      <c r="AC333" s="64"/>
      <c r="AD333" s="101" t="str">
        <f>IFERROR('BMP P Tracking Table'!$U333*VLOOKUP('BMP P Tracking Table'!$Q333,'Loading Rates'!$B$1:$L$24,4,FALSE)+IF('BMP P Tracking Table'!$V333="By HSG",'BMP P Tracking Table'!$W333*VLOOKUP('BMP P Tracking Table'!$Q333,'Loading Rates'!$B$1:$L$24,6,FALSE)+'BMP P Tracking Table'!$X333*VLOOKUP('BMP P Tracking Table'!$Q333,'Loading Rates'!$B$1:$L$24,7,FALSE)+'BMP P Tracking Table'!$Y333*VLOOKUP('BMP P Tracking Table'!$Q333,'Loading Rates'!$B$1:$L$24,8,FALSE)+'BMP P Tracking Table'!$Z333*VLOOKUP('BMP P Tracking Table'!$Q333,'Loading Rates'!$B$1:$L$24,9,FALSE),'BMP P Tracking Table'!$AA333*VLOOKUP('BMP P Tracking Table'!$Q333,'Loading Rates'!$B$1:$L$24,10,FALSE)),"")</f>
        <v/>
      </c>
      <c r="AE333" s="101" t="str">
        <f>IFERROR(MIN(2,IF('BMP P Tracking Table'!$V333="Total Pervious",(-(3630*'BMP P Tracking Table'!$U333+20.691*'BMP P Tracking Table'!$AA333)+SQRT((3630*'BMP P Tracking Table'!$U333+20.691*'BMP P Tracking Table'!$AA333)^2-(4*(996.798*'BMP P Tracking Table'!$AA333)*-'BMP P Tracking Table'!$AB333)))/(2*(996.798*'BMP P Tracking Table'!$AA333)),IF(SUM('BMP P Tracking Table'!$W333:$Z333)=0,'BMP P Tracking Table'!$AB333/(-3630*'BMP P Tracking Table'!$U333),(-(3630*'BMP P Tracking Table'!$U333+20.691*'BMP P Tracking Table'!$Z333-216.711*'BMP P Tracking Table'!$Y333-83.853*'BMP P Tracking Table'!$X333-42.834*'BMP P Tracking Table'!$W333)+SQRT((3630*'BMP P Tracking Table'!$U333+20.691*'BMP P Tracking Table'!$Z333-216.711*'BMP P Tracking Table'!$Y333-83.853*'BMP P Tracking Table'!$X333-42.834*'BMP P Tracking Table'!$W333)^2-(4*(149.919*'BMP P Tracking Table'!$W333+236.676*'BMP P Tracking Table'!$X333+726*'BMP P Tracking Table'!$Y333+996.798*'BMP P Tracking Table'!$Z333)*-'BMP P Tracking Table'!$AB333)))/(2*(149.919*'BMP P Tracking Table'!$W333+236.676*'BMP P Tracking Table'!$X333+726*'BMP P Tracking Table'!$Y333+996.798*'BMP P Tracking Table'!$Z333))))),"")</f>
        <v/>
      </c>
      <c r="AF333" s="101" t="str">
        <f>IFERROR((VLOOKUP(CONCATENATE('BMP P Tracking Table'!$T333," ",'BMP P Tracking Table'!$AC333),'Performance Curves'!$C$1:$L$45,MATCH('BMP P Tracking Table'!$AE333,'Performance Curves'!$E$1:$L$1,1)+2,FALSE)-VLOOKUP(CONCATENATE('BMP P Tracking Table'!$T333," ",'BMP P Tracking Table'!$AC333),'Performance Curves'!$C$1:$L$45,MATCH('BMP P Tracking Table'!$AE333,'Performance Curves'!$E$1:$L$1,1)+1,FALSE)),"")</f>
        <v/>
      </c>
      <c r="AG333" s="101" t="str">
        <f>IFERROR(('BMP P Tracking Table'!$AE333-INDEX('Performance Curves'!$E$1:$L$1,1,MATCH('BMP P Tracking Table'!$AE333,'Performance Curves'!$E$1:$L$1,1)))/(INDEX('Performance Curves'!$E$1:$L$1,1,MATCH('BMP P Tracking Table'!$AE333,'Performance Curves'!$E$1:$L$1,1)+1)-INDEX('Performance Curves'!$E$1:$L$1,1,MATCH('BMP P Tracking Table'!$AE333,'Performance Curves'!$E$1:$L$1,1))),"")</f>
        <v/>
      </c>
      <c r="AH333" s="102" t="str">
        <f>IFERROR(IF('BMP P Tracking Table'!$AE333=2,VLOOKUP(CONCATENATE('BMP P Tracking Table'!$T333," ",'BMP P Tracking Table'!$AC333),'Performance Curves'!$C$1:$L$45,MATCH('BMP P Tracking Table'!$AE333,'Performance Curves'!$E$1:$L$1,1)+1,FALSE),'BMP P Tracking Table'!$AF333*'BMP P Tracking Table'!$AG333+VLOOKUP(CONCATENATE('BMP P Tracking Table'!$T333," ",'BMP P Tracking Table'!$AC333),'Performance Curves'!$C$1:$L$45,MATCH('BMP P Tracking Table'!$AE333,'Performance Curves'!$E$1:$L$1,1)+1,FALSE)),"")</f>
        <v/>
      </c>
      <c r="AI333" s="101" t="str">
        <f>IFERROR('BMP P Tracking Table'!$AH333*'BMP P Tracking Table'!$AD333,"")</f>
        <v/>
      </c>
      <c r="AJ333" s="64"/>
      <c r="AK333" s="96"/>
      <c r="AL333" s="96"/>
      <c r="AM333" s="63"/>
      <c r="AN333" s="99" t="str">
        <f t="shared" si="20"/>
        <v/>
      </c>
      <c r="AO333" s="96"/>
      <c r="AP333" s="96"/>
      <c r="AQ333" s="96"/>
      <c r="AR333" s="96"/>
      <c r="AS333" s="96"/>
      <c r="AT333" s="96"/>
      <c r="AU333" s="96"/>
      <c r="AV333" s="64"/>
      <c r="AW333" s="97"/>
      <c r="AX333" s="97"/>
      <c r="AY333" s="101" t="str">
        <f>IF('BMP P Tracking Table'!$AK333="Yes",IF('BMP P Tracking Table'!$AL333="No",'BMP P Tracking Table'!$U333*VLOOKUP('BMP P Tracking Table'!$Q333,'Loading Rates'!$B$1:$L$24,4,FALSE)+IF('BMP P Tracking Table'!$V333="By HSG",'BMP P Tracking Table'!$W333*VLOOKUP('BMP P Tracking Table'!$Q333,'Loading Rates'!$B$1:$L$24,6,FALSE)+'BMP P Tracking Table'!$X333*VLOOKUP('BMP P Tracking Table'!$Q333,'Loading Rates'!$B$1:$L$24,7,FALSE)+'BMP P Tracking Table'!$Y333*VLOOKUP('BMP P Tracking Table'!$Q333,'Loading Rates'!$B$1:$L$24,8,FALSE)+'BMP P Tracking Table'!$Z333*VLOOKUP('BMP P Tracking Table'!$Q333,'Loading Rates'!$B$1:$L$24,9,FALSE),'BMP P Tracking Table'!$AA333*VLOOKUP('BMP P Tracking Table'!$Q333,'Loading Rates'!$B$1:$L$24,10,FALSE)),'BMP P Tracking Table'!$AO333*VLOOKUP('BMP P Tracking Table'!$Q333,'Loading Rates'!$B$1:$L$24,4,FALSE)+IF('BMP P Tracking Table'!$AP333="By HSG",'BMP P Tracking Table'!$AQ333*VLOOKUP('BMP P Tracking Table'!$Q333,'Loading Rates'!$B$1:$L$24,6,FALSE)+'BMP P Tracking Table'!$AR333*VLOOKUP('BMP P Tracking Table'!$Q333,'Loading Rates'!$B$1:$L$24,7,FALSE)+'BMP P Tracking Table'!$AS333*VLOOKUP('BMP P Tracking Table'!$Q333,'Loading Rates'!$B$1:$L$24,8,FALSE)+'BMP P Tracking Table'!$AT333*VLOOKUP('BMP P Tracking Table'!$Q333,'Loading Rates'!$B$1:$L$24,9,FALSE),'BMP P Tracking Table'!$AU333*VLOOKUP('BMP P Tracking Table'!$Q333,'Loading Rates'!$B$1:$L$24,10,FALSE))),"")</f>
        <v/>
      </c>
      <c r="AZ333" s="101" t="str">
        <f>IFERROR(IF('BMP P Tracking Table'!$AL333="Yes",MIN(2,IF('BMP P Tracking Table'!$AP333="Total Pervious",(-(3630*'BMP P Tracking Table'!$AO333+20.691*'BMP P Tracking Table'!$AU333)+SQRT((3630*'BMP P Tracking Table'!$AO333+20.691*'BMP P Tracking Table'!$AU333)^2-(4*(996.798*'BMP P Tracking Table'!$AU333)*-'BMP P Tracking Table'!$AW333)))/(2*(996.798*'BMP P Tracking Table'!$AU333)),IF(SUM('BMP P Tracking Table'!$AQ333:$AT333)=0,'BMP P Tracking Table'!$AU333/(-3630*'BMP P Tracking Table'!$AO333),(-(3630*'BMP P Tracking Table'!$AO333+20.691*'BMP P Tracking Table'!$AT333-216.711*'BMP P Tracking Table'!$AS333-83.853*'BMP P Tracking Table'!$AR333-42.834*'BMP P Tracking Table'!$AQ333)+SQRT((3630*'BMP P Tracking Table'!$AO333+20.691*'BMP P Tracking Table'!$AT333-216.711*'BMP P Tracking Table'!$AS333-83.853*'BMP P Tracking Table'!$AR333-42.834*'BMP P Tracking Table'!$AQ333)^2-(4*(149.919*'BMP P Tracking Table'!$AQ333+236.676*'BMP P Tracking Table'!$AR333+726*'BMP P Tracking Table'!$AS333+996.798*'BMP P Tracking Table'!$AT333)*-'BMP P Tracking Table'!$AW333)))/(2*(149.919*'BMP P Tracking Table'!$AQ333+236.676*'BMP P Tracking Table'!$AR333+726*'BMP P Tracking Table'!$AS333+996.798*'BMP P Tracking Table'!$AT333))))),MIN(2,IF('BMP P Tracking Table'!$AP333="Total Pervious",(-(3630*'BMP P Tracking Table'!$U333+20.691*'BMP P Tracking Table'!$AA333)+SQRT((3630*'BMP P Tracking Table'!$U333+20.691*'BMP P Tracking Table'!$AA333)^2-(4*(996.798*'BMP P Tracking Table'!$AA333)*-'BMP P Tracking Table'!$AW333)))/(2*(996.798*'BMP P Tracking Table'!$AA333)),IF(SUM('BMP P Tracking Table'!$W333:$Z333)=0,'BMP P Tracking Table'!$AW333/(-3630*'BMP P Tracking Table'!$U333),(-(3630*'BMP P Tracking Table'!$U333+20.691*'BMP P Tracking Table'!$Z333-216.711*'BMP P Tracking Table'!$Y333-83.853*'BMP P Tracking Table'!$X333-42.834*'BMP P Tracking Table'!$W333)+SQRT((3630*'BMP P Tracking Table'!$U333+20.691*'BMP P Tracking Table'!$Z333-216.711*'BMP P Tracking Table'!$Y333-83.853*'BMP P Tracking Table'!$X333-42.834*'BMP P Tracking Table'!$W333)^2-(4*(149.919*'BMP P Tracking Table'!$W333+236.676*'BMP P Tracking Table'!$X333+726*'BMP P Tracking Table'!$Y333+996.798*'BMP P Tracking Table'!$Z333)*-'BMP P Tracking Table'!$AW333)))/(2*(149.919*'BMP P Tracking Table'!$W333+236.676*'BMP P Tracking Table'!$X333+726*'BMP P Tracking Table'!$Y333+996.798*'BMP P Tracking Table'!$Z333)))))),"")</f>
        <v/>
      </c>
      <c r="BA333" s="101" t="str">
        <f>IFERROR((VLOOKUP(CONCATENATE('BMP P Tracking Table'!$AV333," ",'BMP P Tracking Table'!$AX333),'Performance Curves'!$C$1:$L$45,MATCH('BMP P Tracking Table'!$AZ333,'Performance Curves'!$E$1:$L$1,1)+2,FALSE)-VLOOKUP(CONCATENATE('BMP P Tracking Table'!$AV333," ",'BMP P Tracking Table'!$AX333),'Performance Curves'!$C$1:$L$45,MATCH('BMP P Tracking Table'!$AZ333,'Performance Curves'!$E$1:$L$1,1)+1,FALSE)),"")</f>
        <v/>
      </c>
      <c r="BB333" s="101" t="str">
        <f>IFERROR(('BMP P Tracking Table'!$AZ333-INDEX('Performance Curves'!$E$1:$L$1,1,MATCH('BMP P Tracking Table'!$AZ333,'Performance Curves'!$E$1:$L$1,1)))/(INDEX('Performance Curves'!$E$1:$L$1,1,MATCH('BMP P Tracking Table'!$AZ333,'Performance Curves'!$E$1:$L$1,1)+1)-INDEX('Performance Curves'!$E$1:$L$1,1,MATCH('BMP P Tracking Table'!$AZ333,'Performance Curves'!$E$1:$L$1,1))),"")</f>
        <v/>
      </c>
      <c r="BC333" s="102" t="str">
        <f>IFERROR(IF('BMP P Tracking Table'!$AZ333=2,VLOOKUP(CONCATENATE('BMP P Tracking Table'!$AV333," ",'BMP P Tracking Table'!$AX333),'Performance Curves'!$C$1:$L$44,MATCH('BMP P Tracking Table'!$AZ333,'Performance Curves'!$E$1:$L$1,1)+1,FALSE),'BMP P Tracking Table'!$BA333*'BMP P Tracking Table'!$BB333+VLOOKUP(CONCATENATE('BMP P Tracking Table'!$AV333," ",'BMP P Tracking Table'!$AX333),'Performance Curves'!$C$1:$L$44,MATCH('BMP P Tracking Table'!$AZ333,'Performance Curves'!$E$1:$L$1,1)+1,FALSE)),"")</f>
        <v/>
      </c>
      <c r="BD333" s="101" t="str">
        <f>IFERROR('BMP P Tracking Table'!$BC333*'BMP P Tracking Table'!$AY333,"")</f>
        <v/>
      </c>
      <c r="BE333" s="96"/>
      <c r="BF333" s="37">
        <f t="shared" si="21"/>
        <v>0</v>
      </c>
    </row>
    <row r="334" spans="1:58" x14ac:dyDescent="0.3">
      <c r="A334" s="64"/>
      <c r="B334" s="64"/>
      <c r="C334" s="64"/>
      <c r="D334" s="64"/>
      <c r="E334" s="93"/>
      <c r="F334" s="93"/>
      <c r="G334" s="64"/>
      <c r="H334" s="64"/>
      <c r="I334" s="64"/>
      <c r="J334" s="94"/>
      <c r="K334" s="64"/>
      <c r="L334" s="64"/>
      <c r="M334" s="64"/>
      <c r="N334" s="64"/>
      <c r="O334" s="64"/>
      <c r="P334" s="64"/>
      <c r="Q334" s="64" t="str">
        <f>IFERROR(VLOOKUP('BMP P Tracking Table'!$P334,Dropdowns!$C$2:$E$15,3,FALSE),"")</f>
        <v/>
      </c>
      <c r="R334" s="64" t="str">
        <f>IFERROR(VLOOKUP('BMP P Tracking Table'!$Q334,Dropdowns!$P$3:$Q$23,2,FALSE),"")</f>
        <v/>
      </c>
      <c r="S334" s="64"/>
      <c r="T334" s="64"/>
      <c r="U334" s="64"/>
      <c r="V334" s="64"/>
      <c r="W334" s="64"/>
      <c r="X334" s="64"/>
      <c r="Y334" s="64"/>
      <c r="Z334" s="64"/>
      <c r="AA334" s="64"/>
      <c r="AB334" s="95"/>
      <c r="AC334" s="64"/>
      <c r="AD334" s="101" t="str">
        <f>IFERROR('BMP P Tracking Table'!$U334*VLOOKUP('BMP P Tracking Table'!$Q334,'Loading Rates'!$B$1:$L$24,4,FALSE)+IF('BMP P Tracking Table'!$V334="By HSG",'BMP P Tracking Table'!$W334*VLOOKUP('BMP P Tracking Table'!$Q334,'Loading Rates'!$B$1:$L$24,6,FALSE)+'BMP P Tracking Table'!$X334*VLOOKUP('BMP P Tracking Table'!$Q334,'Loading Rates'!$B$1:$L$24,7,FALSE)+'BMP P Tracking Table'!$Y334*VLOOKUP('BMP P Tracking Table'!$Q334,'Loading Rates'!$B$1:$L$24,8,FALSE)+'BMP P Tracking Table'!$Z334*VLOOKUP('BMP P Tracking Table'!$Q334,'Loading Rates'!$B$1:$L$24,9,FALSE),'BMP P Tracking Table'!$AA334*VLOOKUP('BMP P Tracking Table'!$Q334,'Loading Rates'!$B$1:$L$24,10,FALSE)),"")</f>
        <v/>
      </c>
      <c r="AE334" s="101" t="str">
        <f>IFERROR(MIN(2,IF('BMP P Tracking Table'!$V334="Total Pervious",(-(3630*'BMP P Tracking Table'!$U334+20.691*'BMP P Tracking Table'!$AA334)+SQRT((3630*'BMP P Tracking Table'!$U334+20.691*'BMP P Tracking Table'!$AA334)^2-(4*(996.798*'BMP P Tracking Table'!$AA334)*-'BMP P Tracking Table'!$AB334)))/(2*(996.798*'BMP P Tracking Table'!$AA334)),IF(SUM('BMP P Tracking Table'!$W334:$Z334)=0,'BMP P Tracking Table'!$AB334/(-3630*'BMP P Tracking Table'!$U334),(-(3630*'BMP P Tracking Table'!$U334+20.691*'BMP P Tracking Table'!$Z334-216.711*'BMP P Tracking Table'!$Y334-83.853*'BMP P Tracking Table'!$X334-42.834*'BMP P Tracking Table'!$W334)+SQRT((3630*'BMP P Tracking Table'!$U334+20.691*'BMP P Tracking Table'!$Z334-216.711*'BMP P Tracking Table'!$Y334-83.853*'BMP P Tracking Table'!$X334-42.834*'BMP P Tracking Table'!$W334)^2-(4*(149.919*'BMP P Tracking Table'!$W334+236.676*'BMP P Tracking Table'!$X334+726*'BMP P Tracking Table'!$Y334+996.798*'BMP P Tracking Table'!$Z334)*-'BMP P Tracking Table'!$AB334)))/(2*(149.919*'BMP P Tracking Table'!$W334+236.676*'BMP P Tracking Table'!$X334+726*'BMP P Tracking Table'!$Y334+996.798*'BMP P Tracking Table'!$Z334))))),"")</f>
        <v/>
      </c>
      <c r="AF334" s="101" t="str">
        <f>IFERROR((VLOOKUP(CONCATENATE('BMP P Tracking Table'!$T334," ",'BMP P Tracking Table'!$AC334),'Performance Curves'!$C$1:$L$45,MATCH('BMP P Tracking Table'!$AE334,'Performance Curves'!$E$1:$L$1,1)+2,FALSE)-VLOOKUP(CONCATENATE('BMP P Tracking Table'!$T334," ",'BMP P Tracking Table'!$AC334),'Performance Curves'!$C$1:$L$45,MATCH('BMP P Tracking Table'!$AE334,'Performance Curves'!$E$1:$L$1,1)+1,FALSE)),"")</f>
        <v/>
      </c>
      <c r="AG334" s="101" t="str">
        <f>IFERROR(('BMP P Tracking Table'!$AE334-INDEX('Performance Curves'!$E$1:$L$1,1,MATCH('BMP P Tracking Table'!$AE334,'Performance Curves'!$E$1:$L$1,1)))/(INDEX('Performance Curves'!$E$1:$L$1,1,MATCH('BMP P Tracking Table'!$AE334,'Performance Curves'!$E$1:$L$1,1)+1)-INDEX('Performance Curves'!$E$1:$L$1,1,MATCH('BMP P Tracking Table'!$AE334,'Performance Curves'!$E$1:$L$1,1))),"")</f>
        <v/>
      </c>
      <c r="AH334" s="102" t="str">
        <f>IFERROR(IF('BMP P Tracking Table'!$AE334=2,VLOOKUP(CONCATENATE('BMP P Tracking Table'!$T334," ",'BMP P Tracking Table'!$AC334),'Performance Curves'!$C$1:$L$45,MATCH('BMP P Tracking Table'!$AE334,'Performance Curves'!$E$1:$L$1,1)+1,FALSE),'BMP P Tracking Table'!$AF334*'BMP P Tracking Table'!$AG334+VLOOKUP(CONCATENATE('BMP P Tracking Table'!$T334," ",'BMP P Tracking Table'!$AC334),'Performance Curves'!$C$1:$L$45,MATCH('BMP P Tracking Table'!$AE334,'Performance Curves'!$E$1:$L$1,1)+1,FALSE)),"")</f>
        <v/>
      </c>
      <c r="AI334" s="101" t="str">
        <f>IFERROR('BMP P Tracking Table'!$AH334*'BMP P Tracking Table'!$AD334,"")</f>
        <v/>
      </c>
      <c r="AJ334" s="64"/>
      <c r="AK334" s="96"/>
      <c r="AL334" s="96"/>
      <c r="AM334" s="63"/>
      <c r="AN334" s="99" t="str">
        <f t="shared" si="20"/>
        <v/>
      </c>
      <c r="AO334" s="96"/>
      <c r="AP334" s="96"/>
      <c r="AQ334" s="96"/>
      <c r="AR334" s="96"/>
      <c r="AS334" s="96"/>
      <c r="AT334" s="96"/>
      <c r="AU334" s="96"/>
      <c r="AV334" s="64"/>
      <c r="AW334" s="97"/>
      <c r="AX334" s="97"/>
      <c r="AY334" s="101" t="str">
        <f>IF('BMP P Tracking Table'!$AK334="Yes",IF('BMP P Tracking Table'!$AL334="No",'BMP P Tracking Table'!$U334*VLOOKUP('BMP P Tracking Table'!$Q334,'Loading Rates'!$B$1:$L$24,4,FALSE)+IF('BMP P Tracking Table'!$V334="By HSG",'BMP P Tracking Table'!$W334*VLOOKUP('BMP P Tracking Table'!$Q334,'Loading Rates'!$B$1:$L$24,6,FALSE)+'BMP P Tracking Table'!$X334*VLOOKUP('BMP P Tracking Table'!$Q334,'Loading Rates'!$B$1:$L$24,7,FALSE)+'BMP P Tracking Table'!$Y334*VLOOKUP('BMP P Tracking Table'!$Q334,'Loading Rates'!$B$1:$L$24,8,FALSE)+'BMP P Tracking Table'!$Z334*VLOOKUP('BMP P Tracking Table'!$Q334,'Loading Rates'!$B$1:$L$24,9,FALSE),'BMP P Tracking Table'!$AA334*VLOOKUP('BMP P Tracking Table'!$Q334,'Loading Rates'!$B$1:$L$24,10,FALSE)),'BMP P Tracking Table'!$AO334*VLOOKUP('BMP P Tracking Table'!$Q334,'Loading Rates'!$B$1:$L$24,4,FALSE)+IF('BMP P Tracking Table'!$AP334="By HSG",'BMP P Tracking Table'!$AQ334*VLOOKUP('BMP P Tracking Table'!$Q334,'Loading Rates'!$B$1:$L$24,6,FALSE)+'BMP P Tracking Table'!$AR334*VLOOKUP('BMP P Tracking Table'!$Q334,'Loading Rates'!$B$1:$L$24,7,FALSE)+'BMP P Tracking Table'!$AS334*VLOOKUP('BMP P Tracking Table'!$Q334,'Loading Rates'!$B$1:$L$24,8,FALSE)+'BMP P Tracking Table'!$AT334*VLOOKUP('BMP P Tracking Table'!$Q334,'Loading Rates'!$B$1:$L$24,9,FALSE),'BMP P Tracking Table'!$AU334*VLOOKUP('BMP P Tracking Table'!$Q334,'Loading Rates'!$B$1:$L$24,10,FALSE))),"")</f>
        <v/>
      </c>
      <c r="AZ334" s="101" t="str">
        <f>IFERROR(IF('BMP P Tracking Table'!$AL334="Yes",MIN(2,IF('BMP P Tracking Table'!$AP334="Total Pervious",(-(3630*'BMP P Tracking Table'!$AO334+20.691*'BMP P Tracking Table'!$AU334)+SQRT((3630*'BMP P Tracking Table'!$AO334+20.691*'BMP P Tracking Table'!$AU334)^2-(4*(996.798*'BMP P Tracking Table'!$AU334)*-'BMP P Tracking Table'!$AW334)))/(2*(996.798*'BMP P Tracking Table'!$AU334)),IF(SUM('BMP P Tracking Table'!$AQ334:$AT334)=0,'BMP P Tracking Table'!$AU334/(-3630*'BMP P Tracking Table'!$AO334),(-(3630*'BMP P Tracking Table'!$AO334+20.691*'BMP P Tracking Table'!$AT334-216.711*'BMP P Tracking Table'!$AS334-83.853*'BMP P Tracking Table'!$AR334-42.834*'BMP P Tracking Table'!$AQ334)+SQRT((3630*'BMP P Tracking Table'!$AO334+20.691*'BMP P Tracking Table'!$AT334-216.711*'BMP P Tracking Table'!$AS334-83.853*'BMP P Tracking Table'!$AR334-42.834*'BMP P Tracking Table'!$AQ334)^2-(4*(149.919*'BMP P Tracking Table'!$AQ334+236.676*'BMP P Tracking Table'!$AR334+726*'BMP P Tracking Table'!$AS334+996.798*'BMP P Tracking Table'!$AT334)*-'BMP P Tracking Table'!$AW334)))/(2*(149.919*'BMP P Tracking Table'!$AQ334+236.676*'BMP P Tracking Table'!$AR334+726*'BMP P Tracking Table'!$AS334+996.798*'BMP P Tracking Table'!$AT334))))),MIN(2,IF('BMP P Tracking Table'!$AP334="Total Pervious",(-(3630*'BMP P Tracking Table'!$U334+20.691*'BMP P Tracking Table'!$AA334)+SQRT((3630*'BMP P Tracking Table'!$U334+20.691*'BMP P Tracking Table'!$AA334)^2-(4*(996.798*'BMP P Tracking Table'!$AA334)*-'BMP P Tracking Table'!$AW334)))/(2*(996.798*'BMP P Tracking Table'!$AA334)),IF(SUM('BMP P Tracking Table'!$W334:$Z334)=0,'BMP P Tracking Table'!$AW334/(-3630*'BMP P Tracking Table'!$U334),(-(3630*'BMP P Tracking Table'!$U334+20.691*'BMP P Tracking Table'!$Z334-216.711*'BMP P Tracking Table'!$Y334-83.853*'BMP P Tracking Table'!$X334-42.834*'BMP P Tracking Table'!$W334)+SQRT((3630*'BMP P Tracking Table'!$U334+20.691*'BMP P Tracking Table'!$Z334-216.711*'BMP P Tracking Table'!$Y334-83.853*'BMP P Tracking Table'!$X334-42.834*'BMP P Tracking Table'!$W334)^2-(4*(149.919*'BMP P Tracking Table'!$W334+236.676*'BMP P Tracking Table'!$X334+726*'BMP P Tracking Table'!$Y334+996.798*'BMP P Tracking Table'!$Z334)*-'BMP P Tracking Table'!$AW334)))/(2*(149.919*'BMP P Tracking Table'!$W334+236.676*'BMP P Tracking Table'!$X334+726*'BMP P Tracking Table'!$Y334+996.798*'BMP P Tracking Table'!$Z334)))))),"")</f>
        <v/>
      </c>
      <c r="BA334" s="101" t="str">
        <f>IFERROR((VLOOKUP(CONCATENATE('BMP P Tracking Table'!$AV334," ",'BMP P Tracking Table'!$AX334),'Performance Curves'!$C$1:$L$45,MATCH('BMP P Tracking Table'!$AZ334,'Performance Curves'!$E$1:$L$1,1)+2,FALSE)-VLOOKUP(CONCATENATE('BMP P Tracking Table'!$AV334," ",'BMP P Tracking Table'!$AX334),'Performance Curves'!$C$1:$L$45,MATCH('BMP P Tracking Table'!$AZ334,'Performance Curves'!$E$1:$L$1,1)+1,FALSE)),"")</f>
        <v/>
      </c>
      <c r="BB334" s="101" t="str">
        <f>IFERROR(('BMP P Tracking Table'!$AZ334-INDEX('Performance Curves'!$E$1:$L$1,1,MATCH('BMP P Tracking Table'!$AZ334,'Performance Curves'!$E$1:$L$1,1)))/(INDEX('Performance Curves'!$E$1:$L$1,1,MATCH('BMP P Tracking Table'!$AZ334,'Performance Curves'!$E$1:$L$1,1)+1)-INDEX('Performance Curves'!$E$1:$L$1,1,MATCH('BMP P Tracking Table'!$AZ334,'Performance Curves'!$E$1:$L$1,1))),"")</f>
        <v/>
      </c>
      <c r="BC334" s="102" t="str">
        <f>IFERROR(IF('BMP P Tracking Table'!$AZ334=2,VLOOKUP(CONCATENATE('BMP P Tracking Table'!$AV334," ",'BMP P Tracking Table'!$AX334),'Performance Curves'!$C$1:$L$44,MATCH('BMP P Tracking Table'!$AZ334,'Performance Curves'!$E$1:$L$1,1)+1,FALSE),'BMP P Tracking Table'!$BA334*'BMP P Tracking Table'!$BB334+VLOOKUP(CONCATENATE('BMP P Tracking Table'!$AV334," ",'BMP P Tracking Table'!$AX334),'Performance Curves'!$C$1:$L$44,MATCH('BMP P Tracking Table'!$AZ334,'Performance Curves'!$E$1:$L$1,1)+1,FALSE)),"")</f>
        <v/>
      </c>
      <c r="BD334" s="101" t="str">
        <f>IFERROR('BMP P Tracking Table'!$BC334*'BMP P Tracking Table'!$AY334,"")</f>
        <v/>
      </c>
      <c r="BE334" s="96"/>
      <c r="BF334" s="37">
        <f t="shared" si="21"/>
        <v>0</v>
      </c>
    </row>
    <row r="335" spans="1:58" x14ac:dyDescent="0.3">
      <c r="A335" s="64"/>
      <c r="B335" s="64"/>
      <c r="C335" s="64"/>
      <c r="D335" s="64"/>
      <c r="E335" s="93"/>
      <c r="F335" s="93"/>
      <c r="G335" s="64"/>
      <c r="H335" s="64"/>
      <c r="I335" s="64"/>
      <c r="J335" s="94"/>
      <c r="K335" s="64"/>
      <c r="L335" s="64"/>
      <c r="M335" s="64"/>
      <c r="N335" s="64"/>
      <c r="O335" s="64"/>
      <c r="P335" s="64"/>
      <c r="Q335" s="64" t="str">
        <f>IFERROR(VLOOKUP('BMP P Tracking Table'!$P335,Dropdowns!$C$2:$E$15,3,FALSE),"")</f>
        <v/>
      </c>
      <c r="R335" s="64" t="str">
        <f>IFERROR(VLOOKUP('BMP P Tracking Table'!$Q335,Dropdowns!$P$3:$Q$23,2,FALSE),"")</f>
        <v/>
      </c>
      <c r="S335" s="64"/>
      <c r="T335" s="64"/>
      <c r="U335" s="64"/>
      <c r="V335" s="64"/>
      <c r="W335" s="64"/>
      <c r="X335" s="64"/>
      <c r="Y335" s="64"/>
      <c r="Z335" s="64"/>
      <c r="AA335" s="64"/>
      <c r="AB335" s="95"/>
      <c r="AC335" s="64"/>
      <c r="AD335" s="101" t="str">
        <f>IFERROR('BMP P Tracking Table'!$U335*VLOOKUP('BMP P Tracking Table'!$Q335,'Loading Rates'!$B$1:$L$24,4,FALSE)+IF('BMP P Tracking Table'!$V335="By HSG",'BMP P Tracking Table'!$W335*VLOOKUP('BMP P Tracking Table'!$Q335,'Loading Rates'!$B$1:$L$24,6,FALSE)+'BMP P Tracking Table'!$X335*VLOOKUP('BMP P Tracking Table'!$Q335,'Loading Rates'!$B$1:$L$24,7,FALSE)+'BMP P Tracking Table'!$Y335*VLOOKUP('BMP P Tracking Table'!$Q335,'Loading Rates'!$B$1:$L$24,8,FALSE)+'BMP P Tracking Table'!$Z335*VLOOKUP('BMP P Tracking Table'!$Q335,'Loading Rates'!$B$1:$L$24,9,FALSE),'BMP P Tracking Table'!$AA335*VLOOKUP('BMP P Tracking Table'!$Q335,'Loading Rates'!$B$1:$L$24,10,FALSE)),"")</f>
        <v/>
      </c>
      <c r="AE335" s="101" t="str">
        <f>IFERROR(MIN(2,IF('BMP P Tracking Table'!$V335="Total Pervious",(-(3630*'BMP P Tracking Table'!$U335+20.691*'BMP P Tracking Table'!$AA335)+SQRT((3630*'BMP P Tracking Table'!$U335+20.691*'BMP P Tracking Table'!$AA335)^2-(4*(996.798*'BMP P Tracking Table'!$AA335)*-'BMP P Tracking Table'!$AB335)))/(2*(996.798*'BMP P Tracking Table'!$AA335)),IF(SUM('BMP P Tracking Table'!$W335:$Z335)=0,'BMP P Tracking Table'!$AB335/(-3630*'BMP P Tracking Table'!$U335),(-(3630*'BMP P Tracking Table'!$U335+20.691*'BMP P Tracking Table'!$Z335-216.711*'BMP P Tracking Table'!$Y335-83.853*'BMP P Tracking Table'!$X335-42.834*'BMP P Tracking Table'!$W335)+SQRT((3630*'BMP P Tracking Table'!$U335+20.691*'BMP P Tracking Table'!$Z335-216.711*'BMP P Tracking Table'!$Y335-83.853*'BMP P Tracking Table'!$X335-42.834*'BMP P Tracking Table'!$W335)^2-(4*(149.919*'BMP P Tracking Table'!$W335+236.676*'BMP P Tracking Table'!$X335+726*'BMP P Tracking Table'!$Y335+996.798*'BMP P Tracking Table'!$Z335)*-'BMP P Tracking Table'!$AB335)))/(2*(149.919*'BMP P Tracking Table'!$W335+236.676*'BMP P Tracking Table'!$X335+726*'BMP P Tracking Table'!$Y335+996.798*'BMP P Tracking Table'!$Z335))))),"")</f>
        <v/>
      </c>
      <c r="AF335" s="101" t="str">
        <f>IFERROR((VLOOKUP(CONCATENATE('BMP P Tracking Table'!$T335," ",'BMP P Tracking Table'!$AC335),'Performance Curves'!$C$1:$L$45,MATCH('BMP P Tracking Table'!$AE335,'Performance Curves'!$E$1:$L$1,1)+2,FALSE)-VLOOKUP(CONCATENATE('BMP P Tracking Table'!$T335," ",'BMP P Tracking Table'!$AC335),'Performance Curves'!$C$1:$L$45,MATCH('BMP P Tracking Table'!$AE335,'Performance Curves'!$E$1:$L$1,1)+1,FALSE)),"")</f>
        <v/>
      </c>
      <c r="AG335" s="101" t="str">
        <f>IFERROR(('BMP P Tracking Table'!$AE335-INDEX('Performance Curves'!$E$1:$L$1,1,MATCH('BMP P Tracking Table'!$AE335,'Performance Curves'!$E$1:$L$1,1)))/(INDEX('Performance Curves'!$E$1:$L$1,1,MATCH('BMP P Tracking Table'!$AE335,'Performance Curves'!$E$1:$L$1,1)+1)-INDEX('Performance Curves'!$E$1:$L$1,1,MATCH('BMP P Tracking Table'!$AE335,'Performance Curves'!$E$1:$L$1,1))),"")</f>
        <v/>
      </c>
      <c r="AH335" s="102" t="str">
        <f>IFERROR(IF('BMP P Tracking Table'!$AE335=2,VLOOKUP(CONCATENATE('BMP P Tracking Table'!$T335," ",'BMP P Tracking Table'!$AC335),'Performance Curves'!$C$1:$L$45,MATCH('BMP P Tracking Table'!$AE335,'Performance Curves'!$E$1:$L$1,1)+1,FALSE),'BMP P Tracking Table'!$AF335*'BMP P Tracking Table'!$AG335+VLOOKUP(CONCATENATE('BMP P Tracking Table'!$T335," ",'BMP P Tracking Table'!$AC335),'Performance Curves'!$C$1:$L$45,MATCH('BMP P Tracking Table'!$AE335,'Performance Curves'!$E$1:$L$1,1)+1,FALSE)),"")</f>
        <v/>
      </c>
      <c r="AI335" s="101" t="str">
        <f>IFERROR('BMP P Tracking Table'!$AH335*'BMP P Tracking Table'!$AD335,"")</f>
        <v/>
      </c>
      <c r="AJ335" s="64"/>
      <c r="AK335" s="96"/>
      <c r="AL335" s="96"/>
      <c r="AM335" s="63"/>
      <c r="AN335" s="99" t="str">
        <f t="shared" si="20"/>
        <v/>
      </c>
      <c r="AO335" s="96"/>
      <c r="AP335" s="96"/>
      <c r="AQ335" s="96"/>
      <c r="AR335" s="96"/>
      <c r="AS335" s="96"/>
      <c r="AT335" s="96"/>
      <c r="AU335" s="96"/>
      <c r="AV335" s="64"/>
      <c r="AW335" s="97"/>
      <c r="AX335" s="97"/>
      <c r="AY335" s="101" t="str">
        <f>IF('BMP P Tracking Table'!$AK335="Yes",IF('BMP P Tracking Table'!$AL335="No",'BMP P Tracking Table'!$U335*VLOOKUP('BMP P Tracking Table'!$Q335,'Loading Rates'!$B$1:$L$24,4,FALSE)+IF('BMP P Tracking Table'!$V335="By HSG",'BMP P Tracking Table'!$W335*VLOOKUP('BMP P Tracking Table'!$Q335,'Loading Rates'!$B$1:$L$24,6,FALSE)+'BMP P Tracking Table'!$X335*VLOOKUP('BMP P Tracking Table'!$Q335,'Loading Rates'!$B$1:$L$24,7,FALSE)+'BMP P Tracking Table'!$Y335*VLOOKUP('BMP P Tracking Table'!$Q335,'Loading Rates'!$B$1:$L$24,8,FALSE)+'BMP P Tracking Table'!$Z335*VLOOKUP('BMP P Tracking Table'!$Q335,'Loading Rates'!$B$1:$L$24,9,FALSE),'BMP P Tracking Table'!$AA335*VLOOKUP('BMP P Tracking Table'!$Q335,'Loading Rates'!$B$1:$L$24,10,FALSE)),'BMP P Tracking Table'!$AO335*VLOOKUP('BMP P Tracking Table'!$Q335,'Loading Rates'!$B$1:$L$24,4,FALSE)+IF('BMP P Tracking Table'!$AP335="By HSG",'BMP P Tracking Table'!$AQ335*VLOOKUP('BMP P Tracking Table'!$Q335,'Loading Rates'!$B$1:$L$24,6,FALSE)+'BMP P Tracking Table'!$AR335*VLOOKUP('BMP P Tracking Table'!$Q335,'Loading Rates'!$B$1:$L$24,7,FALSE)+'BMP P Tracking Table'!$AS335*VLOOKUP('BMP P Tracking Table'!$Q335,'Loading Rates'!$B$1:$L$24,8,FALSE)+'BMP P Tracking Table'!$AT335*VLOOKUP('BMP P Tracking Table'!$Q335,'Loading Rates'!$B$1:$L$24,9,FALSE),'BMP P Tracking Table'!$AU335*VLOOKUP('BMP P Tracking Table'!$Q335,'Loading Rates'!$B$1:$L$24,10,FALSE))),"")</f>
        <v/>
      </c>
      <c r="AZ335" s="101" t="str">
        <f>IFERROR(IF('BMP P Tracking Table'!$AL335="Yes",MIN(2,IF('BMP P Tracking Table'!$AP335="Total Pervious",(-(3630*'BMP P Tracking Table'!$AO335+20.691*'BMP P Tracking Table'!$AU335)+SQRT((3630*'BMP P Tracking Table'!$AO335+20.691*'BMP P Tracking Table'!$AU335)^2-(4*(996.798*'BMP P Tracking Table'!$AU335)*-'BMP P Tracking Table'!$AW335)))/(2*(996.798*'BMP P Tracking Table'!$AU335)),IF(SUM('BMP P Tracking Table'!$AQ335:$AT335)=0,'BMP P Tracking Table'!$AU335/(-3630*'BMP P Tracking Table'!$AO335),(-(3630*'BMP P Tracking Table'!$AO335+20.691*'BMP P Tracking Table'!$AT335-216.711*'BMP P Tracking Table'!$AS335-83.853*'BMP P Tracking Table'!$AR335-42.834*'BMP P Tracking Table'!$AQ335)+SQRT((3630*'BMP P Tracking Table'!$AO335+20.691*'BMP P Tracking Table'!$AT335-216.711*'BMP P Tracking Table'!$AS335-83.853*'BMP P Tracking Table'!$AR335-42.834*'BMP P Tracking Table'!$AQ335)^2-(4*(149.919*'BMP P Tracking Table'!$AQ335+236.676*'BMP P Tracking Table'!$AR335+726*'BMP P Tracking Table'!$AS335+996.798*'BMP P Tracking Table'!$AT335)*-'BMP P Tracking Table'!$AW335)))/(2*(149.919*'BMP P Tracking Table'!$AQ335+236.676*'BMP P Tracking Table'!$AR335+726*'BMP P Tracking Table'!$AS335+996.798*'BMP P Tracking Table'!$AT335))))),MIN(2,IF('BMP P Tracking Table'!$AP335="Total Pervious",(-(3630*'BMP P Tracking Table'!$U335+20.691*'BMP P Tracking Table'!$AA335)+SQRT((3630*'BMP P Tracking Table'!$U335+20.691*'BMP P Tracking Table'!$AA335)^2-(4*(996.798*'BMP P Tracking Table'!$AA335)*-'BMP P Tracking Table'!$AW335)))/(2*(996.798*'BMP P Tracking Table'!$AA335)),IF(SUM('BMP P Tracking Table'!$W335:$Z335)=0,'BMP P Tracking Table'!$AW335/(-3630*'BMP P Tracking Table'!$U335),(-(3630*'BMP P Tracking Table'!$U335+20.691*'BMP P Tracking Table'!$Z335-216.711*'BMP P Tracking Table'!$Y335-83.853*'BMP P Tracking Table'!$X335-42.834*'BMP P Tracking Table'!$W335)+SQRT((3630*'BMP P Tracking Table'!$U335+20.691*'BMP P Tracking Table'!$Z335-216.711*'BMP P Tracking Table'!$Y335-83.853*'BMP P Tracking Table'!$X335-42.834*'BMP P Tracking Table'!$W335)^2-(4*(149.919*'BMP P Tracking Table'!$W335+236.676*'BMP P Tracking Table'!$X335+726*'BMP P Tracking Table'!$Y335+996.798*'BMP P Tracking Table'!$Z335)*-'BMP P Tracking Table'!$AW335)))/(2*(149.919*'BMP P Tracking Table'!$W335+236.676*'BMP P Tracking Table'!$X335+726*'BMP P Tracking Table'!$Y335+996.798*'BMP P Tracking Table'!$Z335)))))),"")</f>
        <v/>
      </c>
      <c r="BA335" s="101" t="str">
        <f>IFERROR((VLOOKUP(CONCATENATE('BMP P Tracking Table'!$AV335," ",'BMP P Tracking Table'!$AX335),'Performance Curves'!$C$1:$L$45,MATCH('BMP P Tracking Table'!$AZ335,'Performance Curves'!$E$1:$L$1,1)+2,FALSE)-VLOOKUP(CONCATENATE('BMP P Tracking Table'!$AV335," ",'BMP P Tracking Table'!$AX335),'Performance Curves'!$C$1:$L$45,MATCH('BMP P Tracking Table'!$AZ335,'Performance Curves'!$E$1:$L$1,1)+1,FALSE)),"")</f>
        <v/>
      </c>
      <c r="BB335" s="101" t="str">
        <f>IFERROR(('BMP P Tracking Table'!$AZ335-INDEX('Performance Curves'!$E$1:$L$1,1,MATCH('BMP P Tracking Table'!$AZ335,'Performance Curves'!$E$1:$L$1,1)))/(INDEX('Performance Curves'!$E$1:$L$1,1,MATCH('BMP P Tracking Table'!$AZ335,'Performance Curves'!$E$1:$L$1,1)+1)-INDEX('Performance Curves'!$E$1:$L$1,1,MATCH('BMP P Tracking Table'!$AZ335,'Performance Curves'!$E$1:$L$1,1))),"")</f>
        <v/>
      </c>
      <c r="BC335" s="102" t="str">
        <f>IFERROR(IF('BMP P Tracking Table'!$AZ335=2,VLOOKUP(CONCATENATE('BMP P Tracking Table'!$AV335," ",'BMP P Tracking Table'!$AX335),'Performance Curves'!$C$1:$L$44,MATCH('BMP P Tracking Table'!$AZ335,'Performance Curves'!$E$1:$L$1,1)+1,FALSE),'BMP P Tracking Table'!$BA335*'BMP P Tracking Table'!$BB335+VLOOKUP(CONCATENATE('BMP P Tracking Table'!$AV335," ",'BMP P Tracking Table'!$AX335),'Performance Curves'!$C$1:$L$44,MATCH('BMP P Tracking Table'!$AZ335,'Performance Curves'!$E$1:$L$1,1)+1,FALSE)),"")</f>
        <v/>
      </c>
      <c r="BD335" s="101" t="str">
        <f>IFERROR('BMP P Tracking Table'!$BC335*'BMP P Tracking Table'!$AY335,"")</f>
        <v/>
      </c>
      <c r="BE335" s="96"/>
      <c r="BF335" s="37">
        <f t="shared" si="21"/>
        <v>0</v>
      </c>
    </row>
    <row r="336" spans="1:58" x14ac:dyDescent="0.3">
      <c r="A336" s="64"/>
      <c r="B336" s="64"/>
      <c r="C336" s="64"/>
      <c r="D336" s="64"/>
      <c r="E336" s="93"/>
      <c r="F336" s="93"/>
      <c r="G336" s="64"/>
      <c r="H336" s="64"/>
      <c r="I336" s="64"/>
      <c r="J336" s="94"/>
      <c r="K336" s="64"/>
      <c r="L336" s="64"/>
      <c r="M336" s="64"/>
      <c r="N336" s="64"/>
      <c r="O336" s="64"/>
      <c r="P336" s="64"/>
      <c r="Q336" s="64" t="str">
        <f>IFERROR(VLOOKUP('BMP P Tracking Table'!$P336,Dropdowns!$C$2:$E$15,3,FALSE),"")</f>
        <v/>
      </c>
      <c r="R336" s="64" t="str">
        <f>IFERROR(VLOOKUP('BMP P Tracking Table'!$Q336,Dropdowns!$P$3:$Q$23,2,FALSE),"")</f>
        <v/>
      </c>
      <c r="S336" s="64"/>
      <c r="T336" s="64"/>
      <c r="U336" s="64"/>
      <c r="V336" s="64"/>
      <c r="W336" s="64"/>
      <c r="X336" s="64"/>
      <c r="Y336" s="64"/>
      <c r="Z336" s="64"/>
      <c r="AA336" s="64"/>
      <c r="AB336" s="95"/>
      <c r="AC336" s="64"/>
      <c r="AD336" s="101" t="str">
        <f>IFERROR('BMP P Tracking Table'!$U336*VLOOKUP('BMP P Tracking Table'!$Q336,'Loading Rates'!$B$1:$L$24,4,FALSE)+IF('BMP P Tracking Table'!$V336="By HSG",'BMP P Tracking Table'!$W336*VLOOKUP('BMP P Tracking Table'!$Q336,'Loading Rates'!$B$1:$L$24,6,FALSE)+'BMP P Tracking Table'!$X336*VLOOKUP('BMP P Tracking Table'!$Q336,'Loading Rates'!$B$1:$L$24,7,FALSE)+'BMP P Tracking Table'!$Y336*VLOOKUP('BMP P Tracking Table'!$Q336,'Loading Rates'!$B$1:$L$24,8,FALSE)+'BMP P Tracking Table'!$Z336*VLOOKUP('BMP P Tracking Table'!$Q336,'Loading Rates'!$B$1:$L$24,9,FALSE),'BMP P Tracking Table'!$AA336*VLOOKUP('BMP P Tracking Table'!$Q336,'Loading Rates'!$B$1:$L$24,10,FALSE)),"")</f>
        <v/>
      </c>
      <c r="AE336" s="101" t="str">
        <f>IFERROR(MIN(2,IF('BMP P Tracking Table'!$V336="Total Pervious",(-(3630*'BMP P Tracking Table'!$U336+20.691*'BMP P Tracking Table'!$AA336)+SQRT((3630*'BMP P Tracking Table'!$U336+20.691*'BMP P Tracking Table'!$AA336)^2-(4*(996.798*'BMP P Tracking Table'!$AA336)*-'BMP P Tracking Table'!$AB336)))/(2*(996.798*'BMP P Tracking Table'!$AA336)),IF(SUM('BMP P Tracking Table'!$W336:$Z336)=0,'BMP P Tracking Table'!$AB336/(-3630*'BMP P Tracking Table'!$U336),(-(3630*'BMP P Tracking Table'!$U336+20.691*'BMP P Tracking Table'!$Z336-216.711*'BMP P Tracking Table'!$Y336-83.853*'BMP P Tracking Table'!$X336-42.834*'BMP P Tracking Table'!$W336)+SQRT((3630*'BMP P Tracking Table'!$U336+20.691*'BMP P Tracking Table'!$Z336-216.711*'BMP P Tracking Table'!$Y336-83.853*'BMP P Tracking Table'!$X336-42.834*'BMP P Tracking Table'!$W336)^2-(4*(149.919*'BMP P Tracking Table'!$W336+236.676*'BMP P Tracking Table'!$X336+726*'BMP P Tracking Table'!$Y336+996.798*'BMP P Tracking Table'!$Z336)*-'BMP P Tracking Table'!$AB336)))/(2*(149.919*'BMP P Tracking Table'!$W336+236.676*'BMP P Tracking Table'!$X336+726*'BMP P Tracking Table'!$Y336+996.798*'BMP P Tracking Table'!$Z336))))),"")</f>
        <v/>
      </c>
      <c r="AF336" s="101" t="str">
        <f>IFERROR((VLOOKUP(CONCATENATE('BMP P Tracking Table'!$T336," ",'BMP P Tracking Table'!$AC336),'Performance Curves'!$C$1:$L$45,MATCH('BMP P Tracking Table'!$AE336,'Performance Curves'!$E$1:$L$1,1)+2,FALSE)-VLOOKUP(CONCATENATE('BMP P Tracking Table'!$T336," ",'BMP P Tracking Table'!$AC336),'Performance Curves'!$C$1:$L$45,MATCH('BMP P Tracking Table'!$AE336,'Performance Curves'!$E$1:$L$1,1)+1,FALSE)),"")</f>
        <v/>
      </c>
      <c r="AG336" s="101" t="str">
        <f>IFERROR(('BMP P Tracking Table'!$AE336-INDEX('Performance Curves'!$E$1:$L$1,1,MATCH('BMP P Tracking Table'!$AE336,'Performance Curves'!$E$1:$L$1,1)))/(INDEX('Performance Curves'!$E$1:$L$1,1,MATCH('BMP P Tracking Table'!$AE336,'Performance Curves'!$E$1:$L$1,1)+1)-INDEX('Performance Curves'!$E$1:$L$1,1,MATCH('BMP P Tracking Table'!$AE336,'Performance Curves'!$E$1:$L$1,1))),"")</f>
        <v/>
      </c>
      <c r="AH336" s="102" t="str">
        <f>IFERROR(IF('BMP P Tracking Table'!$AE336=2,VLOOKUP(CONCATENATE('BMP P Tracking Table'!$T336," ",'BMP P Tracking Table'!$AC336),'Performance Curves'!$C$1:$L$45,MATCH('BMP P Tracking Table'!$AE336,'Performance Curves'!$E$1:$L$1,1)+1,FALSE),'BMP P Tracking Table'!$AF336*'BMP P Tracking Table'!$AG336+VLOOKUP(CONCATENATE('BMP P Tracking Table'!$T336," ",'BMP P Tracking Table'!$AC336),'Performance Curves'!$C$1:$L$45,MATCH('BMP P Tracking Table'!$AE336,'Performance Curves'!$E$1:$L$1,1)+1,FALSE)),"")</f>
        <v/>
      </c>
      <c r="AI336" s="101" t="str">
        <f>IFERROR('BMP P Tracking Table'!$AH336*'BMP P Tracking Table'!$AD336,"")</f>
        <v/>
      </c>
      <c r="AJ336" s="64"/>
      <c r="AK336" s="96"/>
      <c r="AL336" s="96"/>
      <c r="AM336" s="63"/>
      <c r="AN336" s="99" t="str">
        <f t="shared" si="20"/>
        <v/>
      </c>
      <c r="AO336" s="96"/>
      <c r="AP336" s="96"/>
      <c r="AQ336" s="96"/>
      <c r="AR336" s="96"/>
      <c r="AS336" s="96"/>
      <c r="AT336" s="96"/>
      <c r="AU336" s="96"/>
      <c r="AV336" s="64"/>
      <c r="AW336" s="97"/>
      <c r="AX336" s="97"/>
      <c r="AY336" s="101" t="str">
        <f>IF('BMP P Tracking Table'!$AK336="Yes",IF('BMP P Tracking Table'!$AL336="No",'BMP P Tracking Table'!$U336*VLOOKUP('BMP P Tracking Table'!$Q336,'Loading Rates'!$B$1:$L$24,4,FALSE)+IF('BMP P Tracking Table'!$V336="By HSG",'BMP P Tracking Table'!$W336*VLOOKUP('BMP P Tracking Table'!$Q336,'Loading Rates'!$B$1:$L$24,6,FALSE)+'BMP P Tracking Table'!$X336*VLOOKUP('BMP P Tracking Table'!$Q336,'Loading Rates'!$B$1:$L$24,7,FALSE)+'BMP P Tracking Table'!$Y336*VLOOKUP('BMP P Tracking Table'!$Q336,'Loading Rates'!$B$1:$L$24,8,FALSE)+'BMP P Tracking Table'!$Z336*VLOOKUP('BMP P Tracking Table'!$Q336,'Loading Rates'!$B$1:$L$24,9,FALSE),'BMP P Tracking Table'!$AA336*VLOOKUP('BMP P Tracking Table'!$Q336,'Loading Rates'!$B$1:$L$24,10,FALSE)),'BMP P Tracking Table'!$AO336*VLOOKUP('BMP P Tracking Table'!$Q336,'Loading Rates'!$B$1:$L$24,4,FALSE)+IF('BMP P Tracking Table'!$AP336="By HSG",'BMP P Tracking Table'!$AQ336*VLOOKUP('BMP P Tracking Table'!$Q336,'Loading Rates'!$B$1:$L$24,6,FALSE)+'BMP P Tracking Table'!$AR336*VLOOKUP('BMP P Tracking Table'!$Q336,'Loading Rates'!$B$1:$L$24,7,FALSE)+'BMP P Tracking Table'!$AS336*VLOOKUP('BMP P Tracking Table'!$Q336,'Loading Rates'!$B$1:$L$24,8,FALSE)+'BMP P Tracking Table'!$AT336*VLOOKUP('BMP P Tracking Table'!$Q336,'Loading Rates'!$B$1:$L$24,9,FALSE),'BMP P Tracking Table'!$AU336*VLOOKUP('BMP P Tracking Table'!$Q336,'Loading Rates'!$B$1:$L$24,10,FALSE))),"")</f>
        <v/>
      </c>
      <c r="AZ336" s="101" t="str">
        <f>IFERROR(IF('BMP P Tracking Table'!$AL336="Yes",MIN(2,IF('BMP P Tracking Table'!$AP336="Total Pervious",(-(3630*'BMP P Tracking Table'!$AO336+20.691*'BMP P Tracking Table'!$AU336)+SQRT((3630*'BMP P Tracking Table'!$AO336+20.691*'BMP P Tracking Table'!$AU336)^2-(4*(996.798*'BMP P Tracking Table'!$AU336)*-'BMP P Tracking Table'!$AW336)))/(2*(996.798*'BMP P Tracking Table'!$AU336)),IF(SUM('BMP P Tracking Table'!$AQ336:$AT336)=0,'BMP P Tracking Table'!$AU336/(-3630*'BMP P Tracking Table'!$AO336),(-(3630*'BMP P Tracking Table'!$AO336+20.691*'BMP P Tracking Table'!$AT336-216.711*'BMP P Tracking Table'!$AS336-83.853*'BMP P Tracking Table'!$AR336-42.834*'BMP P Tracking Table'!$AQ336)+SQRT((3630*'BMP P Tracking Table'!$AO336+20.691*'BMP P Tracking Table'!$AT336-216.711*'BMP P Tracking Table'!$AS336-83.853*'BMP P Tracking Table'!$AR336-42.834*'BMP P Tracking Table'!$AQ336)^2-(4*(149.919*'BMP P Tracking Table'!$AQ336+236.676*'BMP P Tracking Table'!$AR336+726*'BMP P Tracking Table'!$AS336+996.798*'BMP P Tracking Table'!$AT336)*-'BMP P Tracking Table'!$AW336)))/(2*(149.919*'BMP P Tracking Table'!$AQ336+236.676*'BMP P Tracking Table'!$AR336+726*'BMP P Tracking Table'!$AS336+996.798*'BMP P Tracking Table'!$AT336))))),MIN(2,IF('BMP P Tracking Table'!$AP336="Total Pervious",(-(3630*'BMP P Tracking Table'!$U336+20.691*'BMP P Tracking Table'!$AA336)+SQRT((3630*'BMP P Tracking Table'!$U336+20.691*'BMP P Tracking Table'!$AA336)^2-(4*(996.798*'BMP P Tracking Table'!$AA336)*-'BMP P Tracking Table'!$AW336)))/(2*(996.798*'BMP P Tracking Table'!$AA336)),IF(SUM('BMP P Tracking Table'!$W336:$Z336)=0,'BMP P Tracking Table'!$AW336/(-3630*'BMP P Tracking Table'!$U336),(-(3630*'BMP P Tracking Table'!$U336+20.691*'BMP P Tracking Table'!$Z336-216.711*'BMP P Tracking Table'!$Y336-83.853*'BMP P Tracking Table'!$X336-42.834*'BMP P Tracking Table'!$W336)+SQRT((3630*'BMP P Tracking Table'!$U336+20.691*'BMP P Tracking Table'!$Z336-216.711*'BMP P Tracking Table'!$Y336-83.853*'BMP P Tracking Table'!$X336-42.834*'BMP P Tracking Table'!$W336)^2-(4*(149.919*'BMP P Tracking Table'!$W336+236.676*'BMP P Tracking Table'!$X336+726*'BMP P Tracking Table'!$Y336+996.798*'BMP P Tracking Table'!$Z336)*-'BMP P Tracking Table'!$AW336)))/(2*(149.919*'BMP P Tracking Table'!$W336+236.676*'BMP P Tracking Table'!$X336+726*'BMP P Tracking Table'!$Y336+996.798*'BMP P Tracking Table'!$Z336)))))),"")</f>
        <v/>
      </c>
      <c r="BA336" s="101" t="str">
        <f>IFERROR((VLOOKUP(CONCATENATE('BMP P Tracking Table'!$AV336," ",'BMP P Tracking Table'!$AX336),'Performance Curves'!$C$1:$L$45,MATCH('BMP P Tracking Table'!$AZ336,'Performance Curves'!$E$1:$L$1,1)+2,FALSE)-VLOOKUP(CONCATENATE('BMP P Tracking Table'!$AV336," ",'BMP P Tracking Table'!$AX336),'Performance Curves'!$C$1:$L$45,MATCH('BMP P Tracking Table'!$AZ336,'Performance Curves'!$E$1:$L$1,1)+1,FALSE)),"")</f>
        <v/>
      </c>
      <c r="BB336" s="101" t="str">
        <f>IFERROR(('BMP P Tracking Table'!$AZ336-INDEX('Performance Curves'!$E$1:$L$1,1,MATCH('BMP P Tracking Table'!$AZ336,'Performance Curves'!$E$1:$L$1,1)))/(INDEX('Performance Curves'!$E$1:$L$1,1,MATCH('BMP P Tracking Table'!$AZ336,'Performance Curves'!$E$1:$L$1,1)+1)-INDEX('Performance Curves'!$E$1:$L$1,1,MATCH('BMP P Tracking Table'!$AZ336,'Performance Curves'!$E$1:$L$1,1))),"")</f>
        <v/>
      </c>
      <c r="BC336" s="102" t="str">
        <f>IFERROR(IF('BMP P Tracking Table'!$AZ336=2,VLOOKUP(CONCATENATE('BMP P Tracking Table'!$AV336," ",'BMP P Tracking Table'!$AX336),'Performance Curves'!$C$1:$L$44,MATCH('BMP P Tracking Table'!$AZ336,'Performance Curves'!$E$1:$L$1,1)+1,FALSE),'BMP P Tracking Table'!$BA336*'BMP P Tracking Table'!$BB336+VLOOKUP(CONCATENATE('BMP P Tracking Table'!$AV336," ",'BMP P Tracking Table'!$AX336),'Performance Curves'!$C$1:$L$44,MATCH('BMP P Tracking Table'!$AZ336,'Performance Curves'!$E$1:$L$1,1)+1,FALSE)),"")</f>
        <v/>
      </c>
      <c r="BD336" s="101" t="str">
        <f>IFERROR('BMP P Tracking Table'!$BC336*'BMP P Tracking Table'!$AY336,"")</f>
        <v/>
      </c>
      <c r="BE336" s="96"/>
      <c r="BF336" s="37">
        <f t="shared" si="21"/>
        <v>0</v>
      </c>
    </row>
    <row r="337" spans="1:58" x14ac:dyDescent="0.3">
      <c r="A337" s="64"/>
      <c r="B337" s="64"/>
      <c r="C337" s="64"/>
      <c r="D337" s="64"/>
      <c r="E337" s="93"/>
      <c r="F337" s="93"/>
      <c r="G337" s="64"/>
      <c r="H337" s="64"/>
      <c r="I337" s="64"/>
      <c r="J337" s="94"/>
      <c r="K337" s="64"/>
      <c r="L337" s="64"/>
      <c r="M337" s="64"/>
      <c r="N337" s="64"/>
      <c r="O337" s="64"/>
      <c r="P337" s="64"/>
      <c r="Q337" s="64" t="str">
        <f>IFERROR(VLOOKUP('BMP P Tracking Table'!$P337,Dropdowns!$C$2:$E$15,3,FALSE),"")</f>
        <v/>
      </c>
      <c r="R337" s="64" t="str">
        <f>IFERROR(VLOOKUP('BMP P Tracking Table'!$Q337,Dropdowns!$P$3:$Q$23,2,FALSE),"")</f>
        <v/>
      </c>
      <c r="S337" s="64"/>
      <c r="T337" s="64"/>
      <c r="U337" s="64"/>
      <c r="V337" s="64"/>
      <c r="W337" s="64"/>
      <c r="X337" s="64"/>
      <c r="Y337" s="64"/>
      <c r="Z337" s="64"/>
      <c r="AA337" s="64"/>
      <c r="AB337" s="95"/>
      <c r="AC337" s="64"/>
      <c r="AD337" s="101" t="str">
        <f>IFERROR('BMP P Tracking Table'!$U337*VLOOKUP('BMP P Tracking Table'!$Q337,'Loading Rates'!$B$1:$L$24,4,FALSE)+IF('BMP P Tracking Table'!$V337="By HSG",'BMP P Tracking Table'!$W337*VLOOKUP('BMP P Tracking Table'!$Q337,'Loading Rates'!$B$1:$L$24,6,FALSE)+'BMP P Tracking Table'!$X337*VLOOKUP('BMP P Tracking Table'!$Q337,'Loading Rates'!$B$1:$L$24,7,FALSE)+'BMP P Tracking Table'!$Y337*VLOOKUP('BMP P Tracking Table'!$Q337,'Loading Rates'!$B$1:$L$24,8,FALSE)+'BMP P Tracking Table'!$Z337*VLOOKUP('BMP P Tracking Table'!$Q337,'Loading Rates'!$B$1:$L$24,9,FALSE),'BMP P Tracking Table'!$AA337*VLOOKUP('BMP P Tracking Table'!$Q337,'Loading Rates'!$B$1:$L$24,10,FALSE)),"")</f>
        <v/>
      </c>
      <c r="AE337" s="101" t="str">
        <f>IFERROR(MIN(2,IF('BMP P Tracking Table'!$V337="Total Pervious",(-(3630*'BMP P Tracking Table'!$U337+20.691*'BMP P Tracking Table'!$AA337)+SQRT((3630*'BMP P Tracking Table'!$U337+20.691*'BMP P Tracking Table'!$AA337)^2-(4*(996.798*'BMP P Tracking Table'!$AA337)*-'BMP P Tracking Table'!$AB337)))/(2*(996.798*'BMP P Tracking Table'!$AA337)),IF(SUM('BMP P Tracking Table'!$W337:$Z337)=0,'BMP P Tracking Table'!$AB337/(-3630*'BMP P Tracking Table'!$U337),(-(3630*'BMP P Tracking Table'!$U337+20.691*'BMP P Tracking Table'!$Z337-216.711*'BMP P Tracking Table'!$Y337-83.853*'BMP P Tracking Table'!$X337-42.834*'BMP P Tracking Table'!$W337)+SQRT((3630*'BMP P Tracking Table'!$U337+20.691*'BMP P Tracking Table'!$Z337-216.711*'BMP P Tracking Table'!$Y337-83.853*'BMP P Tracking Table'!$X337-42.834*'BMP P Tracking Table'!$W337)^2-(4*(149.919*'BMP P Tracking Table'!$W337+236.676*'BMP P Tracking Table'!$X337+726*'BMP P Tracking Table'!$Y337+996.798*'BMP P Tracking Table'!$Z337)*-'BMP P Tracking Table'!$AB337)))/(2*(149.919*'BMP P Tracking Table'!$W337+236.676*'BMP P Tracking Table'!$X337+726*'BMP P Tracking Table'!$Y337+996.798*'BMP P Tracking Table'!$Z337))))),"")</f>
        <v/>
      </c>
      <c r="AF337" s="101" t="str">
        <f>IFERROR((VLOOKUP(CONCATENATE('BMP P Tracking Table'!$T337," ",'BMP P Tracking Table'!$AC337),'Performance Curves'!$C$1:$L$45,MATCH('BMP P Tracking Table'!$AE337,'Performance Curves'!$E$1:$L$1,1)+2,FALSE)-VLOOKUP(CONCATENATE('BMP P Tracking Table'!$T337," ",'BMP P Tracking Table'!$AC337),'Performance Curves'!$C$1:$L$45,MATCH('BMP P Tracking Table'!$AE337,'Performance Curves'!$E$1:$L$1,1)+1,FALSE)),"")</f>
        <v/>
      </c>
      <c r="AG337" s="101" t="str">
        <f>IFERROR(('BMP P Tracking Table'!$AE337-INDEX('Performance Curves'!$E$1:$L$1,1,MATCH('BMP P Tracking Table'!$AE337,'Performance Curves'!$E$1:$L$1,1)))/(INDEX('Performance Curves'!$E$1:$L$1,1,MATCH('BMP P Tracking Table'!$AE337,'Performance Curves'!$E$1:$L$1,1)+1)-INDEX('Performance Curves'!$E$1:$L$1,1,MATCH('BMP P Tracking Table'!$AE337,'Performance Curves'!$E$1:$L$1,1))),"")</f>
        <v/>
      </c>
      <c r="AH337" s="102" t="str">
        <f>IFERROR(IF('BMP P Tracking Table'!$AE337=2,VLOOKUP(CONCATENATE('BMP P Tracking Table'!$T337," ",'BMP P Tracking Table'!$AC337),'Performance Curves'!$C$1:$L$45,MATCH('BMP P Tracking Table'!$AE337,'Performance Curves'!$E$1:$L$1,1)+1,FALSE),'BMP P Tracking Table'!$AF337*'BMP P Tracking Table'!$AG337+VLOOKUP(CONCATENATE('BMP P Tracking Table'!$T337," ",'BMP P Tracking Table'!$AC337),'Performance Curves'!$C$1:$L$45,MATCH('BMP P Tracking Table'!$AE337,'Performance Curves'!$E$1:$L$1,1)+1,FALSE)),"")</f>
        <v/>
      </c>
      <c r="AI337" s="101" t="str">
        <f>IFERROR('BMP P Tracking Table'!$AH337*'BMP P Tracking Table'!$AD337,"")</f>
        <v/>
      </c>
      <c r="AJ337" s="64"/>
      <c r="AK337" s="96"/>
      <c r="AL337" s="96"/>
      <c r="AM337" s="63"/>
      <c r="AN337" s="99" t="str">
        <f t="shared" si="20"/>
        <v/>
      </c>
      <c r="AO337" s="96"/>
      <c r="AP337" s="96"/>
      <c r="AQ337" s="96"/>
      <c r="AR337" s="96"/>
      <c r="AS337" s="96"/>
      <c r="AT337" s="96"/>
      <c r="AU337" s="96"/>
      <c r="AV337" s="64"/>
      <c r="AW337" s="97"/>
      <c r="AX337" s="97"/>
      <c r="AY337" s="101" t="str">
        <f>IF('BMP P Tracking Table'!$AK337="Yes",IF('BMP P Tracking Table'!$AL337="No",'BMP P Tracking Table'!$U337*VLOOKUP('BMP P Tracking Table'!$Q337,'Loading Rates'!$B$1:$L$24,4,FALSE)+IF('BMP P Tracking Table'!$V337="By HSG",'BMP P Tracking Table'!$W337*VLOOKUP('BMP P Tracking Table'!$Q337,'Loading Rates'!$B$1:$L$24,6,FALSE)+'BMP P Tracking Table'!$X337*VLOOKUP('BMP P Tracking Table'!$Q337,'Loading Rates'!$B$1:$L$24,7,FALSE)+'BMP P Tracking Table'!$Y337*VLOOKUP('BMP P Tracking Table'!$Q337,'Loading Rates'!$B$1:$L$24,8,FALSE)+'BMP P Tracking Table'!$Z337*VLOOKUP('BMP P Tracking Table'!$Q337,'Loading Rates'!$B$1:$L$24,9,FALSE),'BMP P Tracking Table'!$AA337*VLOOKUP('BMP P Tracking Table'!$Q337,'Loading Rates'!$B$1:$L$24,10,FALSE)),'BMP P Tracking Table'!$AO337*VLOOKUP('BMP P Tracking Table'!$Q337,'Loading Rates'!$B$1:$L$24,4,FALSE)+IF('BMP P Tracking Table'!$AP337="By HSG",'BMP P Tracking Table'!$AQ337*VLOOKUP('BMP P Tracking Table'!$Q337,'Loading Rates'!$B$1:$L$24,6,FALSE)+'BMP P Tracking Table'!$AR337*VLOOKUP('BMP P Tracking Table'!$Q337,'Loading Rates'!$B$1:$L$24,7,FALSE)+'BMP P Tracking Table'!$AS337*VLOOKUP('BMP P Tracking Table'!$Q337,'Loading Rates'!$B$1:$L$24,8,FALSE)+'BMP P Tracking Table'!$AT337*VLOOKUP('BMP P Tracking Table'!$Q337,'Loading Rates'!$B$1:$L$24,9,FALSE),'BMP P Tracking Table'!$AU337*VLOOKUP('BMP P Tracking Table'!$Q337,'Loading Rates'!$B$1:$L$24,10,FALSE))),"")</f>
        <v/>
      </c>
      <c r="AZ337" s="101" t="str">
        <f>IFERROR(IF('BMP P Tracking Table'!$AL337="Yes",MIN(2,IF('BMP P Tracking Table'!$AP337="Total Pervious",(-(3630*'BMP P Tracking Table'!$AO337+20.691*'BMP P Tracking Table'!$AU337)+SQRT((3630*'BMP P Tracking Table'!$AO337+20.691*'BMP P Tracking Table'!$AU337)^2-(4*(996.798*'BMP P Tracking Table'!$AU337)*-'BMP P Tracking Table'!$AW337)))/(2*(996.798*'BMP P Tracking Table'!$AU337)),IF(SUM('BMP P Tracking Table'!$AQ337:$AT337)=0,'BMP P Tracking Table'!$AU337/(-3630*'BMP P Tracking Table'!$AO337),(-(3630*'BMP P Tracking Table'!$AO337+20.691*'BMP P Tracking Table'!$AT337-216.711*'BMP P Tracking Table'!$AS337-83.853*'BMP P Tracking Table'!$AR337-42.834*'BMP P Tracking Table'!$AQ337)+SQRT((3630*'BMP P Tracking Table'!$AO337+20.691*'BMP P Tracking Table'!$AT337-216.711*'BMP P Tracking Table'!$AS337-83.853*'BMP P Tracking Table'!$AR337-42.834*'BMP P Tracking Table'!$AQ337)^2-(4*(149.919*'BMP P Tracking Table'!$AQ337+236.676*'BMP P Tracking Table'!$AR337+726*'BMP P Tracking Table'!$AS337+996.798*'BMP P Tracking Table'!$AT337)*-'BMP P Tracking Table'!$AW337)))/(2*(149.919*'BMP P Tracking Table'!$AQ337+236.676*'BMP P Tracking Table'!$AR337+726*'BMP P Tracking Table'!$AS337+996.798*'BMP P Tracking Table'!$AT337))))),MIN(2,IF('BMP P Tracking Table'!$AP337="Total Pervious",(-(3630*'BMP P Tracking Table'!$U337+20.691*'BMP P Tracking Table'!$AA337)+SQRT((3630*'BMP P Tracking Table'!$U337+20.691*'BMP P Tracking Table'!$AA337)^2-(4*(996.798*'BMP P Tracking Table'!$AA337)*-'BMP P Tracking Table'!$AW337)))/(2*(996.798*'BMP P Tracking Table'!$AA337)),IF(SUM('BMP P Tracking Table'!$W337:$Z337)=0,'BMP P Tracking Table'!$AW337/(-3630*'BMP P Tracking Table'!$U337),(-(3630*'BMP P Tracking Table'!$U337+20.691*'BMP P Tracking Table'!$Z337-216.711*'BMP P Tracking Table'!$Y337-83.853*'BMP P Tracking Table'!$X337-42.834*'BMP P Tracking Table'!$W337)+SQRT((3630*'BMP P Tracking Table'!$U337+20.691*'BMP P Tracking Table'!$Z337-216.711*'BMP P Tracking Table'!$Y337-83.853*'BMP P Tracking Table'!$X337-42.834*'BMP P Tracking Table'!$W337)^2-(4*(149.919*'BMP P Tracking Table'!$W337+236.676*'BMP P Tracking Table'!$X337+726*'BMP P Tracking Table'!$Y337+996.798*'BMP P Tracking Table'!$Z337)*-'BMP P Tracking Table'!$AW337)))/(2*(149.919*'BMP P Tracking Table'!$W337+236.676*'BMP P Tracking Table'!$X337+726*'BMP P Tracking Table'!$Y337+996.798*'BMP P Tracking Table'!$Z337)))))),"")</f>
        <v/>
      </c>
      <c r="BA337" s="101" t="str">
        <f>IFERROR((VLOOKUP(CONCATENATE('BMP P Tracking Table'!$AV337," ",'BMP P Tracking Table'!$AX337),'Performance Curves'!$C$1:$L$45,MATCH('BMP P Tracking Table'!$AZ337,'Performance Curves'!$E$1:$L$1,1)+2,FALSE)-VLOOKUP(CONCATENATE('BMP P Tracking Table'!$AV337," ",'BMP P Tracking Table'!$AX337),'Performance Curves'!$C$1:$L$45,MATCH('BMP P Tracking Table'!$AZ337,'Performance Curves'!$E$1:$L$1,1)+1,FALSE)),"")</f>
        <v/>
      </c>
      <c r="BB337" s="101" t="str">
        <f>IFERROR(('BMP P Tracking Table'!$AZ337-INDEX('Performance Curves'!$E$1:$L$1,1,MATCH('BMP P Tracking Table'!$AZ337,'Performance Curves'!$E$1:$L$1,1)))/(INDEX('Performance Curves'!$E$1:$L$1,1,MATCH('BMP P Tracking Table'!$AZ337,'Performance Curves'!$E$1:$L$1,1)+1)-INDEX('Performance Curves'!$E$1:$L$1,1,MATCH('BMP P Tracking Table'!$AZ337,'Performance Curves'!$E$1:$L$1,1))),"")</f>
        <v/>
      </c>
      <c r="BC337" s="102" t="str">
        <f>IFERROR(IF('BMP P Tracking Table'!$AZ337=2,VLOOKUP(CONCATENATE('BMP P Tracking Table'!$AV337," ",'BMP P Tracking Table'!$AX337),'Performance Curves'!$C$1:$L$44,MATCH('BMP P Tracking Table'!$AZ337,'Performance Curves'!$E$1:$L$1,1)+1,FALSE),'BMP P Tracking Table'!$BA337*'BMP P Tracking Table'!$BB337+VLOOKUP(CONCATENATE('BMP P Tracking Table'!$AV337," ",'BMP P Tracking Table'!$AX337),'Performance Curves'!$C$1:$L$44,MATCH('BMP P Tracking Table'!$AZ337,'Performance Curves'!$E$1:$L$1,1)+1,FALSE)),"")</f>
        <v/>
      </c>
      <c r="BD337" s="101" t="str">
        <f>IFERROR('BMP P Tracking Table'!$BC337*'BMP P Tracking Table'!$AY337,"")</f>
        <v/>
      </c>
      <c r="BE337" s="96"/>
      <c r="BF337" s="37">
        <f t="shared" si="21"/>
        <v>0</v>
      </c>
    </row>
    <row r="338" spans="1:58" x14ac:dyDescent="0.3">
      <c r="A338" s="64"/>
      <c r="B338" s="64"/>
      <c r="C338" s="64"/>
      <c r="D338" s="64"/>
      <c r="E338" s="93"/>
      <c r="F338" s="93"/>
      <c r="G338" s="64"/>
      <c r="H338" s="64"/>
      <c r="I338" s="64"/>
      <c r="J338" s="94"/>
      <c r="K338" s="64"/>
      <c r="L338" s="64"/>
      <c r="M338" s="64"/>
      <c r="N338" s="64"/>
      <c r="O338" s="64"/>
      <c r="P338" s="64"/>
      <c r="Q338" s="64" t="str">
        <f>IFERROR(VLOOKUP('BMP P Tracking Table'!$P338,Dropdowns!$C$2:$E$15,3,FALSE),"")</f>
        <v/>
      </c>
      <c r="R338" s="64" t="str">
        <f>IFERROR(VLOOKUP('BMP P Tracking Table'!$Q338,Dropdowns!$P$3:$Q$23,2,FALSE),"")</f>
        <v/>
      </c>
      <c r="S338" s="64"/>
      <c r="T338" s="64"/>
      <c r="U338" s="64"/>
      <c r="V338" s="64"/>
      <c r="W338" s="64"/>
      <c r="X338" s="64"/>
      <c r="Y338" s="64"/>
      <c r="Z338" s="64"/>
      <c r="AA338" s="64"/>
      <c r="AB338" s="95"/>
      <c r="AC338" s="64"/>
      <c r="AD338" s="101" t="str">
        <f>IFERROR('BMP P Tracking Table'!$U338*VLOOKUP('BMP P Tracking Table'!$Q338,'Loading Rates'!$B$1:$L$24,4,FALSE)+IF('BMP P Tracking Table'!$V338="By HSG",'BMP P Tracking Table'!$W338*VLOOKUP('BMP P Tracking Table'!$Q338,'Loading Rates'!$B$1:$L$24,6,FALSE)+'BMP P Tracking Table'!$X338*VLOOKUP('BMP P Tracking Table'!$Q338,'Loading Rates'!$B$1:$L$24,7,FALSE)+'BMP P Tracking Table'!$Y338*VLOOKUP('BMP P Tracking Table'!$Q338,'Loading Rates'!$B$1:$L$24,8,FALSE)+'BMP P Tracking Table'!$Z338*VLOOKUP('BMP P Tracking Table'!$Q338,'Loading Rates'!$B$1:$L$24,9,FALSE),'BMP P Tracking Table'!$AA338*VLOOKUP('BMP P Tracking Table'!$Q338,'Loading Rates'!$B$1:$L$24,10,FALSE)),"")</f>
        <v/>
      </c>
      <c r="AE338" s="101" t="str">
        <f>IFERROR(MIN(2,IF('BMP P Tracking Table'!$V338="Total Pervious",(-(3630*'BMP P Tracking Table'!$U338+20.691*'BMP P Tracking Table'!$AA338)+SQRT((3630*'BMP P Tracking Table'!$U338+20.691*'BMP P Tracking Table'!$AA338)^2-(4*(996.798*'BMP P Tracking Table'!$AA338)*-'BMP P Tracking Table'!$AB338)))/(2*(996.798*'BMP P Tracking Table'!$AA338)),IF(SUM('BMP P Tracking Table'!$W338:$Z338)=0,'BMP P Tracking Table'!$AB338/(-3630*'BMP P Tracking Table'!$U338),(-(3630*'BMP P Tracking Table'!$U338+20.691*'BMP P Tracking Table'!$Z338-216.711*'BMP P Tracking Table'!$Y338-83.853*'BMP P Tracking Table'!$X338-42.834*'BMP P Tracking Table'!$W338)+SQRT((3630*'BMP P Tracking Table'!$U338+20.691*'BMP P Tracking Table'!$Z338-216.711*'BMP P Tracking Table'!$Y338-83.853*'BMP P Tracking Table'!$X338-42.834*'BMP P Tracking Table'!$W338)^2-(4*(149.919*'BMP P Tracking Table'!$W338+236.676*'BMP P Tracking Table'!$X338+726*'BMP P Tracking Table'!$Y338+996.798*'BMP P Tracking Table'!$Z338)*-'BMP P Tracking Table'!$AB338)))/(2*(149.919*'BMP P Tracking Table'!$W338+236.676*'BMP P Tracking Table'!$X338+726*'BMP P Tracking Table'!$Y338+996.798*'BMP P Tracking Table'!$Z338))))),"")</f>
        <v/>
      </c>
      <c r="AF338" s="101" t="str">
        <f>IFERROR((VLOOKUP(CONCATENATE('BMP P Tracking Table'!$T338," ",'BMP P Tracking Table'!$AC338),'Performance Curves'!$C$1:$L$45,MATCH('BMP P Tracking Table'!$AE338,'Performance Curves'!$E$1:$L$1,1)+2,FALSE)-VLOOKUP(CONCATENATE('BMP P Tracking Table'!$T338," ",'BMP P Tracking Table'!$AC338),'Performance Curves'!$C$1:$L$45,MATCH('BMP P Tracking Table'!$AE338,'Performance Curves'!$E$1:$L$1,1)+1,FALSE)),"")</f>
        <v/>
      </c>
      <c r="AG338" s="101" t="str">
        <f>IFERROR(('BMP P Tracking Table'!$AE338-INDEX('Performance Curves'!$E$1:$L$1,1,MATCH('BMP P Tracking Table'!$AE338,'Performance Curves'!$E$1:$L$1,1)))/(INDEX('Performance Curves'!$E$1:$L$1,1,MATCH('BMP P Tracking Table'!$AE338,'Performance Curves'!$E$1:$L$1,1)+1)-INDEX('Performance Curves'!$E$1:$L$1,1,MATCH('BMP P Tracking Table'!$AE338,'Performance Curves'!$E$1:$L$1,1))),"")</f>
        <v/>
      </c>
      <c r="AH338" s="102" t="str">
        <f>IFERROR(IF('BMP P Tracking Table'!$AE338=2,VLOOKUP(CONCATENATE('BMP P Tracking Table'!$T338," ",'BMP P Tracking Table'!$AC338),'Performance Curves'!$C$1:$L$45,MATCH('BMP P Tracking Table'!$AE338,'Performance Curves'!$E$1:$L$1,1)+1,FALSE),'BMP P Tracking Table'!$AF338*'BMP P Tracking Table'!$AG338+VLOOKUP(CONCATENATE('BMP P Tracking Table'!$T338," ",'BMP P Tracking Table'!$AC338),'Performance Curves'!$C$1:$L$45,MATCH('BMP P Tracking Table'!$AE338,'Performance Curves'!$E$1:$L$1,1)+1,FALSE)),"")</f>
        <v/>
      </c>
      <c r="AI338" s="101" t="str">
        <f>IFERROR('BMP P Tracking Table'!$AH338*'BMP P Tracking Table'!$AD338,"")</f>
        <v/>
      </c>
      <c r="AJ338" s="64"/>
      <c r="AK338" s="96"/>
      <c r="AL338" s="96"/>
      <c r="AM338" s="63"/>
      <c r="AN338" s="99" t="str">
        <f t="shared" si="20"/>
        <v/>
      </c>
      <c r="AO338" s="96"/>
      <c r="AP338" s="96"/>
      <c r="AQ338" s="96"/>
      <c r="AR338" s="96"/>
      <c r="AS338" s="96"/>
      <c r="AT338" s="96"/>
      <c r="AU338" s="96"/>
      <c r="AV338" s="64"/>
      <c r="AW338" s="97"/>
      <c r="AX338" s="97"/>
      <c r="AY338" s="101" t="str">
        <f>IF('BMP P Tracking Table'!$AK338="Yes",IF('BMP P Tracking Table'!$AL338="No",'BMP P Tracking Table'!$U338*VLOOKUP('BMP P Tracking Table'!$Q338,'Loading Rates'!$B$1:$L$24,4,FALSE)+IF('BMP P Tracking Table'!$V338="By HSG",'BMP P Tracking Table'!$W338*VLOOKUP('BMP P Tracking Table'!$Q338,'Loading Rates'!$B$1:$L$24,6,FALSE)+'BMP P Tracking Table'!$X338*VLOOKUP('BMP P Tracking Table'!$Q338,'Loading Rates'!$B$1:$L$24,7,FALSE)+'BMP P Tracking Table'!$Y338*VLOOKUP('BMP P Tracking Table'!$Q338,'Loading Rates'!$B$1:$L$24,8,FALSE)+'BMP P Tracking Table'!$Z338*VLOOKUP('BMP P Tracking Table'!$Q338,'Loading Rates'!$B$1:$L$24,9,FALSE),'BMP P Tracking Table'!$AA338*VLOOKUP('BMP P Tracking Table'!$Q338,'Loading Rates'!$B$1:$L$24,10,FALSE)),'BMP P Tracking Table'!$AO338*VLOOKUP('BMP P Tracking Table'!$Q338,'Loading Rates'!$B$1:$L$24,4,FALSE)+IF('BMP P Tracking Table'!$AP338="By HSG",'BMP P Tracking Table'!$AQ338*VLOOKUP('BMP P Tracking Table'!$Q338,'Loading Rates'!$B$1:$L$24,6,FALSE)+'BMP P Tracking Table'!$AR338*VLOOKUP('BMP P Tracking Table'!$Q338,'Loading Rates'!$B$1:$L$24,7,FALSE)+'BMP P Tracking Table'!$AS338*VLOOKUP('BMP P Tracking Table'!$Q338,'Loading Rates'!$B$1:$L$24,8,FALSE)+'BMP P Tracking Table'!$AT338*VLOOKUP('BMP P Tracking Table'!$Q338,'Loading Rates'!$B$1:$L$24,9,FALSE),'BMP P Tracking Table'!$AU338*VLOOKUP('BMP P Tracking Table'!$Q338,'Loading Rates'!$B$1:$L$24,10,FALSE))),"")</f>
        <v/>
      </c>
      <c r="AZ338" s="101" t="str">
        <f>IFERROR(IF('BMP P Tracking Table'!$AL338="Yes",MIN(2,IF('BMP P Tracking Table'!$AP338="Total Pervious",(-(3630*'BMP P Tracking Table'!$AO338+20.691*'BMP P Tracking Table'!$AU338)+SQRT((3630*'BMP P Tracking Table'!$AO338+20.691*'BMP P Tracking Table'!$AU338)^2-(4*(996.798*'BMP P Tracking Table'!$AU338)*-'BMP P Tracking Table'!$AW338)))/(2*(996.798*'BMP P Tracking Table'!$AU338)),IF(SUM('BMP P Tracking Table'!$AQ338:$AT338)=0,'BMP P Tracking Table'!$AU338/(-3630*'BMP P Tracking Table'!$AO338),(-(3630*'BMP P Tracking Table'!$AO338+20.691*'BMP P Tracking Table'!$AT338-216.711*'BMP P Tracking Table'!$AS338-83.853*'BMP P Tracking Table'!$AR338-42.834*'BMP P Tracking Table'!$AQ338)+SQRT((3630*'BMP P Tracking Table'!$AO338+20.691*'BMP P Tracking Table'!$AT338-216.711*'BMP P Tracking Table'!$AS338-83.853*'BMP P Tracking Table'!$AR338-42.834*'BMP P Tracking Table'!$AQ338)^2-(4*(149.919*'BMP P Tracking Table'!$AQ338+236.676*'BMP P Tracking Table'!$AR338+726*'BMP P Tracking Table'!$AS338+996.798*'BMP P Tracking Table'!$AT338)*-'BMP P Tracking Table'!$AW338)))/(2*(149.919*'BMP P Tracking Table'!$AQ338+236.676*'BMP P Tracking Table'!$AR338+726*'BMP P Tracking Table'!$AS338+996.798*'BMP P Tracking Table'!$AT338))))),MIN(2,IF('BMP P Tracking Table'!$AP338="Total Pervious",(-(3630*'BMP P Tracking Table'!$U338+20.691*'BMP P Tracking Table'!$AA338)+SQRT((3630*'BMP P Tracking Table'!$U338+20.691*'BMP P Tracking Table'!$AA338)^2-(4*(996.798*'BMP P Tracking Table'!$AA338)*-'BMP P Tracking Table'!$AW338)))/(2*(996.798*'BMP P Tracking Table'!$AA338)),IF(SUM('BMP P Tracking Table'!$W338:$Z338)=0,'BMP P Tracking Table'!$AW338/(-3630*'BMP P Tracking Table'!$U338),(-(3630*'BMP P Tracking Table'!$U338+20.691*'BMP P Tracking Table'!$Z338-216.711*'BMP P Tracking Table'!$Y338-83.853*'BMP P Tracking Table'!$X338-42.834*'BMP P Tracking Table'!$W338)+SQRT((3630*'BMP P Tracking Table'!$U338+20.691*'BMP P Tracking Table'!$Z338-216.711*'BMP P Tracking Table'!$Y338-83.853*'BMP P Tracking Table'!$X338-42.834*'BMP P Tracking Table'!$W338)^2-(4*(149.919*'BMP P Tracking Table'!$W338+236.676*'BMP P Tracking Table'!$X338+726*'BMP P Tracking Table'!$Y338+996.798*'BMP P Tracking Table'!$Z338)*-'BMP P Tracking Table'!$AW338)))/(2*(149.919*'BMP P Tracking Table'!$W338+236.676*'BMP P Tracking Table'!$X338+726*'BMP P Tracking Table'!$Y338+996.798*'BMP P Tracking Table'!$Z338)))))),"")</f>
        <v/>
      </c>
      <c r="BA338" s="101" t="str">
        <f>IFERROR((VLOOKUP(CONCATENATE('BMP P Tracking Table'!$AV338," ",'BMP P Tracking Table'!$AX338),'Performance Curves'!$C$1:$L$45,MATCH('BMP P Tracking Table'!$AZ338,'Performance Curves'!$E$1:$L$1,1)+2,FALSE)-VLOOKUP(CONCATENATE('BMP P Tracking Table'!$AV338," ",'BMP P Tracking Table'!$AX338),'Performance Curves'!$C$1:$L$45,MATCH('BMP P Tracking Table'!$AZ338,'Performance Curves'!$E$1:$L$1,1)+1,FALSE)),"")</f>
        <v/>
      </c>
      <c r="BB338" s="101" t="str">
        <f>IFERROR(('BMP P Tracking Table'!$AZ338-INDEX('Performance Curves'!$E$1:$L$1,1,MATCH('BMP P Tracking Table'!$AZ338,'Performance Curves'!$E$1:$L$1,1)))/(INDEX('Performance Curves'!$E$1:$L$1,1,MATCH('BMP P Tracking Table'!$AZ338,'Performance Curves'!$E$1:$L$1,1)+1)-INDEX('Performance Curves'!$E$1:$L$1,1,MATCH('BMP P Tracking Table'!$AZ338,'Performance Curves'!$E$1:$L$1,1))),"")</f>
        <v/>
      </c>
      <c r="BC338" s="102" t="str">
        <f>IFERROR(IF('BMP P Tracking Table'!$AZ338=2,VLOOKUP(CONCATENATE('BMP P Tracking Table'!$AV338," ",'BMP P Tracking Table'!$AX338),'Performance Curves'!$C$1:$L$44,MATCH('BMP P Tracking Table'!$AZ338,'Performance Curves'!$E$1:$L$1,1)+1,FALSE),'BMP P Tracking Table'!$BA338*'BMP P Tracking Table'!$BB338+VLOOKUP(CONCATENATE('BMP P Tracking Table'!$AV338," ",'BMP P Tracking Table'!$AX338),'Performance Curves'!$C$1:$L$44,MATCH('BMP P Tracking Table'!$AZ338,'Performance Curves'!$E$1:$L$1,1)+1,FALSE)),"")</f>
        <v/>
      </c>
      <c r="BD338" s="101" t="str">
        <f>IFERROR('BMP P Tracking Table'!$BC338*'BMP P Tracking Table'!$AY338,"")</f>
        <v/>
      </c>
      <c r="BE338" s="96"/>
      <c r="BF338" s="37">
        <f t="shared" si="21"/>
        <v>0</v>
      </c>
    </row>
    <row r="339" spans="1:58" x14ac:dyDescent="0.3">
      <c r="A339" s="64"/>
      <c r="B339" s="64"/>
      <c r="C339" s="64"/>
      <c r="D339" s="64"/>
      <c r="E339" s="93"/>
      <c r="F339" s="93"/>
      <c r="G339" s="64"/>
      <c r="H339" s="64"/>
      <c r="I339" s="64"/>
      <c r="J339" s="94"/>
      <c r="K339" s="64"/>
      <c r="L339" s="64"/>
      <c r="M339" s="64"/>
      <c r="N339" s="64"/>
      <c r="O339" s="64"/>
      <c r="P339" s="64"/>
      <c r="Q339" s="64" t="str">
        <f>IFERROR(VLOOKUP('BMP P Tracking Table'!$P339,Dropdowns!$C$2:$E$15,3,FALSE),"")</f>
        <v/>
      </c>
      <c r="R339" s="64" t="str">
        <f>IFERROR(VLOOKUP('BMP P Tracking Table'!$Q339,Dropdowns!$P$3:$Q$23,2,FALSE),"")</f>
        <v/>
      </c>
      <c r="S339" s="64"/>
      <c r="T339" s="64"/>
      <c r="U339" s="64"/>
      <c r="V339" s="64"/>
      <c r="W339" s="64"/>
      <c r="X339" s="64"/>
      <c r="Y339" s="64"/>
      <c r="Z339" s="64"/>
      <c r="AA339" s="64"/>
      <c r="AB339" s="95"/>
      <c r="AC339" s="64"/>
      <c r="AD339" s="101" t="str">
        <f>IFERROR('BMP P Tracking Table'!$U339*VLOOKUP('BMP P Tracking Table'!$Q339,'Loading Rates'!$B$1:$L$24,4,FALSE)+IF('BMP P Tracking Table'!$V339="By HSG",'BMP P Tracking Table'!$W339*VLOOKUP('BMP P Tracking Table'!$Q339,'Loading Rates'!$B$1:$L$24,6,FALSE)+'BMP P Tracking Table'!$X339*VLOOKUP('BMP P Tracking Table'!$Q339,'Loading Rates'!$B$1:$L$24,7,FALSE)+'BMP P Tracking Table'!$Y339*VLOOKUP('BMP P Tracking Table'!$Q339,'Loading Rates'!$B$1:$L$24,8,FALSE)+'BMP P Tracking Table'!$Z339*VLOOKUP('BMP P Tracking Table'!$Q339,'Loading Rates'!$B$1:$L$24,9,FALSE),'BMP P Tracking Table'!$AA339*VLOOKUP('BMP P Tracking Table'!$Q339,'Loading Rates'!$B$1:$L$24,10,FALSE)),"")</f>
        <v/>
      </c>
      <c r="AE339" s="101" t="str">
        <f>IFERROR(MIN(2,IF('BMP P Tracking Table'!$V339="Total Pervious",(-(3630*'BMP P Tracking Table'!$U339+20.691*'BMP P Tracking Table'!$AA339)+SQRT((3630*'BMP P Tracking Table'!$U339+20.691*'BMP P Tracking Table'!$AA339)^2-(4*(996.798*'BMP P Tracking Table'!$AA339)*-'BMP P Tracking Table'!$AB339)))/(2*(996.798*'BMP P Tracking Table'!$AA339)),IF(SUM('BMP P Tracking Table'!$W339:$Z339)=0,'BMP P Tracking Table'!$AB339/(-3630*'BMP P Tracking Table'!$U339),(-(3630*'BMP P Tracking Table'!$U339+20.691*'BMP P Tracking Table'!$Z339-216.711*'BMP P Tracking Table'!$Y339-83.853*'BMP P Tracking Table'!$X339-42.834*'BMP P Tracking Table'!$W339)+SQRT((3630*'BMP P Tracking Table'!$U339+20.691*'BMP P Tracking Table'!$Z339-216.711*'BMP P Tracking Table'!$Y339-83.853*'BMP P Tracking Table'!$X339-42.834*'BMP P Tracking Table'!$W339)^2-(4*(149.919*'BMP P Tracking Table'!$W339+236.676*'BMP P Tracking Table'!$X339+726*'BMP P Tracking Table'!$Y339+996.798*'BMP P Tracking Table'!$Z339)*-'BMP P Tracking Table'!$AB339)))/(2*(149.919*'BMP P Tracking Table'!$W339+236.676*'BMP P Tracking Table'!$X339+726*'BMP P Tracking Table'!$Y339+996.798*'BMP P Tracking Table'!$Z339))))),"")</f>
        <v/>
      </c>
      <c r="AF339" s="101" t="str">
        <f>IFERROR((VLOOKUP(CONCATENATE('BMP P Tracking Table'!$T339," ",'BMP P Tracking Table'!$AC339),'Performance Curves'!$C$1:$L$45,MATCH('BMP P Tracking Table'!$AE339,'Performance Curves'!$E$1:$L$1,1)+2,FALSE)-VLOOKUP(CONCATENATE('BMP P Tracking Table'!$T339," ",'BMP P Tracking Table'!$AC339),'Performance Curves'!$C$1:$L$45,MATCH('BMP P Tracking Table'!$AE339,'Performance Curves'!$E$1:$L$1,1)+1,FALSE)),"")</f>
        <v/>
      </c>
      <c r="AG339" s="101" t="str">
        <f>IFERROR(('BMP P Tracking Table'!$AE339-INDEX('Performance Curves'!$E$1:$L$1,1,MATCH('BMP P Tracking Table'!$AE339,'Performance Curves'!$E$1:$L$1,1)))/(INDEX('Performance Curves'!$E$1:$L$1,1,MATCH('BMP P Tracking Table'!$AE339,'Performance Curves'!$E$1:$L$1,1)+1)-INDEX('Performance Curves'!$E$1:$L$1,1,MATCH('BMP P Tracking Table'!$AE339,'Performance Curves'!$E$1:$L$1,1))),"")</f>
        <v/>
      </c>
      <c r="AH339" s="102" t="str">
        <f>IFERROR(IF('BMP P Tracking Table'!$AE339=2,VLOOKUP(CONCATENATE('BMP P Tracking Table'!$T339," ",'BMP P Tracking Table'!$AC339),'Performance Curves'!$C$1:$L$45,MATCH('BMP P Tracking Table'!$AE339,'Performance Curves'!$E$1:$L$1,1)+1,FALSE),'BMP P Tracking Table'!$AF339*'BMP P Tracking Table'!$AG339+VLOOKUP(CONCATENATE('BMP P Tracking Table'!$T339," ",'BMP P Tracking Table'!$AC339),'Performance Curves'!$C$1:$L$45,MATCH('BMP P Tracking Table'!$AE339,'Performance Curves'!$E$1:$L$1,1)+1,FALSE)),"")</f>
        <v/>
      </c>
      <c r="AI339" s="101" t="str">
        <f>IFERROR('BMP P Tracking Table'!$AH339*'BMP P Tracking Table'!$AD339,"")</f>
        <v/>
      </c>
      <c r="AJ339" s="64"/>
      <c r="AK339" s="96"/>
      <c r="AL339" s="96"/>
      <c r="AM339" s="63"/>
      <c r="AN339" s="99" t="str">
        <f t="shared" si="20"/>
        <v/>
      </c>
      <c r="AO339" s="96"/>
      <c r="AP339" s="96"/>
      <c r="AQ339" s="96"/>
      <c r="AR339" s="96"/>
      <c r="AS339" s="96"/>
      <c r="AT339" s="96"/>
      <c r="AU339" s="96"/>
      <c r="AV339" s="64"/>
      <c r="AW339" s="97"/>
      <c r="AX339" s="97"/>
      <c r="AY339" s="101" t="str">
        <f>IF('BMP P Tracking Table'!$AK339="Yes",IF('BMP P Tracking Table'!$AL339="No",'BMP P Tracking Table'!$U339*VLOOKUP('BMP P Tracking Table'!$Q339,'Loading Rates'!$B$1:$L$24,4,FALSE)+IF('BMP P Tracking Table'!$V339="By HSG",'BMP P Tracking Table'!$W339*VLOOKUP('BMP P Tracking Table'!$Q339,'Loading Rates'!$B$1:$L$24,6,FALSE)+'BMP P Tracking Table'!$X339*VLOOKUP('BMP P Tracking Table'!$Q339,'Loading Rates'!$B$1:$L$24,7,FALSE)+'BMP P Tracking Table'!$Y339*VLOOKUP('BMP P Tracking Table'!$Q339,'Loading Rates'!$B$1:$L$24,8,FALSE)+'BMP P Tracking Table'!$Z339*VLOOKUP('BMP P Tracking Table'!$Q339,'Loading Rates'!$B$1:$L$24,9,FALSE),'BMP P Tracking Table'!$AA339*VLOOKUP('BMP P Tracking Table'!$Q339,'Loading Rates'!$B$1:$L$24,10,FALSE)),'BMP P Tracking Table'!$AO339*VLOOKUP('BMP P Tracking Table'!$Q339,'Loading Rates'!$B$1:$L$24,4,FALSE)+IF('BMP P Tracking Table'!$AP339="By HSG",'BMP P Tracking Table'!$AQ339*VLOOKUP('BMP P Tracking Table'!$Q339,'Loading Rates'!$B$1:$L$24,6,FALSE)+'BMP P Tracking Table'!$AR339*VLOOKUP('BMP P Tracking Table'!$Q339,'Loading Rates'!$B$1:$L$24,7,FALSE)+'BMP P Tracking Table'!$AS339*VLOOKUP('BMP P Tracking Table'!$Q339,'Loading Rates'!$B$1:$L$24,8,FALSE)+'BMP P Tracking Table'!$AT339*VLOOKUP('BMP P Tracking Table'!$Q339,'Loading Rates'!$B$1:$L$24,9,FALSE),'BMP P Tracking Table'!$AU339*VLOOKUP('BMP P Tracking Table'!$Q339,'Loading Rates'!$B$1:$L$24,10,FALSE))),"")</f>
        <v/>
      </c>
      <c r="AZ339" s="101" t="str">
        <f>IFERROR(IF('BMP P Tracking Table'!$AL339="Yes",MIN(2,IF('BMP P Tracking Table'!$AP339="Total Pervious",(-(3630*'BMP P Tracking Table'!$AO339+20.691*'BMP P Tracking Table'!$AU339)+SQRT((3630*'BMP P Tracking Table'!$AO339+20.691*'BMP P Tracking Table'!$AU339)^2-(4*(996.798*'BMP P Tracking Table'!$AU339)*-'BMP P Tracking Table'!$AW339)))/(2*(996.798*'BMP P Tracking Table'!$AU339)),IF(SUM('BMP P Tracking Table'!$AQ339:$AT339)=0,'BMP P Tracking Table'!$AU339/(-3630*'BMP P Tracking Table'!$AO339),(-(3630*'BMP P Tracking Table'!$AO339+20.691*'BMP P Tracking Table'!$AT339-216.711*'BMP P Tracking Table'!$AS339-83.853*'BMP P Tracking Table'!$AR339-42.834*'BMP P Tracking Table'!$AQ339)+SQRT((3630*'BMP P Tracking Table'!$AO339+20.691*'BMP P Tracking Table'!$AT339-216.711*'BMP P Tracking Table'!$AS339-83.853*'BMP P Tracking Table'!$AR339-42.834*'BMP P Tracking Table'!$AQ339)^2-(4*(149.919*'BMP P Tracking Table'!$AQ339+236.676*'BMP P Tracking Table'!$AR339+726*'BMP P Tracking Table'!$AS339+996.798*'BMP P Tracking Table'!$AT339)*-'BMP P Tracking Table'!$AW339)))/(2*(149.919*'BMP P Tracking Table'!$AQ339+236.676*'BMP P Tracking Table'!$AR339+726*'BMP P Tracking Table'!$AS339+996.798*'BMP P Tracking Table'!$AT339))))),MIN(2,IF('BMP P Tracking Table'!$AP339="Total Pervious",(-(3630*'BMP P Tracking Table'!$U339+20.691*'BMP P Tracking Table'!$AA339)+SQRT((3630*'BMP P Tracking Table'!$U339+20.691*'BMP P Tracking Table'!$AA339)^2-(4*(996.798*'BMP P Tracking Table'!$AA339)*-'BMP P Tracking Table'!$AW339)))/(2*(996.798*'BMP P Tracking Table'!$AA339)),IF(SUM('BMP P Tracking Table'!$W339:$Z339)=0,'BMP P Tracking Table'!$AW339/(-3630*'BMP P Tracking Table'!$U339),(-(3630*'BMP P Tracking Table'!$U339+20.691*'BMP P Tracking Table'!$Z339-216.711*'BMP P Tracking Table'!$Y339-83.853*'BMP P Tracking Table'!$X339-42.834*'BMP P Tracking Table'!$W339)+SQRT((3630*'BMP P Tracking Table'!$U339+20.691*'BMP P Tracking Table'!$Z339-216.711*'BMP P Tracking Table'!$Y339-83.853*'BMP P Tracking Table'!$X339-42.834*'BMP P Tracking Table'!$W339)^2-(4*(149.919*'BMP P Tracking Table'!$W339+236.676*'BMP P Tracking Table'!$X339+726*'BMP P Tracking Table'!$Y339+996.798*'BMP P Tracking Table'!$Z339)*-'BMP P Tracking Table'!$AW339)))/(2*(149.919*'BMP P Tracking Table'!$W339+236.676*'BMP P Tracking Table'!$X339+726*'BMP P Tracking Table'!$Y339+996.798*'BMP P Tracking Table'!$Z339)))))),"")</f>
        <v/>
      </c>
      <c r="BA339" s="101" t="str">
        <f>IFERROR((VLOOKUP(CONCATENATE('BMP P Tracking Table'!$AV339," ",'BMP P Tracking Table'!$AX339),'Performance Curves'!$C$1:$L$45,MATCH('BMP P Tracking Table'!$AZ339,'Performance Curves'!$E$1:$L$1,1)+2,FALSE)-VLOOKUP(CONCATENATE('BMP P Tracking Table'!$AV339," ",'BMP P Tracking Table'!$AX339),'Performance Curves'!$C$1:$L$45,MATCH('BMP P Tracking Table'!$AZ339,'Performance Curves'!$E$1:$L$1,1)+1,FALSE)),"")</f>
        <v/>
      </c>
      <c r="BB339" s="101" t="str">
        <f>IFERROR(('BMP P Tracking Table'!$AZ339-INDEX('Performance Curves'!$E$1:$L$1,1,MATCH('BMP P Tracking Table'!$AZ339,'Performance Curves'!$E$1:$L$1,1)))/(INDEX('Performance Curves'!$E$1:$L$1,1,MATCH('BMP P Tracking Table'!$AZ339,'Performance Curves'!$E$1:$L$1,1)+1)-INDEX('Performance Curves'!$E$1:$L$1,1,MATCH('BMP P Tracking Table'!$AZ339,'Performance Curves'!$E$1:$L$1,1))),"")</f>
        <v/>
      </c>
      <c r="BC339" s="102" t="str">
        <f>IFERROR(IF('BMP P Tracking Table'!$AZ339=2,VLOOKUP(CONCATENATE('BMP P Tracking Table'!$AV339," ",'BMP P Tracking Table'!$AX339),'Performance Curves'!$C$1:$L$44,MATCH('BMP P Tracking Table'!$AZ339,'Performance Curves'!$E$1:$L$1,1)+1,FALSE),'BMP P Tracking Table'!$BA339*'BMP P Tracking Table'!$BB339+VLOOKUP(CONCATENATE('BMP P Tracking Table'!$AV339," ",'BMP P Tracking Table'!$AX339),'Performance Curves'!$C$1:$L$44,MATCH('BMP P Tracking Table'!$AZ339,'Performance Curves'!$E$1:$L$1,1)+1,FALSE)),"")</f>
        <v/>
      </c>
      <c r="BD339" s="101" t="str">
        <f>IFERROR('BMP P Tracking Table'!$BC339*'BMP P Tracking Table'!$AY339,"")</f>
        <v/>
      </c>
      <c r="BE339" s="96"/>
      <c r="BF339" s="37">
        <f t="shared" si="21"/>
        <v>0</v>
      </c>
    </row>
    <row r="340" spans="1:58" x14ac:dyDescent="0.3">
      <c r="A340" s="64"/>
      <c r="B340" s="64"/>
      <c r="C340" s="64"/>
      <c r="D340" s="64"/>
      <c r="E340" s="93"/>
      <c r="F340" s="93"/>
      <c r="G340" s="64"/>
      <c r="H340" s="64"/>
      <c r="I340" s="64"/>
      <c r="J340" s="94"/>
      <c r="K340" s="64"/>
      <c r="L340" s="64"/>
      <c r="M340" s="64"/>
      <c r="N340" s="64"/>
      <c r="O340" s="64"/>
      <c r="P340" s="64"/>
      <c r="Q340" s="64" t="str">
        <f>IFERROR(VLOOKUP('BMP P Tracking Table'!$P340,Dropdowns!$C$2:$E$15,3,FALSE),"")</f>
        <v/>
      </c>
      <c r="R340" s="64" t="str">
        <f>IFERROR(VLOOKUP('BMP P Tracking Table'!$Q340,Dropdowns!$P$3:$Q$23,2,FALSE),"")</f>
        <v/>
      </c>
      <c r="S340" s="64"/>
      <c r="T340" s="64"/>
      <c r="U340" s="64"/>
      <c r="V340" s="64"/>
      <c r="W340" s="64"/>
      <c r="X340" s="64"/>
      <c r="Y340" s="64"/>
      <c r="Z340" s="64"/>
      <c r="AA340" s="64"/>
      <c r="AB340" s="95"/>
      <c r="AC340" s="64"/>
      <c r="AD340" s="101" t="str">
        <f>IFERROR('BMP P Tracking Table'!$U340*VLOOKUP('BMP P Tracking Table'!$Q340,'Loading Rates'!$B$1:$L$24,4,FALSE)+IF('BMP P Tracking Table'!$V340="By HSG",'BMP P Tracking Table'!$W340*VLOOKUP('BMP P Tracking Table'!$Q340,'Loading Rates'!$B$1:$L$24,6,FALSE)+'BMP P Tracking Table'!$X340*VLOOKUP('BMP P Tracking Table'!$Q340,'Loading Rates'!$B$1:$L$24,7,FALSE)+'BMP P Tracking Table'!$Y340*VLOOKUP('BMP P Tracking Table'!$Q340,'Loading Rates'!$B$1:$L$24,8,FALSE)+'BMP P Tracking Table'!$Z340*VLOOKUP('BMP P Tracking Table'!$Q340,'Loading Rates'!$B$1:$L$24,9,FALSE),'BMP P Tracking Table'!$AA340*VLOOKUP('BMP P Tracking Table'!$Q340,'Loading Rates'!$B$1:$L$24,10,FALSE)),"")</f>
        <v/>
      </c>
      <c r="AE340" s="101" t="str">
        <f>IFERROR(MIN(2,IF('BMP P Tracking Table'!$V340="Total Pervious",(-(3630*'BMP P Tracking Table'!$U340+20.691*'BMP P Tracking Table'!$AA340)+SQRT((3630*'BMP P Tracking Table'!$U340+20.691*'BMP P Tracking Table'!$AA340)^2-(4*(996.798*'BMP P Tracking Table'!$AA340)*-'BMP P Tracking Table'!$AB340)))/(2*(996.798*'BMP P Tracking Table'!$AA340)),IF(SUM('BMP P Tracking Table'!$W340:$Z340)=0,'BMP P Tracking Table'!$AB340/(-3630*'BMP P Tracking Table'!$U340),(-(3630*'BMP P Tracking Table'!$U340+20.691*'BMP P Tracking Table'!$Z340-216.711*'BMP P Tracking Table'!$Y340-83.853*'BMP P Tracking Table'!$X340-42.834*'BMP P Tracking Table'!$W340)+SQRT((3630*'BMP P Tracking Table'!$U340+20.691*'BMP P Tracking Table'!$Z340-216.711*'BMP P Tracking Table'!$Y340-83.853*'BMP P Tracking Table'!$X340-42.834*'BMP P Tracking Table'!$W340)^2-(4*(149.919*'BMP P Tracking Table'!$W340+236.676*'BMP P Tracking Table'!$X340+726*'BMP P Tracking Table'!$Y340+996.798*'BMP P Tracking Table'!$Z340)*-'BMP P Tracking Table'!$AB340)))/(2*(149.919*'BMP P Tracking Table'!$W340+236.676*'BMP P Tracking Table'!$X340+726*'BMP P Tracking Table'!$Y340+996.798*'BMP P Tracking Table'!$Z340))))),"")</f>
        <v/>
      </c>
      <c r="AF340" s="101" t="str">
        <f>IFERROR((VLOOKUP(CONCATENATE('BMP P Tracking Table'!$T340," ",'BMP P Tracking Table'!$AC340),'Performance Curves'!$C$1:$L$45,MATCH('BMP P Tracking Table'!$AE340,'Performance Curves'!$E$1:$L$1,1)+2,FALSE)-VLOOKUP(CONCATENATE('BMP P Tracking Table'!$T340," ",'BMP P Tracking Table'!$AC340),'Performance Curves'!$C$1:$L$45,MATCH('BMP P Tracking Table'!$AE340,'Performance Curves'!$E$1:$L$1,1)+1,FALSE)),"")</f>
        <v/>
      </c>
      <c r="AG340" s="101" t="str">
        <f>IFERROR(('BMP P Tracking Table'!$AE340-INDEX('Performance Curves'!$E$1:$L$1,1,MATCH('BMP P Tracking Table'!$AE340,'Performance Curves'!$E$1:$L$1,1)))/(INDEX('Performance Curves'!$E$1:$L$1,1,MATCH('BMP P Tracking Table'!$AE340,'Performance Curves'!$E$1:$L$1,1)+1)-INDEX('Performance Curves'!$E$1:$L$1,1,MATCH('BMP P Tracking Table'!$AE340,'Performance Curves'!$E$1:$L$1,1))),"")</f>
        <v/>
      </c>
      <c r="AH340" s="102" t="str">
        <f>IFERROR(IF('BMP P Tracking Table'!$AE340=2,VLOOKUP(CONCATENATE('BMP P Tracking Table'!$T340," ",'BMP P Tracking Table'!$AC340),'Performance Curves'!$C$1:$L$45,MATCH('BMP P Tracking Table'!$AE340,'Performance Curves'!$E$1:$L$1,1)+1,FALSE),'BMP P Tracking Table'!$AF340*'BMP P Tracking Table'!$AG340+VLOOKUP(CONCATENATE('BMP P Tracking Table'!$T340," ",'BMP P Tracking Table'!$AC340),'Performance Curves'!$C$1:$L$45,MATCH('BMP P Tracking Table'!$AE340,'Performance Curves'!$E$1:$L$1,1)+1,FALSE)),"")</f>
        <v/>
      </c>
      <c r="AI340" s="101" t="str">
        <f>IFERROR('BMP P Tracking Table'!$AH340*'BMP P Tracking Table'!$AD340,"")</f>
        <v/>
      </c>
      <c r="AJ340" s="64"/>
      <c r="AK340" s="96"/>
      <c r="AL340" s="96"/>
      <c r="AM340" s="63"/>
      <c r="AN340" s="99" t="str">
        <f t="shared" si="20"/>
        <v/>
      </c>
      <c r="AO340" s="96"/>
      <c r="AP340" s="96"/>
      <c r="AQ340" s="96"/>
      <c r="AR340" s="96"/>
      <c r="AS340" s="96"/>
      <c r="AT340" s="96"/>
      <c r="AU340" s="96"/>
      <c r="AV340" s="64"/>
      <c r="AW340" s="97"/>
      <c r="AX340" s="97"/>
      <c r="AY340" s="101" t="str">
        <f>IF('BMP P Tracking Table'!$AK340="Yes",IF('BMP P Tracking Table'!$AL340="No",'BMP P Tracking Table'!$U340*VLOOKUP('BMP P Tracking Table'!$Q340,'Loading Rates'!$B$1:$L$24,4,FALSE)+IF('BMP P Tracking Table'!$V340="By HSG",'BMP P Tracking Table'!$W340*VLOOKUP('BMP P Tracking Table'!$Q340,'Loading Rates'!$B$1:$L$24,6,FALSE)+'BMP P Tracking Table'!$X340*VLOOKUP('BMP P Tracking Table'!$Q340,'Loading Rates'!$B$1:$L$24,7,FALSE)+'BMP P Tracking Table'!$Y340*VLOOKUP('BMP P Tracking Table'!$Q340,'Loading Rates'!$B$1:$L$24,8,FALSE)+'BMP P Tracking Table'!$Z340*VLOOKUP('BMP P Tracking Table'!$Q340,'Loading Rates'!$B$1:$L$24,9,FALSE),'BMP P Tracking Table'!$AA340*VLOOKUP('BMP P Tracking Table'!$Q340,'Loading Rates'!$B$1:$L$24,10,FALSE)),'BMP P Tracking Table'!$AO340*VLOOKUP('BMP P Tracking Table'!$Q340,'Loading Rates'!$B$1:$L$24,4,FALSE)+IF('BMP P Tracking Table'!$AP340="By HSG",'BMP P Tracking Table'!$AQ340*VLOOKUP('BMP P Tracking Table'!$Q340,'Loading Rates'!$B$1:$L$24,6,FALSE)+'BMP P Tracking Table'!$AR340*VLOOKUP('BMP P Tracking Table'!$Q340,'Loading Rates'!$B$1:$L$24,7,FALSE)+'BMP P Tracking Table'!$AS340*VLOOKUP('BMP P Tracking Table'!$Q340,'Loading Rates'!$B$1:$L$24,8,FALSE)+'BMP P Tracking Table'!$AT340*VLOOKUP('BMP P Tracking Table'!$Q340,'Loading Rates'!$B$1:$L$24,9,FALSE),'BMP P Tracking Table'!$AU340*VLOOKUP('BMP P Tracking Table'!$Q340,'Loading Rates'!$B$1:$L$24,10,FALSE))),"")</f>
        <v/>
      </c>
      <c r="AZ340" s="101" t="str">
        <f>IFERROR(IF('BMP P Tracking Table'!$AL340="Yes",MIN(2,IF('BMP P Tracking Table'!$AP340="Total Pervious",(-(3630*'BMP P Tracking Table'!$AO340+20.691*'BMP P Tracking Table'!$AU340)+SQRT((3630*'BMP P Tracking Table'!$AO340+20.691*'BMP P Tracking Table'!$AU340)^2-(4*(996.798*'BMP P Tracking Table'!$AU340)*-'BMP P Tracking Table'!$AW340)))/(2*(996.798*'BMP P Tracking Table'!$AU340)),IF(SUM('BMP P Tracking Table'!$AQ340:$AT340)=0,'BMP P Tracking Table'!$AU340/(-3630*'BMP P Tracking Table'!$AO340),(-(3630*'BMP P Tracking Table'!$AO340+20.691*'BMP P Tracking Table'!$AT340-216.711*'BMP P Tracking Table'!$AS340-83.853*'BMP P Tracking Table'!$AR340-42.834*'BMP P Tracking Table'!$AQ340)+SQRT((3630*'BMP P Tracking Table'!$AO340+20.691*'BMP P Tracking Table'!$AT340-216.711*'BMP P Tracking Table'!$AS340-83.853*'BMP P Tracking Table'!$AR340-42.834*'BMP P Tracking Table'!$AQ340)^2-(4*(149.919*'BMP P Tracking Table'!$AQ340+236.676*'BMP P Tracking Table'!$AR340+726*'BMP P Tracking Table'!$AS340+996.798*'BMP P Tracking Table'!$AT340)*-'BMP P Tracking Table'!$AW340)))/(2*(149.919*'BMP P Tracking Table'!$AQ340+236.676*'BMP P Tracking Table'!$AR340+726*'BMP P Tracking Table'!$AS340+996.798*'BMP P Tracking Table'!$AT340))))),MIN(2,IF('BMP P Tracking Table'!$AP340="Total Pervious",(-(3630*'BMP P Tracking Table'!$U340+20.691*'BMP P Tracking Table'!$AA340)+SQRT((3630*'BMP P Tracking Table'!$U340+20.691*'BMP P Tracking Table'!$AA340)^2-(4*(996.798*'BMP P Tracking Table'!$AA340)*-'BMP P Tracking Table'!$AW340)))/(2*(996.798*'BMP P Tracking Table'!$AA340)),IF(SUM('BMP P Tracking Table'!$W340:$Z340)=0,'BMP P Tracking Table'!$AW340/(-3630*'BMP P Tracking Table'!$U340),(-(3630*'BMP P Tracking Table'!$U340+20.691*'BMP P Tracking Table'!$Z340-216.711*'BMP P Tracking Table'!$Y340-83.853*'BMP P Tracking Table'!$X340-42.834*'BMP P Tracking Table'!$W340)+SQRT((3630*'BMP P Tracking Table'!$U340+20.691*'BMP P Tracking Table'!$Z340-216.711*'BMP P Tracking Table'!$Y340-83.853*'BMP P Tracking Table'!$X340-42.834*'BMP P Tracking Table'!$W340)^2-(4*(149.919*'BMP P Tracking Table'!$W340+236.676*'BMP P Tracking Table'!$X340+726*'BMP P Tracking Table'!$Y340+996.798*'BMP P Tracking Table'!$Z340)*-'BMP P Tracking Table'!$AW340)))/(2*(149.919*'BMP P Tracking Table'!$W340+236.676*'BMP P Tracking Table'!$X340+726*'BMP P Tracking Table'!$Y340+996.798*'BMP P Tracking Table'!$Z340)))))),"")</f>
        <v/>
      </c>
      <c r="BA340" s="101" t="str">
        <f>IFERROR((VLOOKUP(CONCATENATE('BMP P Tracking Table'!$AV340," ",'BMP P Tracking Table'!$AX340),'Performance Curves'!$C$1:$L$45,MATCH('BMP P Tracking Table'!$AZ340,'Performance Curves'!$E$1:$L$1,1)+2,FALSE)-VLOOKUP(CONCATENATE('BMP P Tracking Table'!$AV340," ",'BMP P Tracking Table'!$AX340),'Performance Curves'!$C$1:$L$45,MATCH('BMP P Tracking Table'!$AZ340,'Performance Curves'!$E$1:$L$1,1)+1,FALSE)),"")</f>
        <v/>
      </c>
      <c r="BB340" s="101" t="str">
        <f>IFERROR(('BMP P Tracking Table'!$AZ340-INDEX('Performance Curves'!$E$1:$L$1,1,MATCH('BMP P Tracking Table'!$AZ340,'Performance Curves'!$E$1:$L$1,1)))/(INDEX('Performance Curves'!$E$1:$L$1,1,MATCH('BMP P Tracking Table'!$AZ340,'Performance Curves'!$E$1:$L$1,1)+1)-INDEX('Performance Curves'!$E$1:$L$1,1,MATCH('BMP P Tracking Table'!$AZ340,'Performance Curves'!$E$1:$L$1,1))),"")</f>
        <v/>
      </c>
      <c r="BC340" s="102" t="str">
        <f>IFERROR(IF('BMP P Tracking Table'!$AZ340=2,VLOOKUP(CONCATENATE('BMP P Tracking Table'!$AV340," ",'BMP P Tracking Table'!$AX340),'Performance Curves'!$C$1:$L$44,MATCH('BMP P Tracking Table'!$AZ340,'Performance Curves'!$E$1:$L$1,1)+1,FALSE),'BMP P Tracking Table'!$BA340*'BMP P Tracking Table'!$BB340+VLOOKUP(CONCATENATE('BMP P Tracking Table'!$AV340," ",'BMP P Tracking Table'!$AX340),'Performance Curves'!$C$1:$L$44,MATCH('BMP P Tracking Table'!$AZ340,'Performance Curves'!$E$1:$L$1,1)+1,FALSE)),"")</f>
        <v/>
      </c>
      <c r="BD340" s="101" t="str">
        <f>IFERROR('BMP P Tracking Table'!$BC340*'BMP P Tracking Table'!$AY340,"")</f>
        <v/>
      </c>
      <c r="BE340" s="96"/>
      <c r="BF340" s="37">
        <f t="shared" si="21"/>
        <v>0</v>
      </c>
    </row>
    <row r="341" spans="1:58" x14ac:dyDescent="0.3">
      <c r="A341" s="64"/>
      <c r="B341" s="64"/>
      <c r="C341" s="64"/>
      <c r="D341" s="64"/>
      <c r="E341" s="93"/>
      <c r="F341" s="93"/>
      <c r="G341" s="64"/>
      <c r="H341" s="64"/>
      <c r="I341" s="64"/>
      <c r="J341" s="94"/>
      <c r="K341" s="64"/>
      <c r="L341" s="64"/>
      <c r="M341" s="64"/>
      <c r="N341" s="64"/>
      <c r="O341" s="64"/>
      <c r="P341" s="64"/>
      <c r="Q341" s="64" t="str">
        <f>IFERROR(VLOOKUP('BMP P Tracking Table'!$P341,Dropdowns!$C$2:$E$15,3,FALSE),"")</f>
        <v/>
      </c>
      <c r="R341" s="64" t="str">
        <f>IFERROR(VLOOKUP('BMP P Tracking Table'!$Q341,Dropdowns!$P$3:$Q$23,2,FALSE),"")</f>
        <v/>
      </c>
      <c r="S341" s="64"/>
      <c r="T341" s="64"/>
      <c r="U341" s="64"/>
      <c r="V341" s="64"/>
      <c r="W341" s="64"/>
      <c r="X341" s="64"/>
      <c r="Y341" s="64"/>
      <c r="Z341" s="64"/>
      <c r="AA341" s="64"/>
      <c r="AB341" s="95"/>
      <c r="AC341" s="64"/>
      <c r="AD341" s="101" t="str">
        <f>IFERROR('BMP P Tracking Table'!$U341*VLOOKUP('BMP P Tracking Table'!$Q341,'Loading Rates'!$B$1:$L$24,4,FALSE)+IF('BMP P Tracking Table'!$V341="By HSG",'BMP P Tracking Table'!$W341*VLOOKUP('BMP P Tracking Table'!$Q341,'Loading Rates'!$B$1:$L$24,6,FALSE)+'BMP P Tracking Table'!$X341*VLOOKUP('BMP P Tracking Table'!$Q341,'Loading Rates'!$B$1:$L$24,7,FALSE)+'BMP P Tracking Table'!$Y341*VLOOKUP('BMP P Tracking Table'!$Q341,'Loading Rates'!$B$1:$L$24,8,FALSE)+'BMP P Tracking Table'!$Z341*VLOOKUP('BMP P Tracking Table'!$Q341,'Loading Rates'!$B$1:$L$24,9,FALSE),'BMP P Tracking Table'!$AA341*VLOOKUP('BMP P Tracking Table'!$Q341,'Loading Rates'!$B$1:$L$24,10,FALSE)),"")</f>
        <v/>
      </c>
      <c r="AE341" s="101" t="str">
        <f>IFERROR(MIN(2,IF('BMP P Tracking Table'!$V341="Total Pervious",(-(3630*'BMP P Tracking Table'!$U341+20.691*'BMP P Tracking Table'!$AA341)+SQRT((3630*'BMP P Tracking Table'!$U341+20.691*'BMP P Tracking Table'!$AA341)^2-(4*(996.798*'BMP P Tracking Table'!$AA341)*-'BMP P Tracking Table'!$AB341)))/(2*(996.798*'BMP P Tracking Table'!$AA341)),IF(SUM('BMP P Tracking Table'!$W341:$Z341)=0,'BMP P Tracking Table'!$AB341/(-3630*'BMP P Tracking Table'!$U341),(-(3630*'BMP P Tracking Table'!$U341+20.691*'BMP P Tracking Table'!$Z341-216.711*'BMP P Tracking Table'!$Y341-83.853*'BMP P Tracking Table'!$X341-42.834*'BMP P Tracking Table'!$W341)+SQRT((3630*'BMP P Tracking Table'!$U341+20.691*'BMP P Tracking Table'!$Z341-216.711*'BMP P Tracking Table'!$Y341-83.853*'BMP P Tracking Table'!$X341-42.834*'BMP P Tracking Table'!$W341)^2-(4*(149.919*'BMP P Tracking Table'!$W341+236.676*'BMP P Tracking Table'!$X341+726*'BMP P Tracking Table'!$Y341+996.798*'BMP P Tracking Table'!$Z341)*-'BMP P Tracking Table'!$AB341)))/(2*(149.919*'BMP P Tracking Table'!$W341+236.676*'BMP P Tracking Table'!$X341+726*'BMP P Tracking Table'!$Y341+996.798*'BMP P Tracking Table'!$Z341))))),"")</f>
        <v/>
      </c>
      <c r="AF341" s="101" t="str">
        <f>IFERROR((VLOOKUP(CONCATENATE('BMP P Tracking Table'!$T341," ",'BMP P Tracking Table'!$AC341),'Performance Curves'!$C$1:$L$45,MATCH('BMP P Tracking Table'!$AE341,'Performance Curves'!$E$1:$L$1,1)+2,FALSE)-VLOOKUP(CONCATENATE('BMP P Tracking Table'!$T341," ",'BMP P Tracking Table'!$AC341),'Performance Curves'!$C$1:$L$45,MATCH('BMP P Tracking Table'!$AE341,'Performance Curves'!$E$1:$L$1,1)+1,FALSE)),"")</f>
        <v/>
      </c>
      <c r="AG341" s="101" t="str">
        <f>IFERROR(('BMP P Tracking Table'!$AE341-INDEX('Performance Curves'!$E$1:$L$1,1,MATCH('BMP P Tracking Table'!$AE341,'Performance Curves'!$E$1:$L$1,1)))/(INDEX('Performance Curves'!$E$1:$L$1,1,MATCH('BMP P Tracking Table'!$AE341,'Performance Curves'!$E$1:$L$1,1)+1)-INDEX('Performance Curves'!$E$1:$L$1,1,MATCH('BMP P Tracking Table'!$AE341,'Performance Curves'!$E$1:$L$1,1))),"")</f>
        <v/>
      </c>
      <c r="AH341" s="102" t="str">
        <f>IFERROR(IF('BMP P Tracking Table'!$AE341=2,VLOOKUP(CONCATENATE('BMP P Tracking Table'!$T341," ",'BMP P Tracking Table'!$AC341),'Performance Curves'!$C$1:$L$45,MATCH('BMP P Tracking Table'!$AE341,'Performance Curves'!$E$1:$L$1,1)+1,FALSE),'BMP P Tracking Table'!$AF341*'BMP P Tracking Table'!$AG341+VLOOKUP(CONCATENATE('BMP P Tracking Table'!$T341," ",'BMP P Tracking Table'!$AC341),'Performance Curves'!$C$1:$L$45,MATCH('BMP P Tracking Table'!$AE341,'Performance Curves'!$E$1:$L$1,1)+1,FALSE)),"")</f>
        <v/>
      </c>
      <c r="AI341" s="101" t="str">
        <f>IFERROR('BMP P Tracking Table'!$AH341*'BMP P Tracking Table'!$AD341,"")</f>
        <v/>
      </c>
      <c r="AJ341" s="64"/>
      <c r="AK341" s="96"/>
      <c r="AL341" s="96"/>
      <c r="AM341" s="63"/>
      <c r="AN341" s="99" t="str">
        <f t="shared" si="20"/>
        <v/>
      </c>
      <c r="AO341" s="96"/>
      <c r="AP341" s="96"/>
      <c r="AQ341" s="96"/>
      <c r="AR341" s="96"/>
      <c r="AS341" s="96"/>
      <c r="AT341" s="96"/>
      <c r="AU341" s="96"/>
      <c r="AV341" s="64"/>
      <c r="AW341" s="97"/>
      <c r="AX341" s="97"/>
      <c r="AY341" s="101" t="str">
        <f>IF('BMP P Tracking Table'!$AK341="Yes",IF('BMP P Tracking Table'!$AL341="No",'BMP P Tracking Table'!$U341*VLOOKUP('BMP P Tracking Table'!$Q341,'Loading Rates'!$B$1:$L$24,4,FALSE)+IF('BMP P Tracking Table'!$V341="By HSG",'BMP P Tracking Table'!$W341*VLOOKUP('BMP P Tracking Table'!$Q341,'Loading Rates'!$B$1:$L$24,6,FALSE)+'BMP P Tracking Table'!$X341*VLOOKUP('BMP P Tracking Table'!$Q341,'Loading Rates'!$B$1:$L$24,7,FALSE)+'BMP P Tracking Table'!$Y341*VLOOKUP('BMP P Tracking Table'!$Q341,'Loading Rates'!$B$1:$L$24,8,FALSE)+'BMP P Tracking Table'!$Z341*VLOOKUP('BMP P Tracking Table'!$Q341,'Loading Rates'!$B$1:$L$24,9,FALSE),'BMP P Tracking Table'!$AA341*VLOOKUP('BMP P Tracking Table'!$Q341,'Loading Rates'!$B$1:$L$24,10,FALSE)),'BMP P Tracking Table'!$AO341*VLOOKUP('BMP P Tracking Table'!$Q341,'Loading Rates'!$B$1:$L$24,4,FALSE)+IF('BMP P Tracking Table'!$AP341="By HSG",'BMP P Tracking Table'!$AQ341*VLOOKUP('BMP P Tracking Table'!$Q341,'Loading Rates'!$B$1:$L$24,6,FALSE)+'BMP P Tracking Table'!$AR341*VLOOKUP('BMP P Tracking Table'!$Q341,'Loading Rates'!$B$1:$L$24,7,FALSE)+'BMP P Tracking Table'!$AS341*VLOOKUP('BMP P Tracking Table'!$Q341,'Loading Rates'!$B$1:$L$24,8,FALSE)+'BMP P Tracking Table'!$AT341*VLOOKUP('BMP P Tracking Table'!$Q341,'Loading Rates'!$B$1:$L$24,9,FALSE),'BMP P Tracking Table'!$AU341*VLOOKUP('BMP P Tracking Table'!$Q341,'Loading Rates'!$B$1:$L$24,10,FALSE))),"")</f>
        <v/>
      </c>
      <c r="AZ341" s="101" t="str">
        <f>IFERROR(IF('BMP P Tracking Table'!$AL341="Yes",MIN(2,IF('BMP P Tracking Table'!$AP341="Total Pervious",(-(3630*'BMP P Tracking Table'!$AO341+20.691*'BMP P Tracking Table'!$AU341)+SQRT((3630*'BMP P Tracking Table'!$AO341+20.691*'BMP P Tracking Table'!$AU341)^2-(4*(996.798*'BMP P Tracking Table'!$AU341)*-'BMP P Tracking Table'!$AW341)))/(2*(996.798*'BMP P Tracking Table'!$AU341)),IF(SUM('BMP P Tracking Table'!$AQ341:$AT341)=0,'BMP P Tracking Table'!$AU341/(-3630*'BMP P Tracking Table'!$AO341),(-(3630*'BMP P Tracking Table'!$AO341+20.691*'BMP P Tracking Table'!$AT341-216.711*'BMP P Tracking Table'!$AS341-83.853*'BMP P Tracking Table'!$AR341-42.834*'BMP P Tracking Table'!$AQ341)+SQRT((3630*'BMP P Tracking Table'!$AO341+20.691*'BMP P Tracking Table'!$AT341-216.711*'BMP P Tracking Table'!$AS341-83.853*'BMP P Tracking Table'!$AR341-42.834*'BMP P Tracking Table'!$AQ341)^2-(4*(149.919*'BMP P Tracking Table'!$AQ341+236.676*'BMP P Tracking Table'!$AR341+726*'BMP P Tracking Table'!$AS341+996.798*'BMP P Tracking Table'!$AT341)*-'BMP P Tracking Table'!$AW341)))/(2*(149.919*'BMP P Tracking Table'!$AQ341+236.676*'BMP P Tracking Table'!$AR341+726*'BMP P Tracking Table'!$AS341+996.798*'BMP P Tracking Table'!$AT341))))),MIN(2,IF('BMP P Tracking Table'!$AP341="Total Pervious",(-(3630*'BMP P Tracking Table'!$U341+20.691*'BMP P Tracking Table'!$AA341)+SQRT((3630*'BMP P Tracking Table'!$U341+20.691*'BMP P Tracking Table'!$AA341)^2-(4*(996.798*'BMP P Tracking Table'!$AA341)*-'BMP P Tracking Table'!$AW341)))/(2*(996.798*'BMP P Tracking Table'!$AA341)),IF(SUM('BMP P Tracking Table'!$W341:$Z341)=0,'BMP P Tracking Table'!$AW341/(-3630*'BMP P Tracking Table'!$U341),(-(3630*'BMP P Tracking Table'!$U341+20.691*'BMP P Tracking Table'!$Z341-216.711*'BMP P Tracking Table'!$Y341-83.853*'BMP P Tracking Table'!$X341-42.834*'BMP P Tracking Table'!$W341)+SQRT((3630*'BMP P Tracking Table'!$U341+20.691*'BMP P Tracking Table'!$Z341-216.711*'BMP P Tracking Table'!$Y341-83.853*'BMP P Tracking Table'!$X341-42.834*'BMP P Tracking Table'!$W341)^2-(4*(149.919*'BMP P Tracking Table'!$W341+236.676*'BMP P Tracking Table'!$X341+726*'BMP P Tracking Table'!$Y341+996.798*'BMP P Tracking Table'!$Z341)*-'BMP P Tracking Table'!$AW341)))/(2*(149.919*'BMP P Tracking Table'!$W341+236.676*'BMP P Tracking Table'!$X341+726*'BMP P Tracking Table'!$Y341+996.798*'BMP P Tracking Table'!$Z341)))))),"")</f>
        <v/>
      </c>
      <c r="BA341" s="101" t="str">
        <f>IFERROR((VLOOKUP(CONCATENATE('BMP P Tracking Table'!$AV341," ",'BMP P Tracking Table'!$AX341),'Performance Curves'!$C$1:$L$45,MATCH('BMP P Tracking Table'!$AZ341,'Performance Curves'!$E$1:$L$1,1)+2,FALSE)-VLOOKUP(CONCATENATE('BMP P Tracking Table'!$AV341," ",'BMP P Tracking Table'!$AX341),'Performance Curves'!$C$1:$L$45,MATCH('BMP P Tracking Table'!$AZ341,'Performance Curves'!$E$1:$L$1,1)+1,FALSE)),"")</f>
        <v/>
      </c>
      <c r="BB341" s="101" t="str">
        <f>IFERROR(('BMP P Tracking Table'!$AZ341-INDEX('Performance Curves'!$E$1:$L$1,1,MATCH('BMP P Tracking Table'!$AZ341,'Performance Curves'!$E$1:$L$1,1)))/(INDEX('Performance Curves'!$E$1:$L$1,1,MATCH('BMP P Tracking Table'!$AZ341,'Performance Curves'!$E$1:$L$1,1)+1)-INDEX('Performance Curves'!$E$1:$L$1,1,MATCH('BMP P Tracking Table'!$AZ341,'Performance Curves'!$E$1:$L$1,1))),"")</f>
        <v/>
      </c>
      <c r="BC341" s="102" t="str">
        <f>IFERROR(IF('BMP P Tracking Table'!$AZ341=2,VLOOKUP(CONCATENATE('BMP P Tracking Table'!$AV341," ",'BMP P Tracking Table'!$AX341),'Performance Curves'!$C$1:$L$44,MATCH('BMP P Tracking Table'!$AZ341,'Performance Curves'!$E$1:$L$1,1)+1,FALSE),'BMP P Tracking Table'!$BA341*'BMP P Tracking Table'!$BB341+VLOOKUP(CONCATENATE('BMP P Tracking Table'!$AV341," ",'BMP P Tracking Table'!$AX341),'Performance Curves'!$C$1:$L$44,MATCH('BMP P Tracking Table'!$AZ341,'Performance Curves'!$E$1:$L$1,1)+1,FALSE)),"")</f>
        <v/>
      </c>
      <c r="BD341" s="101" t="str">
        <f>IFERROR('BMP P Tracking Table'!$BC341*'BMP P Tracking Table'!$AY341,"")</f>
        <v/>
      </c>
      <c r="BE341" s="91"/>
      <c r="BF341" s="37">
        <f t="shared" si="21"/>
        <v>0</v>
      </c>
    </row>
    <row r="342" spans="1:58" x14ac:dyDescent="0.3">
      <c r="A342" s="64"/>
      <c r="B342" s="64"/>
      <c r="C342" s="64"/>
      <c r="D342" s="64"/>
      <c r="E342" s="93"/>
      <c r="F342" s="93"/>
      <c r="G342" s="64"/>
      <c r="H342" s="64"/>
      <c r="I342" s="64"/>
      <c r="J342" s="94"/>
      <c r="K342" s="64"/>
      <c r="L342" s="64"/>
      <c r="M342" s="64"/>
      <c r="N342" s="64"/>
      <c r="O342" s="64"/>
      <c r="P342" s="64"/>
      <c r="Q342" s="64" t="str">
        <f>IFERROR(VLOOKUP('BMP P Tracking Table'!$P342,Dropdowns!$C$2:$E$15,3,FALSE),"")</f>
        <v/>
      </c>
      <c r="R342" s="64" t="str">
        <f>IFERROR(VLOOKUP('BMP P Tracking Table'!$Q342,Dropdowns!$P$3:$Q$23,2,FALSE),"")</f>
        <v/>
      </c>
      <c r="S342" s="64"/>
      <c r="T342" s="64"/>
      <c r="U342" s="64"/>
      <c r="V342" s="64"/>
      <c r="W342" s="64"/>
      <c r="X342" s="64"/>
      <c r="Y342" s="64"/>
      <c r="Z342" s="64"/>
      <c r="AA342" s="64"/>
      <c r="AB342" s="95"/>
      <c r="AC342" s="64"/>
      <c r="AD342" s="101" t="str">
        <f>IFERROR('BMP P Tracking Table'!$U342*VLOOKUP('BMP P Tracking Table'!$Q342,'Loading Rates'!$B$1:$L$24,4,FALSE)+IF('BMP P Tracking Table'!$V342="By HSG",'BMP P Tracking Table'!$W342*VLOOKUP('BMP P Tracking Table'!$Q342,'Loading Rates'!$B$1:$L$24,6,FALSE)+'BMP P Tracking Table'!$X342*VLOOKUP('BMP P Tracking Table'!$Q342,'Loading Rates'!$B$1:$L$24,7,FALSE)+'BMP P Tracking Table'!$Y342*VLOOKUP('BMP P Tracking Table'!$Q342,'Loading Rates'!$B$1:$L$24,8,FALSE)+'BMP P Tracking Table'!$Z342*VLOOKUP('BMP P Tracking Table'!$Q342,'Loading Rates'!$B$1:$L$24,9,FALSE),'BMP P Tracking Table'!$AA342*VLOOKUP('BMP P Tracking Table'!$Q342,'Loading Rates'!$B$1:$L$24,10,FALSE)),"")</f>
        <v/>
      </c>
      <c r="AE342" s="101" t="str">
        <f>IFERROR(MIN(2,IF('BMP P Tracking Table'!$V342="Total Pervious",(-(3630*'BMP P Tracking Table'!$U342+20.691*'BMP P Tracking Table'!$AA342)+SQRT((3630*'BMP P Tracking Table'!$U342+20.691*'BMP P Tracking Table'!$AA342)^2-(4*(996.798*'BMP P Tracking Table'!$AA342)*-'BMP P Tracking Table'!$AB342)))/(2*(996.798*'BMP P Tracking Table'!$AA342)),IF(SUM('BMP P Tracking Table'!$W342:$Z342)=0,'BMP P Tracking Table'!$AB342/(-3630*'BMP P Tracking Table'!$U342),(-(3630*'BMP P Tracking Table'!$U342+20.691*'BMP P Tracking Table'!$Z342-216.711*'BMP P Tracking Table'!$Y342-83.853*'BMP P Tracking Table'!$X342-42.834*'BMP P Tracking Table'!$W342)+SQRT((3630*'BMP P Tracking Table'!$U342+20.691*'BMP P Tracking Table'!$Z342-216.711*'BMP P Tracking Table'!$Y342-83.853*'BMP P Tracking Table'!$X342-42.834*'BMP P Tracking Table'!$W342)^2-(4*(149.919*'BMP P Tracking Table'!$W342+236.676*'BMP P Tracking Table'!$X342+726*'BMP P Tracking Table'!$Y342+996.798*'BMP P Tracking Table'!$Z342)*-'BMP P Tracking Table'!$AB342)))/(2*(149.919*'BMP P Tracking Table'!$W342+236.676*'BMP P Tracking Table'!$X342+726*'BMP P Tracking Table'!$Y342+996.798*'BMP P Tracking Table'!$Z342))))),"")</f>
        <v/>
      </c>
      <c r="AF342" s="101" t="str">
        <f>IFERROR((VLOOKUP(CONCATENATE('BMP P Tracking Table'!$T342," ",'BMP P Tracking Table'!$AC342),'Performance Curves'!$C$1:$L$45,MATCH('BMP P Tracking Table'!$AE342,'Performance Curves'!$E$1:$L$1,1)+2,FALSE)-VLOOKUP(CONCATENATE('BMP P Tracking Table'!$T342," ",'BMP P Tracking Table'!$AC342),'Performance Curves'!$C$1:$L$45,MATCH('BMP P Tracking Table'!$AE342,'Performance Curves'!$E$1:$L$1,1)+1,FALSE)),"")</f>
        <v/>
      </c>
      <c r="AG342" s="101" t="str">
        <f>IFERROR(('BMP P Tracking Table'!$AE342-INDEX('Performance Curves'!$E$1:$L$1,1,MATCH('BMP P Tracking Table'!$AE342,'Performance Curves'!$E$1:$L$1,1)))/(INDEX('Performance Curves'!$E$1:$L$1,1,MATCH('BMP P Tracking Table'!$AE342,'Performance Curves'!$E$1:$L$1,1)+1)-INDEX('Performance Curves'!$E$1:$L$1,1,MATCH('BMP P Tracking Table'!$AE342,'Performance Curves'!$E$1:$L$1,1))),"")</f>
        <v/>
      </c>
      <c r="AH342" s="102" t="str">
        <f>IFERROR(IF('BMP P Tracking Table'!$AE342=2,VLOOKUP(CONCATENATE('BMP P Tracking Table'!$T342," ",'BMP P Tracking Table'!$AC342),'Performance Curves'!$C$1:$L$45,MATCH('BMP P Tracking Table'!$AE342,'Performance Curves'!$E$1:$L$1,1)+1,FALSE),'BMP P Tracking Table'!$AF342*'BMP P Tracking Table'!$AG342+VLOOKUP(CONCATENATE('BMP P Tracking Table'!$T342," ",'BMP P Tracking Table'!$AC342),'Performance Curves'!$C$1:$L$45,MATCH('BMP P Tracking Table'!$AE342,'Performance Curves'!$E$1:$L$1,1)+1,FALSE)),"")</f>
        <v/>
      </c>
      <c r="AI342" s="101" t="str">
        <f>IFERROR('BMP P Tracking Table'!$AH342*'BMP P Tracking Table'!$AD342,"")</f>
        <v/>
      </c>
      <c r="AJ342" s="64"/>
      <c r="AK342" s="96"/>
      <c r="AL342" s="96"/>
      <c r="AM342" s="63"/>
      <c r="AN342" s="99" t="str">
        <f t="shared" si="20"/>
        <v/>
      </c>
      <c r="AO342" s="96"/>
      <c r="AP342" s="96"/>
      <c r="AQ342" s="96"/>
      <c r="AR342" s="96"/>
      <c r="AS342" s="96"/>
      <c r="AT342" s="96"/>
      <c r="AU342" s="96"/>
      <c r="AV342" s="64"/>
      <c r="AW342" s="97"/>
      <c r="AX342" s="97"/>
      <c r="AY342" s="101" t="str">
        <f>IF('BMP P Tracking Table'!$AK342="Yes",IF('BMP P Tracking Table'!$AL342="No",'BMP P Tracking Table'!$U342*VLOOKUP('BMP P Tracking Table'!$Q342,'Loading Rates'!$B$1:$L$24,4,FALSE)+IF('BMP P Tracking Table'!$V342="By HSG",'BMP P Tracking Table'!$W342*VLOOKUP('BMP P Tracking Table'!$Q342,'Loading Rates'!$B$1:$L$24,6,FALSE)+'BMP P Tracking Table'!$X342*VLOOKUP('BMP P Tracking Table'!$Q342,'Loading Rates'!$B$1:$L$24,7,FALSE)+'BMP P Tracking Table'!$Y342*VLOOKUP('BMP P Tracking Table'!$Q342,'Loading Rates'!$B$1:$L$24,8,FALSE)+'BMP P Tracking Table'!$Z342*VLOOKUP('BMP P Tracking Table'!$Q342,'Loading Rates'!$B$1:$L$24,9,FALSE),'BMP P Tracking Table'!$AA342*VLOOKUP('BMP P Tracking Table'!$Q342,'Loading Rates'!$B$1:$L$24,10,FALSE)),'BMP P Tracking Table'!$AO342*VLOOKUP('BMP P Tracking Table'!$Q342,'Loading Rates'!$B$1:$L$24,4,FALSE)+IF('BMP P Tracking Table'!$AP342="By HSG",'BMP P Tracking Table'!$AQ342*VLOOKUP('BMP P Tracking Table'!$Q342,'Loading Rates'!$B$1:$L$24,6,FALSE)+'BMP P Tracking Table'!$AR342*VLOOKUP('BMP P Tracking Table'!$Q342,'Loading Rates'!$B$1:$L$24,7,FALSE)+'BMP P Tracking Table'!$AS342*VLOOKUP('BMP P Tracking Table'!$Q342,'Loading Rates'!$B$1:$L$24,8,FALSE)+'BMP P Tracking Table'!$AT342*VLOOKUP('BMP P Tracking Table'!$Q342,'Loading Rates'!$B$1:$L$24,9,FALSE),'BMP P Tracking Table'!$AU342*VLOOKUP('BMP P Tracking Table'!$Q342,'Loading Rates'!$B$1:$L$24,10,FALSE))),"")</f>
        <v/>
      </c>
      <c r="AZ342" s="101" t="str">
        <f>IFERROR(IF('BMP P Tracking Table'!$AL342="Yes",MIN(2,IF('BMP P Tracking Table'!$AP342="Total Pervious",(-(3630*'BMP P Tracking Table'!$AO342+20.691*'BMP P Tracking Table'!$AU342)+SQRT((3630*'BMP P Tracking Table'!$AO342+20.691*'BMP P Tracking Table'!$AU342)^2-(4*(996.798*'BMP P Tracking Table'!$AU342)*-'BMP P Tracking Table'!$AW342)))/(2*(996.798*'BMP P Tracking Table'!$AU342)),IF(SUM('BMP P Tracking Table'!$AQ342:$AT342)=0,'BMP P Tracking Table'!$AU342/(-3630*'BMP P Tracking Table'!$AO342),(-(3630*'BMP P Tracking Table'!$AO342+20.691*'BMP P Tracking Table'!$AT342-216.711*'BMP P Tracking Table'!$AS342-83.853*'BMP P Tracking Table'!$AR342-42.834*'BMP P Tracking Table'!$AQ342)+SQRT((3630*'BMP P Tracking Table'!$AO342+20.691*'BMP P Tracking Table'!$AT342-216.711*'BMP P Tracking Table'!$AS342-83.853*'BMP P Tracking Table'!$AR342-42.834*'BMP P Tracking Table'!$AQ342)^2-(4*(149.919*'BMP P Tracking Table'!$AQ342+236.676*'BMP P Tracking Table'!$AR342+726*'BMP P Tracking Table'!$AS342+996.798*'BMP P Tracking Table'!$AT342)*-'BMP P Tracking Table'!$AW342)))/(2*(149.919*'BMP P Tracking Table'!$AQ342+236.676*'BMP P Tracking Table'!$AR342+726*'BMP P Tracking Table'!$AS342+996.798*'BMP P Tracking Table'!$AT342))))),MIN(2,IF('BMP P Tracking Table'!$AP342="Total Pervious",(-(3630*'BMP P Tracking Table'!$U342+20.691*'BMP P Tracking Table'!$AA342)+SQRT((3630*'BMP P Tracking Table'!$U342+20.691*'BMP P Tracking Table'!$AA342)^2-(4*(996.798*'BMP P Tracking Table'!$AA342)*-'BMP P Tracking Table'!$AW342)))/(2*(996.798*'BMP P Tracking Table'!$AA342)),IF(SUM('BMP P Tracking Table'!$W342:$Z342)=0,'BMP P Tracking Table'!$AW342/(-3630*'BMP P Tracking Table'!$U342),(-(3630*'BMP P Tracking Table'!$U342+20.691*'BMP P Tracking Table'!$Z342-216.711*'BMP P Tracking Table'!$Y342-83.853*'BMP P Tracking Table'!$X342-42.834*'BMP P Tracking Table'!$W342)+SQRT((3630*'BMP P Tracking Table'!$U342+20.691*'BMP P Tracking Table'!$Z342-216.711*'BMP P Tracking Table'!$Y342-83.853*'BMP P Tracking Table'!$X342-42.834*'BMP P Tracking Table'!$W342)^2-(4*(149.919*'BMP P Tracking Table'!$W342+236.676*'BMP P Tracking Table'!$X342+726*'BMP P Tracking Table'!$Y342+996.798*'BMP P Tracking Table'!$Z342)*-'BMP P Tracking Table'!$AW342)))/(2*(149.919*'BMP P Tracking Table'!$W342+236.676*'BMP P Tracking Table'!$X342+726*'BMP P Tracking Table'!$Y342+996.798*'BMP P Tracking Table'!$Z342)))))),"")</f>
        <v/>
      </c>
      <c r="BA342" s="101" t="str">
        <f>IFERROR((VLOOKUP(CONCATENATE('BMP P Tracking Table'!$AV342," ",'BMP P Tracking Table'!$AX342),'Performance Curves'!$C$1:$L$45,MATCH('BMP P Tracking Table'!$AZ342,'Performance Curves'!$E$1:$L$1,1)+2,FALSE)-VLOOKUP(CONCATENATE('BMP P Tracking Table'!$AV342," ",'BMP P Tracking Table'!$AX342),'Performance Curves'!$C$1:$L$45,MATCH('BMP P Tracking Table'!$AZ342,'Performance Curves'!$E$1:$L$1,1)+1,FALSE)),"")</f>
        <v/>
      </c>
      <c r="BB342" s="101" t="str">
        <f>IFERROR(('BMP P Tracking Table'!$AZ342-INDEX('Performance Curves'!$E$1:$L$1,1,MATCH('BMP P Tracking Table'!$AZ342,'Performance Curves'!$E$1:$L$1,1)))/(INDEX('Performance Curves'!$E$1:$L$1,1,MATCH('BMP P Tracking Table'!$AZ342,'Performance Curves'!$E$1:$L$1,1)+1)-INDEX('Performance Curves'!$E$1:$L$1,1,MATCH('BMP P Tracking Table'!$AZ342,'Performance Curves'!$E$1:$L$1,1))),"")</f>
        <v/>
      </c>
      <c r="BC342" s="102" t="str">
        <f>IFERROR(IF('BMP P Tracking Table'!$AZ342=2,VLOOKUP(CONCATENATE('BMP P Tracking Table'!$AV342," ",'BMP P Tracking Table'!$AX342),'Performance Curves'!$C$1:$L$44,MATCH('BMP P Tracking Table'!$AZ342,'Performance Curves'!$E$1:$L$1,1)+1,FALSE),'BMP P Tracking Table'!$BA342*'BMP P Tracking Table'!$BB342+VLOOKUP(CONCATENATE('BMP P Tracking Table'!$AV342," ",'BMP P Tracking Table'!$AX342),'Performance Curves'!$C$1:$L$44,MATCH('BMP P Tracking Table'!$AZ342,'Performance Curves'!$E$1:$L$1,1)+1,FALSE)),"")</f>
        <v/>
      </c>
      <c r="BD342" s="101" t="str">
        <f>IFERROR('BMP P Tracking Table'!$BC342*'BMP P Tracking Table'!$AY342,"")</f>
        <v/>
      </c>
      <c r="BE342" s="96"/>
      <c r="BF342" s="37">
        <f t="shared" si="21"/>
        <v>0</v>
      </c>
    </row>
    <row r="343" spans="1:58" x14ac:dyDescent="0.3">
      <c r="A343" s="64"/>
      <c r="B343" s="64"/>
      <c r="C343" s="64"/>
      <c r="D343" s="64"/>
      <c r="E343" s="93"/>
      <c r="F343" s="93"/>
      <c r="G343" s="64"/>
      <c r="H343" s="64"/>
      <c r="I343" s="64"/>
      <c r="J343" s="94"/>
      <c r="K343" s="64"/>
      <c r="L343" s="64"/>
      <c r="M343" s="64"/>
      <c r="N343" s="64"/>
      <c r="O343" s="64"/>
      <c r="P343" s="64"/>
      <c r="Q343" s="64" t="str">
        <f>IFERROR(VLOOKUP('BMP P Tracking Table'!$P343,Dropdowns!$C$2:$E$15,3,FALSE),"")</f>
        <v/>
      </c>
      <c r="R343" s="64" t="str">
        <f>IFERROR(VLOOKUP('BMP P Tracking Table'!$Q343,Dropdowns!$P$3:$Q$23,2,FALSE),"")</f>
        <v/>
      </c>
      <c r="S343" s="64"/>
      <c r="T343" s="64"/>
      <c r="U343" s="64"/>
      <c r="V343" s="64"/>
      <c r="W343" s="64"/>
      <c r="X343" s="64"/>
      <c r="Y343" s="64"/>
      <c r="Z343" s="64"/>
      <c r="AA343" s="64"/>
      <c r="AB343" s="95"/>
      <c r="AC343" s="64"/>
      <c r="AD343" s="101" t="str">
        <f>IFERROR('BMP P Tracking Table'!$U343*VLOOKUP('BMP P Tracking Table'!$Q343,'Loading Rates'!$B$1:$L$24,4,FALSE)+IF('BMP P Tracking Table'!$V343="By HSG",'BMP P Tracking Table'!$W343*VLOOKUP('BMP P Tracking Table'!$Q343,'Loading Rates'!$B$1:$L$24,6,FALSE)+'BMP P Tracking Table'!$X343*VLOOKUP('BMP P Tracking Table'!$Q343,'Loading Rates'!$B$1:$L$24,7,FALSE)+'BMP P Tracking Table'!$Y343*VLOOKUP('BMP P Tracking Table'!$Q343,'Loading Rates'!$B$1:$L$24,8,FALSE)+'BMP P Tracking Table'!$Z343*VLOOKUP('BMP P Tracking Table'!$Q343,'Loading Rates'!$B$1:$L$24,9,FALSE),'BMP P Tracking Table'!$AA343*VLOOKUP('BMP P Tracking Table'!$Q343,'Loading Rates'!$B$1:$L$24,10,FALSE)),"")</f>
        <v/>
      </c>
      <c r="AE343" s="101" t="str">
        <f>IFERROR(MIN(2,IF('BMP P Tracking Table'!$V343="Total Pervious",(-(3630*'BMP P Tracking Table'!$U343+20.691*'BMP P Tracking Table'!$AA343)+SQRT((3630*'BMP P Tracking Table'!$U343+20.691*'BMP P Tracking Table'!$AA343)^2-(4*(996.798*'BMP P Tracking Table'!$AA343)*-'BMP P Tracking Table'!$AB343)))/(2*(996.798*'BMP P Tracking Table'!$AA343)),IF(SUM('BMP P Tracking Table'!$W343:$Z343)=0,'BMP P Tracking Table'!$AB343/(-3630*'BMP P Tracking Table'!$U343),(-(3630*'BMP P Tracking Table'!$U343+20.691*'BMP P Tracking Table'!$Z343-216.711*'BMP P Tracking Table'!$Y343-83.853*'BMP P Tracking Table'!$X343-42.834*'BMP P Tracking Table'!$W343)+SQRT((3630*'BMP P Tracking Table'!$U343+20.691*'BMP P Tracking Table'!$Z343-216.711*'BMP P Tracking Table'!$Y343-83.853*'BMP P Tracking Table'!$X343-42.834*'BMP P Tracking Table'!$W343)^2-(4*(149.919*'BMP P Tracking Table'!$W343+236.676*'BMP P Tracking Table'!$X343+726*'BMP P Tracking Table'!$Y343+996.798*'BMP P Tracking Table'!$Z343)*-'BMP P Tracking Table'!$AB343)))/(2*(149.919*'BMP P Tracking Table'!$W343+236.676*'BMP P Tracking Table'!$X343+726*'BMP P Tracking Table'!$Y343+996.798*'BMP P Tracking Table'!$Z343))))),"")</f>
        <v/>
      </c>
      <c r="AF343" s="101" t="str">
        <f>IFERROR((VLOOKUP(CONCATENATE('BMP P Tracking Table'!$T343," ",'BMP P Tracking Table'!$AC343),'Performance Curves'!$C$1:$L$45,MATCH('BMP P Tracking Table'!$AE343,'Performance Curves'!$E$1:$L$1,1)+2,FALSE)-VLOOKUP(CONCATENATE('BMP P Tracking Table'!$T343," ",'BMP P Tracking Table'!$AC343),'Performance Curves'!$C$1:$L$45,MATCH('BMP P Tracking Table'!$AE343,'Performance Curves'!$E$1:$L$1,1)+1,FALSE)),"")</f>
        <v/>
      </c>
      <c r="AG343" s="101" t="str">
        <f>IFERROR(('BMP P Tracking Table'!$AE343-INDEX('Performance Curves'!$E$1:$L$1,1,MATCH('BMP P Tracking Table'!$AE343,'Performance Curves'!$E$1:$L$1,1)))/(INDEX('Performance Curves'!$E$1:$L$1,1,MATCH('BMP P Tracking Table'!$AE343,'Performance Curves'!$E$1:$L$1,1)+1)-INDEX('Performance Curves'!$E$1:$L$1,1,MATCH('BMP P Tracking Table'!$AE343,'Performance Curves'!$E$1:$L$1,1))),"")</f>
        <v/>
      </c>
      <c r="AH343" s="102" t="str">
        <f>IFERROR(IF('BMP P Tracking Table'!$AE343=2,VLOOKUP(CONCATENATE('BMP P Tracking Table'!$T343," ",'BMP P Tracking Table'!$AC343),'Performance Curves'!$C$1:$L$45,MATCH('BMP P Tracking Table'!$AE343,'Performance Curves'!$E$1:$L$1,1)+1,FALSE),'BMP P Tracking Table'!$AF343*'BMP P Tracking Table'!$AG343+VLOOKUP(CONCATENATE('BMP P Tracking Table'!$T343," ",'BMP P Tracking Table'!$AC343),'Performance Curves'!$C$1:$L$45,MATCH('BMP P Tracking Table'!$AE343,'Performance Curves'!$E$1:$L$1,1)+1,FALSE)),"")</f>
        <v/>
      </c>
      <c r="AI343" s="101" t="str">
        <f>IFERROR('BMP P Tracking Table'!$AH343*'BMP P Tracking Table'!$AD343,"")</f>
        <v/>
      </c>
      <c r="AJ343" s="64"/>
      <c r="AK343" s="96"/>
      <c r="AL343" s="96"/>
      <c r="AM343" s="63"/>
      <c r="AN343" s="99" t="str">
        <f t="shared" si="20"/>
        <v/>
      </c>
      <c r="AO343" s="96"/>
      <c r="AP343" s="96"/>
      <c r="AQ343" s="96"/>
      <c r="AR343" s="96"/>
      <c r="AS343" s="96"/>
      <c r="AT343" s="96"/>
      <c r="AU343" s="96"/>
      <c r="AV343" s="64"/>
      <c r="AW343" s="97"/>
      <c r="AX343" s="97"/>
      <c r="AY343" s="101" t="str">
        <f>IF('BMP P Tracking Table'!$AK343="Yes",IF('BMP P Tracking Table'!$AL343="No",'BMP P Tracking Table'!$U343*VLOOKUP('BMP P Tracking Table'!$Q343,'Loading Rates'!$B$1:$L$24,4,FALSE)+IF('BMP P Tracking Table'!$V343="By HSG",'BMP P Tracking Table'!$W343*VLOOKUP('BMP P Tracking Table'!$Q343,'Loading Rates'!$B$1:$L$24,6,FALSE)+'BMP P Tracking Table'!$X343*VLOOKUP('BMP P Tracking Table'!$Q343,'Loading Rates'!$B$1:$L$24,7,FALSE)+'BMP P Tracking Table'!$Y343*VLOOKUP('BMP P Tracking Table'!$Q343,'Loading Rates'!$B$1:$L$24,8,FALSE)+'BMP P Tracking Table'!$Z343*VLOOKUP('BMP P Tracking Table'!$Q343,'Loading Rates'!$B$1:$L$24,9,FALSE),'BMP P Tracking Table'!$AA343*VLOOKUP('BMP P Tracking Table'!$Q343,'Loading Rates'!$B$1:$L$24,10,FALSE)),'BMP P Tracking Table'!$AO343*VLOOKUP('BMP P Tracking Table'!$Q343,'Loading Rates'!$B$1:$L$24,4,FALSE)+IF('BMP P Tracking Table'!$AP343="By HSG",'BMP P Tracking Table'!$AQ343*VLOOKUP('BMP P Tracking Table'!$Q343,'Loading Rates'!$B$1:$L$24,6,FALSE)+'BMP P Tracking Table'!$AR343*VLOOKUP('BMP P Tracking Table'!$Q343,'Loading Rates'!$B$1:$L$24,7,FALSE)+'BMP P Tracking Table'!$AS343*VLOOKUP('BMP P Tracking Table'!$Q343,'Loading Rates'!$B$1:$L$24,8,FALSE)+'BMP P Tracking Table'!$AT343*VLOOKUP('BMP P Tracking Table'!$Q343,'Loading Rates'!$B$1:$L$24,9,FALSE),'BMP P Tracking Table'!$AU343*VLOOKUP('BMP P Tracking Table'!$Q343,'Loading Rates'!$B$1:$L$24,10,FALSE))),"")</f>
        <v/>
      </c>
      <c r="AZ343" s="101" t="str">
        <f>IFERROR(IF('BMP P Tracking Table'!$AL343="Yes",MIN(2,IF('BMP P Tracking Table'!$AP343="Total Pervious",(-(3630*'BMP P Tracking Table'!$AO343+20.691*'BMP P Tracking Table'!$AU343)+SQRT((3630*'BMP P Tracking Table'!$AO343+20.691*'BMP P Tracking Table'!$AU343)^2-(4*(996.798*'BMP P Tracking Table'!$AU343)*-'BMP P Tracking Table'!$AW343)))/(2*(996.798*'BMP P Tracking Table'!$AU343)),IF(SUM('BMP P Tracking Table'!$AQ343:$AT343)=0,'BMP P Tracking Table'!$AU343/(-3630*'BMP P Tracking Table'!$AO343),(-(3630*'BMP P Tracking Table'!$AO343+20.691*'BMP P Tracking Table'!$AT343-216.711*'BMP P Tracking Table'!$AS343-83.853*'BMP P Tracking Table'!$AR343-42.834*'BMP P Tracking Table'!$AQ343)+SQRT((3630*'BMP P Tracking Table'!$AO343+20.691*'BMP P Tracking Table'!$AT343-216.711*'BMP P Tracking Table'!$AS343-83.853*'BMP P Tracking Table'!$AR343-42.834*'BMP P Tracking Table'!$AQ343)^2-(4*(149.919*'BMP P Tracking Table'!$AQ343+236.676*'BMP P Tracking Table'!$AR343+726*'BMP P Tracking Table'!$AS343+996.798*'BMP P Tracking Table'!$AT343)*-'BMP P Tracking Table'!$AW343)))/(2*(149.919*'BMP P Tracking Table'!$AQ343+236.676*'BMP P Tracking Table'!$AR343+726*'BMP P Tracking Table'!$AS343+996.798*'BMP P Tracking Table'!$AT343))))),MIN(2,IF('BMP P Tracking Table'!$AP343="Total Pervious",(-(3630*'BMP P Tracking Table'!$U343+20.691*'BMP P Tracking Table'!$AA343)+SQRT((3630*'BMP P Tracking Table'!$U343+20.691*'BMP P Tracking Table'!$AA343)^2-(4*(996.798*'BMP P Tracking Table'!$AA343)*-'BMP P Tracking Table'!$AW343)))/(2*(996.798*'BMP P Tracking Table'!$AA343)),IF(SUM('BMP P Tracking Table'!$W343:$Z343)=0,'BMP P Tracking Table'!$AW343/(-3630*'BMP P Tracking Table'!$U343),(-(3630*'BMP P Tracking Table'!$U343+20.691*'BMP P Tracking Table'!$Z343-216.711*'BMP P Tracking Table'!$Y343-83.853*'BMP P Tracking Table'!$X343-42.834*'BMP P Tracking Table'!$W343)+SQRT((3630*'BMP P Tracking Table'!$U343+20.691*'BMP P Tracking Table'!$Z343-216.711*'BMP P Tracking Table'!$Y343-83.853*'BMP P Tracking Table'!$X343-42.834*'BMP P Tracking Table'!$W343)^2-(4*(149.919*'BMP P Tracking Table'!$W343+236.676*'BMP P Tracking Table'!$X343+726*'BMP P Tracking Table'!$Y343+996.798*'BMP P Tracking Table'!$Z343)*-'BMP P Tracking Table'!$AW343)))/(2*(149.919*'BMP P Tracking Table'!$W343+236.676*'BMP P Tracking Table'!$X343+726*'BMP P Tracking Table'!$Y343+996.798*'BMP P Tracking Table'!$Z343)))))),"")</f>
        <v/>
      </c>
      <c r="BA343" s="101" t="str">
        <f>IFERROR((VLOOKUP(CONCATENATE('BMP P Tracking Table'!$AV343," ",'BMP P Tracking Table'!$AX343),'Performance Curves'!$C$1:$L$45,MATCH('BMP P Tracking Table'!$AZ343,'Performance Curves'!$E$1:$L$1,1)+2,FALSE)-VLOOKUP(CONCATENATE('BMP P Tracking Table'!$AV343," ",'BMP P Tracking Table'!$AX343),'Performance Curves'!$C$1:$L$45,MATCH('BMP P Tracking Table'!$AZ343,'Performance Curves'!$E$1:$L$1,1)+1,FALSE)),"")</f>
        <v/>
      </c>
      <c r="BB343" s="101" t="str">
        <f>IFERROR(('BMP P Tracking Table'!$AZ343-INDEX('Performance Curves'!$E$1:$L$1,1,MATCH('BMP P Tracking Table'!$AZ343,'Performance Curves'!$E$1:$L$1,1)))/(INDEX('Performance Curves'!$E$1:$L$1,1,MATCH('BMP P Tracking Table'!$AZ343,'Performance Curves'!$E$1:$L$1,1)+1)-INDEX('Performance Curves'!$E$1:$L$1,1,MATCH('BMP P Tracking Table'!$AZ343,'Performance Curves'!$E$1:$L$1,1))),"")</f>
        <v/>
      </c>
      <c r="BC343" s="102" t="str">
        <f>IFERROR(IF('BMP P Tracking Table'!$AZ343=2,VLOOKUP(CONCATENATE('BMP P Tracking Table'!$AV343," ",'BMP P Tracking Table'!$AX343),'Performance Curves'!$C$1:$L$44,MATCH('BMP P Tracking Table'!$AZ343,'Performance Curves'!$E$1:$L$1,1)+1,FALSE),'BMP P Tracking Table'!$BA343*'BMP P Tracking Table'!$BB343+VLOOKUP(CONCATENATE('BMP P Tracking Table'!$AV343," ",'BMP P Tracking Table'!$AX343),'Performance Curves'!$C$1:$L$44,MATCH('BMP P Tracking Table'!$AZ343,'Performance Curves'!$E$1:$L$1,1)+1,FALSE)),"")</f>
        <v/>
      </c>
      <c r="BD343" s="101" t="str">
        <f>IFERROR('BMP P Tracking Table'!$BC343*'BMP P Tracking Table'!$AY343,"")</f>
        <v/>
      </c>
      <c r="BE343" s="96"/>
      <c r="BF343" s="37">
        <f t="shared" si="21"/>
        <v>0</v>
      </c>
    </row>
    <row r="344" spans="1:58" x14ac:dyDescent="0.3">
      <c r="A344" s="64"/>
      <c r="B344" s="64"/>
      <c r="C344" s="64"/>
      <c r="D344" s="64"/>
      <c r="E344" s="93"/>
      <c r="F344" s="93"/>
      <c r="G344" s="64"/>
      <c r="H344" s="64"/>
      <c r="I344" s="64"/>
      <c r="J344" s="94"/>
      <c r="K344" s="64"/>
      <c r="L344" s="64"/>
      <c r="M344" s="64"/>
      <c r="N344" s="64"/>
      <c r="O344" s="64"/>
      <c r="P344" s="64"/>
      <c r="Q344" s="64" t="str">
        <f>IFERROR(VLOOKUP('BMP P Tracking Table'!$P344,Dropdowns!$C$2:$E$15,3,FALSE),"")</f>
        <v/>
      </c>
      <c r="R344" s="64" t="str">
        <f>IFERROR(VLOOKUP('BMP P Tracking Table'!$Q344,Dropdowns!$P$3:$Q$23,2,FALSE),"")</f>
        <v/>
      </c>
      <c r="S344" s="64"/>
      <c r="T344" s="64"/>
      <c r="U344" s="64"/>
      <c r="V344" s="64"/>
      <c r="W344" s="64"/>
      <c r="X344" s="64"/>
      <c r="Y344" s="64"/>
      <c r="Z344" s="64"/>
      <c r="AA344" s="64"/>
      <c r="AB344" s="95"/>
      <c r="AC344" s="64"/>
      <c r="AD344" s="101" t="str">
        <f>IFERROR('BMP P Tracking Table'!$U344*VLOOKUP('BMP P Tracking Table'!$Q344,'Loading Rates'!$B$1:$L$24,4,FALSE)+IF('BMP P Tracking Table'!$V344="By HSG",'BMP P Tracking Table'!$W344*VLOOKUP('BMP P Tracking Table'!$Q344,'Loading Rates'!$B$1:$L$24,6,FALSE)+'BMP P Tracking Table'!$X344*VLOOKUP('BMP P Tracking Table'!$Q344,'Loading Rates'!$B$1:$L$24,7,FALSE)+'BMP P Tracking Table'!$Y344*VLOOKUP('BMP P Tracking Table'!$Q344,'Loading Rates'!$B$1:$L$24,8,FALSE)+'BMP P Tracking Table'!$Z344*VLOOKUP('BMP P Tracking Table'!$Q344,'Loading Rates'!$B$1:$L$24,9,FALSE),'BMP P Tracking Table'!$AA344*VLOOKUP('BMP P Tracking Table'!$Q344,'Loading Rates'!$B$1:$L$24,10,FALSE)),"")</f>
        <v/>
      </c>
      <c r="AE344" s="101" t="str">
        <f>IFERROR(MIN(2,IF('BMP P Tracking Table'!$V344="Total Pervious",(-(3630*'BMP P Tracking Table'!$U344+20.691*'BMP P Tracking Table'!$AA344)+SQRT((3630*'BMP P Tracking Table'!$U344+20.691*'BMP P Tracking Table'!$AA344)^2-(4*(996.798*'BMP P Tracking Table'!$AA344)*-'BMP P Tracking Table'!$AB344)))/(2*(996.798*'BMP P Tracking Table'!$AA344)),IF(SUM('BMP P Tracking Table'!$W344:$Z344)=0,'BMP P Tracking Table'!$AB344/(-3630*'BMP P Tracking Table'!$U344),(-(3630*'BMP P Tracking Table'!$U344+20.691*'BMP P Tracking Table'!$Z344-216.711*'BMP P Tracking Table'!$Y344-83.853*'BMP P Tracking Table'!$X344-42.834*'BMP P Tracking Table'!$W344)+SQRT((3630*'BMP P Tracking Table'!$U344+20.691*'BMP P Tracking Table'!$Z344-216.711*'BMP P Tracking Table'!$Y344-83.853*'BMP P Tracking Table'!$X344-42.834*'BMP P Tracking Table'!$W344)^2-(4*(149.919*'BMP P Tracking Table'!$W344+236.676*'BMP P Tracking Table'!$X344+726*'BMP P Tracking Table'!$Y344+996.798*'BMP P Tracking Table'!$Z344)*-'BMP P Tracking Table'!$AB344)))/(2*(149.919*'BMP P Tracking Table'!$W344+236.676*'BMP P Tracking Table'!$X344+726*'BMP P Tracking Table'!$Y344+996.798*'BMP P Tracking Table'!$Z344))))),"")</f>
        <v/>
      </c>
      <c r="AF344" s="101" t="str">
        <f>IFERROR((VLOOKUP(CONCATENATE('BMP P Tracking Table'!$T344," ",'BMP P Tracking Table'!$AC344),'Performance Curves'!$C$1:$L$45,MATCH('BMP P Tracking Table'!$AE344,'Performance Curves'!$E$1:$L$1,1)+2,FALSE)-VLOOKUP(CONCATENATE('BMP P Tracking Table'!$T344," ",'BMP P Tracking Table'!$AC344),'Performance Curves'!$C$1:$L$45,MATCH('BMP P Tracking Table'!$AE344,'Performance Curves'!$E$1:$L$1,1)+1,FALSE)),"")</f>
        <v/>
      </c>
      <c r="AG344" s="101" t="str">
        <f>IFERROR(('BMP P Tracking Table'!$AE344-INDEX('Performance Curves'!$E$1:$L$1,1,MATCH('BMP P Tracking Table'!$AE344,'Performance Curves'!$E$1:$L$1,1)))/(INDEX('Performance Curves'!$E$1:$L$1,1,MATCH('BMP P Tracking Table'!$AE344,'Performance Curves'!$E$1:$L$1,1)+1)-INDEX('Performance Curves'!$E$1:$L$1,1,MATCH('BMP P Tracking Table'!$AE344,'Performance Curves'!$E$1:$L$1,1))),"")</f>
        <v/>
      </c>
      <c r="AH344" s="102" t="str">
        <f>IFERROR(IF('BMP P Tracking Table'!$AE344=2,VLOOKUP(CONCATENATE('BMP P Tracking Table'!$T344," ",'BMP P Tracking Table'!$AC344),'Performance Curves'!$C$1:$L$45,MATCH('BMP P Tracking Table'!$AE344,'Performance Curves'!$E$1:$L$1,1)+1,FALSE),'BMP P Tracking Table'!$AF344*'BMP P Tracking Table'!$AG344+VLOOKUP(CONCATENATE('BMP P Tracking Table'!$T344," ",'BMP P Tracking Table'!$AC344),'Performance Curves'!$C$1:$L$45,MATCH('BMP P Tracking Table'!$AE344,'Performance Curves'!$E$1:$L$1,1)+1,FALSE)),"")</f>
        <v/>
      </c>
      <c r="AI344" s="101" t="str">
        <f>IFERROR('BMP P Tracking Table'!$AH344*'BMP P Tracking Table'!$AD344,"")</f>
        <v/>
      </c>
      <c r="AJ344" s="64"/>
      <c r="AK344" s="96"/>
      <c r="AL344" s="96"/>
      <c r="AM344" s="63"/>
      <c r="AN344" s="99" t="str">
        <f t="shared" si="20"/>
        <v/>
      </c>
      <c r="AO344" s="96"/>
      <c r="AP344" s="96"/>
      <c r="AQ344" s="96"/>
      <c r="AR344" s="96"/>
      <c r="AS344" s="96"/>
      <c r="AT344" s="96"/>
      <c r="AU344" s="96"/>
      <c r="AV344" s="64"/>
      <c r="AW344" s="97"/>
      <c r="AX344" s="97"/>
      <c r="AY344" s="101" t="str">
        <f>IF('BMP P Tracking Table'!$AK344="Yes",IF('BMP P Tracking Table'!$AL344="No",'BMP P Tracking Table'!$U344*VLOOKUP('BMP P Tracking Table'!$Q344,'Loading Rates'!$B$1:$L$24,4,FALSE)+IF('BMP P Tracking Table'!$V344="By HSG",'BMP P Tracking Table'!$W344*VLOOKUP('BMP P Tracking Table'!$Q344,'Loading Rates'!$B$1:$L$24,6,FALSE)+'BMP P Tracking Table'!$X344*VLOOKUP('BMP P Tracking Table'!$Q344,'Loading Rates'!$B$1:$L$24,7,FALSE)+'BMP P Tracking Table'!$Y344*VLOOKUP('BMP P Tracking Table'!$Q344,'Loading Rates'!$B$1:$L$24,8,FALSE)+'BMP P Tracking Table'!$Z344*VLOOKUP('BMP P Tracking Table'!$Q344,'Loading Rates'!$B$1:$L$24,9,FALSE),'BMP P Tracking Table'!$AA344*VLOOKUP('BMP P Tracking Table'!$Q344,'Loading Rates'!$B$1:$L$24,10,FALSE)),'BMP P Tracking Table'!$AO344*VLOOKUP('BMP P Tracking Table'!$Q344,'Loading Rates'!$B$1:$L$24,4,FALSE)+IF('BMP P Tracking Table'!$AP344="By HSG",'BMP P Tracking Table'!$AQ344*VLOOKUP('BMP P Tracking Table'!$Q344,'Loading Rates'!$B$1:$L$24,6,FALSE)+'BMP P Tracking Table'!$AR344*VLOOKUP('BMP P Tracking Table'!$Q344,'Loading Rates'!$B$1:$L$24,7,FALSE)+'BMP P Tracking Table'!$AS344*VLOOKUP('BMP P Tracking Table'!$Q344,'Loading Rates'!$B$1:$L$24,8,FALSE)+'BMP P Tracking Table'!$AT344*VLOOKUP('BMP P Tracking Table'!$Q344,'Loading Rates'!$B$1:$L$24,9,FALSE),'BMP P Tracking Table'!$AU344*VLOOKUP('BMP P Tracking Table'!$Q344,'Loading Rates'!$B$1:$L$24,10,FALSE))),"")</f>
        <v/>
      </c>
      <c r="AZ344" s="101" t="str">
        <f>IFERROR(IF('BMP P Tracking Table'!$AL344="Yes",MIN(2,IF('BMP P Tracking Table'!$AP344="Total Pervious",(-(3630*'BMP P Tracking Table'!$AO344+20.691*'BMP P Tracking Table'!$AU344)+SQRT((3630*'BMP P Tracking Table'!$AO344+20.691*'BMP P Tracking Table'!$AU344)^2-(4*(996.798*'BMP P Tracking Table'!$AU344)*-'BMP P Tracking Table'!$AW344)))/(2*(996.798*'BMP P Tracking Table'!$AU344)),IF(SUM('BMP P Tracking Table'!$AQ344:$AT344)=0,'BMP P Tracking Table'!$AU344/(-3630*'BMP P Tracking Table'!$AO344),(-(3630*'BMP P Tracking Table'!$AO344+20.691*'BMP P Tracking Table'!$AT344-216.711*'BMP P Tracking Table'!$AS344-83.853*'BMP P Tracking Table'!$AR344-42.834*'BMP P Tracking Table'!$AQ344)+SQRT((3630*'BMP P Tracking Table'!$AO344+20.691*'BMP P Tracking Table'!$AT344-216.711*'BMP P Tracking Table'!$AS344-83.853*'BMP P Tracking Table'!$AR344-42.834*'BMP P Tracking Table'!$AQ344)^2-(4*(149.919*'BMP P Tracking Table'!$AQ344+236.676*'BMP P Tracking Table'!$AR344+726*'BMP P Tracking Table'!$AS344+996.798*'BMP P Tracking Table'!$AT344)*-'BMP P Tracking Table'!$AW344)))/(2*(149.919*'BMP P Tracking Table'!$AQ344+236.676*'BMP P Tracking Table'!$AR344+726*'BMP P Tracking Table'!$AS344+996.798*'BMP P Tracking Table'!$AT344))))),MIN(2,IF('BMP P Tracking Table'!$AP344="Total Pervious",(-(3630*'BMP P Tracking Table'!$U344+20.691*'BMP P Tracking Table'!$AA344)+SQRT((3630*'BMP P Tracking Table'!$U344+20.691*'BMP P Tracking Table'!$AA344)^2-(4*(996.798*'BMP P Tracking Table'!$AA344)*-'BMP P Tracking Table'!$AW344)))/(2*(996.798*'BMP P Tracking Table'!$AA344)),IF(SUM('BMP P Tracking Table'!$W344:$Z344)=0,'BMP P Tracking Table'!$AW344/(-3630*'BMP P Tracking Table'!$U344),(-(3630*'BMP P Tracking Table'!$U344+20.691*'BMP P Tracking Table'!$Z344-216.711*'BMP P Tracking Table'!$Y344-83.853*'BMP P Tracking Table'!$X344-42.834*'BMP P Tracking Table'!$W344)+SQRT((3630*'BMP P Tracking Table'!$U344+20.691*'BMP P Tracking Table'!$Z344-216.711*'BMP P Tracking Table'!$Y344-83.853*'BMP P Tracking Table'!$X344-42.834*'BMP P Tracking Table'!$W344)^2-(4*(149.919*'BMP P Tracking Table'!$W344+236.676*'BMP P Tracking Table'!$X344+726*'BMP P Tracking Table'!$Y344+996.798*'BMP P Tracking Table'!$Z344)*-'BMP P Tracking Table'!$AW344)))/(2*(149.919*'BMP P Tracking Table'!$W344+236.676*'BMP P Tracking Table'!$X344+726*'BMP P Tracking Table'!$Y344+996.798*'BMP P Tracking Table'!$Z344)))))),"")</f>
        <v/>
      </c>
      <c r="BA344" s="101" t="str">
        <f>IFERROR((VLOOKUP(CONCATENATE('BMP P Tracking Table'!$AV344," ",'BMP P Tracking Table'!$AX344),'Performance Curves'!$C$1:$L$45,MATCH('BMP P Tracking Table'!$AZ344,'Performance Curves'!$E$1:$L$1,1)+2,FALSE)-VLOOKUP(CONCATENATE('BMP P Tracking Table'!$AV344," ",'BMP P Tracking Table'!$AX344),'Performance Curves'!$C$1:$L$45,MATCH('BMP P Tracking Table'!$AZ344,'Performance Curves'!$E$1:$L$1,1)+1,FALSE)),"")</f>
        <v/>
      </c>
      <c r="BB344" s="101" t="str">
        <f>IFERROR(('BMP P Tracking Table'!$AZ344-INDEX('Performance Curves'!$E$1:$L$1,1,MATCH('BMP P Tracking Table'!$AZ344,'Performance Curves'!$E$1:$L$1,1)))/(INDEX('Performance Curves'!$E$1:$L$1,1,MATCH('BMP P Tracking Table'!$AZ344,'Performance Curves'!$E$1:$L$1,1)+1)-INDEX('Performance Curves'!$E$1:$L$1,1,MATCH('BMP P Tracking Table'!$AZ344,'Performance Curves'!$E$1:$L$1,1))),"")</f>
        <v/>
      </c>
      <c r="BC344" s="102" t="str">
        <f>IFERROR(IF('BMP P Tracking Table'!$AZ344=2,VLOOKUP(CONCATENATE('BMP P Tracking Table'!$AV344," ",'BMP P Tracking Table'!$AX344),'Performance Curves'!$C$1:$L$44,MATCH('BMP P Tracking Table'!$AZ344,'Performance Curves'!$E$1:$L$1,1)+1,FALSE),'BMP P Tracking Table'!$BA344*'BMP P Tracking Table'!$BB344+VLOOKUP(CONCATENATE('BMP P Tracking Table'!$AV344," ",'BMP P Tracking Table'!$AX344),'Performance Curves'!$C$1:$L$44,MATCH('BMP P Tracking Table'!$AZ344,'Performance Curves'!$E$1:$L$1,1)+1,FALSE)),"")</f>
        <v/>
      </c>
      <c r="BD344" s="101" t="str">
        <f>IFERROR('BMP P Tracking Table'!$BC344*'BMP P Tracking Table'!$AY344,"")</f>
        <v/>
      </c>
      <c r="BE344" s="96"/>
      <c r="BF344" s="37">
        <f t="shared" si="21"/>
        <v>0</v>
      </c>
    </row>
    <row r="345" spans="1:58" x14ac:dyDescent="0.3">
      <c r="A345" s="64"/>
      <c r="B345" s="64"/>
      <c r="C345" s="64"/>
      <c r="D345" s="64"/>
      <c r="E345" s="93"/>
      <c r="F345" s="93"/>
      <c r="G345" s="64"/>
      <c r="H345" s="64"/>
      <c r="I345" s="64"/>
      <c r="J345" s="94"/>
      <c r="K345" s="64"/>
      <c r="L345" s="64"/>
      <c r="M345" s="64"/>
      <c r="N345" s="64"/>
      <c r="O345" s="64"/>
      <c r="P345" s="64"/>
      <c r="Q345" s="64" t="str">
        <f>IFERROR(VLOOKUP('BMP P Tracking Table'!$P345,Dropdowns!$C$2:$E$15,3,FALSE),"")</f>
        <v/>
      </c>
      <c r="R345" s="64" t="str">
        <f>IFERROR(VLOOKUP('BMP P Tracking Table'!$Q345,Dropdowns!$P$3:$Q$23,2,FALSE),"")</f>
        <v/>
      </c>
      <c r="S345" s="64"/>
      <c r="T345" s="64"/>
      <c r="U345" s="64"/>
      <c r="V345" s="64"/>
      <c r="W345" s="64"/>
      <c r="X345" s="64"/>
      <c r="Y345" s="64"/>
      <c r="Z345" s="64"/>
      <c r="AA345" s="64"/>
      <c r="AB345" s="95"/>
      <c r="AC345" s="64"/>
      <c r="AD345" s="101" t="str">
        <f>IFERROR('BMP P Tracking Table'!$U345*VLOOKUP('BMP P Tracking Table'!$Q345,'Loading Rates'!$B$1:$L$24,4,FALSE)+IF('BMP P Tracking Table'!$V345="By HSG",'BMP P Tracking Table'!$W345*VLOOKUP('BMP P Tracking Table'!$Q345,'Loading Rates'!$B$1:$L$24,6,FALSE)+'BMP P Tracking Table'!$X345*VLOOKUP('BMP P Tracking Table'!$Q345,'Loading Rates'!$B$1:$L$24,7,FALSE)+'BMP P Tracking Table'!$Y345*VLOOKUP('BMP P Tracking Table'!$Q345,'Loading Rates'!$B$1:$L$24,8,FALSE)+'BMP P Tracking Table'!$Z345*VLOOKUP('BMP P Tracking Table'!$Q345,'Loading Rates'!$B$1:$L$24,9,FALSE),'BMP P Tracking Table'!$AA345*VLOOKUP('BMP P Tracking Table'!$Q345,'Loading Rates'!$B$1:$L$24,10,FALSE)),"")</f>
        <v/>
      </c>
      <c r="AE345" s="101" t="str">
        <f>IFERROR(MIN(2,IF('BMP P Tracking Table'!$V345="Total Pervious",(-(3630*'BMP P Tracking Table'!$U345+20.691*'BMP P Tracking Table'!$AA345)+SQRT((3630*'BMP P Tracking Table'!$U345+20.691*'BMP P Tracking Table'!$AA345)^2-(4*(996.798*'BMP P Tracking Table'!$AA345)*-'BMP P Tracking Table'!$AB345)))/(2*(996.798*'BMP P Tracking Table'!$AA345)),IF(SUM('BMP P Tracking Table'!$W345:$Z345)=0,'BMP P Tracking Table'!$AB345/(-3630*'BMP P Tracking Table'!$U345),(-(3630*'BMP P Tracking Table'!$U345+20.691*'BMP P Tracking Table'!$Z345-216.711*'BMP P Tracking Table'!$Y345-83.853*'BMP P Tracking Table'!$X345-42.834*'BMP P Tracking Table'!$W345)+SQRT((3630*'BMP P Tracking Table'!$U345+20.691*'BMP P Tracking Table'!$Z345-216.711*'BMP P Tracking Table'!$Y345-83.853*'BMP P Tracking Table'!$X345-42.834*'BMP P Tracking Table'!$W345)^2-(4*(149.919*'BMP P Tracking Table'!$W345+236.676*'BMP P Tracking Table'!$X345+726*'BMP P Tracking Table'!$Y345+996.798*'BMP P Tracking Table'!$Z345)*-'BMP P Tracking Table'!$AB345)))/(2*(149.919*'BMP P Tracking Table'!$W345+236.676*'BMP P Tracking Table'!$X345+726*'BMP P Tracking Table'!$Y345+996.798*'BMP P Tracking Table'!$Z345))))),"")</f>
        <v/>
      </c>
      <c r="AF345" s="101" t="str">
        <f>IFERROR((VLOOKUP(CONCATENATE('BMP P Tracking Table'!$T345," ",'BMP P Tracking Table'!$AC345),'Performance Curves'!$C$1:$L$45,MATCH('BMP P Tracking Table'!$AE345,'Performance Curves'!$E$1:$L$1,1)+2,FALSE)-VLOOKUP(CONCATENATE('BMP P Tracking Table'!$T345," ",'BMP P Tracking Table'!$AC345),'Performance Curves'!$C$1:$L$45,MATCH('BMP P Tracking Table'!$AE345,'Performance Curves'!$E$1:$L$1,1)+1,FALSE)),"")</f>
        <v/>
      </c>
      <c r="AG345" s="101" t="str">
        <f>IFERROR(('BMP P Tracking Table'!$AE345-INDEX('Performance Curves'!$E$1:$L$1,1,MATCH('BMP P Tracking Table'!$AE345,'Performance Curves'!$E$1:$L$1,1)))/(INDEX('Performance Curves'!$E$1:$L$1,1,MATCH('BMP P Tracking Table'!$AE345,'Performance Curves'!$E$1:$L$1,1)+1)-INDEX('Performance Curves'!$E$1:$L$1,1,MATCH('BMP P Tracking Table'!$AE345,'Performance Curves'!$E$1:$L$1,1))),"")</f>
        <v/>
      </c>
      <c r="AH345" s="102" t="str">
        <f>IFERROR(IF('BMP P Tracking Table'!$AE345=2,VLOOKUP(CONCATENATE('BMP P Tracking Table'!$T345," ",'BMP P Tracking Table'!$AC345),'Performance Curves'!$C$1:$L$45,MATCH('BMP P Tracking Table'!$AE345,'Performance Curves'!$E$1:$L$1,1)+1,FALSE),'BMP P Tracking Table'!$AF345*'BMP P Tracking Table'!$AG345+VLOOKUP(CONCATENATE('BMP P Tracking Table'!$T345," ",'BMP P Tracking Table'!$AC345),'Performance Curves'!$C$1:$L$45,MATCH('BMP P Tracking Table'!$AE345,'Performance Curves'!$E$1:$L$1,1)+1,FALSE)),"")</f>
        <v/>
      </c>
      <c r="AI345" s="101" t="str">
        <f>IFERROR('BMP P Tracking Table'!$AH345*'BMP P Tracking Table'!$AD345,"")</f>
        <v/>
      </c>
      <c r="AJ345" s="64"/>
      <c r="AK345" s="96"/>
      <c r="AL345" s="96"/>
      <c r="AM345" s="63"/>
      <c r="AN345" s="99" t="str">
        <f t="shared" si="20"/>
        <v/>
      </c>
      <c r="AO345" s="96"/>
      <c r="AP345" s="96"/>
      <c r="AQ345" s="96"/>
      <c r="AR345" s="96"/>
      <c r="AS345" s="96"/>
      <c r="AT345" s="96"/>
      <c r="AU345" s="96"/>
      <c r="AV345" s="64"/>
      <c r="AW345" s="97"/>
      <c r="AX345" s="97"/>
      <c r="AY345" s="101" t="str">
        <f>IF('BMP P Tracking Table'!$AK345="Yes",IF('BMP P Tracking Table'!$AL345="No",'BMP P Tracking Table'!$U345*VLOOKUP('BMP P Tracking Table'!$Q345,'Loading Rates'!$B$1:$L$24,4,FALSE)+IF('BMP P Tracking Table'!$V345="By HSG",'BMP P Tracking Table'!$W345*VLOOKUP('BMP P Tracking Table'!$Q345,'Loading Rates'!$B$1:$L$24,6,FALSE)+'BMP P Tracking Table'!$X345*VLOOKUP('BMP P Tracking Table'!$Q345,'Loading Rates'!$B$1:$L$24,7,FALSE)+'BMP P Tracking Table'!$Y345*VLOOKUP('BMP P Tracking Table'!$Q345,'Loading Rates'!$B$1:$L$24,8,FALSE)+'BMP P Tracking Table'!$Z345*VLOOKUP('BMP P Tracking Table'!$Q345,'Loading Rates'!$B$1:$L$24,9,FALSE),'BMP P Tracking Table'!$AA345*VLOOKUP('BMP P Tracking Table'!$Q345,'Loading Rates'!$B$1:$L$24,10,FALSE)),'BMP P Tracking Table'!$AO345*VLOOKUP('BMP P Tracking Table'!$Q345,'Loading Rates'!$B$1:$L$24,4,FALSE)+IF('BMP P Tracking Table'!$AP345="By HSG",'BMP P Tracking Table'!$AQ345*VLOOKUP('BMP P Tracking Table'!$Q345,'Loading Rates'!$B$1:$L$24,6,FALSE)+'BMP P Tracking Table'!$AR345*VLOOKUP('BMP P Tracking Table'!$Q345,'Loading Rates'!$B$1:$L$24,7,FALSE)+'BMP P Tracking Table'!$AS345*VLOOKUP('BMP P Tracking Table'!$Q345,'Loading Rates'!$B$1:$L$24,8,FALSE)+'BMP P Tracking Table'!$AT345*VLOOKUP('BMP P Tracking Table'!$Q345,'Loading Rates'!$B$1:$L$24,9,FALSE),'BMP P Tracking Table'!$AU345*VLOOKUP('BMP P Tracking Table'!$Q345,'Loading Rates'!$B$1:$L$24,10,FALSE))),"")</f>
        <v/>
      </c>
      <c r="AZ345" s="101" t="str">
        <f>IFERROR(IF('BMP P Tracking Table'!$AL345="Yes",MIN(2,IF('BMP P Tracking Table'!$AP345="Total Pervious",(-(3630*'BMP P Tracking Table'!$AO345+20.691*'BMP P Tracking Table'!$AU345)+SQRT((3630*'BMP P Tracking Table'!$AO345+20.691*'BMP P Tracking Table'!$AU345)^2-(4*(996.798*'BMP P Tracking Table'!$AU345)*-'BMP P Tracking Table'!$AW345)))/(2*(996.798*'BMP P Tracking Table'!$AU345)),IF(SUM('BMP P Tracking Table'!$AQ345:$AT345)=0,'BMP P Tracking Table'!$AU345/(-3630*'BMP P Tracking Table'!$AO345),(-(3630*'BMP P Tracking Table'!$AO345+20.691*'BMP P Tracking Table'!$AT345-216.711*'BMP P Tracking Table'!$AS345-83.853*'BMP P Tracking Table'!$AR345-42.834*'BMP P Tracking Table'!$AQ345)+SQRT((3630*'BMP P Tracking Table'!$AO345+20.691*'BMP P Tracking Table'!$AT345-216.711*'BMP P Tracking Table'!$AS345-83.853*'BMP P Tracking Table'!$AR345-42.834*'BMP P Tracking Table'!$AQ345)^2-(4*(149.919*'BMP P Tracking Table'!$AQ345+236.676*'BMP P Tracking Table'!$AR345+726*'BMP P Tracking Table'!$AS345+996.798*'BMP P Tracking Table'!$AT345)*-'BMP P Tracking Table'!$AW345)))/(2*(149.919*'BMP P Tracking Table'!$AQ345+236.676*'BMP P Tracking Table'!$AR345+726*'BMP P Tracking Table'!$AS345+996.798*'BMP P Tracking Table'!$AT345))))),MIN(2,IF('BMP P Tracking Table'!$AP345="Total Pervious",(-(3630*'BMP P Tracking Table'!$U345+20.691*'BMP P Tracking Table'!$AA345)+SQRT((3630*'BMP P Tracking Table'!$U345+20.691*'BMP P Tracking Table'!$AA345)^2-(4*(996.798*'BMP P Tracking Table'!$AA345)*-'BMP P Tracking Table'!$AW345)))/(2*(996.798*'BMP P Tracking Table'!$AA345)),IF(SUM('BMP P Tracking Table'!$W345:$Z345)=0,'BMP P Tracking Table'!$AW345/(-3630*'BMP P Tracking Table'!$U345),(-(3630*'BMP P Tracking Table'!$U345+20.691*'BMP P Tracking Table'!$Z345-216.711*'BMP P Tracking Table'!$Y345-83.853*'BMP P Tracking Table'!$X345-42.834*'BMP P Tracking Table'!$W345)+SQRT((3630*'BMP P Tracking Table'!$U345+20.691*'BMP P Tracking Table'!$Z345-216.711*'BMP P Tracking Table'!$Y345-83.853*'BMP P Tracking Table'!$X345-42.834*'BMP P Tracking Table'!$W345)^2-(4*(149.919*'BMP P Tracking Table'!$W345+236.676*'BMP P Tracking Table'!$X345+726*'BMP P Tracking Table'!$Y345+996.798*'BMP P Tracking Table'!$Z345)*-'BMP P Tracking Table'!$AW345)))/(2*(149.919*'BMP P Tracking Table'!$W345+236.676*'BMP P Tracking Table'!$X345+726*'BMP P Tracking Table'!$Y345+996.798*'BMP P Tracking Table'!$Z345)))))),"")</f>
        <v/>
      </c>
      <c r="BA345" s="101" t="str">
        <f>IFERROR((VLOOKUP(CONCATENATE('BMP P Tracking Table'!$AV345," ",'BMP P Tracking Table'!$AX345),'Performance Curves'!$C$1:$L$45,MATCH('BMP P Tracking Table'!$AZ345,'Performance Curves'!$E$1:$L$1,1)+2,FALSE)-VLOOKUP(CONCATENATE('BMP P Tracking Table'!$AV345," ",'BMP P Tracking Table'!$AX345),'Performance Curves'!$C$1:$L$45,MATCH('BMP P Tracking Table'!$AZ345,'Performance Curves'!$E$1:$L$1,1)+1,FALSE)),"")</f>
        <v/>
      </c>
      <c r="BB345" s="101" t="str">
        <f>IFERROR(('BMP P Tracking Table'!$AZ345-INDEX('Performance Curves'!$E$1:$L$1,1,MATCH('BMP P Tracking Table'!$AZ345,'Performance Curves'!$E$1:$L$1,1)))/(INDEX('Performance Curves'!$E$1:$L$1,1,MATCH('BMP P Tracking Table'!$AZ345,'Performance Curves'!$E$1:$L$1,1)+1)-INDEX('Performance Curves'!$E$1:$L$1,1,MATCH('BMP P Tracking Table'!$AZ345,'Performance Curves'!$E$1:$L$1,1))),"")</f>
        <v/>
      </c>
      <c r="BC345" s="102" t="str">
        <f>IFERROR(IF('BMP P Tracking Table'!$AZ345=2,VLOOKUP(CONCATENATE('BMP P Tracking Table'!$AV345," ",'BMP P Tracking Table'!$AX345),'Performance Curves'!$C$1:$L$44,MATCH('BMP P Tracking Table'!$AZ345,'Performance Curves'!$E$1:$L$1,1)+1,FALSE),'BMP P Tracking Table'!$BA345*'BMP P Tracking Table'!$BB345+VLOOKUP(CONCATENATE('BMP P Tracking Table'!$AV345," ",'BMP P Tracking Table'!$AX345),'Performance Curves'!$C$1:$L$44,MATCH('BMP P Tracking Table'!$AZ345,'Performance Curves'!$E$1:$L$1,1)+1,FALSE)),"")</f>
        <v/>
      </c>
      <c r="BD345" s="101" t="str">
        <f>IFERROR('BMP P Tracking Table'!$BC345*'BMP P Tracking Table'!$AY345,"")</f>
        <v/>
      </c>
      <c r="BE345" s="96"/>
      <c r="BF345" s="37">
        <f t="shared" si="21"/>
        <v>0</v>
      </c>
    </row>
    <row r="346" spans="1:58" x14ac:dyDescent="0.3">
      <c r="A346" s="64"/>
      <c r="B346" s="64"/>
      <c r="C346" s="64"/>
      <c r="D346" s="64"/>
      <c r="E346" s="93"/>
      <c r="F346" s="93"/>
      <c r="G346" s="64"/>
      <c r="H346" s="64"/>
      <c r="I346" s="64"/>
      <c r="J346" s="94"/>
      <c r="K346" s="64"/>
      <c r="L346" s="64"/>
      <c r="M346" s="64"/>
      <c r="N346" s="64"/>
      <c r="O346" s="64"/>
      <c r="P346" s="64"/>
      <c r="Q346" s="64" t="str">
        <f>IFERROR(VLOOKUP('BMP P Tracking Table'!$P346,Dropdowns!$C$2:$E$15,3,FALSE),"")</f>
        <v/>
      </c>
      <c r="R346" s="64" t="str">
        <f>IFERROR(VLOOKUP('BMP P Tracking Table'!$Q346,Dropdowns!$P$3:$Q$23,2,FALSE),"")</f>
        <v/>
      </c>
      <c r="S346" s="64"/>
      <c r="T346" s="64"/>
      <c r="U346" s="64"/>
      <c r="V346" s="64"/>
      <c r="W346" s="64"/>
      <c r="X346" s="64"/>
      <c r="Y346" s="64"/>
      <c r="Z346" s="64"/>
      <c r="AA346" s="64"/>
      <c r="AB346" s="95"/>
      <c r="AC346" s="64"/>
      <c r="AD346" s="101" t="str">
        <f>IFERROR('BMP P Tracking Table'!$U346*VLOOKUP('BMP P Tracking Table'!$Q346,'Loading Rates'!$B$1:$L$24,4,FALSE)+IF('BMP P Tracking Table'!$V346="By HSG",'BMP P Tracking Table'!$W346*VLOOKUP('BMP P Tracking Table'!$Q346,'Loading Rates'!$B$1:$L$24,6,FALSE)+'BMP P Tracking Table'!$X346*VLOOKUP('BMP P Tracking Table'!$Q346,'Loading Rates'!$B$1:$L$24,7,FALSE)+'BMP P Tracking Table'!$Y346*VLOOKUP('BMP P Tracking Table'!$Q346,'Loading Rates'!$B$1:$L$24,8,FALSE)+'BMP P Tracking Table'!$Z346*VLOOKUP('BMP P Tracking Table'!$Q346,'Loading Rates'!$B$1:$L$24,9,FALSE),'BMP P Tracking Table'!$AA346*VLOOKUP('BMP P Tracking Table'!$Q346,'Loading Rates'!$B$1:$L$24,10,FALSE)),"")</f>
        <v/>
      </c>
      <c r="AE346" s="101" t="str">
        <f>IFERROR(MIN(2,IF('BMP P Tracking Table'!$V346="Total Pervious",(-(3630*'BMP P Tracking Table'!$U346+20.691*'BMP P Tracking Table'!$AA346)+SQRT((3630*'BMP P Tracking Table'!$U346+20.691*'BMP P Tracking Table'!$AA346)^2-(4*(996.798*'BMP P Tracking Table'!$AA346)*-'BMP P Tracking Table'!$AB346)))/(2*(996.798*'BMP P Tracking Table'!$AA346)),IF(SUM('BMP P Tracking Table'!$W346:$Z346)=0,'BMP P Tracking Table'!$AB346/(-3630*'BMP P Tracking Table'!$U346),(-(3630*'BMP P Tracking Table'!$U346+20.691*'BMP P Tracking Table'!$Z346-216.711*'BMP P Tracking Table'!$Y346-83.853*'BMP P Tracking Table'!$X346-42.834*'BMP P Tracking Table'!$W346)+SQRT((3630*'BMP P Tracking Table'!$U346+20.691*'BMP P Tracking Table'!$Z346-216.711*'BMP P Tracking Table'!$Y346-83.853*'BMP P Tracking Table'!$X346-42.834*'BMP P Tracking Table'!$W346)^2-(4*(149.919*'BMP P Tracking Table'!$W346+236.676*'BMP P Tracking Table'!$X346+726*'BMP P Tracking Table'!$Y346+996.798*'BMP P Tracking Table'!$Z346)*-'BMP P Tracking Table'!$AB346)))/(2*(149.919*'BMP P Tracking Table'!$W346+236.676*'BMP P Tracking Table'!$X346+726*'BMP P Tracking Table'!$Y346+996.798*'BMP P Tracking Table'!$Z346))))),"")</f>
        <v/>
      </c>
      <c r="AF346" s="101" t="str">
        <f>IFERROR((VLOOKUP(CONCATENATE('BMP P Tracking Table'!$T346," ",'BMP P Tracking Table'!$AC346),'Performance Curves'!$C$1:$L$45,MATCH('BMP P Tracking Table'!$AE346,'Performance Curves'!$E$1:$L$1,1)+2,FALSE)-VLOOKUP(CONCATENATE('BMP P Tracking Table'!$T346," ",'BMP P Tracking Table'!$AC346),'Performance Curves'!$C$1:$L$45,MATCH('BMP P Tracking Table'!$AE346,'Performance Curves'!$E$1:$L$1,1)+1,FALSE)),"")</f>
        <v/>
      </c>
      <c r="AG346" s="101" t="str">
        <f>IFERROR(('BMP P Tracking Table'!$AE346-INDEX('Performance Curves'!$E$1:$L$1,1,MATCH('BMP P Tracking Table'!$AE346,'Performance Curves'!$E$1:$L$1,1)))/(INDEX('Performance Curves'!$E$1:$L$1,1,MATCH('BMP P Tracking Table'!$AE346,'Performance Curves'!$E$1:$L$1,1)+1)-INDEX('Performance Curves'!$E$1:$L$1,1,MATCH('BMP P Tracking Table'!$AE346,'Performance Curves'!$E$1:$L$1,1))),"")</f>
        <v/>
      </c>
      <c r="AH346" s="102" t="str">
        <f>IFERROR(IF('BMP P Tracking Table'!$AE346=2,VLOOKUP(CONCATENATE('BMP P Tracking Table'!$T346," ",'BMP P Tracking Table'!$AC346),'Performance Curves'!$C$1:$L$45,MATCH('BMP P Tracking Table'!$AE346,'Performance Curves'!$E$1:$L$1,1)+1,FALSE),'BMP P Tracking Table'!$AF346*'BMP P Tracking Table'!$AG346+VLOOKUP(CONCATENATE('BMP P Tracking Table'!$T346," ",'BMP P Tracking Table'!$AC346),'Performance Curves'!$C$1:$L$45,MATCH('BMP P Tracking Table'!$AE346,'Performance Curves'!$E$1:$L$1,1)+1,FALSE)),"")</f>
        <v/>
      </c>
      <c r="AI346" s="101" t="str">
        <f>IFERROR('BMP P Tracking Table'!$AH346*'BMP P Tracking Table'!$AD346,"")</f>
        <v/>
      </c>
      <c r="AJ346" s="64"/>
      <c r="AK346" s="96"/>
      <c r="AL346" s="96"/>
      <c r="AM346" s="63"/>
      <c r="AN346" s="99" t="str">
        <f t="shared" ref="AN346:AN409" si="22">IF(AK346="Yes",IF(BF346&gt;0,IF(ISBLANK(AJ346),AI346,AJ346)-IF(ISBLANK(BE346),BD346,BE346),"Enter Info --&gt;"),IF(ISBLANK(AJ346),AI346,AJ346))</f>
        <v/>
      </c>
      <c r="AO346" s="96"/>
      <c r="AP346" s="96"/>
      <c r="AQ346" s="96"/>
      <c r="AR346" s="96"/>
      <c r="AS346" s="96"/>
      <c r="AT346" s="96"/>
      <c r="AU346" s="96"/>
      <c r="AV346" s="64"/>
      <c r="AW346" s="97"/>
      <c r="AX346" s="97"/>
      <c r="AY346" s="101" t="str">
        <f>IF('BMP P Tracking Table'!$AK346="Yes",IF('BMP P Tracking Table'!$AL346="No",'BMP P Tracking Table'!$U346*VLOOKUP('BMP P Tracking Table'!$Q346,'Loading Rates'!$B$1:$L$24,4,FALSE)+IF('BMP P Tracking Table'!$V346="By HSG",'BMP P Tracking Table'!$W346*VLOOKUP('BMP P Tracking Table'!$Q346,'Loading Rates'!$B$1:$L$24,6,FALSE)+'BMP P Tracking Table'!$X346*VLOOKUP('BMP P Tracking Table'!$Q346,'Loading Rates'!$B$1:$L$24,7,FALSE)+'BMP P Tracking Table'!$Y346*VLOOKUP('BMP P Tracking Table'!$Q346,'Loading Rates'!$B$1:$L$24,8,FALSE)+'BMP P Tracking Table'!$Z346*VLOOKUP('BMP P Tracking Table'!$Q346,'Loading Rates'!$B$1:$L$24,9,FALSE),'BMP P Tracking Table'!$AA346*VLOOKUP('BMP P Tracking Table'!$Q346,'Loading Rates'!$B$1:$L$24,10,FALSE)),'BMP P Tracking Table'!$AO346*VLOOKUP('BMP P Tracking Table'!$Q346,'Loading Rates'!$B$1:$L$24,4,FALSE)+IF('BMP P Tracking Table'!$AP346="By HSG",'BMP P Tracking Table'!$AQ346*VLOOKUP('BMP P Tracking Table'!$Q346,'Loading Rates'!$B$1:$L$24,6,FALSE)+'BMP P Tracking Table'!$AR346*VLOOKUP('BMP P Tracking Table'!$Q346,'Loading Rates'!$B$1:$L$24,7,FALSE)+'BMP P Tracking Table'!$AS346*VLOOKUP('BMP P Tracking Table'!$Q346,'Loading Rates'!$B$1:$L$24,8,FALSE)+'BMP P Tracking Table'!$AT346*VLOOKUP('BMP P Tracking Table'!$Q346,'Loading Rates'!$B$1:$L$24,9,FALSE),'BMP P Tracking Table'!$AU346*VLOOKUP('BMP P Tracking Table'!$Q346,'Loading Rates'!$B$1:$L$24,10,FALSE))),"")</f>
        <v/>
      </c>
      <c r="AZ346" s="101" t="str">
        <f>IFERROR(IF('BMP P Tracking Table'!$AL346="Yes",MIN(2,IF('BMP P Tracking Table'!$AP346="Total Pervious",(-(3630*'BMP P Tracking Table'!$AO346+20.691*'BMP P Tracking Table'!$AU346)+SQRT((3630*'BMP P Tracking Table'!$AO346+20.691*'BMP P Tracking Table'!$AU346)^2-(4*(996.798*'BMP P Tracking Table'!$AU346)*-'BMP P Tracking Table'!$AW346)))/(2*(996.798*'BMP P Tracking Table'!$AU346)),IF(SUM('BMP P Tracking Table'!$AQ346:$AT346)=0,'BMP P Tracking Table'!$AU346/(-3630*'BMP P Tracking Table'!$AO346),(-(3630*'BMP P Tracking Table'!$AO346+20.691*'BMP P Tracking Table'!$AT346-216.711*'BMP P Tracking Table'!$AS346-83.853*'BMP P Tracking Table'!$AR346-42.834*'BMP P Tracking Table'!$AQ346)+SQRT((3630*'BMP P Tracking Table'!$AO346+20.691*'BMP P Tracking Table'!$AT346-216.711*'BMP P Tracking Table'!$AS346-83.853*'BMP P Tracking Table'!$AR346-42.834*'BMP P Tracking Table'!$AQ346)^2-(4*(149.919*'BMP P Tracking Table'!$AQ346+236.676*'BMP P Tracking Table'!$AR346+726*'BMP P Tracking Table'!$AS346+996.798*'BMP P Tracking Table'!$AT346)*-'BMP P Tracking Table'!$AW346)))/(2*(149.919*'BMP P Tracking Table'!$AQ346+236.676*'BMP P Tracking Table'!$AR346+726*'BMP P Tracking Table'!$AS346+996.798*'BMP P Tracking Table'!$AT346))))),MIN(2,IF('BMP P Tracking Table'!$AP346="Total Pervious",(-(3630*'BMP P Tracking Table'!$U346+20.691*'BMP P Tracking Table'!$AA346)+SQRT((3630*'BMP P Tracking Table'!$U346+20.691*'BMP P Tracking Table'!$AA346)^2-(4*(996.798*'BMP P Tracking Table'!$AA346)*-'BMP P Tracking Table'!$AW346)))/(2*(996.798*'BMP P Tracking Table'!$AA346)),IF(SUM('BMP P Tracking Table'!$W346:$Z346)=0,'BMP P Tracking Table'!$AW346/(-3630*'BMP P Tracking Table'!$U346),(-(3630*'BMP P Tracking Table'!$U346+20.691*'BMP P Tracking Table'!$Z346-216.711*'BMP P Tracking Table'!$Y346-83.853*'BMP P Tracking Table'!$X346-42.834*'BMP P Tracking Table'!$W346)+SQRT((3630*'BMP P Tracking Table'!$U346+20.691*'BMP P Tracking Table'!$Z346-216.711*'BMP P Tracking Table'!$Y346-83.853*'BMP P Tracking Table'!$X346-42.834*'BMP P Tracking Table'!$W346)^2-(4*(149.919*'BMP P Tracking Table'!$W346+236.676*'BMP P Tracking Table'!$X346+726*'BMP P Tracking Table'!$Y346+996.798*'BMP P Tracking Table'!$Z346)*-'BMP P Tracking Table'!$AW346)))/(2*(149.919*'BMP P Tracking Table'!$W346+236.676*'BMP P Tracking Table'!$X346+726*'BMP P Tracking Table'!$Y346+996.798*'BMP P Tracking Table'!$Z346)))))),"")</f>
        <v/>
      </c>
      <c r="BA346" s="101" t="str">
        <f>IFERROR((VLOOKUP(CONCATENATE('BMP P Tracking Table'!$AV346," ",'BMP P Tracking Table'!$AX346),'Performance Curves'!$C$1:$L$45,MATCH('BMP P Tracking Table'!$AZ346,'Performance Curves'!$E$1:$L$1,1)+2,FALSE)-VLOOKUP(CONCATENATE('BMP P Tracking Table'!$AV346," ",'BMP P Tracking Table'!$AX346),'Performance Curves'!$C$1:$L$45,MATCH('BMP P Tracking Table'!$AZ346,'Performance Curves'!$E$1:$L$1,1)+1,FALSE)),"")</f>
        <v/>
      </c>
      <c r="BB346" s="101" t="str">
        <f>IFERROR(('BMP P Tracking Table'!$AZ346-INDEX('Performance Curves'!$E$1:$L$1,1,MATCH('BMP P Tracking Table'!$AZ346,'Performance Curves'!$E$1:$L$1,1)))/(INDEX('Performance Curves'!$E$1:$L$1,1,MATCH('BMP P Tracking Table'!$AZ346,'Performance Curves'!$E$1:$L$1,1)+1)-INDEX('Performance Curves'!$E$1:$L$1,1,MATCH('BMP P Tracking Table'!$AZ346,'Performance Curves'!$E$1:$L$1,1))),"")</f>
        <v/>
      </c>
      <c r="BC346" s="102" t="str">
        <f>IFERROR(IF('BMP P Tracking Table'!$AZ346=2,VLOOKUP(CONCATENATE('BMP P Tracking Table'!$AV346," ",'BMP P Tracking Table'!$AX346),'Performance Curves'!$C$1:$L$44,MATCH('BMP P Tracking Table'!$AZ346,'Performance Curves'!$E$1:$L$1,1)+1,FALSE),'BMP P Tracking Table'!$BA346*'BMP P Tracking Table'!$BB346+VLOOKUP(CONCATENATE('BMP P Tracking Table'!$AV346," ",'BMP P Tracking Table'!$AX346),'Performance Curves'!$C$1:$L$44,MATCH('BMP P Tracking Table'!$AZ346,'Performance Curves'!$E$1:$L$1,1)+1,FALSE)),"")</f>
        <v/>
      </c>
      <c r="BD346" s="101" t="str">
        <f>IFERROR('BMP P Tracking Table'!$BC346*'BMP P Tracking Table'!$AY346,"")</f>
        <v/>
      </c>
      <c r="BE346" s="96"/>
      <c r="BF346" s="37">
        <f t="shared" si="21"/>
        <v>0</v>
      </c>
    </row>
    <row r="347" spans="1:58" x14ac:dyDescent="0.3">
      <c r="A347" s="64"/>
      <c r="B347" s="64"/>
      <c r="C347" s="64"/>
      <c r="D347" s="64"/>
      <c r="E347" s="93"/>
      <c r="F347" s="93"/>
      <c r="G347" s="64"/>
      <c r="H347" s="64"/>
      <c r="I347" s="64"/>
      <c r="J347" s="94"/>
      <c r="K347" s="64"/>
      <c r="L347" s="64"/>
      <c r="M347" s="64"/>
      <c r="N347" s="64"/>
      <c r="O347" s="64"/>
      <c r="P347" s="64"/>
      <c r="Q347" s="64" t="str">
        <f>IFERROR(VLOOKUP('BMP P Tracking Table'!$P347,Dropdowns!$C$2:$E$15,3,FALSE),"")</f>
        <v/>
      </c>
      <c r="R347" s="64" t="str">
        <f>IFERROR(VLOOKUP('BMP P Tracking Table'!$Q347,Dropdowns!$P$3:$Q$23,2,FALSE),"")</f>
        <v/>
      </c>
      <c r="S347" s="64"/>
      <c r="T347" s="64"/>
      <c r="U347" s="64"/>
      <c r="V347" s="64"/>
      <c r="W347" s="64"/>
      <c r="X347" s="64"/>
      <c r="Y347" s="64"/>
      <c r="Z347" s="64"/>
      <c r="AA347" s="64"/>
      <c r="AB347" s="95"/>
      <c r="AC347" s="64"/>
      <c r="AD347" s="101" t="str">
        <f>IFERROR('BMP P Tracking Table'!$U347*VLOOKUP('BMP P Tracking Table'!$Q347,'Loading Rates'!$B$1:$L$24,4,FALSE)+IF('BMP P Tracking Table'!$V347="By HSG",'BMP P Tracking Table'!$W347*VLOOKUP('BMP P Tracking Table'!$Q347,'Loading Rates'!$B$1:$L$24,6,FALSE)+'BMP P Tracking Table'!$X347*VLOOKUP('BMP P Tracking Table'!$Q347,'Loading Rates'!$B$1:$L$24,7,FALSE)+'BMP P Tracking Table'!$Y347*VLOOKUP('BMP P Tracking Table'!$Q347,'Loading Rates'!$B$1:$L$24,8,FALSE)+'BMP P Tracking Table'!$Z347*VLOOKUP('BMP P Tracking Table'!$Q347,'Loading Rates'!$B$1:$L$24,9,FALSE),'BMP P Tracking Table'!$AA347*VLOOKUP('BMP P Tracking Table'!$Q347,'Loading Rates'!$B$1:$L$24,10,FALSE)),"")</f>
        <v/>
      </c>
      <c r="AE347" s="101" t="str">
        <f>IFERROR(MIN(2,IF('BMP P Tracking Table'!$V347="Total Pervious",(-(3630*'BMP P Tracking Table'!$U347+20.691*'BMP P Tracking Table'!$AA347)+SQRT((3630*'BMP P Tracking Table'!$U347+20.691*'BMP P Tracking Table'!$AA347)^2-(4*(996.798*'BMP P Tracking Table'!$AA347)*-'BMP P Tracking Table'!$AB347)))/(2*(996.798*'BMP P Tracking Table'!$AA347)),IF(SUM('BMP P Tracking Table'!$W347:$Z347)=0,'BMP P Tracking Table'!$AB347/(-3630*'BMP P Tracking Table'!$U347),(-(3630*'BMP P Tracking Table'!$U347+20.691*'BMP P Tracking Table'!$Z347-216.711*'BMP P Tracking Table'!$Y347-83.853*'BMP P Tracking Table'!$X347-42.834*'BMP P Tracking Table'!$W347)+SQRT((3630*'BMP P Tracking Table'!$U347+20.691*'BMP P Tracking Table'!$Z347-216.711*'BMP P Tracking Table'!$Y347-83.853*'BMP P Tracking Table'!$X347-42.834*'BMP P Tracking Table'!$W347)^2-(4*(149.919*'BMP P Tracking Table'!$W347+236.676*'BMP P Tracking Table'!$X347+726*'BMP P Tracking Table'!$Y347+996.798*'BMP P Tracking Table'!$Z347)*-'BMP P Tracking Table'!$AB347)))/(2*(149.919*'BMP P Tracking Table'!$W347+236.676*'BMP P Tracking Table'!$X347+726*'BMP P Tracking Table'!$Y347+996.798*'BMP P Tracking Table'!$Z347))))),"")</f>
        <v/>
      </c>
      <c r="AF347" s="101" t="str">
        <f>IFERROR((VLOOKUP(CONCATENATE('BMP P Tracking Table'!$T347," ",'BMP P Tracking Table'!$AC347),'Performance Curves'!$C$1:$L$45,MATCH('BMP P Tracking Table'!$AE347,'Performance Curves'!$E$1:$L$1,1)+2,FALSE)-VLOOKUP(CONCATENATE('BMP P Tracking Table'!$T347," ",'BMP P Tracking Table'!$AC347),'Performance Curves'!$C$1:$L$45,MATCH('BMP P Tracking Table'!$AE347,'Performance Curves'!$E$1:$L$1,1)+1,FALSE)),"")</f>
        <v/>
      </c>
      <c r="AG347" s="101" t="str">
        <f>IFERROR(('BMP P Tracking Table'!$AE347-INDEX('Performance Curves'!$E$1:$L$1,1,MATCH('BMP P Tracking Table'!$AE347,'Performance Curves'!$E$1:$L$1,1)))/(INDEX('Performance Curves'!$E$1:$L$1,1,MATCH('BMP P Tracking Table'!$AE347,'Performance Curves'!$E$1:$L$1,1)+1)-INDEX('Performance Curves'!$E$1:$L$1,1,MATCH('BMP P Tracking Table'!$AE347,'Performance Curves'!$E$1:$L$1,1))),"")</f>
        <v/>
      </c>
      <c r="AH347" s="102" t="str">
        <f>IFERROR(IF('BMP P Tracking Table'!$AE347=2,VLOOKUP(CONCATENATE('BMP P Tracking Table'!$T347," ",'BMP P Tracking Table'!$AC347),'Performance Curves'!$C$1:$L$45,MATCH('BMP P Tracking Table'!$AE347,'Performance Curves'!$E$1:$L$1,1)+1,FALSE),'BMP P Tracking Table'!$AF347*'BMP P Tracking Table'!$AG347+VLOOKUP(CONCATENATE('BMP P Tracking Table'!$T347," ",'BMP P Tracking Table'!$AC347),'Performance Curves'!$C$1:$L$45,MATCH('BMP P Tracking Table'!$AE347,'Performance Curves'!$E$1:$L$1,1)+1,FALSE)),"")</f>
        <v/>
      </c>
      <c r="AI347" s="101" t="str">
        <f>IFERROR('BMP P Tracking Table'!$AH347*'BMP P Tracking Table'!$AD347,"")</f>
        <v/>
      </c>
      <c r="AJ347" s="64"/>
      <c r="AK347" s="96"/>
      <c r="AL347" s="96"/>
      <c r="AM347" s="63"/>
      <c r="AN347" s="99" t="str">
        <f t="shared" si="22"/>
        <v/>
      </c>
      <c r="AO347" s="96"/>
      <c r="AP347" s="96"/>
      <c r="AQ347" s="96"/>
      <c r="AR347" s="96"/>
      <c r="AS347" s="96"/>
      <c r="AT347" s="96"/>
      <c r="AU347" s="96"/>
      <c r="AV347" s="64"/>
      <c r="AW347" s="97"/>
      <c r="AX347" s="97"/>
      <c r="AY347" s="101" t="str">
        <f>IF('BMP P Tracking Table'!$AK347="Yes",IF('BMP P Tracking Table'!$AL347="No",'BMP P Tracking Table'!$U347*VLOOKUP('BMP P Tracking Table'!$Q347,'Loading Rates'!$B$1:$L$24,4,FALSE)+IF('BMP P Tracking Table'!$V347="By HSG",'BMP P Tracking Table'!$W347*VLOOKUP('BMP P Tracking Table'!$Q347,'Loading Rates'!$B$1:$L$24,6,FALSE)+'BMP P Tracking Table'!$X347*VLOOKUP('BMP P Tracking Table'!$Q347,'Loading Rates'!$B$1:$L$24,7,FALSE)+'BMP P Tracking Table'!$Y347*VLOOKUP('BMP P Tracking Table'!$Q347,'Loading Rates'!$B$1:$L$24,8,FALSE)+'BMP P Tracking Table'!$Z347*VLOOKUP('BMP P Tracking Table'!$Q347,'Loading Rates'!$B$1:$L$24,9,FALSE),'BMP P Tracking Table'!$AA347*VLOOKUP('BMP P Tracking Table'!$Q347,'Loading Rates'!$B$1:$L$24,10,FALSE)),'BMP P Tracking Table'!$AO347*VLOOKUP('BMP P Tracking Table'!$Q347,'Loading Rates'!$B$1:$L$24,4,FALSE)+IF('BMP P Tracking Table'!$AP347="By HSG",'BMP P Tracking Table'!$AQ347*VLOOKUP('BMP P Tracking Table'!$Q347,'Loading Rates'!$B$1:$L$24,6,FALSE)+'BMP P Tracking Table'!$AR347*VLOOKUP('BMP P Tracking Table'!$Q347,'Loading Rates'!$B$1:$L$24,7,FALSE)+'BMP P Tracking Table'!$AS347*VLOOKUP('BMP P Tracking Table'!$Q347,'Loading Rates'!$B$1:$L$24,8,FALSE)+'BMP P Tracking Table'!$AT347*VLOOKUP('BMP P Tracking Table'!$Q347,'Loading Rates'!$B$1:$L$24,9,FALSE),'BMP P Tracking Table'!$AU347*VLOOKUP('BMP P Tracking Table'!$Q347,'Loading Rates'!$B$1:$L$24,10,FALSE))),"")</f>
        <v/>
      </c>
      <c r="AZ347" s="101" t="str">
        <f>IFERROR(IF('BMP P Tracking Table'!$AL347="Yes",MIN(2,IF('BMP P Tracking Table'!$AP347="Total Pervious",(-(3630*'BMP P Tracking Table'!$AO347+20.691*'BMP P Tracking Table'!$AU347)+SQRT((3630*'BMP P Tracking Table'!$AO347+20.691*'BMP P Tracking Table'!$AU347)^2-(4*(996.798*'BMP P Tracking Table'!$AU347)*-'BMP P Tracking Table'!$AW347)))/(2*(996.798*'BMP P Tracking Table'!$AU347)),IF(SUM('BMP P Tracking Table'!$AQ347:$AT347)=0,'BMP P Tracking Table'!$AU347/(-3630*'BMP P Tracking Table'!$AO347),(-(3630*'BMP P Tracking Table'!$AO347+20.691*'BMP P Tracking Table'!$AT347-216.711*'BMP P Tracking Table'!$AS347-83.853*'BMP P Tracking Table'!$AR347-42.834*'BMP P Tracking Table'!$AQ347)+SQRT((3630*'BMP P Tracking Table'!$AO347+20.691*'BMP P Tracking Table'!$AT347-216.711*'BMP P Tracking Table'!$AS347-83.853*'BMP P Tracking Table'!$AR347-42.834*'BMP P Tracking Table'!$AQ347)^2-(4*(149.919*'BMP P Tracking Table'!$AQ347+236.676*'BMP P Tracking Table'!$AR347+726*'BMP P Tracking Table'!$AS347+996.798*'BMP P Tracking Table'!$AT347)*-'BMP P Tracking Table'!$AW347)))/(2*(149.919*'BMP P Tracking Table'!$AQ347+236.676*'BMP P Tracking Table'!$AR347+726*'BMP P Tracking Table'!$AS347+996.798*'BMP P Tracking Table'!$AT347))))),MIN(2,IF('BMP P Tracking Table'!$AP347="Total Pervious",(-(3630*'BMP P Tracking Table'!$U347+20.691*'BMP P Tracking Table'!$AA347)+SQRT((3630*'BMP P Tracking Table'!$U347+20.691*'BMP P Tracking Table'!$AA347)^2-(4*(996.798*'BMP P Tracking Table'!$AA347)*-'BMP P Tracking Table'!$AW347)))/(2*(996.798*'BMP P Tracking Table'!$AA347)),IF(SUM('BMP P Tracking Table'!$W347:$Z347)=0,'BMP P Tracking Table'!$AW347/(-3630*'BMP P Tracking Table'!$U347),(-(3630*'BMP P Tracking Table'!$U347+20.691*'BMP P Tracking Table'!$Z347-216.711*'BMP P Tracking Table'!$Y347-83.853*'BMP P Tracking Table'!$X347-42.834*'BMP P Tracking Table'!$W347)+SQRT((3630*'BMP P Tracking Table'!$U347+20.691*'BMP P Tracking Table'!$Z347-216.711*'BMP P Tracking Table'!$Y347-83.853*'BMP P Tracking Table'!$X347-42.834*'BMP P Tracking Table'!$W347)^2-(4*(149.919*'BMP P Tracking Table'!$W347+236.676*'BMP P Tracking Table'!$X347+726*'BMP P Tracking Table'!$Y347+996.798*'BMP P Tracking Table'!$Z347)*-'BMP P Tracking Table'!$AW347)))/(2*(149.919*'BMP P Tracking Table'!$W347+236.676*'BMP P Tracking Table'!$X347+726*'BMP P Tracking Table'!$Y347+996.798*'BMP P Tracking Table'!$Z347)))))),"")</f>
        <v/>
      </c>
      <c r="BA347" s="101" t="str">
        <f>IFERROR((VLOOKUP(CONCATENATE('BMP P Tracking Table'!$AV347," ",'BMP P Tracking Table'!$AX347),'Performance Curves'!$C$1:$L$45,MATCH('BMP P Tracking Table'!$AZ347,'Performance Curves'!$E$1:$L$1,1)+2,FALSE)-VLOOKUP(CONCATENATE('BMP P Tracking Table'!$AV347," ",'BMP P Tracking Table'!$AX347),'Performance Curves'!$C$1:$L$45,MATCH('BMP P Tracking Table'!$AZ347,'Performance Curves'!$E$1:$L$1,1)+1,FALSE)),"")</f>
        <v/>
      </c>
      <c r="BB347" s="101" t="str">
        <f>IFERROR(('BMP P Tracking Table'!$AZ347-INDEX('Performance Curves'!$E$1:$L$1,1,MATCH('BMP P Tracking Table'!$AZ347,'Performance Curves'!$E$1:$L$1,1)))/(INDEX('Performance Curves'!$E$1:$L$1,1,MATCH('BMP P Tracking Table'!$AZ347,'Performance Curves'!$E$1:$L$1,1)+1)-INDEX('Performance Curves'!$E$1:$L$1,1,MATCH('BMP P Tracking Table'!$AZ347,'Performance Curves'!$E$1:$L$1,1))),"")</f>
        <v/>
      </c>
      <c r="BC347" s="102" t="str">
        <f>IFERROR(IF('BMP P Tracking Table'!$AZ347=2,VLOOKUP(CONCATENATE('BMP P Tracking Table'!$AV347," ",'BMP P Tracking Table'!$AX347),'Performance Curves'!$C$1:$L$44,MATCH('BMP P Tracking Table'!$AZ347,'Performance Curves'!$E$1:$L$1,1)+1,FALSE),'BMP P Tracking Table'!$BA347*'BMP P Tracking Table'!$BB347+VLOOKUP(CONCATENATE('BMP P Tracking Table'!$AV347," ",'BMP P Tracking Table'!$AX347),'Performance Curves'!$C$1:$L$44,MATCH('BMP P Tracking Table'!$AZ347,'Performance Curves'!$E$1:$L$1,1)+1,FALSE)),"")</f>
        <v/>
      </c>
      <c r="BD347" s="101" t="str">
        <f>IFERROR('BMP P Tracking Table'!$BC347*'BMP P Tracking Table'!$AY347,"")</f>
        <v/>
      </c>
      <c r="BE347" s="96"/>
      <c r="BF347" s="37">
        <f t="shared" si="21"/>
        <v>0</v>
      </c>
    </row>
    <row r="348" spans="1:58" x14ac:dyDescent="0.3">
      <c r="A348" s="64"/>
      <c r="B348" s="64"/>
      <c r="C348" s="64"/>
      <c r="D348" s="64"/>
      <c r="E348" s="93"/>
      <c r="F348" s="93"/>
      <c r="G348" s="64"/>
      <c r="H348" s="64"/>
      <c r="I348" s="64"/>
      <c r="J348" s="94"/>
      <c r="K348" s="64"/>
      <c r="L348" s="64"/>
      <c r="M348" s="64"/>
      <c r="N348" s="64"/>
      <c r="O348" s="64"/>
      <c r="P348" s="64"/>
      <c r="Q348" s="64" t="str">
        <f>IFERROR(VLOOKUP('BMP P Tracking Table'!$P348,Dropdowns!$C$2:$E$15,3,FALSE),"")</f>
        <v/>
      </c>
      <c r="R348" s="64" t="str">
        <f>IFERROR(VLOOKUP('BMP P Tracking Table'!$Q348,Dropdowns!$P$3:$Q$23,2,FALSE),"")</f>
        <v/>
      </c>
      <c r="S348" s="64"/>
      <c r="T348" s="64"/>
      <c r="U348" s="64"/>
      <c r="V348" s="64"/>
      <c r="W348" s="64"/>
      <c r="X348" s="64"/>
      <c r="Y348" s="64"/>
      <c r="Z348" s="64"/>
      <c r="AA348" s="64"/>
      <c r="AB348" s="95"/>
      <c r="AC348" s="64"/>
      <c r="AD348" s="101" t="str">
        <f>IFERROR('BMP P Tracking Table'!$U348*VLOOKUP('BMP P Tracking Table'!$Q348,'Loading Rates'!$B$1:$L$24,4,FALSE)+IF('BMP P Tracking Table'!$V348="By HSG",'BMP P Tracking Table'!$W348*VLOOKUP('BMP P Tracking Table'!$Q348,'Loading Rates'!$B$1:$L$24,6,FALSE)+'BMP P Tracking Table'!$X348*VLOOKUP('BMP P Tracking Table'!$Q348,'Loading Rates'!$B$1:$L$24,7,FALSE)+'BMP P Tracking Table'!$Y348*VLOOKUP('BMP P Tracking Table'!$Q348,'Loading Rates'!$B$1:$L$24,8,FALSE)+'BMP P Tracking Table'!$Z348*VLOOKUP('BMP P Tracking Table'!$Q348,'Loading Rates'!$B$1:$L$24,9,FALSE),'BMP P Tracking Table'!$AA348*VLOOKUP('BMP P Tracking Table'!$Q348,'Loading Rates'!$B$1:$L$24,10,FALSE)),"")</f>
        <v/>
      </c>
      <c r="AE348" s="101" t="str">
        <f>IFERROR(MIN(2,IF('BMP P Tracking Table'!$V348="Total Pervious",(-(3630*'BMP P Tracking Table'!$U348+20.691*'BMP P Tracking Table'!$AA348)+SQRT((3630*'BMP P Tracking Table'!$U348+20.691*'BMP P Tracking Table'!$AA348)^2-(4*(996.798*'BMP P Tracking Table'!$AA348)*-'BMP P Tracking Table'!$AB348)))/(2*(996.798*'BMP P Tracking Table'!$AA348)),IF(SUM('BMP P Tracking Table'!$W348:$Z348)=0,'BMP P Tracking Table'!$AB348/(-3630*'BMP P Tracking Table'!$U348),(-(3630*'BMP P Tracking Table'!$U348+20.691*'BMP P Tracking Table'!$Z348-216.711*'BMP P Tracking Table'!$Y348-83.853*'BMP P Tracking Table'!$X348-42.834*'BMP P Tracking Table'!$W348)+SQRT((3630*'BMP P Tracking Table'!$U348+20.691*'BMP P Tracking Table'!$Z348-216.711*'BMP P Tracking Table'!$Y348-83.853*'BMP P Tracking Table'!$X348-42.834*'BMP P Tracking Table'!$W348)^2-(4*(149.919*'BMP P Tracking Table'!$W348+236.676*'BMP P Tracking Table'!$X348+726*'BMP P Tracking Table'!$Y348+996.798*'BMP P Tracking Table'!$Z348)*-'BMP P Tracking Table'!$AB348)))/(2*(149.919*'BMP P Tracking Table'!$W348+236.676*'BMP P Tracking Table'!$X348+726*'BMP P Tracking Table'!$Y348+996.798*'BMP P Tracking Table'!$Z348))))),"")</f>
        <v/>
      </c>
      <c r="AF348" s="101" t="str">
        <f>IFERROR((VLOOKUP(CONCATENATE('BMP P Tracking Table'!$T348," ",'BMP P Tracking Table'!$AC348),'Performance Curves'!$C$1:$L$45,MATCH('BMP P Tracking Table'!$AE348,'Performance Curves'!$E$1:$L$1,1)+2,FALSE)-VLOOKUP(CONCATENATE('BMP P Tracking Table'!$T348," ",'BMP P Tracking Table'!$AC348),'Performance Curves'!$C$1:$L$45,MATCH('BMP P Tracking Table'!$AE348,'Performance Curves'!$E$1:$L$1,1)+1,FALSE)),"")</f>
        <v/>
      </c>
      <c r="AG348" s="101" t="str">
        <f>IFERROR(('BMP P Tracking Table'!$AE348-INDEX('Performance Curves'!$E$1:$L$1,1,MATCH('BMP P Tracking Table'!$AE348,'Performance Curves'!$E$1:$L$1,1)))/(INDEX('Performance Curves'!$E$1:$L$1,1,MATCH('BMP P Tracking Table'!$AE348,'Performance Curves'!$E$1:$L$1,1)+1)-INDEX('Performance Curves'!$E$1:$L$1,1,MATCH('BMP P Tracking Table'!$AE348,'Performance Curves'!$E$1:$L$1,1))),"")</f>
        <v/>
      </c>
      <c r="AH348" s="102" t="str">
        <f>IFERROR(IF('BMP P Tracking Table'!$AE348=2,VLOOKUP(CONCATENATE('BMP P Tracking Table'!$T348," ",'BMP P Tracking Table'!$AC348),'Performance Curves'!$C$1:$L$45,MATCH('BMP P Tracking Table'!$AE348,'Performance Curves'!$E$1:$L$1,1)+1,FALSE),'BMP P Tracking Table'!$AF348*'BMP P Tracking Table'!$AG348+VLOOKUP(CONCATENATE('BMP P Tracking Table'!$T348," ",'BMP P Tracking Table'!$AC348),'Performance Curves'!$C$1:$L$45,MATCH('BMP P Tracking Table'!$AE348,'Performance Curves'!$E$1:$L$1,1)+1,FALSE)),"")</f>
        <v/>
      </c>
      <c r="AI348" s="101" t="str">
        <f>IFERROR('BMP P Tracking Table'!$AH348*'BMP P Tracking Table'!$AD348,"")</f>
        <v/>
      </c>
      <c r="AJ348" s="64"/>
      <c r="AK348" s="96"/>
      <c r="AL348" s="96"/>
      <c r="AM348" s="63"/>
      <c r="AN348" s="99" t="str">
        <f t="shared" si="22"/>
        <v/>
      </c>
      <c r="AO348" s="96"/>
      <c r="AP348" s="96"/>
      <c r="AQ348" s="96"/>
      <c r="AR348" s="96"/>
      <c r="AS348" s="96"/>
      <c r="AT348" s="96"/>
      <c r="AU348" s="96"/>
      <c r="AV348" s="64"/>
      <c r="AW348" s="97"/>
      <c r="AX348" s="97"/>
      <c r="AY348" s="101" t="str">
        <f>IF('BMP P Tracking Table'!$AK348="Yes",IF('BMP P Tracking Table'!$AL348="No",'BMP P Tracking Table'!$U348*VLOOKUP('BMP P Tracking Table'!$Q348,'Loading Rates'!$B$1:$L$24,4,FALSE)+IF('BMP P Tracking Table'!$V348="By HSG",'BMP P Tracking Table'!$W348*VLOOKUP('BMP P Tracking Table'!$Q348,'Loading Rates'!$B$1:$L$24,6,FALSE)+'BMP P Tracking Table'!$X348*VLOOKUP('BMP P Tracking Table'!$Q348,'Loading Rates'!$B$1:$L$24,7,FALSE)+'BMP P Tracking Table'!$Y348*VLOOKUP('BMP P Tracking Table'!$Q348,'Loading Rates'!$B$1:$L$24,8,FALSE)+'BMP P Tracking Table'!$Z348*VLOOKUP('BMP P Tracking Table'!$Q348,'Loading Rates'!$B$1:$L$24,9,FALSE),'BMP P Tracking Table'!$AA348*VLOOKUP('BMP P Tracking Table'!$Q348,'Loading Rates'!$B$1:$L$24,10,FALSE)),'BMP P Tracking Table'!$AO348*VLOOKUP('BMP P Tracking Table'!$Q348,'Loading Rates'!$B$1:$L$24,4,FALSE)+IF('BMP P Tracking Table'!$AP348="By HSG",'BMP P Tracking Table'!$AQ348*VLOOKUP('BMP P Tracking Table'!$Q348,'Loading Rates'!$B$1:$L$24,6,FALSE)+'BMP P Tracking Table'!$AR348*VLOOKUP('BMP P Tracking Table'!$Q348,'Loading Rates'!$B$1:$L$24,7,FALSE)+'BMP P Tracking Table'!$AS348*VLOOKUP('BMP P Tracking Table'!$Q348,'Loading Rates'!$B$1:$L$24,8,FALSE)+'BMP P Tracking Table'!$AT348*VLOOKUP('BMP P Tracking Table'!$Q348,'Loading Rates'!$B$1:$L$24,9,FALSE),'BMP P Tracking Table'!$AU348*VLOOKUP('BMP P Tracking Table'!$Q348,'Loading Rates'!$B$1:$L$24,10,FALSE))),"")</f>
        <v/>
      </c>
      <c r="AZ348" s="101" t="str">
        <f>IFERROR(IF('BMP P Tracking Table'!$AL348="Yes",MIN(2,IF('BMP P Tracking Table'!$AP348="Total Pervious",(-(3630*'BMP P Tracking Table'!$AO348+20.691*'BMP P Tracking Table'!$AU348)+SQRT((3630*'BMP P Tracking Table'!$AO348+20.691*'BMP P Tracking Table'!$AU348)^2-(4*(996.798*'BMP P Tracking Table'!$AU348)*-'BMP P Tracking Table'!$AW348)))/(2*(996.798*'BMP P Tracking Table'!$AU348)),IF(SUM('BMP P Tracking Table'!$AQ348:$AT348)=0,'BMP P Tracking Table'!$AU348/(-3630*'BMP P Tracking Table'!$AO348),(-(3630*'BMP P Tracking Table'!$AO348+20.691*'BMP P Tracking Table'!$AT348-216.711*'BMP P Tracking Table'!$AS348-83.853*'BMP P Tracking Table'!$AR348-42.834*'BMP P Tracking Table'!$AQ348)+SQRT((3630*'BMP P Tracking Table'!$AO348+20.691*'BMP P Tracking Table'!$AT348-216.711*'BMP P Tracking Table'!$AS348-83.853*'BMP P Tracking Table'!$AR348-42.834*'BMP P Tracking Table'!$AQ348)^2-(4*(149.919*'BMP P Tracking Table'!$AQ348+236.676*'BMP P Tracking Table'!$AR348+726*'BMP P Tracking Table'!$AS348+996.798*'BMP P Tracking Table'!$AT348)*-'BMP P Tracking Table'!$AW348)))/(2*(149.919*'BMP P Tracking Table'!$AQ348+236.676*'BMP P Tracking Table'!$AR348+726*'BMP P Tracking Table'!$AS348+996.798*'BMP P Tracking Table'!$AT348))))),MIN(2,IF('BMP P Tracking Table'!$AP348="Total Pervious",(-(3630*'BMP P Tracking Table'!$U348+20.691*'BMP P Tracking Table'!$AA348)+SQRT((3630*'BMP P Tracking Table'!$U348+20.691*'BMP P Tracking Table'!$AA348)^2-(4*(996.798*'BMP P Tracking Table'!$AA348)*-'BMP P Tracking Table'!$AW348)))/(2*(996.798*'BMP P Tracking Table'!$AA348)),IF(SUM('BMP P Tracking Table'!$W348:$Z348)=0,'BMP P Tracking Table'!$AW348/(-3630*'BMP P Tracking Table'!$U348),(-(3630*'BMP P Tracking Table'!$U348+20.691*'BMP P Tracking Table'!$Z348-216.711*'BMP P Tracking Table'!$Y348-83.853*'BMP P Tracking Table'!$X348-42.834*'BMP P Tracking Table'!$W348)+SQRT((3630*'BMP P Tracking Table'!$U348+20.691*'BMP P Tracking Table'!$Z348-216.711*'BMP P Tracking Table'!$Y348-83.853*'BMP P Tracking Table'!$X348-42.834*'BMP P Tracking Table'!$W348)^2-(4*(149.919*'BMP P Tracking Table'!$W348+236.676*'BMP P Tracking Table'!$X348+726*'BMP P Tracking Table'!$Y348+996.798*'BMP P Tracking Table'!$Z348)*-'BMP P Tracking Table'!$AW348)))/(2*(149.919*'BMP P Tracking Table'!$W348+236.676*'BMP P Tracking Table'!$X348+726*'BMP P Tracking Table'!$Y348+996.798*'BMP P Tracking Table'!$Z348)))))),"")</f>
        <v/>
      </c>
      <c r="BA348" s="101" t="str">
        <f>IFERROR((VLOOKUP(CONCATENATE('BMP P Tracking Table'!$AV348," ",'BMP P Tracking Table'!$AX348),'Performance Curves'!$C$1:$L$45,MATCH('BMP P Tracking Table'!$AZ348,'Performance Curves'!$E$1:$L$1,1)+2,FALSE)-VLOOKUP(CONCATENATE('BMP P Tracking Table'!$AV348," ",'BMP P Tracking Table'!$AX348),'Performance Curves'!$C$1:$L$45,MATCH('BMP P Tracking Table'!$AZ348,'Performance Curves'!$E$1:$L$1,1)+1,FALSE)),"")</f>
        <v/>
      </c>
      <c r="BB348" s="101" t="str">
        <f>IFERROR(('BMP P Tracking Table'!$AZ348-INDEX('Performance Curves'!$E$1:$L$1,1,MATCH('BMP P Tracking Table'!$AZ348,'Performance Curves'!$E$1:$L$1,1)))/(INDEX('Performance Curves'!$E$1:$L$1,1,MATCH('BMP P Tracking Table'!$AZ348,'Performance Curves'!$E$1:$L$1,1)+1)-INDEX('Performance Curves'!$E$1:$L$1,1,MATCH('BMP P Tracking Table'!$AZ348,'Performance Curves'!$E$1:$L$1,1))),"")</f>
        <v/>
      </c>
      <c r="BC348" s="102" t="str">
        <f>IFERROR(IF('BMP P Tracking Table'!$AZ348=2,VLOOKUP(CONCATENATE('BMP P Tracking Table'!$AV348," ",'BMP P Tracking Table'!$AX348),'Performance Curves'!$C$1:$L$44,MATCH('BMP P Tracking Table'!$AZ348,'Performance Curves'!$E$1:$L$1,1)+1,FALSE),'BMP P Tracking Table'!$BA348*'BMP P Tracking Table'!$BB348+VLOOKUP(CONCATENATE('BMP P Tracking Table'!$AV348," ",'BMP P Tracking Table'!$AX348),'Performance Curves'!$C$1:$L$44,MATCH('BMP P Tracking Table'!$AZ348,'Performance Curves'!$E$1:$L$1,1)+1,FALSE)),"")</f>
        <v/>
      </c>
      <c r="BD348" s="101" t="str">
        <f>IFERROR('BMP P Tracking Table'!$BC348*'BMP P Tracking Table'!$AY348,"")</f>
        <v/>
      </c>
      <c r="BE348" s="96"/>
      <c r="BF348" s="37">
        <f t="shared" ref="BF348:BF411" si="23">IFERROR(BD348+BE348,0)</f>
        <v>0</v>
      </c>
    </row>
    <row r="349" spans="1:58" x14ac:dyDescent="0.3">
      <c r="A349" s="64"/>
      <c r="B349" s="64"/>
      <c r="C349" s="64"/>
      <c r="D349" s="64"/>
      <c r="E349" s="93"/>
      <c r="F349" s="93"/>
      <c r="G349" s="64"/>
      <c r="H349" s="64"/>
      <c r="I349" s="64"/>
      <c r="J349" s="94"/>
      <c r="K349" s="64"/>
      <c r="L349" s="64"/>
      <c r="M349" s="64"/>
      <c r="N349" s="64"/>
      <c r="O349" s="64"/>
      <c r="P349" s="64"/>
      <c r="Q349" s="64" t="str">
        <f>IFERROR(VLOOKUP('BMP P Tracking Table'!$P349,Dropdowns!$C$2:$E$15,3,FALSE),"")</f>
        <v/>
      </c>
      <c r="R349" s="64" t="str">
        <f>IFERROR(VLOOKUP('BMP P Tracking Table'!$Q349,Dropdowns!$P$3:$Q$23,2,FALSE),"")</f>
        <v/>
      </c>
      <c r="S349" s="64"/>
      <c r="T349" s="64"/>
      <c r="U349" s="64"/>
      <c r="V349" s="64"/>
      <c r="W349" s="64"/>
      <c r="X349" s="64"/>
      <c r="Y349" s="64"/>
      <c r="Z349" s="64"/>
      <c r="AA349" s="64"/>
      <c r="AB349" s="95"/>
      <c r="AC349" s="64"/>
      <c r="AD349" s="101" t="str">
        <f>IFERROR('BMP P Tracking Table'!$U349*VLOOKUP('BMP P Tracking Table'!$Q349,'Loading Rates'!$B$1:$L$24,4,FALSE)+IF('BMP P Tracking Table'!$V349="By HSG",'BMP P Tracking Table'!$W349*VLOOKUP('BMP P Tracking Table'!$Q349,'Loading Rates'!$B$1:$L$24,6,FALSE)+'BMP P Tracking Table'!$X349*VLOOKUP('BMP P Tracking Table'!$Q349,'Loading Rates'!$B$1:$L$24,7,FALSE)+'BMP P Tracking Table'!$Y349*VLOOKUP('BMP P Tracking Table'!$Q349,'Loading Rates'!$B$1:$L$24,8,FALSE)+'BMP P Tracking Table'!$Z349*VLOOKUP('BMP P Tracking Table'!$Q349,'Loading Rates'!$B$1:$L$24,9,FALSE),'BMP P Tracking Table'!$AA349*VLOOKUP('BMP P Tracking Table'!$Q349,'Loading Rates'!$B$1:$L$24,10,FALSE)),"")</f>
        <v/>
      </c>
      <c r="AE349" s="101" t="str">
        <f>IFERROR(MIN(2,IF('BMP P Tracking Table'!$V349="Total Pervious",(-(3630*'BMP P Tracking Table'!$U349+20.691*'BMP P Tracking Table'!$AA349)+SQRT((3630*'BMP P Tracking Table'!$U349+20.691*'BMP P Tracking Table'!$AA349)^2-(4*(996.798*'BMP P Tracking Table'!$AA349)*-'BMP P Tracking Table'!$AB349)))/(2*(996.798*'BMP P Tracking Table'!$AA349)),IF(SUM('BMP P Tracking Table'!$W349:$Z349)=0,'BMP P Tracking Table'!$AB349/(-3630*'BMP P Tracking Table'!$U349),(-(3630*'BMP P Tracking Table'!$U349+20.691*'BMP P Tracking Table'!$Z349-216.711*'BMP P Tracking Table'!$Y349-83.853*'BMP P Tracking Table'!$X349-42.834*'BMP P Tracking Table'!$W349)+SQRT((3630*'BMP P Tracking Table'!$U349+20.691*'BMP P Tracking Table'!$Z349-216.711*'BMP P Tracking Table'!$Y349-83.853*'BMP P Tracking Table'!$X349-42.834*'BMP P Tracking Table'!$W349)^2-(4*(149.919*'BMP P Tracking Table'!$W349+236.676*'BMP P Tracking Table'!$X349+726*'BMP P Tracking Table'!$Y349+996.798*'BMP P Tracking Table'!$Z349)*-'BMP P Tracking Table'!$AB349)))/(2*(149.919*'BMP P Tracking Table'!$W349+236.676*'BMP P Tracking Table'!$X349+726*'BMP P Tracking Table'!$Y349+996.798*'BMP P Tracking Table'!$Z349))))),"")</f>
        <v/>
      </c>
      <c r="AF349" s="101" t="str">
        <f>IFERROR((VLOOKUP(CONCATENATE('BMP P Tracking Table'!$T349," ",'BMP P Tracking Table'!$AC349),'Performance Curves'!$C$1:$L$45,MATCH('BMP P Tracking Table'!$AE349,'Performance Curves'!$E$1:$L$1,1)+2,FALSE)-VLOOKUP(CONCATENATE('BMP P Tracking Table'!$T349," ",'BMP P Tracking Table'!$AC349),'Performance Curves'!$C$1:$L$45,MATCH('BMP P Tracking Table'!$AE349,'Performance Curves'!$E$1:$L$1,1)+1,FALSE)),"")</f>
        <v/>
      </c>
      <c r="AG349" s="101" t="str">
        <f>IFERROR(('BMP P Tracking Table'!$AE349-INDEX('Performance Curves'!$E$1:$L$1,1,MATCH('BMP P Tracking Table'!$AE349,'Performance Curves'!$E$1:$L$1,1)))/(INDEX('Performance Curves'!$E$1:$L$1,1,MATCH('BMP P Tracking Table'!$AE349,'Performance Curves'!$E$1:$L$1,1)+1)-INDEX('Performance Curves'!$E$1:$L$1,1,MATCH('BMP P Tracking Table'!$AE349,'Performance Curves'!$E$1:$L$1,1))),"")</f>
        <v/>
      </c>
      <c r="AH349" s="102" t="str">
        <f>IFERROR(IF('BMP P Tracking Table'!$AE349=2,VLOOKUP(CONCATENATE('BMP P Tracking Table'!$T349," ",'BMP P Tracking Table'!$AC349),'Performance Curves'!$C$1:$L$45,MATCH('BMP P Tracking Table'!$AE349,'Performance Curves'!$E$1:$L$1,1)+1,FALSE),'BMP P Tracking Table'!$AF349*'BMP P Tracking Table'!$AG349+VLOOKUP(CONCATENATE('BMP P Tracking Table'!$T349," ",'BMP P Tracking Table'!$AC349),'Performance Curves'!$C$1:$L$45,MATCH('BMP P Tracking Table'!$AE349,'Performance Curves'!$E$1:$L$1,1)+1,FALSE)),"")</f>
        <v/>
      </c>
      <c r="AI349" s="101" t="str">
        <f>IFERROR('BMP P Tracking Table'!$AH349*'BMP P Tracking Table'!$AD349,"")</f>
        <v/>
      </c>
      <c r="AJ349" s="64"/>
      <c r="AK349" s="96"/>
      <c r="AL349" s="96"/>
      <c r="AM349" s="63"/>
      <c r="AN349" s="99" t="str">
        <f t="shared" si="22"/>
        <v/>
      </c>
      <c r="AO349" s="96"/>
      <c r="AP349" s="96"/>
      <c r="AQ349" s="96"/>
      <c r="AR349" s="96"/>
      <c r="AS349" s="96"/>
      <c r="AT349" s="96"/>
      <c r="AU349" s="96"/>
      <c r="AV349" s="64"/>
      <c r="AW349" s="97"/>
      <c r="AX349" s="97"/>
      <c r="AY349" s="101" t="str">
        <f>IF('BMP P Tracking Table'!$AK349="Yes",IF('BMP P Tracking Table'!$AL349="No",'BMP P Tracking Table'!$U349*VLOOKUP('BMP P Tracking Table'!$Q349,'Loading Rates'!$B$1:$L$24,4,FALSE)+IF('BMP P Tracking Table'!$V349="By HSG",'BMP P Tracking Table'!$W349*VLOOKUP('BMP P Tracking Table'!$Q349,'Loading Rates'!$B$1:$L$24,6,FALSE)+'BMP P Tracking Table'!$X349*VLOOKUP('BMP P Tracking Table'!$Q349,'Loading Rates'!$B$1:$L$24,7,FALSE)+'BMP P Tracking Table'!$Y349*VLOOKUP('BMP P Tracking Table'!$Q349,'Loading Rates'!$B$1:$L$24,8,FALSE)+'BMP P Tracking Table'!$Z349*VLOOKUP('BMP P Tracking Table'!$Q349,'Loading Rates'!$B$1:$L$24,9,FALSE),'BMP P Tracking Table'!$AA349*VLOOKUP('BMP P Tracking Table'!$Q349,'Loading Rates'!$B$1:$L$24,10,FALSE)),'BMP P Tracking Table'!$AO349*VLOOKUP('BMP P Tracking Table'!$Q349,'Loading Rates'!$B$1:$L$24,4,FALSE)+IF('BMP P Tracking Table'!$AP349="By HSG",'BMP P Tracking Table'!$AQ349*VLOOKUP('BMP P Tracking Table'!$Q349,'Loading Rates'!$B$1:$L$24,6,FALSE)+'BMP P Tracking Table'!$AR349*VLOOKUP('BMP P Tracking Table'!$Q349,'Loading Rates'!$B$1:$L$24,7,FALSE)+'BMP P Tracking Table'!$AS349*VLOOKUP('BMP P Tracking Table'!$Q349,'Loading Rates'!$B$1:$L$24,8,FALSE)+'BMP P Tracking Table'!$AT349*VLOOKUP('BMP P Tracking Table'!$Q349,'Loading Rates'!$B$1:$L$24,9,FALSE),'BMP P Tracking Table'!$AU349*VLOOKUP('BMP P Tracking Table'!$Q349,'Loading Rates'!$B$1:$L$24,10,FALSE))),"")</f>
        <v/>
      </c>
      <c r="AZ349" s="101" t="str">
        <f>IFERROR(IF('BMP P Tracking Table'!$AL349="Yes",MIN(2,IF('BMP P Tracking Table'!$AP349="Total Pervious",(-(3630*'BMP P Tracking Table'!$AO349+20.691*'BMP P Tracking Table'!$AU349)+SQRT((3630*'BMP P Tracking Table'!$AO349+20.691*'BMP P Tracking Table'!$AU349)^2-(4*(996.798*'BMP P Tracking Table'!$AU349)*-'BMP P Tracking Table'!$AW349)))/(2*(996.798*'BMP P Tracking Table'!$AU349)),IF(SUM('BMP P Tracking Table'!$AQ349:$AT349)=0,'BMP P Tracking Table'!$AU349/(-3630*'BMP P Tracking Table'!$AO349),(-(3630*'BMP P Tracking Table'!$AO349+20.691*'BMP P Tracking Table'!$AT349-216.711*'BMP P Tracking Table'!$AS349-83.853*'BMP P Tracking Table'!$AR349-42.834*'BMP P Tracking Table'!$AQ349)+SQRT((3630*'BMP P Tracking Table'!$AO349+20.691*'BMP P Tracking Table'!$AT349-216.711*'BMP P Tracking Table'!$AS349-83.853*'BMP P Tracking Table'!$AR349-42.834*'BMP P Tracking Table'!$AQ349)^2-(4*(149.919*'BMP P Tracking Table'!$AQ349+236.676*'BMP P Tracking Table'!$AR349+726*'BMP P Tracking Table'!$AS349+996.798*'BMP P Tracking Table'!$AT349)*-'BMP P Tracking Table'!$AW349)))/(2*(149.919*'BMP P Tracking Table'!$AQ349+236.676*'BMP P Tracking Table'!$AR349+726*'BMP P Tracking Table'!$AS349+996.798*'BMP P Tracking Table'!$AT349))))),MIN(2,IF('BMP P Tracking Table'!$AP349="Total Pervious",(-(3630*'BMP P Tracking Table'!$U349+20.691*'BMP P Tracking Table'!$AA349)+SQRT((3630*'BMP P Tracking Table'!$U349+20.691*'BMP P Tracking Table'!$AA349)^2-(4*(996.798*'BMP P Tracking Table'!$AA349)*-'BMP P Tracking Table'!$AW349)))/(2*(996.798*'BMP P Tracking Table'!$AA349)),IF(SUM('BMP P Tracking Table'!$W349:$Z349)=0,'BMP P Tracking Table'!$AW349/(-3630*'BMP P Tracking Table'!$U349),(-(3630*'BMP P Tracking Table'!$U349+20.691*'BMP P Tracking Table'!$Z349-216.711*'BMP P Tracking Table'!$Y349-83.853*'BMP P Tracking Table'!$X349-42.834*'BMP P Tracking Table'!$W349)+SQRT((3630*'BMP P Tracking Table'!$U349+20.691*'BMP P Tracking Table'!$Z349-216.711*'BMP P Tracking Table'!$Y349-83.853*'BMP P Tracking Table'!$X349-42.834*'BMP P Tracking Table'!$W349)^2-(4*(149.919*'BMP P Tracking Table'!$W349+236.676*'BMP P Tracking Table'!$X349+726*'BMP P Tracking Table'!$Y349+996.798*'BMP P Tracking Table'!$Z349)*-'BMP P Tracking Table'!$AW349)))/(2*(149.919*'BMP P Tracking Table'!$W349+236.676*'BMP P Tracking Table'!$X349+726*'BMP P Tracking Table'!$Y349+996.798*'BMP P Tracking Table'!$Z349)))))),"")</f>
        <v/>
      </c>
      <c r="BA349" s="101" t="str">
        <f>IFERROR((VLOOKUP(CONCATENATE('BMP P Tracking Table'!$AV349," ",'BMP P Tracking Table'!$AX349),'Performance Curves'!$C$1:$L$45,MATCH('BMP P Tracking Table'!$AZ349,'Performance Curves'!$E$1:$L$1,1)+2,FALSE)-VLOOKUP(CONCATENATE('BMP P Tracking Table'!$AV349," ",'BMP P Tracking Table'!$AX349),'Performance Curves'!$C$1:$L$45,MATCH('BMP P Tracking Table'!$AZ349,'Performance Curves'!$E$1:$L$1,1)+1,FALSE)),"")</f>
        <v/>
      </c>
      <c r="BB349" s="101" t="str">
        <f>IFERROR(('BMP P Tracking Table'!$AZ349-INDEX('Performance Curves'!$E$1:$L$1,1,MATCH('BMP P Tracking Table'!$AZ349,'Performance Curves'!$E$1:$L$1,1)))/(INDEX('Performance Curves'!$E$1:$L$1,1,MATCH('BMP P Tracking Table'!$AZ349,'Performance Curves'!$E$1:$L$1,1)+1)-INDEX('Performance Curves'!$E$1:$L$1,1,MATCH('BMP P Tracking Table'!$AZ349,'Performance Curves'!$E$1:$L$1,1))),"")</f>
        <v/>
      </c>
      <c r="BC349" s="102" t="str">
        <f>IFERROR(IF('BMP P Tracking Table'!$AZ349=2,VLOOKUP(CONCATENATE('BMP P Tracking Table'!$AV349," ",'BMP P Tracking Table'!$AX349),'Performance Curves'!$C$1:$L$44,MATCH('BMP P Tracking Table'!$AZ349,'Performance Curves'!$E$1:$L$1,1)+1,FALSE),'BMP P Tracking Table'!$BA349*'BMP P Tracking Table'!$BB349+VLOOKUP(CONCATENATE('BMP P Tracking Table'!$AV349," ",'BMP P Tracking Table'!$AX349),'Performance Curves'!$C$1:$L$44,MATCH('BMP P Tracking Table'!$AZ349,'Performance Curves'!$E$1:$L$1,1)+1,FALSE)),"")</f>
        <v/>
      </c>
      <c r="BD349" s="101" t="str">
        <f>IFERROR('BMP P Tracking Table'!$BC349*'BMP P Tracking Table'!$AY349,"")</f>
        <v/>
      </c>
      <c r="BE349" s="96"/>
      <c r="BF349" s="37">
        <f t="shared" si="23"/>
        <v>0</v>
      </c>
    </row>
    <row r="350" spans="1:58" x14ac:dyDescent="0.3">
      <c r="A350" s="64"/>
      <c r="B350" s="64"/>
      <c r="C350" s="64"/>
      <c r="D350" s="64"/>
      <c r="E350" s="93"/>
      <c r="F350" s="93"/>
      <c r="G350" s="64"/>
      <c r="H350" s="64"/>
      <c r="I350" s="64"/>
      <c r="J350" s="94"/>
      <c r="K350" s="64"/>
      <c r="L350" s="64"/>
      <c r="M350" s="64"/>
      <c r="N350" s="64"/>
      <c r="O350" s="64"/>
      <c r="P350" s="64"/>
      <c r="Q350" s="64" t="str">
        <f>IFERROR(VLOOKUP('BMP P Tracking Table'!$P350,Dropdowns!$C$2:$E$15,3,FALSE),"")</f>
        <v/>
      </c>
      <c r="R350" s="64" t="str">
        <f>IFERROR(VLOOKUP('BMP P Tracking Table'!$Q350,Dropdowns!$P$3:$Q$23,2,FALSE),"")</f>
        <v/>
      </c>
      <c r="S350" s="64"/>
      <c r="T350" s="64"/>
      <c r="U350" s="64"/>
      <c r="V350" s="64"/>
      <c r="W350" s="64"/>
      <c r="X350" s="64"/>
      <c r="Y350" s="64"/>
      <c r="Z350" s="64"/>
      <c r="AA350" s="64"/>
      <c r="AB350" s="95"/>
      <c r="AC350" s="64"/>
      <c r="AD350" s="101" t="str">
        <f>IFERROR('BMP P Tracking Table'!$U350*VLOOKUP('BMP P Tracking Table'!$Q350,'Loading Rates'!$B$1:$L$24,4,FALSE)+IF('BMP P Tracking Table'!$V350="By HSG",'BMP P Tracking Table'!$W350*VLOOKUP('BMP P Tracking Table'!$Q350,'Loading Rates'!$B$1:$L$24,6,FALSE)+'BMP P Tracking Table'!$X350*VLOOKUP('BMP P Tracking Table'!$Q350,'Loading Rates'!$B$1:$L$24,7,FALSE)+'BMP P Tracking Table'!$Y350*VLOOKUP('BMP P Tracking Table'!$Q350,'Loading Rates'!$B$1:$L$24,8,FALSE)+'BMP P Tracking Table'!$Z350*VLOOKUP('BMP P Tracking Table'!$Q350,'Loading Rates'!$B$1:$L$24,9,FALSE),'BMP P Tracking Table'!$AA350*VLOOKUP('BMP P Tracking Table'!$Q350,'Loading Rates'!$B$1:$L$24,10,FALSE)),"")</f>
        <v/>
      </c>
      <c r="AE350" s="101" t="str">
        <f>IFERROR(MIN(2,IF('BMP P Tracking Table'!$V350="Total Pervious",(-(3630*'BMP P Tracking Table'!$U350+20.691*'BMP P Tracking Table'!$AA350)+SQRT((3630*'BMP P Tracking Table'!$U350+20.691*'BMP P Tracking Table'!$AA350)^2-(4*(996.798*'BMP P Tracking Table'!$AA350)*-'BMP P Tracking Table'!$AB350)))/(2*(996.798*'BMP P Tracking Table'!$AA350)),IF(SUM('BMP P Tracking Table'!$W350:$Z350)=0,'BMP P Tracking Table'!$AB350/(-3630*'BMP P Tracking Table'!$U350),(-(3630*'BMP P Tracking Table'!$U350+20.691*'BMP P Tracking Table'!$Z350-216.711*'BMP P Tracking Table'!$Y350-83.853*'BMP P Tracking Table'!$X350-42.834*'BMP P Tracking Table'!$W350)+SQRT((3630*'BMP P Tracking Table'!$U350+20.691*'BMP P Tracking Table'!$Z350-216.711*'BMP P Tracking Table'!$Y350-83.853*'BMP P Tracking Table'!$X350-42.834*'BMP P Tracking Table'!$W350)^2-(4*(149.919*'BMP P Tracking Table'!$W350+236.676*'BMP P Tracking Table'!$X350+726*'BMP P Tracking Table'!$Y350+996.798*'BMP P Tracking Table'!$Z350)*-'BMP P Tracking Table'!$AB350)))/(2*(149.919*'BMP P Tracking Table'!$W350+236.676*'BMP P Tracking Table'!$X350+726*'BMP P Tracking Table'!$Y350+996.798*'BMP P Tracking Table'!$Z350))))),"")</f>
        <v/>
      </c>
      <c r="AF350" s="101" t="str">
        <f>IFERROR((VLOOKUP(CONCATENATE('BMP P Tracking Table'!$T350," ",'BMP P Tracking Table'!$AC350),'Performance Curves'!$C$1:$L$45,MATCH('BMP P Tracking Table'!$AE350,'Performance Curves'!$E$1:$L$1,1)+2,FALSE)-VLOOKUP(CONCATENATE('BMP P Tracking Table'!$T350," ",'BMP P Tracking Table'!$AC350),'Performance Curves'!$C$1:$L$45,MATCH('BMP P Tracking Table'!$AE350,'Performance Curves'!$E$1:$L$1,1)+1,FALSE)),"")</f>
        <v/>
      </c>
      <c r="AG350" s="101" t="str">
        <f>IFERROR(('BMP P Tracking Table'!$AE350-INDEX('Performance Curves'!$E$1:$L$1,1,MATCH('BMP P Tracking Table'!$AE350,'Performance Curves'!$E$1:$L$1,1)))/(INDEX('Performance Curves'!$E$1:$L$1,1,MATCH('BMP P Tracking Table'!$AE350,'Performance Curves'!$E$1:$L$1,1)+1)-INDEX('Performance Curves'!$E$1:$L$1,1,MATCH('BMP P Tracking Table'!$AE350,'Performance Curves'!$E$1:$L$1,1))),"")</f>
        <v/>
      </c>
      <c r="AH350" s="102" t="str">
        <f>IFERROR(IF('BMP P Tracking Table'!$AE350=2,VLOOKUP(CONCATENATE('BMP P Tracking Table'!$T350," ",'BMP P Tracking Table'!$AC350),'Performance Curves'!$C$1:$L$45,MATCH('BMP P Tracking Table'!$AE350,'Performance Curves'!$E$1:$L$1,1)+1,FALSE),'BMP P Tracking Table'!$AF350*'BMP P Tracking Table'!$AG350+VLOOKUP(CONCATENATE('BMP P Tracking Table'!$T350," ",'BMP P Tracking Table'!$AC350),'Performance Curves'!$C$1:$L$45,MATCH('BMP P Tracking Table'!$AE350,'Performance Curves'!$E$1:$L$1,1)+1,FALSE)),"")</f>
        <v/>
      </c>
      <c r="AI350" s="101" t="str">
        <f>IFERROR('BMP P Tracking Table'!$AH350*'BMP P Tracking Table'!$AD350,"")</f>
        <v/>
      </c>
      <c r="AJ350" s="64"/>
      <c r="AK350" s="96"/>
      <c r="AL350" s="96"/>
      <c r="AM350" s="63"/>
      <c r="AN350" s="99" t="str">
        <f t="shared" si="22"/>
        <v/>
      </c>
      <c r="AO350" s="96"/>
      <c r="AP350" s="96"/>
      <c r="AQ350" s="96"/>
      <c r="AR350" s="96"/>
      <c r="AS350" s="96"/>
      <c r="AT350" s="96"/>
      <c r="AU350" s="96"/>
      <c r="AV350" s="64"/>
      <c r="AW350" s="97"/>
      <c r="AX350" s="97"/>
      <c r="AY350" s="101" t="str">
        <f>IF('BMP P Tracking Table'!$AK350="Yes",IF('BMP P Tracking Table'!$AL350="No",'BMP P Tracking Table'!$U350*VLOOKUP('BMP P Tracking Table'!$Q350,'Loading Rates'!$B$1:$L$24,4,FALSE)+IF('BMP P Tracking Table'!$V350="By HSG",'BMP P Tracking Table'!$W350*VLOOKUP('BMP P Tracking Table'!$Q350,'Loading Rates'!$B$1:$L$24,6,FALSE)+'BMP P Tracking Table'!$X350*VLOOKUP('BMP P Tracking Table'!$Q350,'Loading Rates'!$B$1:$L$24,7,FALSE)+'BMP P Tracking Table'!$Y350*VLOOKUP('BMP P Tracking Table'!$Q350,'Loading Rates'!$B$1:$L$24,8,FALSE)+'BMP P Tracking Table'!$Z350*VLOOKUP('BMP P Tracking Table'!$Q350,'Loading Rates'!$B$1:$L$24,9,FALSE),'BMP P Tracking Table'!$AA350*VLOOKUP('BMP P Tracking Table'!$Q350,'Loading Rates'!$B$1:$L$24,10,FALSE)),'BMP P Tracking Table'!$AO350*VLOOKUP('BMP P Tracking Table'!$Q350,'Loading Rates'!$B$1:$L$24,4,FALSE)+IF('BMP P Tracking Table'!$AP350="By HSG",'BMP P Tracking Table'!$AQ350*VLOOKUP('BMP P Tracking Table'!$Q350,'Loading Rates'!$B$1:$L$24,6,FALSE)+'BMP P Tracking Table'!$AR350*VLOOKUP('BMP P Tracking Table'!$Q350,'Loading Rates'!$B$1:$L$24,7,FALSE)+'BMP P Tracking Table'!$AS350*VLOOKUP('BMP P Tracking Table'!$Q350,'Loading Rates'!$B$1:$L$24,8,FALSE)+'BMP P Tracking Table'!$AT350*VLOOKUP('BMP P Tracking Table'!$Q350,'Loading Rates'!$B$1:$L$24,9,FALSE),'BMP P Tracking Table'!$AU350*VLOOKUP('BMP P Tracking Table'!$Q350,'Loading Rates'!$B$1:$L$24,10,FALSE))),"")</f>
        <v/>
      </c>
      <c r="AZ350" s="101" t="str">
        <f>IFERROR(IF('BMP P Tracking Table'!$AL350="Yes",MIN(2,IF('BMP P Tracking Table'!$AP350="Total Pervious",(-(3630*'BMP P Tracking Table'!$AO350+20.691*'BMP P Tracking Table'!$AU350)+SQRT((3630*'BMP P Tracking Table'!$AO350+20.691*'BMP P Tracking Table'!$AU350)^2-(4*(996.798*'BMP P Tracking Table'!$AU350)*-'BMP P Tracking Table'!$AW350)))/(2*(996.798*'BMP P Tracking Table'!$AU350)),IF(SUM('BMP P Tracking Table'!$AQ350:$AT350)=0,'BMP P Tracking Table'!$AU350/(-3630*'BMP P Tracking Table'!$AO350),(-(3630*'BMP P Tracking Table'!$AO350+20.691*'BMP P Tracking Table'!$AT350-216.711*'BMP P Tracking Table'!$AS350-83.853*'BMP P Tracking Table'!$AR350-42.834*'BMP P Tracking Table'!$AQ350)+SQRT((3630*'BMP P Tracking Table'!$AO350+20.691*'BMP P Tracking Table'!$AT350-216.711*'BMP P Tracking Table'!$AS350-83.853*'BMP P Tracking Table'!$AR350-42.834*'BMP P Tracking Table'!$AQ350)^2-(4*(149.919*'BMP P Tracking Table'!$AQ350+236.676*'BMP P Tracking Table'!$AR350+726*'BMP P Tracking Table'!$AS350+996.798*'BMP P Tracking Table'!$AT350)*-'BMP P Tracking Table'!$AW350)))/(2*(149.919*'BMP P Tracking Table'!$AQ350+236.676*'BMP P Tracking Table'!$AR350+726*'BMP P Tracking Table'!$AS350+996.798*'BMP P Tracking Table'!$AT350))))),MIN(2,IF('BMP P Tracking Table'!$AP350="Total Pervious",(-(3630*'BMP P Tracking Table'!$U350+20.691*'BMP P Tracking Table'!$AA350)+SQRT((3630*'BMP P Tracking Table'!$U350+20.691*'BMP P Tracking Table'!$AA350)^2-(4*(996.798*'BMP P Tracking Table'!$AA350)*-'BMP P Tracking Table'!$AW350)))/(2*(996.798*'BMP P Tracking Table'!$AA350)),IF(SUM('BMP P Tracking Table'!$W350:$Z350)=0,'BMP P Tracking Table'!$AW350/(-3630*'BMP P Tracking Table'!$U350),(-(3630*'BMP P Tracking Table'!$U350+20.691*'BMP P Tracking Table'!$Z350-216.711*'BMP P Tracking Table'!$Y350-83.853*'BMP P Tracking Table'!$X350-42.834*'BMP P Tracking Table'!$W350)+SQRT((3630*'BMP P Tracking Table'!$U350+20.691*'BMP P Tracking Table'!$Z350-216.711*'BMP P Tracking Table'!$Y350-83.853*'BMP P Tracking Table'!$X350-42.834*'BMP P Tracking Table'!$W350)^2-(4*(149.919*'BMP P Tracking Table'!$W350+236.676*'BMP P Tracking Table'!$X350+726*'BMP P Tracking Table'!$Y350+996.798*'BMP P Tracking Table'!$Z350)*-'BMP P Tracking Table'!$AW350)))/(2*(149.919*'BMP P Tracking Table'!$W350+236.676*'BMP P Tracking Table'!$X350+726*'BMP P Tracking Table'!$Y350+996.798*'BMP P Tracking Table'!$Z350)))))),"")</f>
        <v/>
      </c>
      <c r="BA350" s="101" t="str">
        <f>IFERROR((VLOOKUP(CONCATENATE('BMP P Tracking Table'!$AV350," ",'BMP P Tracking Table'!$AX350),'Performance Curves'!$C$1:$L$45,MATCH('BMP P Tracking Table'!$AZ350,'Performance Curves'!$E$1:$L$1,1)+2,FALSE)-VLOOKUP(CONCATENATE('BMP P Tracking Table'!$AV350," ",'BMP P Tracking Table'!$AX350),'Performance Curves'!$C$1:$L$45,MATCH('BMP P Tracking Table'!$AZ350,'Performance Curves'!$E$1:$L$1,1)+1,FALSE)),"")</f>
        <v/>
      </c>
      <c r="BB350" s="101" t="str">
        <f>IFERROR(('BMP P Tracking Table'!$AZ350-INDEX('Performance Curves'!$E$1:$L$1,1,MATCH('BMP P Tracking Table'!$AZ350,'Performance Curves'!$E$1:$L$1,1)))/(INDEX('Performance Curves'!$E$1:$L$1,1,MATCH('BMP P Tracking Table'!$AZ350,'Performance Curves'!$E$1:$L$1,1)+1)-INDEX('Performance Curves'!$E$1:$L$1,1,MATCH('BMP P Tracking Table'!$AZ350,'Performance Curves'!$E$1:$L$1,1))),"")</f>
        <v/>
      </c>
      <c r="BC350" s="102" t="str">
        <f>IFERROR(IF('BMP P Tracking Table'!$AZ350=2,VLOOKUP(CONCATENATE('BMP P Tracking Table'!$AV350," ",'BMP P Tracking Table'!$AX350),'Performance Curves'!$C$1:$L$44,MATCH('BMP P Tracking Table'!$AZ350,'Performance Curves'!$E$1:$L$1,1)+1,FALSE),'BMP P Tracking Table'!$BA350*'BMP P Tracking Table'!$BB350+VLOOKUP(CONCATENATE('BMP P Tracking Table'!$AV350," ",'BMP P Tracking Table'!$AX350),'Performance Curves'!$C$1:$L$44,MATCH('BMP P Tracking Table'!$AZ350,'Performance Curves'!$E$1:$L$1,1)+1,FALSE)),"")</f>
        <v/>
      </c>
      <c r="BD350" s="101" t="str">
        <f>IFERROR('BMP P Tracking Table'!$BC350*'BMP P Tracking Table'!$AY350,"")</f>
        <v/>
      </c>
      <c r="BE350" s="96"/>
      <c r="BF350" s="37">
        <f t="shared" si="23"/>
        <v>0</v>
      </c>
    </row>
    <row r="351" spans="1:58" x14ac:dyDescent="0.3">
      <c r="A351" s="64"/>
      <c r="B351" s="64"/>
      <c r="C351" s="64"/>
      <c r="D351" s="64"/>
      <c r="E351" s="93"/>
      <c r="F351" s="93"/>
      <c r="G351" s="64"/>
      <c r="H351" s="64"/>
      <c r="I351" s="64"/>
      <c r="J351" s="94"/>
      <c r="K351" s="64"/>
      <c r="L351" s="64"/>
      <c r="M351" s="64"/>
      <c r="N351" s="64"/>
      <c r="O351" s="64"/>
      <c r="P351" s="64"/>
      <c r="Q351" s="64" t="str">
        <f>IFERROR(VLOOKUP('BMP P Tracking Table'!$P351,Dropdowns!$C$2:$E$15,3,FALSE),"")</f>
        <v/>
      </c>
      <c r="R351" s="64" t="str">
        <f>IFERROR(VLOOKUP('BMP P Tracking Table'!$Q351,Dropdowns!$P$3:$Q$23,2,FALSE),"")</f>
        <v/>
      </c>
      <c r="S351" s="64"/>
      <c r="T351" s="64"/>
      <c r="U351" s="64"/>
      <c r="V351" s="64"/>
      <c r="W351" s="64"/>
      <c r="X351" s="64"/>
      <c r="Y351" s="64"/>
      <c r="Z351" s="64"/>
      <c r="AA351" s="64"/>
      <c r="AB351" s="95"/>
      <c r="AC351" s="64"/>
      <c r="AD351" s="101" t="str">
        <f>IFERROR('BMP P Tracking Table'!$U351*VLOOKUP('BMP P Tracking Table'!$Q351,'Loading Rates'!$B$1:$L$24,4,FALSE)+IF('BMP P Tracking Table'!$V351="By HSG",'BMP P Tracking Table'!$W351*VLOOKUP('BMP P Tracking Table'!$Q351,'Loading Rates'!$B$1:$L$24,6,FALSE)+'BMP P Tracking Table'!$X351*VLOOKUP('BMP P Tracking Table'!$Q351,'Loading Rates'!$B$1:$L$24,7,FALSE)+'BMP P Tracking Table'!$Y351*VLOOKUP('BMP P Tracking Table'!$Q351,'Loading Rates'!$B$1:$L$24,8,FALSE)+'BMP P Tracking Table'!$Z351*VLOOKUP('BMP P Tracking Table'!$Q351,'Loading Rates'!$B$1:$L$24,9,FALSE),'BMP P Tracking Table'!$AA351*VLOOKUP('BMP P Tracking Table'!$Q351,'Loading Rates'!$B$1:$L$24,10,FALSE)),"")</f>
        <v/>
      </c>
      <c r="AE351" s="101" t="str">
        <f>IFERROR(MIN(2,IF('BMP P Tracking Table'!$V351="Total Pervious",(-(3630*'BMP P Tracking Table'!$U351+20.691*'BMP P Tracking Table'!$AA351)+SQRT((3630*'BMP P Tracking Table'!$U351+20.691*'BMP P Tracking Table'!$AA351)^2-(4*(996.798*'BMP P Tracking Table'!$AA351)*-'BMP P Tracking Table'!$AB351)))/(2*(996.798*'BMP P Tracking Table'!$AA351)),IF(SUM('BMP P Tracking Table'!$W351:$Z351)=0,'BMP P Tracking Table'!$AB351/(-3630*'BMP P Tracking Table'!$U351),(-(3630*'BMP P Tracking Table'!$U351+20.691*'BMP P Tracking Table'!$Z351-216.711*'BMP P Tracking Table'!$Y351-83.853*'BMP P Tracking Table'!$X351-42.834*'BMP P Tracking Table'!$W351)+SQRT((3630*'BMP P Tracking Table'!$U351+20.691*'BMP P Tracking Table'!$Z351-216.711*'BMP P Tracking Table'!$Y351-83.853*'BMP P Tracking Table'!$X351-42.834*'BMP P Tracking Table'!$W351)^2-(4*(149.919*'BMP P Tracking Table'!$W351+236.676*'BMP P Tracking Table'!$X351+726*'BMP P Tracking Table'!$Y351+996.798*'BMP P Tracking Table'!$Z351)*-'BMP P Tracking Table'!$AB351)))/(2*(149.919*'BMP P Tracking Table'!$W351+236.676*'BMP P Tracking Table'!$X351+726*'BMP P Tracking Table'!$Y351+996.798*'BMP P Tracking Table'!$Z351))))),"")</f>
        <v/>
      </c>
      <c r="AF351" s="101" t="str">
        <f>IFERROR((VLOOKUP(CONCATENATE('BMP P Tracking Table'!$T351," ",'BMP P Tracking Table'!$AC351),'Performance Curves'!$C$1:$L$45,MATCH('BMP P Tracking Table'!$AE351,'Performance Curves'!$E$1:$L$1,1)+2,FALSE)-VLOOKUP(CONCATENATE('BMP P Tracking Table'!$T351," ",'BMP P Tracking Table'!$AC351),'Performance Curves'!$C$1:$L$45,MATCH('BMP P Tracking Table'!$AE351,'Performance Curves'!$E$1:$L$1,1)+1,FALSE)),"")</f>
        <v/>
      </c>
      <c r="AG351" s="101" t="str">
        <f>IFERROR(('BMP P Tracking Table'!$AE351-INDEX('Performance Curves'!$E$1:$L$1,1,MATCH('BMP P Tracking Table'!$AE351,'Performance Curves'!$E$1:$L$1,1)))/(INDEX('Performance Curves'!$E$1:$L$1,1,MATCH('BMP P Tracking Table'!$AE351,'Performance Curves'!$E$1:$L$1,1)+1)-INDEX('Performance Curves'!$E$1:$L$1,1,MATCH('BMP P Tracking Table'!$AE351,'Performance Curves'!$E$1:$L$1,1))),"")</f>
        <v/>
      </c>
      <c r="AH351" s="102" t="str">
        <f>IFERROR(IF('BMP P Tracking Table'!$AE351=2,VLOOKUP(CONCATENATE('BMP P Tracking Table'!$T351," ",'BMP P Tracking Table'!$AC351),'Performance Curves'!$C$1:$L$45,MATCH('BMP P Tracking Table'!$AE351,'Performance Curves'!$E$1:$L$1,1)+1,FALSE),'BMP P Tracking Table'!$AF351*'BMP P Tracking Table'!$AG351+VLOOKUP(CONCATENATE('BMP P Tracking Table'!$T351," ",'BMP P Tracking Table'!$AC351),'Performance Curves'!$C$1:$L$45,MATCH('BMP P Tracking Table'!$AE351,'Performance Curves'!$E$1:$L$1,1)+1,FALSE)),"")</f>
        <v/>
      </c>
      <c r="AI351" s="101" t="str">
        <f>IFERROR('BMP P Tracking Table'!$AH351*'BMP P Tracking Table'!$AD351,"")</f>
        <v/>
      </c>
      <c r="AJ351" s="64"/>
      <c r="AK351" s="96"/>
      <c r="AL351" s="96"/>
      <c r="AM351" s="63"/>
      <c r="AN351" s="99" t="str">
        <f t="shared" si="22"/>
        <v/>
      </c>
      <c r="AO351" s="96"/>
      <c r="AP351" s="96"/>
      <c r="AQ351" s="96"/>
      <c r="AR351" s="96"/>
      <c r="AS351" s="96"/>
      <c r="AT351" s="96"/>
      <c r="AU351" s="96"/>
      <c r="AV351" s="64"/>
      <c r="AW351" s="97"/>
      <c r="AX351" s="97"/>
      <c r="AY351" s="101" t="str">
        <f>IF('BMP P Tracking Table'!$AK351="Yes",IF('BMP P Tracking Table'!$AL351="No",'BMP P Tracking Table'!$U351*VLOOKUP('BMP P Tracking Table'!$Q351,'Loading Rates'!$B$1:$L$24,4,FALSE)+IF('BMP P Tracking Table'!$V351="By HSG",'BMP P Tracking Table'!$W351*VLOOKUP('BMP P Tracking Table'!$Q351,'Loading Rates'!$B$1:$L$24,6,FALSE)+'BMP P Tracking Table'!$X351*VLOOKUP('BMP P Tracking Table'!$Q351,'Loading Rates'!$B$1:$L$24,7,FALSE)+'BMP P Tracking Table'!$Y351*VLOOKUP('BMP P Tracking Table'!$Q351,'Loading Rates'!$B$1:$L$24,8,FALSE)+'BMP P Tracking Table'!$Z351*VLOOKUP('BMP P Tracking Table'!$Q351,'Loading Rates'!$B$1:$L$24,9,FALSE),'BMP P Tracking Table'!$AA351*VLOOKUP('BMP P Tracking Table'!$Q351,'Loading Rates'!$B$1:$L$24,10,FALSE)),'BMP P Tracking Table'!$AO351*VLOOKUP('BMP P Tracking Table'!$Q351,'Loading Rates'!$B$1:$L$24,4,FALSE)+IF('BMP P Tracking Table'!$AP351="By HSG",'BMP P Tracking Table'!$AQ351*VLOOKUP('BMP P Tracking Table'!$Q351,'Loading Rates'!$B$1:$L$24,6,FALSE)+'BMP P Tracking Table'!$AR351*VLOOKUP('BMP P Tracking Table'!$Q351,'Loading Rates'!$B$1:$L$24,7,FALSE)+'BMP P Tracking Table'!$AS351*VLOOKUP('BMP P Tracking Table'!$Q351,'Loading Rates'!$B$1:$L$24,8,FALSE)+'BMP P Tracking Table'!$AT351*VLOOKUP('BMP P Tracking Table'!$Q351,'Loading Rates'!$B$1:$L$24,9,FALSE),'BMP P Tracking Table'!$AU351*VLOOKUP('BMP P Tracking Table'!$Q351,'Loading Rates'!$B$1:$L$24,10,FALSE))),"")</f>
        <v/>
      </c>
      <c r="AZ351" s="101" t="str">
        <f>IFERROR(IF('BMP P Tracking Table'!$AL351="Yes",MIN(2,IF('BMP P Tracking Table'!$AP351="Total Pervious",(-(3630*'BMP P Tracking Table'!$AO351+20.691*'BMP P Tracking Table'!$AU351)+SQRT((3630*'BMP P Tracking Table'!$AO351+20.691*'BMP P Tracking Table'!$AU351)^2-(4*(996.798*'BMP P Tracking Table'!$AU351)*-'BMP P Tracking Table'!$AW351)))/(2*(996.798*'BMP P Tracking Table'!$AU351)),IF(SUM('BMP P Tracking Table'!$AQ351:$AT351)=0,'BMP P Tracking Table'!$AU351/(-3630*'BMP P Tracking Table'!$AO351),(-(3630*'BMP P Tracking Table'!$AO351+20.691*'BMP P Tracking Table'!$AT351-216.711*'BMP P Tracking Table'!$AS351-83.853*'BMP P Tracking Table'!$AR351-42.834*'BMP P Tracking Table'!$AQ351)+SQRT((3630*'BMP P Tracking Table'!$AO351+20.691*'BMP P Tracking Table'!$AT351-216.711*'BMP P Tracking Table'!$AS351-83.853*'BMP P Tracking Table'!$AR351-42.834*'BMP P Tracking Table'!$AQ351)^2-(4*(149.919*'BMP P Tracking Table'!$AQ351+236.676*'BMP P Tracking Table'!$AR351+726*'BMP P Tracking Table'!$AS351+996.798*'BMP P Tracking Table'!$AT351)*-'BMP P Tracking Table'!$AW351)))/(2*(149.919*'BMP P Tracking Table'!$AQ351+236.676*'BMP P Tracking Table'!$AR351+726*'BMP P Tracking Table'!$AS351+996.798*'BMP P Tracking Table'!$AT351))))),MIN(2,IF('BMP P Tracking Table'!$AP351="Total Pervious",(-(3630*'BMP P Tracking Table'!$U351+20.691*'BMP P Tracking Table'!$AA351)+SQRT((3630*'BMP P Tracking Table'!$U351+20.691*'BMP P Tracking Table'!$AA351)^2-(4*(996.798*'BMP P Tracking Table'!$AA351)*-'BMP P Tracking Table'!$AW351)))/(2*(996.798*'BMP P Tracking Table'!$AA351)),IF(SUM('BMP P Tracking Table'!$W351:$Z351)=0,'BMP P Tracking Table'!$AW351/(-3630*'BMP P Tracking Table'!$U351),(-(3630*'BMP P Tracking Table'!$U351+20.691*'BMP P Tracking Table'!$Z351-216.711*'BMP P Tracking Table'!$Y351-83.853*'BMP P Tracking Table'!$X351-42.834*'BMP P Tracking Table'!$W351)+SQRT((3630*'BMP P Tracking Table'!$U351+20.691*'BMP P Tracking Table'!$Z351-216.711*'BMP P Tracking Table'!$Y351-83.853*'BMP P Tracking Table'!$X351-42.834*'BMP P Tracking Table'!$W351)^2-(4*(149.919*'BMP P Tracking Table'!$W351+236.676*'BMP P Tracking Table'!$X351+726*'BMP P Tracking Table'!$Y351+996.798*'BMP P Tracking Table'!$Z351)*-'BMP P Tracking Table'!$AW351)))/(2*(149.919*'BMP P Tracking Table'!$W351+236.676*'BMP P Tracking Table'!$X351+726*'BMP P Tracking Table'!$Y351+996.798*'BMP P Tracking Table'!$Z351)))))),"")</f>
        <v/>
      </c>
      <c r="BA351" s="101" t="str">
        <f>IFERROR((VLOOKUP(CONCATENATE('BMP P Tracking Table'!$AV351," ",'BMP P Tracking Table'!$AX351),'Performance Curves'!$C$1:$L$45,MATCH('BMP P Tracking Table'!$AZ351,'Performance Curves'!$E$1:$L$1,1)+2,FALSE)-VLOOKUP(CONCATENATE('BMP P Tracking Table'!$AV351," ",'BMP P Tracking Table'!$AX351),'Performance Curves'!$C$1:$L$45,MATCH('BMP P Tracking Table'!$AZ351,'Performance Curves'!$E$1:$L$1,1)+1,FALSE)),"")</f>
        <v/>
      </c>
      <c r="BB351" s="101" t="str">
        <f>IFERROR(('BMP P Tracking Table'!$AZ351-INDEX('Performance Curves'!$E$1:$L$1,1,MATCH('BMP P Tracking Table'!$AZ351,'Performance Curves'!$E$1:$L$1,1)))/(INDEX('Performance Curves'!$E$1:$L$1,1,MATCH('BMP P Tracking Table'!$AZ351,'Performance Curves'!$E$1:$L$1,1)+1)-INDEX('Performance Curves'!$E$1:$L$1,1,MATCH('BMP P Tracking Table'!$AZ351,'Performance Curves'!$E$1:$L$1,1))),"")</f>
        <v/>
      </c>
      <c r="BC351" s="102" t="str">
        <f>IFERROR(IF('BMP P Tracking Table'!$AZ351=2,VLOOKUP(CONCATENATE('BMP P Tracking Table'!$AV351," ",'BMP P Tracking Table'!$AX351),'Performance Curves'!$C$1:$L$44,MATCH('BMP P Tracking Table'!$AZ351,'Performance Curves'!$E$1:$L$1,1)+1,FALSE),'BMP P Tracking Table'!$BA351*'BMP P Tracking Table'!$BB351+VLOOKUP(CONCATENATE('BMP P Tracking Table'!$AV351," ",'BMP P Tracking Table'!$AX351),'Performance Curves'!$C$1:$L$44,MATCH('BMP P Tracking Table'!$AZ351,'Performance Curves'!$E$1:$L$1,1)+1,FALSE)),"")</f>
        <v/>
      </c>
      <c r="BD351" s="101" t="str">
        <f>IFERROR('BMP P Tracking Table'!$BC351*'BMP P Tracking Table'!$AY351,"")</f>
        <v/>
      </c>
      <c r="BE351" s="96"/>
      <c r="BF351" s="37">
        <f t="shared" si="23"/>
        <v>0</v>
      </c>
    </row>
    <row r="352" spans="1:58" x14ac:dyDescent="0.3">
      <c r="A352" s="64"/>
      <c r="B352" s="64"/>
      <c r="C352" s="64"/>
      <c r="D352" s="64"/>
      <c r="E352" s="93"/>
      <c r="F352" s="93"/>
      <c r="G352" s="64"/>
      <c r="H352" s="64"/>
      <c r="I352" s="64"/>
      <c r="J352" s="94"/>
      <c r="K352" s="64"/>
      <c r="L352" s="64"/>
      <c r="M352" s="64"/>
      <c r="N352" s="64"/>
      <c r="O352" s="64"/>
      <c r="P352" s="64"/>
      <c r="Q352" s="64" t="str">
        <f>IFERROR(VLOOKUP('BMP P Tracking Table'!$P352,Dropdowns!$C$2:$E$15,3,FALSE),"")</f>
        <v/>
      </c>
      <c r="R352" s="64" t="str">
        <f>IFERROR(VLOOKUP('BMP P Tracking Table'!$Q352,Dropdowns!$P$3:$Q$23,2,FALSE),"")</f>
        <v/>
      </c>
      <c r="S352" s="64"/>
      <c r="T352" s="64"/>
      <c r="U352" s="64"/>
      <c r="V352" s="64"/>
      <c r="W352" s="64"/>
      <c r="X352" s="64"/>
      <c r="Y352" s="64"/>
      <c r="Z352" s="64"/>
      <c r="AA352" s="64"/>
      <c r="AB352" s="95"/>
      <c r="AC352" s="64"/>
      <c r="AD352" s="101" t="str">
        <f>IFERROR('BMP P Tracking Table'!$U352*VLOOKUP('BMP P Tracking Table'!$Q352,'Loading Rates'!$B$1:$L$24,4,FALSE)+IF('BMP P Tracking Table'!$V352="By HSG",'BMP P Tracking Table'!$W352*VLOOKUP('BMP P Tracking Table'!$Q352,'Loading Rates'!$B$1:$L$24,6,FALSE)+'BMP P Tracking Table'!$X352*VLOOKUP('BMP P Tracking Table'!$Q352,'Loading Rates'!$B$1:$L$24,7,FALSE)+'BMP P Tracking Table'!$Y352*VLOOKUP('BMP P Tracking Table'!$Q352,'Loading Rates'!$B$1:$L$24,8,FALSE)+'BMP P Tracking Table'!$Z352*VLOOKUP('BMP P Tracking Table'!$Q352,'Loading Rates'!$B$1:$L$24,9,FALSE),'BMP P Tracking Table'!$AA352*VLOOKUP('BMP P Tracking Table'!$Q352,'Loading Rates'!$B$1:$L$24,10,FALSE)),"")</f>
        <v/>
      </c>
      <c r="AE352" s="101" t="str">
        <f>IFERROR(MIN(2,IF('BMP P Tracking Table'!$V352="Total Pervious",(-(3630*'BMP P Tracking Table'!$U352+20.691*'BMP P Tracking Table'!$AA352)+SQRT((3630*'BMP P Tracking Table'!$U352+20.691*'BMP P Tracking Table'!$AA352)^2-(4*(996.798*'BMP P Tracking Table'!$AA352)*-'BMP P Tracking Table'!$AB352)))/(2*(996.798*'BMP P Tracking Table'!$AA352)),IF(SUM('BMP P Tracking Table'!$W352:$Z352)=0,'BMP P Tracking Table'!$AB352/(-3630*'BMP P Tracking Table'!$U352),(-(3630*'BMP P Tracking Table'!$U352+20.691*'BMP P Tracking Table'!$Z352-216.711*'BMP P Tracking Table'!$Y352-83.853*'BMP P Tracking Table'!$X352-42.834*'BMP P Tracking Table'!$W352)+SQRT((3630*'BMP P Tracking Table'!$U352+20.691*'BMP P Tracking Table'!$Z352-216.711*'BMP P Tracking Table'!$Y352-83.853*'BMP P Tracking Table'!$X352-42.834*'BMP P Tracking Table'!$W352)^2-(4*(149.919*'BMP P Tracking Table'!$W352+236.676*'BMP P Tracking Table'!$X352+726*'BMP P Tracking Table'!$Y352+996.798*'BMP P Tracking Table'!$Z352)*-'BMP P Tracking Table'!$AB352)))/(2*(149.919*'BMP P Tracking Table'!$W352+236.676*'BMP P Tracking Table'!$X352+726*'BMP P Tracking Table'!$Y352+996.798*'BMP P Tracking Table'!$Z352))))),"")</f>
        <v/>
      </c>
      <c r="AF352" s="101" t="str">
        <f>IFERROR((VLOOKUP(CONCATENATE('BMP P Tracking Table'!$T352," ",'BMP P Tracking Table'!$AC352),'Performance Curves'!$C$1:$L$45,MATCH('BMP P Tracking Table'!$AE352,'Performance Curves'!$E$1:$L$1,1)+2,FALSE)-VLOOKUP(CONCATENATE('BMP P Tracking Table'!$T352," ",'BMP P Tracking Table'!$AC352),'Performance Curves'!$C$1:$L$45,MATCH('BMP P Tracking Table'!$AE352,'Performance Curves'!$E$1:$L$1,1)+1,FALSE)),"")</f>
        <v/>
      </c>
      <c r="AG352" s="101" t="str">
        <f>IFERROR(('BMP P Tracking Table'!$AE352-INDEX('Performance Curves'!$E$1:$L$1,1,MATCH('BMP P Tracking Table'!$AE352,'Performance Curves'!$E$1:$L$1,1)))/(INDEX('Performance Curves'!$E$1:$L$1,1,MATCH('BMP P Tracking Table'!$AE352,'Performance Curves'!$E$1:$L$1,1)+1)-INDEX('Performance Curves'!$E$1:$L$1,1,MATCH('BMP P Tracking Table'!$AE352,'Performance Curves'!$E$1:$L$1,1))),"")</f>
        <v/>
      </c>
      <c r="AH352" s="102" t="str">
        <f>IFERROR(IF('BMP P Tracking Table'!$AE352=2,VLOOKUP(CONCATENATE('BMP P Tracking Table'!$T352," ",'BMP P Tracking Table'!$AC352),'Performance Curves'!$C$1:$L$45,MATCH('BMP P Tracking Table'!$AE352,'Performance Curves'!$E$1:$L$1,1)+1,FALSE),'BMP P Tracking Table'!$AF352*'BMP P Tracking Table'!$AG352+VLOOKUP(CONCATENATE('BMP P Tracking Table'!$T352," ",'BMP P Tracking Table'!$AC352),'Performance Curves'!$C$1:$L$45,MATCH('BMP P Tracking Table'!$AE352,'Performance Curves'!$E$1:$L$1,1)+1,FALSE)),"")</f>
        <v/>
      </c>
      <c r="AI352" s="101" t="str">
        <f>IFERROR('BMP P Tracking Table'!$AH352*'BMP P Tracking Table'!$AD352,"")</f>
        <v/>
      </c>
      <c r="AJ352" s="64"/>
      <c r="AK352" s="96"/>
      <c r="AL352" s="96"/>
      <c r="AM352" s="63"/>
      <c r="AN352" s="99" t="str">
        <f t="shared" si="22"/>
        <v/>
      </c>
      <c r="AO352" s="96"/>
      <c r="AP352" s="96"/>
      <c r="AQ352" s="96"/>
      <c r="AR352" s="96"/>
      <c r="AS352" s="96"/>
      <c r="AT352" s="96"/>
      <c r="AU352" s="96"/>
      <c r="AV352" s="64"/>
      <c r="AW352" s="97"/>
      <c r="AX352" s="97"/>
      <c r="AY352" s="101" t="str">
        <f>IF('BMP P Tracking Table'!$AK352="Yes",IF('BMP P Tracking Table'!$AL352="No",'BMP P Tracking Table'!$U352*VLOOKUP('BMP P Tracking Table'!$Q352,'Loading Rates'!$B$1:$L$24,4,FALSE)+IF('BMP P Tracking Table'!$V352="By HSG",'BMP P Tracking Table'!$W352*VLOOKUP('BMP P Tracking Table'!$Q352,'Loading Rates'!$B$1:$L$24,6,FALSE)+'BMP P Tracking Table'!$X352*VLOOKUP('BMP P Tracking Table'!$Q352,'Loading Rates'!$B$1:$L$24,7,FALSE)+'BMP P Tracking Table'!$Y352*VLOOKUP('BMP P Tracking Table'!$Q352,'Loading Rates'!$B$1:$L$24,8,FALSE)+'BMP P Tracking Table'!$Z352*VLOOKUP('BMP P Tracking Table'!$Q352,'Loading Rates'!$B$1:$L$24,9,FALSE),'BMP P Tracking Table'!$AA352*VLOOKUP('BMP P Tracking Table'!$Q352,'Loading Rates'!$B$1:$L$24,10,FALSE)),'BMP P Tracking Table'!$AO352*VLOOKUP('BMP P Tracking Table'!$Q352,'Loading Rates'!$B$1:$L$24,4,FALSE)+IF('BMP P Tracking Table'!$AP352="By HSG",'BMP P Tracking Table'!$AQ352*VLOOKUP('BMP P Tracking Table'!$Q352,'Loading Rates'!$B$1:$L$24,6,FALSE)+'BMP P Tracking Table'!$AR352*VLOOKUP('BMP P Tracking Table'!$Q352,'Loading Rates'!$B$1:$L$24,7,FALSE)+'BMP P Tracking Table'!$AS352*VLOOKUP('BMP P Tracking Table'!$Q352,'Loading Rates'!$B$1:$L$24,8,FALSE)+'BMP P Tracking Table'!$AT352*VLOOKUP('BMP P Tracking Table'!$Q352,'Loading Rates'!$B$1:$L$24,9,FALSE),'BMP P Tracking Table'!$AU352*VLOOKUP('BMP P Tracking Table'!$Q352,'Loading Rates'!$B$1:$L$24,10,FALSE))),"")</f>
        <v/>
      </c>
      <c r="AZ352" s="101" t="str">
        <f>IFERROR(IF('BMP P Tracking Table'!$AL352="Yes",MIN(2,IF('BMP P Tracking Table'!$AP352="Total Pervious",(-(3630*'BMP P Tracking Table'!$AO352+20.691*'BMP P Tracking Table'!$AU352)+SQRT((3630*'BMP P Tracking Table'!$AO352+20.691*'BMP P Tracking Table'!$AU352)^2-(4*(996.798*'BMP P Tracking Table'!$AU352)*-'BMP P Tracking Table'!$AW352)))/(2*(996.798*'BMP P Tracking Table'!$AU352)),IF(SUM('BMP P Tracking Table'!$AQ352:$AT352)=0,'BMP P Tracking Table'!$AU352/(-3630*'BMP P Tracking Table'!$AO352),(-(3630*'BMP P Tracking Table'!$AO352+20.691*'BMP P Tracking Table'!$AT352-216.711*'BMP P Tracking Table'!$AS352-83.853*'BMP P Tracking Table'!$AR352-42.834*'BMP P Tracking Table'!$AQ352)+SQRT((3630*'BMP P Tracking Table'!$AO352+20.691*'BMP P Tracking Table'!$AT352-216.711*'BMP P Tracking Table'!$AS352-83.853*'BMP P Tracking Table'!$AR352-42.834*'BMP P Tracking Table'!$AQ352)^2-(4*(149.919*'BMP P Tracking Table'!$AQ352+236.676*'BMP P Tracking Table'!$AR352+726*'BMP P Tracking Table'!$AS352+996.798*'BMP P Tracking Table'!$AT352)*-'BMP P Tracking Table'!$AW352)))/(2*(149.919*'BMP P Tracking Table'!$AQ352+236.676*'BMP P Tracking Table'!$AR352+726*'BMP P Tracking Table'!$AS352+996.798*'BMP P Tracking Table'!$AT352))))),MIN(2,IF('BMP P Tracking Table'!$AP352="Total Pervious",(-(3630*'BMP P Tracking Table'!$U352+20.691*'BMP P Tracking Table'!$AA352)+SQRT((3630*'BMP P Tracking Table'!$U352+20.691*'BMP P Tracking Table'!$AA352)^2-(4*(996.798*'BMP P Tracking Table'!$AA352)*-'BMP P Tracking Table'!$AW352)))/(2*(996.798*'BMP P Tracking Table'!$AA352)),IF(SUM('BMP P Tracking Table'!$W352:$Z352)=0,'BMP P Tracking Table'!$AW352/(-3630*'BMP P Tracking Table'!$U352),(-(3630*'BMP P Tracking Table'!$U352+20.691*'BMP P Tracking Table'!$Z352-216.711*'BMP P Tracking Table'!$Y352-83.853*'BMP P Tracking Table'!$X352-42.834*'BMP P Tracking Table'!$W352)+SQRT((3630*'BMP P Tracking Table'!$U352+20.691*'BMP P Tracking Table'!$Z352-216.711*'BMP P Tracking Table'!$Y352-83.853*'BMP P Tracking Table'!$X352-42.834*'BMP P Tracking Table'!$W352)^2-(4*(149.919*'BMP P Tracking Table'!$W352+236.676*'BMP P Tracking Table'!$X352+726*'BMP P Tracking Table'!$Y352+996.798*'BMP P Tracking Table'!$Z352)*-'BMP P Tracking Table'!$AW352)))/(2*(149.919*'BMP P Tracking Table'!$W352+236.676*'BMP P Tracking Table'!$X352+726*'BMP P Tracking Table'!$Y352+996.798*'BMP P Tracking Table'!$Z352)))))),"")</f>
        <v/>
      </c>
      <c r="BA352" s="101" t="str">
        <f>IFERROR((VLOOKUP(CONCATENATE('BMP P Tracking Table'!$AV352," ",'BMP P Tracking Table'!$AX352),'Performance Curves'!$C$1:$L$45,MATCH('BMP P Tracking Table'!$AZ352,'Performance Curves'!$E$1:$L$1,1)+2,FALSE)-VLOOKUP(CONCATENATE('BMP P Tracking Table'!$AV352," ",'BMP P Tracking Table'!$AX352),'Performance Curves'!$C$1:$L$45,MATCH('BMP P Tracking Table'!$AZ352,'Performance Curves'!$E$1:$L$1,1)+1,FALSE)),"")</f>
        <v/>
      </c>
      <c r="BB352" s="101" t="str">
        <f>IFERROR(('BMP P Tracking Table'!$AZ352-INDEX('Performance Curves'!$E$1:$L$1,1,MATCH('BMP P Tracking Table'!$AZ352,'Performance Curves'!$E$1:$L$1,1)))/(INDEX('Performance Curves'!$E$1:$L$1,1,MATCH('BMP P Tracking Table'!$AZ352,'Performance Curves'!$E$1:$L$1,1)+1)-INDEX('Performance Curves'!$E$1:$L$1,1,MATCH('BMP P Tracking Table'!$AZ352,'Performance Curves'!$E$1:$L$1,1))),"")</f>
        <v/>
      </c>
      <c r="BC352" s="102" t="str">
        <f>IFERROR(IF('BMP P Tracking Table'!$AZ352=2,VLOOKUP(CONCATENATE('BMP P Tracking Table'!$AV352," ",'BMP P Tracking Table'!$AX352),'Performance Curves'!$C$1:$L$44,MATCH('BMP P Tracking Table'!$AZ352,'Performance Curves'!$E$1:$L$1,1)+1,FALSE),'BMP P Tracking Table'!$BA352*'BMP P Tracking Table'!$BB352+VLOOKUP(CONCATENATE('BMP P Tracking Table'!$AV352," ",'BMP P Tracking Table'!$AX352),'Performance Curves'!$C$1:$L$44,MATCH('BMP P Tracking Table'!$AZ352,'Performance Curves'!$E$1:$L$1,1)+1,FALSE)),"")</f>
        <v/>
      </c>
      <c r="BD352" s="101" t="str">
        <f>IFERROR('BMP P Tracking Table'!$BC352*'BMP P Tracking Table'!$AY352,"")</f>
        <v/>
      </c>
      <c r="BE352" s="96"/>
      <c r="BF352" s="37">
        <f t="shared" si="23"/>
        <v>0</v>
      </c>
    </row>
    <row r="353" spans="1:58" x14ac:dyDescent="0.3">
      <c r="A353" s="64"/>
      <c r="B353" s="64"/>
      <c r="C353" s="64"/>
      <c r="D353" s="64"/>
      <c r="E353" s="93"/>
      <c r="F353" s="93"/>
      <c r="G353" s="64"/>
      <c r="H353" s="64"/>
      <c r="I353" s="64"/>
      <c r="J353" s="94"/>
      <c r="K353" s="64"/>
      <c r="L353" s="64"/>
      <c r="M353" s="64"/>
      <c r="N353" s="64"/>
      <c r="O353" s="64"/>
      <c r="P353" s="64"/>
      <c r="Q353" s="64" t="str">
        <f>IFERROR(VLOOKUP('BMP P Tracking Table'!$P353,Dropdowns!$C$2:$E$15,3,FALSE),"")</f>
        <v/>
      </c>
      <c r="R353" s="64" t="str">
        <f>IFERROR(VLOOKUP('BMP P Tracking Table'!$Q353,Dropdowns!$P$3:$Q$23,2,FALSE),"")</f>
        <v/>
      </c>
      <c r="S353" s="64"/>
      <c r="T353" s="64"/>
      <c r="U353" s="64"/>
      <c r="V353" s="64"/>
      <c r="W353" s="64"/>
      <c r="X353" s="64"/>
      <c r="Y353" s="64"/>
      <c r="Z353" s="64"/>
      <c r="AA353" s="64"/>
      <c r="AB353" s="95"/>
      <c r="AC353" s="64"/>
      <c r="AD353" s="101" t="str">
        <f>IFERROR('BMP P Tracking Table'!$U353*VLOOKUP('BMP P Tracking Table'!$Q353,'Loading Rates'!$B$1:$L$24,4,FALSE)+IF('BMP P Tracking Table'!$V353="By HSG",'BMP P Tracking Table'!$W353*VLOOKUP('BMP P Tracking Table'!$Q353,'Loading Rates'!$B$1:$L$24,6,FALSE)+'BMP P Tracking Table'!$X353*VLOOKUP('BMP P Tracking Table'!$Q353,'Loading Rates'!$B$1:$L$24,7,FALSE)+'BMP P Tracking Table'!$Y353*VLOOKUP('BMP P Tracking Table'!$Q353,'Loading Rates'!$B$1:$L$24,8,FALSE)+'BMP P Tracking Table'!$Z353*VLOOKUP('BMP P Tracking Table'!$Q353,'Loading Rates'!$B$1:$L$24,9,FALSE),'BMP P Tracking Table'!$AA353*VLOOKUP('BMP P Tracking Table'!$Q353,'Loading Rates'!$B$1:$L$24,10,FALSE)),"")</f>
        <v/>
      </c>
      <c r="AE353" s="101" t="str">
        <f>IFERROR(MIN(2,IF('BMP P Tracking Table'!$V353="Total Pervious",(-(3630*'BMP P Tracking Table'!$U353+20.691*'BMP P Tracking Table'!$AA353)+SQRT((3630*'BMP P Tracking Table'!$U353+20.691*'BMP P Tracking Table'!$AA353)^2-(4*(996.798*'BMP P Tracking Table'!$AA353)*-'BMP P Tracking Table'!$AB353)))/(2*(996.798*'BMP P Tracking Table'!$AA353)),IF(SUM('BMP P Tracking Table'!$W353:$Z353)=0,'BMP P Tracking Table'!$AB353/(-3630*'BMP P Tracking Table'!$U353),(-(3630*'BMP P Tracking Table'!$U353+20.691*'BMP P Tracking Table'!$Z353-216.711*'BMP P Tracking Table'!$Y353-83.853*'BMP P Tracking Table'!$X353-42.834*'BMP P Tracking Table'!$W353)+SQRT((3630*'BMP P Tracking Table'!$U353+20.691*'BMP P Tracking Table'!$Z353-216.711*'BMP P Tracking Table'!$Y353-83.853*'BMP P Tracking Table'!$X353-42.834*'BMP P Tracking Table'!$W353)^2-(4*(149.919*'BMP P Tracking Table'!$W353+236.676*'BMP P Tracking Table'!$X353+726*'BMP P Tracking Table'!$Y353+996.798*'BMP P Tracking Table'!$Z353)*-'BMP P Tracking Table'!$AB353)))/(2*(149.919*'BMP P Tracking Table'!$W353+236.676*'BMP P Tracking Table'!$X353+726*'BMP P Tracking Table'!$Y353+996.798*'BMP P Tracking Table'!$Z353))))),"")</f>
        <v/>
      </c>
      <c r="AF353" s="101" t="str">
        <f>IFERROR((VLOOKUP(CONCATENATE('BMP P Tracking Table'!$T353," ",'BMP P Tracking Table'!$AC353),'Performance Curves'!$C$1:$L$45,MATCH('BMP P Tracking Table'!$AE353,'Performance Curves'!$E$1:$L$1,1)+2,FALSE)-VLOOKUP(CONCATENATE('BMP P Tracking Table'!$T353," ",'BMP P Tracking Table'!$AC353),'Performance Curves'!$C$1:$L$45,MATCH('BMP P Tracking Table'!$AE353,'Performance Curves'!$E$1:$L$1,1)+1,FALSE)),"")</f>
        <v/>
      </c>
      <c r="AG353" s="101" t="str">
        <f>IFERROR(('BMP P Tracking Table'!$AE353-INDEX('Performance Curves'!$E$1:$L$1,1,MATCH('BMP P Tracking Table'!$AE353,'Performance Curves'!$E$1:$L$1,1)))/(INDEX('Performance Curves'!$E$1:$L$1,1,MATCH('BMP P Tracking Table'!$AE353,'Performance Curves'!$E$1:$L$1,1)+1)-INDEX('Performance Curves'!$E$1:$L$1,1,MATCH('BMP P Tracking Table'!$AE353,'Performance Curves'!$E$1:$L$1,1))),"")</f>
        <v/>
      </c>
      <c r="AH353" s="102" t="str">
        <f>IFERROR(IF('BMP P Tracking Table'!$AE353=2,VLOOKUP(CONCATENATE('BMP P Tracking Table'!$T353," ",'BMP P Tracking Table'!$AC353),'Performance Curves'!$C$1:$L$45,MATCH('BMP P Tracking Table'!$AE353,'Performance Curves'!$E$1:$L$1,1)+1,FALSE),'BMP P Tracking Table'!$AF353*'BMP P Tracking Table'!$AG353+VLOOKUP(CONCATENATE('BMP P Tracking Table'!$T353," ",'BMP P Tracking Table'!$AC353),'Performance Curves'!$C$1:$L$45,MATCH('BMP P Tracking Table'!$AE353,'Performance Curves'!$E$1:$L$1,1)+1,FALSE)),"")</f>
        <v/>
      </c>
      <c r="AI353" s="101" t="str">
        <f>IFERROR('BMP P Tracking Table'!$AH353*'BMP P Tracking Table'!$AD353,"")</f>
        <v/>
      </c>
      <c r="AJ353" s="64"/>
      <c r="AK353" s="96"/>
      <c r="AL353" s="96"/>
      <c r="AM353" s="63"/>
      <c r="AN353" s="99" t="str">
        <f t="shared" si="22"/>
        <v/>
      </c>
      <c r="AO353" s="96"/>
      <c r="AP353" s="96"/>
      <c r="AQ353" s="96"/>
      <c r="AR353" s="96"/>
      <c r="AS353" s="96"/>
      <c r="AT353" s="96"/>
      <c r="AU353" s="96"/>
      <c r="AV353" s="64"/>
      <c r="AW353" s="97"/>
      <c r="AX353" s="97"/>
      <c r="AY353" s="101" t="str">
        <f>IF('BMP P Tracking Table'!$AK353="Yes",IF('BMP P Tracking Table'!$AL353="No",'BMP P Tracking Table'!$U353*VLOOKUP('BMP P Tracking Table'!$Q353,'Loading Rates'!$B$1:$L$24,4,FALSE)+IF('BMP P Tracking Table'!$V353="By HSG",'BMP P Tracking Table'!$W353*VLOOKUP('BMP P Tracking Table'!$Q353,'Loading Rates'!$B$1:$L$24,6,FALSE)+'BMP P Tracking Table'!$X353*VLOOKUP('BMP P Tracking Table'!$Q353,'Loading Rates'!$B$1:$L$24,7,FALSE)+'BMP P Tracking Table'!$Y353*VLOOKUP('BMP P Tracking Table'!$Q353,'Loading Rates'!$B$1:$L$24,8,FALSE)+'BMP P Tracking Table'!$Z353*VLOOKUP('BMP P Tracking Table'!$Q353,'Loading Rates'!$B$1:$L$24,9,FALSE),'BMP P Tracking Table'!$AA353*VLOOKUP('BMP P Tracking Table'!$Q353,'Loading Rates'!$B$1:$L$24,10,FALSE)),'BMP P Tracking Table'!$AO353*VLOOKUP('BMP P Tracking Table'!$Q353,'Loading Rates'!$B$1:$L$24,4,FALSE)+IF('BMP P Tracking Table'!$AP353="By HSG",'BMP P Tracking Table'!$AQ353*VLOOKUP('BMP P Tracking Table'!$Q353,'Loading Rates'!$B$1:$L$24,6,FALSE)+'BMP P Tracking Table'!$AR353*VLOOKUP('BMP P Tracking Table'!$Q353,'Loading Rates'!$B$1:$L$24,7,FALSE)+'BMP P Tracking Table'!$AS353*VLOOKUP('BMP P Tracking Table'!$Q353,'Loading Rates'!$B$1:$L$24,8,FALSE)+'BMP P Tracking Table'!$AT353*VLOOKUP('BMP P Tracking Table'!$Q353,'Loading Rates'!$B$1:$L$24,9,FALSE),'BMP P Tracking Table'!$AU353*VLOOKUP('BMP P Tracking Table'!$Q353,'Loading Rates'!$B$1:$L$24,10,FALSE))),"")</f>
        <v/>
      </c>
      <c r="AZ353" s="101" t="str">
        <f>IFERROR(IF('BMP P Tracking Table'!$AL353="Yes",MIN(2,IF('BMP P Tracking Table'!$AP353="Total Pervious",(-(3630*'BMP P Tracking Table'!$AO353+20.691*'BMP P Tracking Table'!$AU353)+SQRT((3630*'BMP P Tracking Table'!$AO353+20.691*'BMP P Tracking Table'!$AU353)^2-(4*(996.798*'BMP P Tracking Table'!$AU353)*-'BMP P Tracking Table'!$AW353)))/(2*(996.798*'BMP P Tracking Table'!$AU353)),IF(SUM('BMP P Tracking Table'!$AQ353:$AT353)=0,'BMP P Tracking Table'!$AU353/(-3630*'BMP P Tracking Table'!$AO353),(-(3630*'BMP P Tracking Table'!$AO353+20.691*'BMP P Tracking Table'!$AT353-216.711*'BMP P Tracking Table'!$AS353-83.853*'BMP P Tracking Table'!$AR353-42.834*'BMP P Tracking Table'!$AQ353)+SQRT((3630*'BMP P Tracking Table'!$AO353+20.691*'BMP P Tracking Table'!$AT353-216.711*'BMP P Tracking Table'!$AS353-83.853*'BMP P Tracking Table'!$AR353-42.834*'BMP P Tracking Table'!$AQ353)^2-(4*(149.919*'BMP P Tracking Table'!$AQ353+236.676*'BMP P Tracking Table'!$AR353+726*'BMP P Tracking Table'!$AS353+996.798*'BMP P Tracking Table'!$AT353)*-'BMP P Tracking Table'!$AW353)))/(2*(149.919*'BMP P Tracking Table'!$AQ353+236.676*'BMP P Tracking Table'!$AR353+726*'BMP P Tracking Table'!$AS353+996.798*'BMP P Tracking Table'!$AT353))))),MIN(2,IF('BMP P Tracking Table'!$AP353="Total Pervious",(-(3630*'BMP P Tracking Table'!$U353+20.691*'BMP P Tracking Table'!$AA353)+SQRT((3630*'BMP P Tracking Table'!$U353+20.691*'BMP P Tracking Table'!$AA353)^2-(4*(996.798*'BMP P Tracking Table'!$AA353)*-'BMP P Tracking Table'!$AW353)))/(2*(996.798*'BMP P Tracking Table'!$AA353)),IF(SUM('BMP P Tracking Table'!$W353:$Z353)=0,'BMP P Tracking Table'!$AW353/(-3630*'BMP P Tracking Table'!$U353),(-(3630*'BMP P Tracking Table'!$U353+20.691*'BMP P Tracking Table'!$Z353-216.711*'BMP P Tracking Table'!$Y353-83.853*'BMP P Tracking Table'!$X353-42.834*'BMP P Tracking Table'!$W353)+SQRT((3630*'BMP P Tracking Table'!$U353+20.691*'BMP P Tracking Table'!$Z353-216.711*'BMP P Tracking Table'!$Y353-83.853*'BMP P Tracking Table'!$X353-42.834*'BMP P Tracking Table'!$W353)^2-(4*(149.919*'BMP P Tracking Table'!$W353+236.676*'BMP P Tracking Table'!$X353+726*'BMP P Tracking Table'!$Y353+996.798*'BMP P Tracking Table'!$Z353)*-'BMP P Tracking Table'!$AW353)))/(2*(149.919*'BMP P Tracking Table'!$W353+236.676*'BMP P Tracking Table'!$X353+726*'BMP P Tracking Table'!$Y353+996.798*'BMP P Tracking Table'!$Z353)))))),"")</f>
        <v/>
      </c>
      <c r="BA353" s="101" t="str">
        <f>IFERROR((VLOOKUP(CONCATENATE('BMP P Tracking Table'!$AV353," ",'BMP P Tracking Table'!$AX353),'Performance Curves'!$C$1:$L$45,MATCH('BMP P Tracking Table'!$AZ353,'Performance Curves'!$E$1:$L$1,1)+2,FALSE)-VLOOKUP(CONCATENATE('BMP P Tracking Table'!$AV353," ",'BMP P Tracking Table'!$AX353),'Performance Curves'!$C$1:$L$45,MATCH('BMP P Tracking Table'!$AZ353,'Performance Curves'!$E$1:$L$1,1)+1,FALSE)),"")</f>
        <v/>
      </c>
      <c r="BB353" s="101" t="str">
        <f>IFERROR(('BMP P Tracking Table'!$AZ353-INDEX('Performance Curves'!$E$1:$L$1,1,MATCH('BMP P Tracking Table'!$AZ353,'Performance Curves'!$E$1:$L$1,1)))/(INDEX('Performance Curves'!$E$1:$L$1,1,MATCH('BMP P Tracking Table'!$AZ353,'Performance Curves'!$E$1:$L$1,1)+1)-INDEX('Performance Curves'!$E$1:$L$1,1,MATCH('BMP P Tracking Table'!$AZ353,'Performance Curves'!$E$1:$L$1,1))),"")</f>
        <v/>
      </c>
      <c r="BC353" s="102" t="str">
        <f>IFERROR(IF('BMP P Tracking Table'!$AZ353=2,VLOOKUP(CONCATENATE('BMP P Tracking Table'!$AV353," ",'BMP P Tracking Table'!$AX353),'Performance Curves'!$C$1:$L$44,MATCH('BMP P Tracking Table'!$AZ353,'Performance Curves'!$E$1:$L$1,1)+1,FALSE),'BMP P Tracking Table'!$BA353*'BMP P Tracking Table'!$BB353+VLOOKUP(CONCATENATE('BMP P Tracking Table'!$AV353," ",'BMP P Tracking Table'!$AX353),'Performance Curves'!$C$1:$L$44,MATCH('BMP P Tracking Table'!$AZ353,'Performance Curves'!$E$1:$L$1,1)+1,FALSE)),"")</f>
        <v/>
      </c>
      <c r="BD353" s="101" t="str">
        <f>IFERROR('BMP P Tracking Table'!$BC353*'BMP P Tracking Table'!$AY353,"")</f>
        <v/>
      </c>
      <c r="BE353" s="96"/>
      <c r="BF353" s="37">
        <f t="shared" si="23"/>
        <v>0</v>
      </c>
    </row>
    <row r="354" spans="1:58" x14ac:dyDescent="0.3">
      <c r="A354" s="64"/>
      <c r="B354" s="64"/>
      <c r="C354" s="64"/>
      <c r="D354" s="64"/>
      <c r="E354" s="93"/>
      <c r="F354" s="93"/>
      <c r="G354" s="64"/>
      <c r="H354" s="64"/>
      <c r="I354" s="64"/>
      <c r="J354" s="94"/>
      <c r="K354" s="64"/>
      <c r="L354" s="64"/>
      <c r="M354" s="64"/>
      <c r="N354" s="64"/>
      <c r="O354" s="64"/>
      <c r="P354" s="64"/>
      <c r="Q354" s="64" t="str">
        <f>IFERROR(VLOOKUP('BMP P Tracking Table'!$P354,Dropdowns!$C$2:$E$15,3,FALSE),"")</f>
        <v/>
      </c>
      <c r="R354" s="64" t="str">
        <f>IFERROR(VLOOKUP('BMP P Tracking Table'!$Q354,Dropdowns!$P$3:$Q$23,2,FALSE),"")</f>
        <v/>
      </c>
      <c r="S354" s="64"/>
      <c r="T354" s="64"/>
      <c r="U354" s="64"/>
      <c r="V354" s="64"/>
      <c r="W354" s="64"/>
      <c r="X354" s="64"/>
      <c r="Y354" s="64"/>
      <c r="Z354" s="64"/>
      <c r="AA354" s="64"/>
      <c r="AB354" s="95"/>
      <c r="AC354" s="64"/>
      <c r="AD354" s="101" t="str">
        <f>IFERROR('BMP P Tracking Table'!$U354*VLOOKUP('BMP P Tracking Table'!$Q354,'Loading Rates'!$B$1:$L$24,4,FALSE)+IF('BMP P Tracking Table'!$V354="By HSG",'BMP P Tracking Table'!$W354*VLOOKUP('BMP P Tracking Table'!$Q354,'Loading Rates'!$B$1:$L$24,6,FALSE)+'BMP P Tracking Table'!$X354*VLOOKUP('BMP P Tracking Table'!$Q354,'Loading Rates'!$B$1:$L$24,7,FALSE)+'BMP P Tracking Table'!$Y354*VLOOKUP('BMP P Tracking Table'!$Q354,'Loading Rates'!$B$1:$L$24,8,FALSE)+'BMP P Tracking Table'!$Z354*VLOOKUP('BMP P Tracking Table'!$Q354,'Loading Rates'!$B$1:$L$24,9,FALSE),'BMP P Tracking Table'!$AA354*VLOOKUP('BMP P Tracking Table'!$Q354,'Loading Rates'!$B$1:$L$24,10,FALSE)),"")</f>
        <v/>
      </c>
      <c r="AE354" s="101" t="str">
        <f>IFERROR(MIN(2,IF('BMP P Tracking Table'!$V354="Total Pervious",(-(3630*'BMP P Tracking Table'!$U354+20.691*'BMP P Tracking Table'!$AA354)+SQRT((3630*'BMP P Tracking Table'!$U354+20.691*'BMP P Tracking Table'!$AA354)^2-(4*(996.798*'BMP P Tracking Table'!$AA354)*-'BMP P Tracking Table'!$AB354)))/(2*(996.798*'BMP P Tracking Table'!$AA354)),IF(SUM('BMP P Tracking Table'!$W354:$Z354)=0,'BMP P Tracking Table'!$AB354/(-3630*'BMP P Tracking Table'!$U354),(-(3630*'BMP P Tracking Table'!$U354+20.691*'BMP P Tracking Table'!$Z354-216.711*'BMP P Tracking Table'!$Y354-83.853*'BMP P Tracking Table'!$X354-42.834*'BMP P Tracking Table'!$W354)+SQRT((3630*'BMP P Tracking Table'!$U354+20.691*'BMP P Tracking Table'!$Z354-216.711*'BMP P Tracking Table'!$Y354-83.853*'BMP P Tracking Table'!$X354-42.834*'BMP P Tracking Table'!$W354)^2-(4*(149.919*'BMP P Tracking Table'!$W354+236.676*'BMP P Tracking Table'!$X354+726*'BMP P Tracking Table'!$Y354+996.798*'BMP P Tracking Table'!$Z354)*-'BMP P Tracking Table'!$AB354)))/(2*(149.919*'BMP P Tracking Table'!$W354+236.676*'BMP P Tracking Table'!$X354+726*'BMP P Tracking Table'!$Y354+996.798*'BMP P Tracking Table'!$Z354))))),"")</f>
        <v/>
      </c>
      <c r="AF354" s="101" t="str">
        <f>IFERROR((VLOOKUP(CONCATENATE('BMP P Tracking Table'!$T354," ",'BMP P Tracking Table'!$AC354),'Performance Curves'!$C$1:$L$45,MATCH('BMP P Tracking Table'!$AE354,'Performance Curves'!$E$1:$L$1,1)+2,FALSE)-VLOOKUP(CONCATENATE('BMP P Tracking Table'!$T354," ",'BMP P Tracking Table'!$AC354),'Performance Curves'!$C$1:$L$45,MATCH('BMP P Tracking Table'!$AE354,'Performance Curves'!$E$1:$L$1,1)+1,FALSE)),"")</f>
        <v/>
      </c>
      <c r="AG354" s="101" t="str">
        <f>IFERROR(('BMP P Tracking Table'!$AE354-INDEX('Performance Curves'!$E$1:$L$1,1,MATCH('BMP P Tracking Table'!$AE354,'Performance Curves'!$E$1:$L$1,1)))/(INDEX('Performance Curves'!$E$1:$L$1,1,MATCH('BMP P Tracking Table'!$AE354,'Performance Curves'!$E$1:$L$1,1)+1)-INDEX('Performance Curves'!$E$1:$L$1,1,MATCH('BMP P Tracking Table'!$AE354,'Performance Curves'!$E$1:$L$1,1))),"")</f>
        <v/>
      </c>
      <c r="AH354" s="102" t="str">
        <f>IFERROR(IF('BMP P Tracking Table'!$AE354=2,VLOOKUP(CONCATENATE('BMP P Tracking Table'!$T354," ",'BMP P Tracking Table'!$AC354),'Performance Curves'!$C$1:$L$45,MATCH('BMP P Tracking Table'!$AE354,'Performance Curves'!$E$1:$L$1,1)+1,FALSE),'BMP P Tracking Table'!$AF354*'BMP P Tracking Table'!$AG354+VLOOKUP(CONCATENATE('BMP P Tracking Table'!$T354," ",'BMP P Tracking Table'!$AC354),'Performance Curves'!$C$1:$L$45,MATCH('BMP P Tracking Table'!$AE354,'Performance Curves'!$E$1:$L$1,1)+1,FALSE)),"")</f>
        <v/>
      </c>
      <c r="AI354" s="101" t="str">
        <f>IFERROR('BMP P Tracking Table'!$AH354*'BMP P Tracking Table'!$AD354,"")</f>
        <v/>
      </c>
      <c r="AJ354" s="64"/>
      <c r="AK354" s="96"/>
      <c r="AL354" s="96"/>
      <c r="AM354" s="63"/>
      <c r="AN354" s="99" t="str">
        <f t="shared" si="22"/>
        <v/>
      </c>
      <c r="AO354" s="96"/>
      <c r="AP354" s="96"/>
      <c r="AQ354" s="96"/>
      <c r="AR354" s="96"/>
      <c r="AS354" s="96"/>
      <c r="AT354" s="96"/>
      <c r="AU354" s="96"/>
      <c r="AV354" s="64"/>
      <c r="AW354" s="97"/>
      <c r="AX354" s="97"/>
      <c r="AY354" s="101" t="str">
        <f>IF('BMP P Tracking Table'!$AK354="Yes",IF('BMP P Tracking Table'!$AL354="No",'BMP P Tracking Table'!$U354*VLOOKUP('BMP P Tracking Table'!$Q354,'Loading Rates'!$B$1:$L$24,4,FALSE)+IF('BMP P Tracking Table'!$V354="By HSG",'BMP P Tracking Table'!$W354*VLOOKUP('BMP P Tracking Table'!$Q354,'Loading Rates'!$B$1:$L$24,6,FALSE)+'BMP P Tracking Table'!$X354*VLOOKUP('BMP P Tracking Table'!$Q354,'Loading Rates'!$B$1:$L$24,7,FALSE)+'BMP P Tracking Table'!$Y354*VLOOKUP('BMP P Tracking Table'!$Q354,'Loading Rates'!$B$1:$L$24,8,FALSE)+'BMP P Tracking Table'!$Z354*VLOOKUP('BMP P Tracking Table'!$Q354,'Loading Rates'!$B$1:$L$24,9,FALSE),'BMP P Tracking Table'!$AA354*VLOOKUP('BMP P Tracking Table'!$Q354,'Loading Rates'!$B$1:$L$24,10,FALSE)),'BMP P Tracking Table'!$AO354*VLOOKUP('BMP P Tracking Table'!$Q354,'Loading Rates'!$B$1:$L$24,4,FALSE)+IF('BMP P Tracking Table'!$AP354="By HSG",'BMP P Tracking Table'!$AQ354*VLOOKUP('BMP P Tracking Table'!$Q354,'Loading Rates'!$B$1:$L$24,6,FALSE)+'BMP P Tracking Table'!$AR354*VLOOKUP('BMP P Tracking Table'!$Q354,'Loading Rates'!$B$1:$L$24,7,FALSE)+'BMP P Tracking Table'!$AS354*VLOOKUP('BMP P Tracking Table'!$Q354,'Loading Rates'!$B$1:$L$24,8,FALSE)+'BMP P Tracking Table'!$AT354*VLOOKUP('BMP P Tracking Table'!$Q354,'Loading Rates'!$B$1:$L$24,9,FALSE),'BMP P Tracking Table'!$AU354*VLOOKUP('BMP P Tracking Table'!$Q354,'Loading Rates'!$B$1:$L$24,10,FALSE))),"")</f>
        <v/>
      </c>
      <c r="AZ354" s="101" t="str">
        <f>IFERROR(IF('BMP P Tracking Table'!$AL354="Yes",MIN(2,IF('BMP P Tracking Table'!$AP354="Total Pervious",(-(3630*'BMP P Tracking Table'!$AO354+20.691*'BMP P Tracking Table'!$AU354)+SQRT((3630*'BMP P Tracking Table'!$AO354+20.691*'BMP P Tracking Table'!$AU354)^2-(4*(996.798*'BMP P Tracking Table'!$AU354)*-'BMP P Tracking Table'!$AW354)))/(2*(996.798*'BMP P Tracking Table'!$AU354)),IF(SUM('BMP P Tracking Table'!$AQ354:$AT354)=0,'BMP P Tracking Table'!$AU354/(-3630*'BMP P Tracking Table'!$AO354),(-(3630*'BMP P Tracking Table'!$AO354+20.691*'BMP P Tracking Table'!$AT354-216.711*'BMP P Tracking Table'!$AS354-83.853*'BMP P Tracking Table'!$AR354-42.834*'BMP P Tracking Table'!$AQ354)+SQRT((3630*'BMP P Tracking Table'!$AO354+20.691*'BMP P Tracking Table'!$AT354-216.711*'BMP P Tracking Table'!$AS354-83.853*'BMP P Tracking Table'!$AR354-42.834*'BMP P Tracking Table'!$AQ354)^2-(4*(149.919*'BMP P Tracking Table'!$AQ354+236.676*'BMP P Tracking Table'!$AR354+726*'BMP P Tracking Table'!$AS354+996.798*'BMP P Tracking Table'!$AT354)*-'BMP P Tracking Table'!$AW354)))/(2*(149.919*'BMP P Tracking Table'!$AQ354+236.676*'BMP P Tracking Table'!$AR354+726*'BMP P Tracking Table'!$AS354+996.798*'BMP P Tracking Table'!$AT354))))),MIN(2,IF('BMP P Tracking Table'!$AP354="Total Pervious",(-(3630*'BMP P Tracking Table'!$U354+20.691*'BMP P Tracking Table'!$AA354)+SQRT((3630*'BMP P Tracking Table'!$U354+20.691*'BMP P Tracking Table'!$AA354)^2-(4*(996.798*'BMP P Tracking Table'!$AA354)*-'BMP P Tracking Table'!$AW354)))/(2*(996.798*'BMP P Tracking Table'!$AA354)),IF(SUM('BMP P Tracking Table'!$W354:$Z354)=0,'BMP P Tracking Table'!$AW354/(-3630*'BMP P Tracking Table'!$U354),(-(3630*'BMP P Tracking Table'!$U354+20.691*'BMP P Tracking Table'!$Z354-216.711*'BMP P Tracking Table'!$Y354-83.853*'BMP P Tracking Table'!$X354-42.834*'BMP P Tracking Table'!$W354)+SQRT((3630*'BMP P Tracking Table'!$U354+20.691*'BMP P Tracking Table'!$Z354-216.711*'BMP P Tracking Table'!$Y354-83.853*'BMP P Tracking Table'!$X354-42.834*'BMP P Tracking Table'!$W354)^2-(4*(149.919*'BMP P Tracking Table'!$W354+236.676*'BMP P Tracking Table'!$X354+726*'BMP P Tracking Table'!$Y354+996.798*'BMP P Tracking Table'!$Z354)*-'BMP P Tracking Table'!$AW354)))/(2*(149.919*'BMP P Tracking Table'!$W354+236.676*'BMP P Tracking Table'!$X354+726*'BMP P Tracking Table'!$Y354+996.798*'BMP P Tracking Table'!$Z354)))))),"")</f>
        <v/>
      </c>
      <c r="BA354" s="101" t="str">
        <f>IFERROR((VLOOKUP(CONCATENATE('BMP P Tracking Table'!$AV354," ",'BMP P Tracking Table'!$AX354),'Performance Curves'!$C$1:$L$45,MATCH('BMP P Tracking Table'!$AZ354,'Performance Curves'!$E$1:$L$1,1)+2,FALSE)-VLOOKUP(CONCATENATE('BMP P Tracking Table'!$AV354," ",'BMP P Tracking Table'!$AX354),'Performance Curves'!$C$1:$L$45,MATCH('BMP P Tracking Table'!$AZ354,'Performance Curves'!$E$1:$L$1,1)+1,FALSE)),"")</f>
        <v/>
      </c>
      <c r="BB354" s="101" t="str">
        <f>IFERROR(('BMP P Tracking Table'!$AZ354-INDEX('Performance Curves'!$E$1:$L$1,1,MATCH('BMP P Tracking Table'!$AZ354,'Performance Curves'!$E$1:$L$1,1)))/(INDEX('Performance Curves'!$E$1:$L$1,1,MATCH('BMP P Tracking Table'!$AZ354,'Performance Curves'!$E$1:$L$1,1)+1)-INDEX('Performance Curves'!$E$1:$L$1,1,MATCH('BMP P Tracking Table'!$AZ354,'Performance Curves'!$E$1:$L$1,1))),"")</f>
        <v/>
      </c>
      <c r="BC354" s="102" t="str">
        <f>IFERROR(IF('BMP P Tracking Table'!$AZ354=2,VLOOKUP(CONCATENATE('BMP P Tracking Table'!$AV354," ",'BMP P Tracking Table'!$AX354),'Performance Curves'!$C$1:$L$44,MATCH('BMP P Tracking Table'!$AZ354,'Performance Curves'!$E$1:$L$1,1)+1,FALSE),'BMP P Tracking Table'!$BA354*'BMP P Tracking Table'!$BB354+VLOOKUP(CONCATENATE('BMP P Tracking Table'!$AV354," ",'BMP P Tracking Table'!$AX354),'Performance Curves'!$C$1:$L$44,MATCH('BMP P Tracking Table'!$AZ354,'Performance Curves'!$E$1:$L$1,1)+1,FALSE)),"")</f>
        <v/>
      </c>
      <c r="BD354" s="101" t="str">
        <f>IFERROR('BMP P Tracking Table'!$BC354*'BMP P Tracking Table'!$AY354,"")</f>
        <v/>
      </c>
      <c r="BE354" s="96"/>
      <c r="BF354" s="37">
        <f t="shared" si="23"/>
        <v>0</v>
      </c>
    </row>
    <row r="355" spans="1:58" x14ac:dyDescent="0.3">
      <c r="A355" s="64"/>
      <c r="B355" s="64"/>
      <c r="C355" s="64"/>
      <c r="D355" s="64"/>
      <c r="E355" s="93"/>
      <c r="F355" s="93"/>
      <c r="G355" s="64"/>
      <c r="H355" s="64"/>
      <c r="I355" s="64"/>
      <c r="J355" s="94"/>
      <c r="K355" s="64"/>
      <c r="L355" s="64"/>
      <c r="M355" s="64"/>
      <c r="N355" s="64"/>
      <c r="O355" s="64"/>
      <c r="P355" s="64"/>
      <c r="Q355" s="64" t="str">
        <f>IFERROR(VLOOKUP('BMP P Tracking Table'!$P355,Dropdowns!$C$2:$E$15,3,FALSE),"")</f>
        <v/>
      </c>
      <c r="R355" s="64" t="str">
        <f>IFERROR(VLOOKUP('BMP P Tracking Table'!$Q355,Dropdowns!$P$3:$Q$23,2,FALSE),"")</f>
        <v/>
      </c>
      <c r="S355" s="64"/>
      <c r="T355" s="64"/>
      <c r="U355" s="64"/>
      <c r="V355" s="64"/>
      <c r="W355" s="64"/>
      <c r="X355" s="64"/>
      <c r="Y355" s="64"/>
      <c r="Z355" s="64"/>
      <c r="AA355" s="64"/>
      <c r="AB355" s="95"/>
      <c r="AC355" s="64"/>
      <c r="AD355" s="101" t="str">
        <f>IFERROR('BMP P Tracking Table'!$U355*VLOOKUP('BMP P Tracking Table'!$Q355,'Loading Rates'!$B$1:$L$24,4,FALSE)+IF('BMP P Tracking Table'!$V355="By HSG",'BMP P Tracking Table'!$W355*VLOOKUP('BMP P Tracking Table'!$Q355,'Loading Rates'!$B$1:$L$24,6,FALSE)+'BMP P Tracking Table'!$X355*VLOOKUP('BMP P Tracking Table'!$Q355,'Loading Rates'!$B$1:$L$24,7,FALSE)+'BMP P Tracking Table'!$Y355*VLOOKUP('BMP P Tracking Table'!$Q355,'Loading Rates'!$B$1:$L$24,8,FALSE)+'BMP P Tracking Table'!$Z355*VLOOKUP('BMP P Tracking Table'!$Q355,'Loading Rates'!$B$1:$L$24,9,FALSE),'BMP P Tracking Table'!$AA355*VLOOKUP('BMP P Tracking Table'!$Q355,'Loading Rates'!$B$1:$L$24,10,FALSE)),"")</f>
        <v/>
      </c>
      <c r="AE355" s="101" t="str">
        <f>IFERROR(MIN(2,IF('BMP P Tracking Table'!$V355="Total Pervious",(-(3630*'BMP P Tracking Table'!$U355+20.691*'BMP P Tracking Table'!$AA355)+SQRT((3630*'BMP P Tracking Table'!$U355+20.691*'BMP P Tracking Table'!$AA355)^2-(4*(996.798*'BMP P Tracking Table'!$AA355)*-'BMP P Tracking Table'!$AB355)))/(2*(996.798*'BMP P Tracking Table'!$AA355)),IF(SUM('BMP P Tracking Table'!$W355:$Z355)=0,'BMP P Tracking Table'!$AB355/(-3630*'BMP P Tracking Table'!$U355),(-(3630*'BMP P Tracking Table'!$U355+20.691*'BMP P Tracking Table'!$Z355-216.711*'BMP P Tracking Table'!$Y355-83.853*'BMP P Tracking Table'!$X355-42.834*'BMP P Tracking Table'!$W355)+SQRT((3630*'BMP P Tracking Table'!$U355+20.691*'BMP P Tracking Table'!$Z355-216.711*'BMP P Tracking Table'!$Y355-83.853*'BMP P Tracking Table'!$X355-42.834*'BMP P Tracking Table'!$W355)^2-(4*(149.919*'BMP P Tracking Table'!$W355+236.676*'BMP P Tracking Table'!$X355+726*'BMP P Tracking Table'!$Y355+996.798*'BMP P Tracking Table'!$Z355)*-'BMP P Tracking Table'!$AB355)))/(2*(149.919*'BMP P Tracking Table'!$W355+236.676*'BMP P Tracking Table'!$X355+726*'BMP P Tracking Table'!$Y355+996.798*'BMP P Tracking Table'!$Z355))))),"")</f>
        <v/>
      </c>
      <c r="AF355" s="101" t="str">
        <f>IFERROR((VLOOKUP(CONCATENATE('BMP P Tracking Table'!$T355," ",'BMP P Tracking Table'!$AC355),'Performance Curves'!$C$1:$L$45,MATCH('BMP P Tracking Table'!$AE355,'Performance Curves'!$E$1:$L$1,1)+2,FALSE)-VLOOKUP(CONCATENATE('BMP P Tracking Table'!$T355," ",'BMP P Tracking Table'!$AC355),'Performance Curves'!$C$1:$L$45,MATCH('BMP P Tracking Table'!$AE355,'Performance Curves'!$E$1:$L$1,1)+1,FALSE)),"")</f>
        <v/>
      </c>
      <c r="AG355" s="101" t="str">
        <f>IFERROR(('BMP P Tracking Table'!$AE355-INDEX('Performance Curves'!$E$1:$L$1,1,MATCH('BMP P Tracking Table'!$AE355,'Performance Curves'!$E$1:$L$1,1)))/(INDEX('Performance Curves'!$E$1:$L$1,1,MATCH('BMP P Tracking Table'!$AE355,'Performance Curves'!$E$1:$L$1,1)+1)-INDEX('Performance Curves'!$E$1:$L$1,1,MATCH('BMP P Tracking Table'!$AE355,'Performance Curves'!$E$1:$L$1,1))),"")</f>
        <v/>
      </c>
      <c r="AH355" s="102" t="str">
        <f>IFERROR(IF('BMP P Tracking Table'!$AE355=2,VLOOKUP(CONCATENATE('BMP P Tracking Table'!$T355," ",'BMP P Tracking Table'!$AC355),'Performance Curves'!$C$1:$L$45,MATCH('BMP P Tracking Table'!$AE355,'Performance Curves'!$E$1:$L$1,1)+1,FALSE),'BMP P Tracking Table'!$AF355*'BMP P Tracking Table'!$AG355+VLOOKUP(CONCATENATE('BMP P Tracking Table'!$T355," ",'BMP P Tracking Table'!$AC355),'Performance Curves'!$C$1:$L$45,MATCH('BMP P Tracking Table'!$AE355,'Performance Curves'!$E$1:$L$1,1)+1,FALSE)),"")</f>
        <v/>
      </c>
      <c r="AI355" s="101" t="str">
        <f>IFERROR('BMP P Tracking Table'!$AH355*'BMP P Tracking Table'!$AD355,"")</f>
        <v/>
      </c>
      <c r="AJ355" s="64"/>
      <c r="AK355" s="96"/>
      <c r="AL355" s="96"/>
      <c r="AM355" s="63"/>
      <c r="AN355" s="99" t="str">
        <f t="shared" si="22"/>
        <v/>
      </c>
      <c r="AO355" s="96"/>
      <c r="AP355" s="96"/>
      <c r="AQ355" s="96"/>
      <c r="AR355" s="96"/>
      <c r="AS355" s="96"/>
      <c r="AT355" s="96"/>
      <c r="AU355" s="96"/>
      <c r="AV355" s="64"/>
      <c r="AW355" s="97"/>
      <c r="AX355" s="97"/>
      <c r="AY355" s="101" t="str">
        <f>IF('BMP P Tracking Table'!$AK355="Yes",IF('BMP P Tracking Table'!$AL355="No",'BMP P Tracking Table'!$U355*VLOOKUP('BMP P Tracking Table'!$Q355,'Loading Rates'!$B$1:$L$24,4,FALSE)+IF('BMP P Tracking Table'!$V355="By HSG",'BMP P Tracking Table'!$W355*VLOOKUP('BMP P Tracking Table'!$Q355,'Loading Rates'!$B$1:$L$24,6,FALSE)+'BMP P Tracking Table'!$X355*VLOOKUP('BMP P Tracking Table'!$Q355,'Loading Rates'!$B$1:$L$24,7,FALSE)+'BMP P Tracking Table'!$Y355*VLOOKUP('BMP P Tracking Table'!$Q355,'Loading Rates'!$B$1:$L$24,8,FALSE)+'BMP P Tracking Table'!$Z355*VLOOKUP('BMP P Tracking Table'!$Q355,'Loading Rates'!$B$1:$L$24,9,FALSE),'BMP P Tracking Table'!$AA355*VLOOKUP('BMP P Tracking Table'!$Q355,'Loading Rates'!$B$1:$L$24,10,FALSE)),'BMP P Tracking Table'!$AO355*VLOOKUP('BMP P Tracking Table'!$Q355,'Loading Rates'!$B$1:$L$24,4,FALSE)+IF('BMP P Tracking Table'!$AP355="By HSG",'BMP P Tracking Table'!$AQ355*VLOOKUP('BMP P Tracking Table'!$Q355,'Loading Rates'!$B$1:$L$24,6,FALSE)+'BMP P Tracking Table'!$AR355*VLOOKUP('BMP P Tracking Table'!$Q355,'Loading Rates'!$B$1:$L$24,7,FALSE)+'BMP P Tracking Table'!$AS355*VLOOKUP('BMP P Tracking Table'!$Q355,'Loading Rates'!$B$1:$L$24,8,FALSE)+'BMP P Tracking Table'!$AT355*VLOOKUP('BMP P Tracking Table'!$Q355,'Loading Rates'!$B$1:$L$24,9,FALSE),'BMP P Tracking Table'!$AU355*VLOOKUP('BMP P Tracking Table'!$Q355,'Loading Rates'!$B$1:$L$24,10,FALSE))),"")</f>
        <v/>
      </c>
      <c r="AZ355" s="101" t="str">
        <f>IFERROR(IF('BMP P Tracking Table'!$AL355="Yes",MIN(2,IF('BMP P Tracking Table'!$AP355="Total Pervious",(-(3630*'BMP P Tracking Table'!$AO355+20.691*'BMP P Tracking Table'!$AU355)+SQRT((3630*'BMP P Tracking Table'!$AO355+20.691*'BMP P Tracking Table'!$AU355)^2-(4*(996.798*'BMP P Tracking Table'!$AU355)*-'BMP P Tracking Table'!$AW355)))/(2*(996.798*'BMP P Tracking Table'!$AU355)),IF(SUM('BMP P Tracking Table'!$AQ355:$AT355)=0,'BMP P Tracking Table'!$AU355/(-3630*'BMP P Tracking Table'!$AO355),(-(3630*'BMP P Tracking Table'!$AO355+20.691*'BMP P Tracking Table'!$AT355-216.711*'BMP P Tracking Table'!$AS355-83.853*'BMP P Tracking Table'!$AR355-42.834*'BMP P Tracking Table'!$AQ355)+SQRT((3630*'BMP P Tracking Table'!$AO355+20.691*'BMP P Tracking Table'!$AT355-216.711*'BMP P Tracking Table'!$AS355-83.853*'BMP P Tracking Table'!$AR355-42.834*'BMP P Tracking Table'!$AQ355)^2-(4*(149.919*'BMP P Tracking Table'!$AQ355+236.676*'BMP P Tracking Table'!$AR355+726*'BMP P Tracking Table'!$AS355+996.798*'BMP P Tracking Table'!$AT355)*-'BMP P Tracking Table'!$AW355)))/(2*(149.919*'BMP P Tracking Table'!$AQ355+236.676*'BMP P Tracking Table'!$AR355+726*'BMP P Tracking Table'!$AS355+996.798*'BMP P Tracking Table'!$AT355))))),MIN(2,IF('BMP P Tracking Table'!$AP355="Total Pervious",(-(3630*'BMP P Tracking Table'!$U355+20.691*'BMP P Tracking Table'!$AA355)+SQRT((3630*'BMP P Tracking Table'!$U355+20.691*'BMP P Tracking Table'!$AA355)^2-(4*(996.798*'BMP P Tracking Table'!$AA355)*-'BMP P Tracking Table'!$AW355)))/(2*(996.798*'BMP P Tracking Table'!$AA355)),IF(SUM('BMP P Tracking Table'!$W355:$Z355)=0,'BMP P Tracking Table'!$AW355/(-3630*'BMP P Tracking Table'!$U355),(-(3630*'BMP P Tracking Table'!$U355+20.691*'BMP P Tracking Table'!$Z355-216.711*'BMP P Tracking Table'!$Y355-83.853*'BMP P Tracking Table'!$X355-42.834*'BMP P Tracking Table'!$W355)+SQRT((3630*'BMP P Tracking Table'!$U355+20.691*'BMP P Tracking Table'!$Z355-216.711*'BMP P Tracking Table'!$Y355-83.853*'BMP P Tracking Table'!$X355-42.834*'BMP P Tracking Table'!$W355)^2-(4*(149.919*'BMP P Tracking Table'!$W355+236.676*'BMP P Tracking Table'!$X355+726*'BMP P Tracking Table'!$Y355+996.798*'BMP P Tracking Table'!$Z355)*-'BMP P Tracking Table'!$AW355)))/(2*(149.919*'BMP P Tracking Table'!$W355+236.676*'BMP P Tracking Table'!$X355+726*'BMP P Tracking Table'!$Y355+996.798*'BMP P Tracking Table'!$Z355)))))),"")</f>
        <v/>
      </c>
      <c r="BA355" s="101" t="str">
        <f>IFERROR((VLOOKUP(CONCATENATE('BMP P Tracking Table'!$AV355," ",'BMP P Tracking Table'!$AX355),'Performance Curves'!$C$1:$L$45,MATCH('BMP P Tracking Table'!$AZ355,'Performance Curves'!$E$1:$L$1,1)+2,FALSE)-VLOOKUP(CONCATENATE('BMP P Tracking Table'!$AV355," ",'BMP P Tracking Table'!$AX355),'Performance Curves'!$C$1:$L$45,MATCH('BMP P Tracking Table'!$AZ355,'Performance Curves'!$E$1:$L$1,1)+1,FALSE)),"")</f>
        <v/>
      </c>
      <c r="BB355" s="101" t="str">
        <f>IFERROR(('BMP P Tracking Table'!$AZ355-INDEX('Performance Curves'!$E$1:$L$1,1,MATCH('BMP P Tracking Table'!$AZ355,'Performance Curves'!$E$1:$L$1,1)))/(INDEX('Performance Curves'!$E$1:$L$1,1,MATCH('BMP P Tracking Table'!$AZ355,'Performance Curves'!$E$1:$L$1,1)+1)-INDEX('Performance Curves'!$E$1:$L$1,1,MATCH('BMP P Tracking Table'!$AZ355,'Performance Curves'!$E$1:$L$1,1))),"")</f>
        <v/>
      </c>
      <c r="BC355" s="102" t="str">
        <f>IFERROR(IF('BMP P Tracking Table'!$AZ355=2,VLOOKUP(CONCATENATE('BMP P Tracking Table'!$AV355," ",'BMP P Tracking Table'!$AX355),'Performance Curves'!$C$1:$L$44,MATCH('BMP P Tracking Table'!$AZ355,'Performance Curves'!$E$1:$L$1,1)+1,FALSE),'BMP P Tracking Table'!$BA355*'BMP P Tracking Table'!$BB355+VLOOKUP(CONCATENATE('BMP P Tracking Table'!$AV355," ",'BMP P Tracking Table'!$AX355),'Performance Curves'!$C$1:$L$44,MATCH('BMP P Tracking Table'!$AZ355,'Performance Curves'!$E$1:$L$1,1)+1,FALSE)),"")</f>
        <v/>
      </c>
      <c r="BD355" s="101" t="str">
        <f>IFERROR('BMP P Tracking Table'!$BC355*'BMP P Tracking Table'!$AY355,"")</f>
        <v/>
      </c>
      <c r="BE355" s="96"/>
      <c r="BF355" s="37">
        <f t="shared" si="23"/>
        <v>0</v>
      </c>
    </row>
    <row r="356" spans="1:58" x14ac:dyDescent="0.3">
      <c r="A356" s="64"/>
      <c r="B356" s="64"/>
      <c r="C356" s="64"/>
      <c r="D356" s="64"/>
      <c r="E356" s="93"/>
      <c r="F356" s="93"/>
      <c r="G356" s="64"/>
      <c r="H356" s="64"/>
      <c r="I356" s="64"/>
      <c r="J356" s="94"/>
      <c r="K356" s="64"/>
      <c r="L356" s="64"/>
      <c r="M356" s="64"/>
      <c r="N356" s="64"/>
      <c r="O356" s="64"/>
      <c r="P356" s="64"/>
      <c r="Q356" s="64" t="str">
        <f>IFERROR(VLOOKUP('BMP P Tracking Table'!$P356,Dropdowns!$C$2:$E$15,3,FALSE),"")</f>
        <v/>
      </c>
      <c r="R356" s="64" t="str">
        <f>IFERROR(VLOOKUP('BMP P Tracking Table'!$Q356,Dropdowns!$P$3:$Q$23,2,FALSE),"")</f>
        <v/>
      </c>
      <c r="S356" s="64"/>
      <c r="T356" s="64"/>
      <c r="U356" s="64"/>
      <c r="V356" s="64"/>
      <c r="W356" s="64"/>
      <c r="X356" s="64"/>
      <c r="Y356" s="64"/>
      <c r="Z356" s="64"/>
      <c r="AA356" s="64"/>
      <c r="AB356" s="95"/>
      <c r="AC356" s="64"/>
      <c r="AD356" s="101" t="str">
        <f>IFERROR('BMP P Tracking Table'!$U356*VLOOKUP('BMP P Tracking Table'!$Q356,'Loading Rates'!$B$1:$L$24,4,FALSE)+IF('BMP P Tracking Table'!$V356="By HSG",'BMP P Tracking Table'!$W356*VLOOKUP('BMP P Tracking Table'!$Q356,'Loading Rates'!$B$1:$L$24,6,FALSE)+'BMP P Tracking Table'!$X356*VLOOKUP('BMP P Tracking Table'!$Q356,'Loading Rates'!$B$1:$L$24,7,FALSE)+'BMP P Tracking Table'!$Y356*VLOOKUP('BMP P Tracking Table'!$Q356,'Loading Rates'!$B$1:$L$24,8,FALSE)+'BMP P Tracking Table'!$Z356*VLOOKUP('BMP P Tracking Table'!$Q356,'Loading Rates'!$B$1:$L$24,9,FALSE),'BMP P Tracking Table'!$AA356*VLOOKUP('BMP P Tracking Table'!$Q356,'Loading Rates'!$B$1:$L$24,10,FALSE)),"")</f>
        <v/>
      </c>
      <c r="AE356" s="101" t="str">
        <f>IFERROR(MIN(2,IF('BMP P Tracking Table'!$V356="Total Pervious",(-(3630*'BMP P Tracking Table'!$U356+20.691*'BMP P Tracking Table'!$AA356)+SQRT((3630*'BMP P Tracking Table'!$U356+20.691*'BMP P Tracking Table'!$AA356)^2-(4*(996.798*'BMP P Tracking Table'!$AA356)*-'BMP P Tracking Table'!$AB356)))/(2*(996.798*'BMP P Tracking Table'!$AA356)),IF(SUM('BMP P Tracking Table'!$W356:$Z356)=0,'BMP P Tracking Table'!$AB356/(-3630*'BMP P Tracking Table'!$U356),(-(3630*'BMP P Tracking Table'!$U356+20.691*'BMP P Tracking Table'!$Z356-216.711*'BMP P Tracking Table'!$Y356-83.853*'BMP P Tracking Table'!$X356-42.834*'BMP P Tracking Table'!$W356)+SQRT((3630*'BMP P Tracking Table'!$U356+20.691*'BMP P Tracking Table'!$Z356-216.711*'BMP P Tracking Table'!$Y356-83.853*'BMP P Tracking Table'!$X356-42.834*'BMP P Tracking Table'!$W356)^2-(4*(149.919*'BMP P Tracking Table'!$W356+236.676*'BMP P Tracking Table'!$X356+726*'BMP P Tracking Table'!$Y356+996.798*'BMP P Tracking Table'!$Z356)*-'BMP P Tracking Table'!$AB356)))/(2*(149.919*'BMP P Tracking Table'!$W356+236.676*'BMP P Tracking Table'!$X356+726*'BMP P Tracking Table'!$Y356+996.798*'BMP P Tracking Table'!$Z356))))),"")</f>
        <v/>
      </c>
      <c r="AF356" s="101" t="str">
        <f>IFERROR((VLOOKUP(CONCATENATE('BMP P Tracking Table'!$T356," ",'BMP P Tracking Table'!$AC356),'Performance Curves'!$C$1:$L$45,MATCH('BMP P Tracking Table'!$AE356,'Performance Curves'!$E$1:$L$1,1)+2,FALSE)-VLOOKUP(CONCATENATE('BMP P Tracking Table'!$T356," ",'BMP P Tracking Table'!$AC356),'Performance Curves'!$C$1:$L$45,MATCH('BMP P Tracking Table'!$AE356,'Performance Curves'!$E$1:$L$1,1)+1,FALSE)),"")</f>
        <v/>
      </c>
      <c r="AG356" s="101" t="str">
        <f>IFERROR(('BMP P Tracking Table'!$AE356-INDEX('Performance Curves'!$E$1:$L$1,1,MATCH('BMP P Tracking Table'!$AE356,'Performance Curves'!$E$1:$L$1,1)))/(INDEX('Performance Curves'!$E$1:$L$1,1,MATCH('BMP P Tracking Table'!$AE356,'Performance Curves'!$E$1:$L$1,1)+1)-INDEX('Performance Curves'!$E$1:$L$1,1,MATCH('BMP P Tracking Table'!$AE356,'Performance Curves'!$E$1:$L$1,1))),"")</f>
        <v/>
      </c>
      <c r="AH356" s="102" t="str">
        <f>IFERROR(IF('BMP P Tracking Table'!$AE356=2,VLOOKUP(CONCATENATE('BMP P Tracking Table'!$T356," ",'BMP P Tracking Table'!$AC356),'Performance Curves'!$C$1:$L$45,MATCH('BMP P Tracking Table'!$AE356,'Performance Curves'!$E$1:$L$1,1)+1,FALSE),'BMP P Tracking Table'!$AF356*'BMP P Tracking Table'!$AG356+VLOOKUP(CONCATENATE('BMP P Tracking Table'!$T356," ",'BMP P Tracking Table'!$AC356),'Performance Curves'!$C$1:$L$45,MATCH('BMP P Tracking Table'!$AE356,'Performance Curves'!$E$1:$L$1,1)+1,FALSE)),"")</f>
        <v/>
      </c>
      <c r="AI356" s="101" t="str">
        <f>IFERROR('BMP P Tracking Table'!$AH356*'BMP P Tracking Table'!$AD356,"")</f>
        <v/>
      </c>
      <c r="AJ356" s="64"/>
      <c r="AK356" s="96"/>
      <c r="AL356" s="96"/>
      <c r="AM356" s="63"/>
      <c r="AN356" s="99" t="str">
        <f t="shared" si="22"/>
        <v/>
      </c>
      <c r="AO356" s="96"/>
      <c r="AP356" s="96"/>
      <c r="AQ356" s="96"/>
      <c r="AR356" s="96"/>
      <c r="AS356" s="96"/>
      <c r="AT356" s="96"/>
      <c r="AU356" s="96"/>
      <c r="AV356" s="64"/>
      <c r="AW356" s="97"/>
      <c r="AX356" s="97"/>
      <c r="AY356" s="101" t="str">
        <f>IF('BMP P Tracking Table'!$AK356="Yes",IF('BMP P Tracking Table'!$AL356="No",'BMP P Tracking Table'!$U356*VLOOKUP('BMP P Tracking Table'!$Q356,'Loading Rates'!$B$1:$L$24,4,FALSE)+IF('BMP P Tracking Table'!$V356="By HSG",'BMP P Tracking Table'!$W356*VLOOKUP('BMP P Tracking Table'!$Q356,'Loading Rates'!$B$1:$L$24,6,FALSE)+'BMP P Tracking Table'!$X356*VLOOKUP('BMP P Tracking Table'!$Q356,'Loading Rates'!$B$1:$L$24,7,FALSE)+'BMP P Tracking Table'!$Y356*VLOOKUP('BMP P Tracking Table'!$Q356,'Loading Rates'!$B$1:$L$24,8,FALSE)+'BMP P Tracking Table'!$Z356*VLOOKUP('BMP P Tracking Table'!$Q356,'Loading Rates'!$B$1:$L$24,9,FALSE),'BMP P Tracking Table'!$AA356*VLOOKUP('BMP P Tracking Table'!$Q356,'Loading Rates'!$B$1:$L$24,10,FALSE)),'BMP P Tracking Table'!$AO356*VLOOKUP('BMP P Tracking Table'!$Q356,'Loading Rates'!$B$1:$L$24,4,FALSE)+IF('BMP P Tracking Table'!$AP356="By HSG",'BMP P Tracking Table'!$AQ356*VLOOKUP('BMP P Tracking Table'!$Q356,'Loading Rates'!$B$1:$L$24,6,FALSE)+'BMP P Tracking Table'!$AR356*VLOOKUP('BMP P Tracking Table'!$Q356,'Loading Rates'!$B$1:$L$24,7,FALSE)+'BMP P Tracking Table'!$AS356*VLOOKUP('BMP P Tracking Table'!$Q356,'Loading Rates'!$B$1:$L$24,8,FALSE)+'BMP P Tracking Table'!$AT356*VLOOKUP('BMP P Tracking Table'!$Q356,'Loading Rates'!$B$1:$L$24,9,FALSE),'BMP P Tracking Table'!$AU356*VLOOKUP('BMP P Tracking Table'!$Q356,'Loading Rates'!$B$1:$L$24,10,FALSE))),"")</f>
        <v/>
      </c>
      <c r="AZ356" s="101" t="str">
        <f>IFERROR(IF('BMP P Tracking Table'!$AL356="Yes",MIN(2,IF('BMP P Tracking Table'!$AP356="Total Pervious",(-(3630*'BMP P Tracking Table'!$AO356+20.691*'BMP P Tracking Table'!$AU356)+SQRT((3630*'BMP P Tracking Table'!$AO356+20.691*'BMP P Tracking Table'!$AU356)^2-(4*(996.798*'BMP P Tracking Table'!$AU356)*-'BMP P Tracking Table'!$AW356)))/(2*(996.798*'BMP P Tracking Table'!$AU356)),IF(SUM('BMP P Tracking Table'!$AQ356:$AT356)=0,'BMP P Tracking Table'!$AU356/(-3630*'BMP P Tracking Table'!$AO356),(-(3630*'BMP P Tracking Table'!$AO356+20.691*'BMP P Tracking Table'!$AT356-216.711*'BMP P Tracking Table'!$AS356-83.853*'BMP P Tracking Table'!$AR356-42.834*'BMP P Tracking Table'!$AQ356)+SQRT((3630*'BMP P Tracking Table'!$AO356+20.691*'BMP P Tracking Table'!$AT356-216.711*'BMP P Tracking Table'!$AS356-83.853*'BMP P Tracking Table'!$AR356-42.834*'BMP P Tracking Table'!$AQ356)^2-(4*(149.919*'BMP P Tracking Table'!$AQ356+236.676*'BMP P Tracking Table'!$AR356+726*'BMP P Tracking Table'!$AS356+996.798*'BMP P Tracking Table'!$AT356)*-'BMP P Tracking Table'!$AW356)))/(2*(149.919*'BMP P Tracking Table'!$AQ356+236.676*'BMP P Tracking Table'!$AR356+726*'BMP P Tracking Table'!$AS356+996.798*'BMP P Tracking Table'!$AT356))))),MIN(2,IF('BMP P Tracking Table'!$AP356="Total Pervious",(-(3630*'BMP P Tracking Table'!$U356+20.691*'BMP P Tracking Table'!$AA356)+SQRT((3630*'BMP P Tracking Table'!$U356+20.691*'BMP P Tracking Table'!$AA356)^2-(4*(996.798*'BMP P Tracking Table'!$AA356)*-'BMP P Tracking Table'!$AW356)))/(2*(996.798*'BMP P Tracking Table'!$AA356)),IF(SUM('BMP P Tracking Table'!$W356:$Z356)=0,'BMP P Tracking Table'!$AW356/(-3630*'BMP P Tracking Table'!$U356),(-(3630*'BMP P Tracking Table'!$U356+20.691*'BMP P Tracking Table'!$Z356-216.711*'BMP P Tracking Table'!$Y356-83.853*'BMP P Tracking Table'!$X356-42.834*'BMP P Tracking Table'!$W356)+SQRT((3630*'BMP P Tracking Table'!$U356+20.691*'BMP P Tracking Table'!$Z356-216.711*'BMP P Tracking Table'!$Y356-83.853*'BMP P Tracking Table'!$X356-42.834*'BMP P Tracking Table'!$W356)^2-(4*(149.919*'BMP P Tracking Table'!$W356+236.676*'BMP P Tracking Table'!$X356+726*'BMP P Tracking Table'!$Y356+996.798*'BMP P Tracking Table'!$Z356)*-'BMP P Tracking Table'!$AW356)))/(2*(149.919*'BMP P Tracking Table'!$W356+236.676*'BMP P Tracking Table'!$X356+726*'BMP P Tracking Table'!$Y356+996.798*'BMP P Tracking Table'!$Z356)))))),"")</f>
        <v/>
      </c>
      <c r="BA356" s="101" t="str">
        <f>IFERROR((VLOOKUP(CONCATENATE('BMP P Tracking Table'!$AV356," ",'BMP P Tracking Table'!$AX356),'Performance Curves'!$C$1:$L$45,MATCH('BMP P Tracking Table'!$AZ356,'Performance Curves'!$E$1:$L$1,1)+2,FALSE)-VLOOKUP(CONCATENATE('BMP P Tracking Table'!$AV356," ",'BMP P Tracking Table'!$AX356),'Performance Curves'!$C$1:$L$45,MATCH('BMP P Tracking Table'!$AZ356,'Performance Curves'!$E$1:$L$1,1)+1,FALSE)),"")</f>
        <v/>
      </c>
      <c r="BB356" s="101" t="str">
        <f>IFERROR(('BMP P Tracking Table'!$AZ356-INDEX('Performance Curves'!$E$1:$L$1,1,MATCH('BMP P Tracking Table'!$AZ356,'Performance Curves'!$E$1:$L$1,1)))/(INDEX('Performance Curves'!$E$1:$L$1,1,MATCH('BMP P Tracking Table'!$AZ356,'Performance Curves'!$E$1:$L$1,1)+1)-INDEX('Performance Curves'!$E$1:$L$1,1,MATCH('BMP P Tracking Table'!$AZ356,'Performance Curves'!$E$1:$L$1,1))),"")</f>
        <v/>
      </c>
      <c r="BC356" s="102" t="str">
        <f>IFERROR(IF('BMP P Tracking Table'!$AZ356=2,VLOOKUP(CONCATENATE('BMP P Tracking Table'!$AV356," ",'BMP P Tracking Table'!$AX356),'Performance Curves'!$C$1:$L$44,MATCH('BMP P Tracking Table'!$AZ356,'Performance Curves'!$E$1:$L$1,1)+1,FALSE),'BMP P Tracking Table'!$BA356*'BMP P Tracking Table'!$BB356+VLOOKUP(CONCATENATE('BMP P Tracking Table'!$AV356," ",'BMP P Tracking Table'!$AX356),'Performance Curves'!$C$1:$L$44,MATCH('BMP P Tracking Table'!$AZ356,'Performance Curves'!$E$1:$L$1,1)+1,FALSE)),"")</f>
        <v/>
      </c>
      <c r="BD356" s="101" t="str">
        <f>IFERROR('BMP P Tracking Table'!$BC356*'BMP P Tracking Table'!$AY356,"")</f>
        <v/>
      </c>
      <c r="BE356" s="91"/>
      <c r="BF356" s="37">
        <f t="shared" si="23"/>
        <v>0</v>
      </c>
    </row>
    <row r="357" spans="1:58" x14ac:dyDescent="0.3">
      <c r="A357" s="64"/>
      <c r="B357" s="64"/>
      <c r="C357" s="64"/>
      <c r="D357" s="64"/>
      <c r="E357" s="93"/>
      <c r="F357" s="93"/>
      <c r="G357" s="64"/>
      <c r="H357" s="64"/>
      <c r="I357" s="64"/>
      <c r="J357" s="94"/>
      <c r="K357" s="64"/>
      <c r="L357" s="64"/>
      <c r="M357" s="64"/>
      <c r="N357" s="64"/>
      <c r="O357" s="64"/>
      <c r="P357" s="64"/>
      <c r="Q357" s="64" t="str">
        <f>IFERROR(VLOOKUP('BMP P Tracking Table'!$P357,Dropdowns!$C$2:$E$15,3,FALSE),"")</f>
        <v/>
      </c>
      <c r="R357" s="64" t="str">
        <f>IFERROR(VLOOKUP('BMP P Tracking Table'!$Q357,Dropdowns!$P$3:$Q$23,2,FALSE),"")</f>
        <v/>
      </c>
      <c r="S357" s="64"/>
      <c r="T357" s="64"/>
      <c r="U357" s="64"/>
      <c r="V357" s="64"/>
      <c r="W357" s="64"/>
      <c r="X357" s="64"/>
      <c r="Y357" s="64"/>
      <c r="Z357" s="64"/>
      <c r="AA357" s="64"/>
      <c r="AB357" s="95"/>
      <c r="AC357" s="64"/>
      <c r="AD357" s="101" t="str">
        <f>IFERROR('BMP P Tracking Table'!$U357*VLOOKUP('BMP P Tracking Table'!$Q357,'Loading Rates'!$B$1:$L$24,4,FALSE)+IF('BMP P Tracking Table'!$V357="By HSG",'BMP P Tracking Table'!$W357*VLOOKUP('BMP P Tracking Table'!$Q357,'Loading Rates'!$B$1:$L$24,6,FALSE)+'BMP P Tracking Table'!$X357*VLOOKUP('BMP P Tracking Table'!$Q357,'Loading Rates'!$B$1:$L$24,7,FALSE)+'BMP P Tracking Table'!$Y357*VLOOKUP('BMP P Tracking Table'!$Q357,'Loading Rates'!$B$1:$L$24,8,FALSE)+'BMP P Tracking Table'!$Z357*VLOOKUP('BMP P Tracking Table'!$Q357,'Loading Rates'!$B$1:$L$24,9,FALSE),'BMP P Tracking Table'!$AA357*VLOOKUP('BMP P Tracking Table'!$Q357,'Loading Rates'!$B$1:$L$24,10,FALSE)),"")</f>
        <v/>
      </c>
      <c r="AE357" s="101" t="str">
        <f>IFERROR(MIN(2,IF('BMP P Tracking Table'!$V357="Total Pervious",(-(3630*'BMP P Tracking Table'!$U357+20.691*'BMP P Tracking Table'!$AA357)+SQRT((3630*'BMP P Tracking Table'!$U357+20.691*'BMP P Tracking Table'!$AA357)^2-(4*(996.798*'BMP P Tracking Table'!$AA357)*-'BMP P Tracking Table'!$AB357)))/(2*(996.798*'BMP P Tracking Table'!$AA357)),IF(SUM('BMP P Tracking Table'!$W357:$Z357)=0,'BMP P Tracking Table'!$AB357/(-3630*'BMP P Tracking Table'!$U357),(-(3630*'BMP P Tracking Table'!$U357+20.691*'BMP P Tracking Table'!$Z357-216.711*'BMP P Tracking Table'!$Y357-83.853*'BMP P Tracking Table'!$X357-42.834*'BMP P Tracking Table'!$W357)+SQRT((3630*'BMP P Tracking Table'!$U357+20.691*'BMP P Tracking Table'!$Z357-216.711*'BMP P Tracking Table'!$Y357-83.853*'BMP P Tracking Table'!$X357-42.834*'BMP P Tracking Table'!$W357)^2-(4*(149.919*'BMP P Tracking Table'!$W357+236.676*'BMP P Tracking Table'!$X357+726*'BMP P Tracking Table'!$Y357+996.798*'BMP P Tracking Table'!$Z357)*-'BMP P Tracking Table'!$AB357)))/(2*(149.919*'BMP P Tracking Table'!$W357+236.676*'BMP P Tracking Table'!$X357+726*'BMP P Tracking Table'!$Y357+996.798*'BMP P Tracking Table'!$Z357))))),"")</f>
        <v/>
      </c>
      <c r="AF357" s="101" t="str">
        <f>IFERROR((VLOOKUP(CONCATENATE('BMP P Tracking Table'!$T357," ",'BMP P Tracking Table'!$AC357),'Performance Curves'!$C$1:$L$45,MATCH('BMP P Tracking Table'!$AE357,'Performance Curves'!$E$1:$L$1,1)+2,FALSE)-VLOOKUP(CONCATENATE('BMP P Tracking Table'!$T357," ",'BMP P Tracking Table'!$AC357),'Performance Curves'!$C$1:$L$45,MATCH('BMP P Tracking Table'!$AE357,'Performance Curves'!$E$1:$L$1,1)+1,FALSE)),"")</f>
        <v/>
      </c>
      <c r="AG357" s="101" t="str">
        <f>IFERROR(('BMP P Tracking Table'!$AE357-INDEX('Performance Curves'!$E$1:$L$1,1,MATCH('BMP P Tracking Table'!$AE357,'Performance Curves'!$E$1:$L$1,1)))/(INDEX('Performance Curves'!$E$1:$L$1,1,MATCH('BMP P Tracking Table'!$AE357,'Performance Curves'!$E$1:$L$1,1)+1)-INDEX('Performance Curves'!$E$1:$L$1,1,MATCH('BMP P Tracking Table'!$AE357,'Performance Curves'!$E$1:$L$1,1))),"")</f>
        <v/>
      </c>
      <c r="AH357" s="102" t="str">
        <f>IFERROR(IF('BMP P Tracking Table'!$AE357=2,VLOOKUP(CONCATENATE('BMP P Tracking Table'!$T357," ",'BMP P Tracking Table'!$AC357),'Performance Curves'!$C$1:$L$45,MATCH('BMP P Tracking Table'!$AE357,'Performance Curves'!$E$1:$L$1,1)+1,FALSE),'BMP P Tracking Table'!$AF357*'BMP P Tracking Table'!$AG357+VLOOKUP(CONCATENATE('BMP P Tracking Table'!$T357," ",'BMP P Tracking Table'!$AC357),'Performance Curves'!$C$1:$L$45,MATCH('BMP P Tracking Table'!$AE357,'Performance Curves'!$E$1:$L$1,1)+1,FALSE)),"")</f>
        <v/>
      </c>
      <c r="AI357" s="101" t="str">
        <f>IFERROR('BMP P Tracking Table'!$AH357*'BMP P Tracking Table'!$AD357,"")</f>
        <v/>
      </c>
      <c r="AJ357" s="64"/>
      <c r="AK357" s="96"/>
      <c r="AL357" s="96"/>
      <c r="AM357" s="63"/>
      <c r="AN357" s="99" t="str">
        <f t="shared" si="22"/>
        <v/>
      </c>
      <c r="AO357" s="96"/>
      <c r="AP357" s="96"/>
      <c r="AQ357" s="96"/>
      <c r="AR357" s="96"/>
      <c r="AS357" s="96"/>
      <c r="AT357" s="96"/>
      <c r="AU357" s="96"/>
      <c r="AV357" s="64"/>
      <c r="AW357" s="97"/>
      <c r="AX357" s="97"/>
      <c r="AY357" s="101" t="str">
        <f>IF('BMP P Tracking Table'!$AK357="Yes",IF('BMP P Tracking Table'!$AL357="No",'BMP P Tracking Table'!$U357*VLOOKUP('BMP P Tracking Table'!$Q357,'Loading Rates'!$B$1:$L$24,4,FALSE)+IF('BMP P Tracking Table'!$V357="By HSG",'BMP P Tracking Table'!$W357*VLOOKUP('BMP P Tracking Table'!$Q357,'Loading Rates'!$B$1:$L$24,6,FALSE)+'BMP P Tracking Table'!$X357*VLOOKUP('BMP P Tracking Table'!$Q357,'Loading Rates'!$B$1:$L$24,7,FALSE)+'BMP P Tracking Table'!$Y357*VLOOKUP('BMP P Tracking Table'!$Q357,'Loading Rates'!$B$1:$L$24,8,FALSE)+'BMP P Tracking Table'!$Z357*VLOOKUP('BMP P Tracking Table'!$Q357,'Loading Rates'!$B$1:$L$24,9,FALSE),'BMP P Tracking Table'!$AA357*VLOOKUP('BMP P Tracking Table'!$Q357,'Loading Rates'!$B$1:$L$24,10,FALSE)),'BMP P Tracking Table'!$AO357*VLOOKUP('BMP P Tracking Table'!$Q357,'Loading Rates'!$B$1:$L$24,4,FALSE)+IF('BMP P Tracking Table'!$AP357="By HSG",'BMP P Tracking Table'!$AQ357*VLOOKUP('BMP P Tracking Table'!$Q357,'Loading Rates'!$B$1:$L$24,6,FALSE)+'BMP P Tracking Table'!$AR357*VLOOKUP('BMP P Tracking Table'!$Q357,'Loading Rates'!$B$1:$L$24,7,FALSE)+'BMP P Tracking Table'!$AS357*VLOOKUP('BMP P Tracking Table'!$Q357,'Loading Rates'!$B$1:$L$24,8,FALSE)+'BMP P Tracking Table'!$AT357*VLOOKUP('BMP P Tracking Table'!$Q357,'Loading Rates'!$B$1:$L$24,9,FALSE),'BMP P Tracking Table'!$AU357*VLOOKUP('BMP P Tracking Table'!$Q357,'Loading Rates'!$B$1:$L$24,10,FALSE))),"")</f>
        <v/>
      </c>
      <c r="AZ357" s="101" t="str">
        <f>IFERROR(IF('BMP P Tracking Table'!$AL357="Yes",MIN(2,IF('BMP P Tracking Table'!$AP357="Total Pervious",(-(3630*'BMP P Tracking Table'!$AO357+20.691*'BMP P Tracking Table'!$AU357)+SQRT((3630*'BMP P Tracking Table'!$AO357+20.691*'BMP P Tracking Table'!$AU357)^2-(4*(996.798*'BMP P Tracking Table'!$AU357)*-'BMP P Tracking Table'!$AW357)))/(2*(996.798*'BMP P Tracking Table'!$AU357)),IF(SUM('BMP P Tracking Table'!$AQ357:$AT357)=0,'BMP P Tracking Table'!$AU357/(-3630*'BMP P Tracking Table'!$AO357),(-(3630*'BMP P Tracking Table'!$AO357+20.691*'BMP P Tracking Table'!$AT357-216.711*'BMP P Tracking Table'!$AS357-83.853*'BMP P Tracking Table'!$AR357-42.834*'BMP P Tracking Table'!$AQ357)+SQRT((3630*'BMP P Tracking Table'!$AO357+20.691*'BMP P Tracking Table'!$AT357-216.711*'BMP P Tracking Table'!$AS357-83.853*'BMP P Tracking Table'!$AR357-42.834*'BMP P Tracking Table'!$AQ357)^2-(4*(149.919*'BMP P Tracking Table'!$AQ357+236.676*'BMP P Tracking Table'!$AR357+726*'BMP P Tracking Table'!$AS357+996.798*'BMP P Tracking Table'!$AT357)*-'BMP P Tracking Table'!$AW357)))/(2*(149.919*'BMP P Tracking Table'!$AQ357+236.676*'BMP P Tracking Table'!$AR357+726*'BMP P Tracking Table'!$AS357+996.798*'BMP P Tracking Table'!$AT357))))),MIN(2,IF('BMP P Tracking Table'!$AP357="Total Pervious",(-(3630*'BMP P Tracking Table'!$U357+20.691*'BMP P Tracking Table'!$AA357)+SQRT((3630*'BMP P Tracking Table'!$U357+20.691*'BMP P Tracking Table'!$AA357)^2-(4*(996.798*'BMP P Tracking Table'!$AA357)*-'BMP P Tracking Table'!$AW357)))/(2*(996.798*'BMP P Tracking Table'!$AA357)),IF(SUM('BMP P Tracking Table'!$W357:$Z357)=0,'BMP P Tracking Table'!$AW357/(-3630*'BMP P Tracking Table'!$U357),(-(3630*'BMP P Tracking Table'!$U357+20.691*'BMP P Tracking Table'!$Z357-216.711*'BMP P Tracking Table'!$Y357-83.853*'BMP P Tracking Table'!$X357-42.834*'BMP P Tracking Table'!$W357)+SQRT((3630*'BMP P Tracking Table'!$U357+20.691*'BMP P Tracking Table'!$Z357-216.711*'BMP P Tracking Table'!$Y357-83.853*'BMP P Tracking Table'!$X357-42.834*'BMP P Tracking Table'!$W357)^2-(4*(149.919*'BMP P Tracking Table'!$W357+236.676*'BMP P Tracking Table'!$X357+726*'BMP P Tracking Table'!$Y357+996.798*'BMP P Tracking Table'!$Z357)*-'BMP P Tracking Table'!$AW357)))/(2*(149.919*'BMP P Tracking Table'!$W357+236.676*'BMP P Tracking Table'!$X357+726*'BMP P Tracking Table'!$Y357+996.798*'BMP P Tracking Table'!$Z357)))))),"")</f>
        <v/>
      </c>
      <c r="BA357" s="101" t="str">
        <f>IFERROR((VLOOKUP(CONCATENATE('BMP P Tracking Table'!$AV357," ",'BMP P Tracking Table'!$AX357),'Performance Curves'!$C$1:$L$45,MATCH('BMP P Tracking Table'!$AZ357,'Performance Curves'!$E$1:$L$1,1)+2,FALSE)-VLOOKUP(CONCATENATE('BMP P Tracking Table'!$AV357," ",'BMP P Tracking Table'!$AX357),'Performance Curves'!$C$1:$L$45,MATCH('BMP P Tracking Table'!$AZ357,'Performance Curves'!$E$1:$L$1,1)+1,FALSE)),"")</f>
        <v/>
      </c>
      <c r="BB357" s="101" t="str">
        <f>IFERROR(('BMP P Tracking Table'!$AZ357-INDEX('Performance Curves'!$E$1:$L$1,1,MATCH('BMP P Tracking Table'!$AZ357,'Performance Curves'!$E$1:$L$1,1)))/(INDEX('Performance Curves'!$E$1:$L$1,1,MATCH('BMP P Tracking Table'!$AZ357,'Performance Curves'!$E$1:$L$1,1)+1)-INDEX('Performance Curves'!$E$1:$L$1,1,MATCH('BMP P Tracking Table'!$AZ357,'Performance Curves'!$E$1:$L$1,1))),"")</f>
        <v/>
      </c>
      <c r="BC357" s="102" t="str">
        <f>IFERROR(IF('BMP P Tracking Table'!$AZ357=2,VLOOKUP(CONCATENATE('BMP P Tracking Table'!$AV357," ",'BMP P Tracking Table'!$AX357),'Performance Curves'!$C$1:$L$44,MATCH('BMP P Tracking Table'!$AZ357,'Performance Curves'!$E$1:$L$1,1)+1,FALSE),'BMP P Tracking Table'!$BA357*'BMP P Tracking Table'!$BB357+VLOOKUP(CONCATENATE('BMP P Tracking Table'!$AV357," ",'BMP P Tracking Table'!$AX357),'Performance Curves'!$C$1:$L$44,MATCH('BMP P Tracking Table'!$AZ357,'Performance Curves'!$E$1:$L$1,1)+1,FALSE)),"")</f>
        <v/>
      </c>
      <c r="BD357" s="101" t="str">
        <f>IFERROR('BMP P Tracking Table'!$BC357*'BMP P Tracking Table'!$AY357,"")</f>
        <v/>
      </c>
      <c r="BE357" s="96"/>
      <c r="BF357" s="37">
        <f t="shared" si="23"/>
        <v>0</v>
      </c>
    </row>
    <row r="358" spans="1:58" x14ac:dyDescent="0.3">
      <c r="A358" s="64"/>
      <c r="B358" s="64"/>
      <c r="C358" s="64"/>
      <c r="D358" s="64"/>
      <c r="E358" s="93"/>
      <c r="F358" s="93"/>
      <c r="G358" s="64"/>
      <c r="H358" s="64"/>
      <c r="I358" s="64"/>
      <c r="J358" s="94"/>
      <c r="K358" s="64"/>
      <c r="L358" s="64"/>
      <c r="M358" s="64"/>
      <c r="N358" s="64"/>
      <c r="O358" s="64"/>
      <c r="P358" s="64"/>
      <c r="Q358" s="64" t="str">
        <f>IFERROR(VLOOKUP('BMP P Tracking Table'!$P358,Dropdowns!$C$2:$E$15,3,FALSE),"")</f>
        <v/>
      </c>
      <c r="R358" s="64" t="str">
        <f>IFERROR(VLOOKUP('BMP P Tracking Table'!$Q358,Dropdowns!$P$3:$Q$23,2,FALSE),"")</f>
        <v/>
      </c>
      <c r="S358" s="64"/>
      <c r="T358" s="64"/>
      <c r="U358" s="64"/>
      <c r="V358" s="64"/>
      <c r="W358" s="64"/>
      <c r="X358" s="64"/>
      <c r="Y358" s="64"/>
      <c r="Z358" s="64"/>
      <c r="AA358" s="64"/>
      <c r="AB358" s="95"/>
      <c r="AC358" s="64"/>
      <c r="AD358" s="101" t="str">
        <f>IFERROR('BMP P Tracking Table'!$U358*VLOOKUP('BMP P Tracking Table'!$Q358,'Loading Rates'!$B$1:$L$24,4,FALSE)+IF('BMP P Tracking Table'!$V358="By HSG",'BMP P Tracking Table'!$W358*VLOOKUP('BMP P Tracking Table'!$Q358,'Loading Rates'!$B$1:$L$24,6,FALSE)+'BMP P Tracking Table'!$X358*VLOOKUP('BMP P Tracking Table'!$Q358,'Loading Rates'!$B$1:$L$24,7,FALSE)+'BMP P Tracking Table'!$Y358*VLOOKUP('BMP P Tracking Table'!$Q358,'Loading Rates'!$B$1:$L$24,8,FALSE)+'BMP P Tracking Table'!$Z358*VLOOKUP('BMP P Tracking Table'!$Q358,'Loading Rates'!$B$1:$L$24,9,FALSE),'BMP P Tracking Table'!$AA358*VLOOKUP('BMP P Tracking Table'!$Q358,'Loading Rates'!$B$1:$L$24,10,FALSE)),"")</f>
        <v/>
      </c>
      <c r="AE358" s="101" t="str">
        <f>IFERROR(MIN(2,IF('BMP P Tracking Table'!$V358="Total Pervious",(-(3630*'BMP P Tracking Table'!$U358+20.691*'BMP P Tracking Table'!$AA358)+SQRT((3630*'BMP P Tracking Table'!$U358+20.691*'BMP P Tracking Table'!$AA358)^2-(4*(996.798*'BMP P Tracking Table'!$AA358)*-'BMP P Tracking Table'!$AB358)))/(2*(996.798*'BMP P Tracking Table'!$AA358)),IF(SUM('BMP P Tracking Table'!$W358:$Z358)=0,'BMP P Tracking Table'!$AB358/(-3630*'BMP P Tracking Table'!$U358),(-(3630*'BMP P Tracking Table'!$U358+20.691*'BMP P Tracking Table'!$Z358-216.711*'BMP P Tracking Table'!$Y358-83.853*'BMP P Tracking Table'!$X358-42.834*'BMP P Tracking Table'!$W358)+SQRT((3630*'BMP P Tracking Table'!$U358+20.691*'BMP P Tracking Table'!$Z358-216.711*'BMP P Tracking Table'!$Y358-83.853*'BMP P Tracking Table'!$X358-42.834*'BMP P Tracking Table'!$W358)^2-(4*(149.919*'BMP P Tracking Table'!$W358+236.676*'BMP P Tracking Table'!$X358+726*'BMP P Tracking Table'!$Y358+996.798*'BMP P Tracking Table'!$Z358)*-'BMP P Tracking Table'!$AB358)))/(2*(149.919*'BMP P Tracking Table'!$W358+236.676*'BMP P Tracking Table'!$X358+726*'BMP P Tracking Table'!$Y358+996.798*'BMP P Tracking Table'!$Z358))))),"")</f>
        <v/>
      </c>
      <c r="AF358" s="101" t="str">
        <f>IFERROR((VLOOKUP(CONCATENATE('BMP P Tracking Table'!$T358," ",'BMP P Tracking Table'!$AC358),'Performance Curves'!$C$1:$L$45,MATCH('BMP P Tracking Table'!$AE358,'Performance Curves'!$E$1:$L$1,1)+2,FALSE)-VLOOKUP(CONCATENATE('BMP P Tracking Table'!$T358," ",'BMP P Tracking Table'!$AC358),'Performance Curves'!$C$1:$L$45,MATCH('BMP P Tracking Table'!$AE358,'Performance Curves'!$E$1:$L$1,1)+1,FALSE)),"")</f>
        <v/>
      </c>
      <c r="AG358" s="101" t="str">
        <f>IFERROR(('BMP P Tracking Table'!$AE358-INDEX('Performance Curves'!$E$1:$L$1,1,MATCH('BMP P Tracking Table'!$AE358,'Performance Curves'!$E$1:$L$1,1)))/(INDEX('Performance Curves'!$E$1:$L$1,1,MATCH('BMP P Tracking Table'!$AE358,'Performance Curves'!$E$1:$L$1,1)+1)-INDEX('Performance Curves'!$E$1:$L$1,1,MATCH('BMP P Tracking Table'!$AE358,'Performance Curves'!$E$1:$L$1,1))),"")</f>
        <v/>
      </c>
      <c r="AH358" s="102" t="str">
        <f>IFERROR(IF('BMP P Tracking Table'!$AE358=2,VLOOKUP(CONCATENATE('BMP P Tracking Table'!$T358," ",'BMP P Tracking Table'!$AC358),'Performance Curves'!$C$1:$L$45,MATCH('BMP P Tracking Table'!$AE358,'Performance Curves'!$E$1:$L$1,1)+1,FALSE),'BMP P Tracking Table'!$AF358*'BMP P Tracking Table'!$AG358+VLOOKUP(CONCATENATE('BMP P Tracking Table'!$T358," ",'BMP P Tracking Table'!$AC358),'Performance Curves'!$C$1:$L$45,MATCH('BMP P Tracking Table'!$AE358,'Performance Curves'!$E$1:$L$1,1)+1,FALSE)),"")</f>
        <v/>
      </c>
      <c r="AI358" s="101" t="str">
        <f>IFERROR('BMP P Tracking Table'!$AH358*'BMP P Tracking Table'!$AD358,"")</f>
        <v/>
      </c>
      <c r="AJ358" s="64"/>
      <c r="AK358" s="96"/>
      <c r="AL358" s="96"/>
      <c r="AM358" s="63"/>
      <c r="AN358" s="99" t="str">
        <f t="shared" si="22"/>
        <v/>
      </c>
      <c r="AO358" s="96"/>
      <c r="AP358" s="96"/>
      <c r="AQ358" s="96"/>
      <c r="AR358" s="96"/>
      <c r="AS358" s="96"/>
      <c r="AT358" s="96"/>
      <c r="AU358" s="96"/>
      <c r="AV358" s="64"/>
      <c r="AW358" s="97"/>
      <c r="AX358" s="97"/>
      <c r="AY358" s="101" t="str">
        <f>IF('BMP P Tracking Table'!$AK358="Yes",IF('BMP P Tracking Table'!$AL358="No",'BMP P Tracking Table'!$U358*VLOOKUP('BMP P Tracking Table'!$Q358,'Loading Rates'!$B$1:$L$24,4,FALSE)+IF('BMP P Tracking Table'!$V358="By HSG",'BMP P Tracking Table'!$W358*VLOOKUP('BMP P Tracking Table'!$Q358,'Loading Rates'!$B$1:$L$24,6,FALSE)+'BMP P Tracking Table'!$X358*VLOOKUP('BMP P Tracking Table'!$Q358,'Loading Rates'!$B$1:$L$24,7,FALSE)+'BMP P Tracking Table'!$Y358*VLOOKUP('BMP P Tracking Table'!$Q358,'Loading Rates'!$B$1:$L$24,8,FALSE)+'BMP P Tracking Table'!$Z358*VLOOKUP('BMP P Tracking Table'!$Q358,'Loading Rates'!$B$1:$L$24,9,FALSE),'BMP P Tracking Table'!$AA358*VLOOKUP('BMP P Tracking Table'!$Q358,'Loading Rates'!$B$1:$L$24,10,FALSE)),'BMP P Tracking Table'!$AO358*VLOOKUP('BMP P Tracking Table'!$Q358,'Loading Rates'!$B$1:$L$24,4,FALSE)+IF('BMP P Tracking Table'!$AP358="By HSG",'BMP P Tracking Table'!$AQ358*VLOOKUP('BMP P Tracking Table'!$Q358,'Loading Rates'!$B$1:$L$24,6,FALSE)+'BMP P Tracking Table'!$AR358*VLOOKUP('BMP P Tracking Table'!$Q358,'Loading Rates'!$B$1:$L$24,7,FALSE)+'BMP P Tracking Table'!$AS358*VLOOKUP('BMP P Tracking Table'!$Q358,'Loading Rates'!$B$1:$L$24,8,FALSE)+'BMP P Tracking Table'!$AT358*VLOOKUP('BMP P Tracking Table'!$Q358,'Loading Rates'!$B$1:$L$24,9,FALSE),'BMP P Tracking Table'!$AU358*VLOOKUP('BMP P Tracking Table'!$Q358,'Loading Rates'!$B$1:$L$24,10,FALSE))),"")</f>
        <v/>
      </c>
      <c r="AZ358" s="101" t="str">
        <f>IFERROR(IF('BMP P Tracking Table'!$AL358="Yes",MIN(2,IF('BMP P Tracking Table'!$AP358="Total Pervious",(-(3630*'BMP P Tracking Table'!$AO358+20.691*'BMP P Tracking Table'!$AU358)+SQRT((3630*'BMP P Tracking Table'!$AO358+20.691*'BMP P Tracking Table'!$AU358)^2-(4*(996.798*'BMP P Tracking Table'!$AU358)*-'BMP P Tracking Table'!$AW358)))/(2*(996.798*'BMP P Tracking Table'!$AU358)),IF(SUM('BMP P Tracking Table'!$AQ358:$AT358)=0,'BMP P Tracking Table'!$AU358/(-3630*'BMP P Tracking Table'!$AO358),(-(3630*'BMP P Tracking Table'!$AO358+20.691*'BMP P Tracking Table'!$AT358-216.711*'BMP P Tracking Table'!$AS358-83.853*'BMP P Tracking Table'!$AR358-42.834*'BMP P Tracking Table'!$AQ358)+SQRT((3630*'BMP P Tracking Table'!$AO358+20.691*'BMP P Tracking Table'!$AT358-216.711*'BMP P Tracking Table'!$AS358-83.853*'BMP P Tracking Table'!$AR358-42.834*'BMP P Tracking Table'!$AQ358)^2-(4*(149.919*'BMP P Tracking Table'!$AQ358+236.676*'BMP P Tracking Table'!$AR358+726*'BMP P Tracking Table'!$AS358+996.798*'BMP P Tracking Table'!$AT358)*-'BMP P Tracking Table'!$AW358)))/(2*(149.919*'BMP P Tracking Table'!$AQ358+236.676*'BMP P Tracking Table'!$AR358+726*'BMP P Tracking Table'!$AS358+996.798*'BMP P Tracking Table'!$AT358))))),MIN(2,IF('BMP P Tracking Table'!$AP358="Total Pervious",(-(3630*'BMP P Tracking Table'!$U358+20.691*'BMP P Tracking Table'!$AA358)+SQRT((3630*'BMP P Tracking Table'!$U358+20.691*'BMP P Tracking Table'!$AA358)^2-(4*(996.798*'BMP P Tracking Table'!$AA358)*-'BMP P Tracking Table'!$AW358)))/(2*(996.798*'BMP P Tracking Table'!$AA358)),IF(SUM('BMP P Tracking Table'!$W358:$Z358)=0,'BMP P Tracking Table'!$AW358/(-3630*'BMP P Tracking Table'!$U358),(-(3630*'BMP P Tracking Table'!$U358+20.691*'BMP P Tracking Table'!$Z358-216.711*'BMP P Tracking Table'!$Y358-83.853*'BMP P Tracking Table'!$X358-42.834*'BMP P Tracking Table'!$W358)+SQRT((3630*'BMP P Tracking Table'!$U358+20.691*'BMP P Tracking Table'!$Z358-216.711*'BMP P Tracking Table'!$Y358-83.853*'BMP P Tracking Table'!$X358-42.834*'BMP P Tracking Table'!$W358)^2-(4*(149.919*'BMP P Tracking Table'!$W358+236.676*'BMP P Tracking Table'!$X358+726*'BMP P Tracking Table'!$Y358+996.798*'BMP P Tracking Table'!$Z358)*-'BMP P Tracking Table'!$AW358)))/(2*(149.919*'BMP P Tracking Table'!$W358+236.676*'BMP P Tracking Table'!$X358+726*'BMP P Tracking Table'!$Y358+996.798*'BMP P Tracking Table'!$Z358)))))),"")</f>
        <v/>
      </c>
      <c r="BA358" s="101" t="str">
        <f>IFERROR((VLOOKUP(CONCATENATE('BMP P Tracking Table'!$AV358," ",'BMP P Tracking Table'!$AX358),'Performance Curves'!$C$1:$L$45,MATCH('BMP P Tracking Table'!$AZ358,'Performance Curves'!$E$1:$L$1,1)+2,FALSE)-VLOOKUP(CONCATENATE('BMP P Tracking Table'!$AV358," ",'BMP P Tracking Table'!$AX358),'Performance Curves'!$C$1:$L$45,MATCH('BMP P Tracking Table'!$AZ358,'Performance Curves'!$E$1:$L$1,1)+1,FALSE)),"")</f>
        <v/>
      </c>
      <c r="BB358" s="101" t="str">
        <f>IFERROR(('BMP P Tracking Table'!$AZ358-INDEX('Performance Curves'!$E$1:$L$1,1,MATCH('BMP P Tracking Table'!$AZ358,'Performance Curves'!$E$1:$L$1,1)))/(INDEX('Performance Curves'!$E$1:$L$1,1,MATCH('BMP P Tracking Table'!$AZ358,'Performance Curves'!$E$1:$L$1,1)+1)-INDEX('Performance Curves'!$E$1:$L$1,1,MATCH('BMP P Tracking Table'!$AZ358,'Performance Curves'!$E$1:$L$1,1))),"")</f>
        <v/>
      </c>
      <c r="BC358" s="102" t="str">
        <f>IFERROR(IF('BMP P Tracking Table'!$AZ358=2,VLOOKUP(CONCATENATE('BMP P Tracking Table'!$AV358," ",'BMP P Tracking Table'!$AX358),'Performance Curves'!$C$1:$L$44,MATCH('BMP P Tracking Table'!$AZ358,'Performance Curves'!$E$1:$L$1,1)+1,FALSE),'BMP P Tracking Table'!$BA358*'BMP P Tracking Table'!$BB358+VLOOKUP(CONCATENATE('BMP P Tracking Table'!$AV358," ",'BMP P Tracking Table'!$AX358),'Performance Curves'!$C$1:$L$44,MATCH('BMP P Tracking Table'!$AZ358,'Performance Curves'!$E$1:$L$1,1)+1,FALSE)),"")</f>
        <v/>
      </c>
      <c r="BD358" s="101" t="str">
        <f>IFERROR('BMP P Tracking Table'!$BC358*'BMP P Tracking Table'!$AY358,"")</f>
        <v/>
      </c>
      <c r="BE358" s="96"/>
      <c r="BF358" s="37">
        <f t="shared" si="23"/>
        <v>0</v>
      </c>
    </row>
    <row r="359" spans="1:58" x14ac:dyDescent="0.3">
      <c r="A359" s="64"/>
      <c r="B359" s="64"/>
      <c r="C359" s="64"/>
      <c r="D359" s="64"/>
      <c r="E359" s="93"/>
      <c r="F359" s="93"/>
      <c r="G359" s="64"/>
      <c r="H359" s="64"/>
      <c r="I359" s="64"/>
      <c r="J359" s="94"/>
      <c r="K359" s="64"/>
      <c r="L359" s="64"/>
      <c r="M359" s="64"/>
      <c r="N359" s="64"/>
      <c r="O359" s="64"/>
      <c r="P359" s="64"/>
      <c r="Q359" s="64" t="str">
        <f>IFERROR(VLOOKUP('BMP P Tracking Table'!$P359,Dropdowns!$C$2:$E$15,3,FALSE),"")</f>
        <v/>
      </c>
      <c r="R359" s="64" t="str">
        <f>IFERROR(VLOOKUP('BMP P Tracking Table'!$Q359,Dropdowns!$P$3:$Q$23,2,FALSE),"")</f>
        <v/>
      </c>
      <c r="S359" s="64"/>
      <c r="T359" s="64"/>
      <c r="U359" s="64"/>
      <c r="V359" s="64"/>
      <c r="W359" s="64"/>
      <c r="X359" s="64"/>
      <c r="Y359" s="64"/>
      <c r="Z359" s="64"/>
      <c r="AA359" s="64"/>
      <c r="AB359" s="95"/>
      <c r="AC359" s="64"/>
      <c r="AD359" s="101" t="str">
        <f>IFERROR('BMP P Tracking Table'!$U359*VLOOKUP('BMP P Tracking Table'!$Q359,'Loading Rates'!$B$1:$L$24,4,FALSE)+IF('BMP P Tracking Table'!$V359="By HSG",'BMP P Tracking Table'!$W359*VLOOKUP('BMP P Tracking Table'!$Q359,'Loading Rates'!$B$1:$L$24,6,FALSE)+'BMP P Tracking Table'!$X359*VLOOKUP('BMP P Tracking Table'!$Q359,'Loading Rates'!$B$1:$L$24,7,FALSE)+'BMP P Tracking Table'!$Y359*VLOOKUP('BMP P Tracking Table'!$Q359,'Loading Rates'!$B$1:$L$24,8,FALSE)+'BMP P Tracking Table'!$Z359*VLOOKUP('BMP P Tracking Table'!$Q359,'Loading Rates'!$B$1:$L$24,9,FALSE),'BMP P Tracking Table'!$AA359*VLOOKUP('BMP P Tracking Table'!$Q359,'Loading Rates'!$B$1:$L$24,10,FALSE)),"")</f>
        <v/>
      </c>
      <c r="AE359" s="101" t="str">
        <f>IFERROR(MIN(2,IF('BMP P Tracking Table'!$V359="Total Pervious",(-(3630*'BMP P Tracking Table'!$U359+20.691*'BMP P Tracking Table'!$AA359)+SQRT((3630*'BMP P Tracking Table'!$U359+20.691*'BMP P Tracking Table'!$AA359)^2-(4*(996.798*'BMP P Tracking Table'!$AA359)*-'BMP P Tracking Table'!$AB359)))/(2*(996.798*'BMP P Tracking Table'!$AA359)),IF(SUM('BMP P Tracking Table'!$W359:$Z359)=0,'BMP P Tracking Table'!$AB359/(-3630*'BMP P Tracking Table'!$U359),(-(3630*'BMP P Tracking Table'!$U359+20.691*'BMP P Tracking Table'!$Z359-216.711*'BMP P Tracking Table'!$Y359-83.853*'BMP P Tracking Table'!$X359-42.834*'BMP P Tracking Table'!$W359)+SQRT((3630*'BMP P Tracking Table'!$U359+20.691*'BMP P Tracking Table'!$Z359-216.711*'BMP P Tracking Table'!$Y359-83.853*'BMP P Tracking Table'!$X359-42.834*'BMP P Tracking Table'!$W359)^2-(4*(149.919*'BMP P Tracking Table'!$W359+236.676*'BMP P Tracking Table'!$X359+726*'BMP P Tracking Table'!$Y359+996.798*'BMP P Tracking Table'!$Z359)*-'BMP P Tracking Table'!$AB359)))/(2*(149.919*'BMP P Tracking Table'!$W359+236.676*'BMP P Tracking Table'!$X359+726*'BMP P Tracking Table'!$Y359+996.798*'BMP P Tracking Table'!$Z359))))),"")</f>
        <v/>
      </c>
      <c r="AF359" s="101" t="str">
        <f>IFERROR((VLOOKUP(CONCATENATE('BMP P Tracking Table'!$T359," ",'BMP P Tracking Table'!$AC359),'Performance Curves'!$C$1:$L$45,MATCH('BMP P Tracking Table'!$AE359,'Performance Curves'!$E$1:$L$1,1)+2,FALSE)-VLOOKUP(CONCATENATE('BMP P Tracking Table'!$T359," ",'BMP P Tracking Table'!$AC359),'Performance Curves'!$C$1:$L$45,MATCH('BMP P Tracking Table'!$AE359,'Performance Curves'!$E$1:$L$1,1)+1,FALSE)),"")</f>
        <v/>
      </c>
      <c r="AG359" s="101" t="str">
        <f>IFERROR(('BMP P Tracking Table'!$AE359-INDEX('Performance Curves'!$E$1:$L$1,1,MATCH('BMP P Tracking Table'!$AE359,'Performance Curves'!$E$1:$L$1,1)))/(INDEX('Performance Curves'!$E$1:$L$1,1,MATCH('BMP P Tracking Table'!$AE359,'Performance Curves'!$E$1:$L$1,1)+1)-INDEX('Performance Curves'!$E$1:$L$1,1,MATCH('BMP P Tracking Table'!$AE359,'Performance Curves'!$E$1:$L$1,1))),"")</f>
        <v/>
      </c>
      <c r="AH359" s="102" t="str">
        <f>IFERROR(IF('BMP P Tracking Table'!$AE359=2,VLOOKUP(CONCATENATE('BMP P Tracking Table'!$T359," ",'BMP P Tracking Table'!$AC359),'Performance Curves'!$C$1:$L$45,MATCH('BMP P Tracking Table'!$AE359,'Performance Curves'!$E$1:$L$1,1)+1,FALSE),'BMP P Tracking Table'!$AF359*'BMP P Tracking Table'!$AG359+VLOOKUP(CONCATENATE('BMP P Tracking Table'!$T359," ",'BMP P Tracking Table'!$AC359),'Performance Curves'!$C$1:$L$45,MATCH('BMP P Tracking Table'!$AE359,'Performance Curves'!$E$1:$L$1,1)+1,FALSE)),"")</f>
        <v/>
      </c>
      <c r="AI359" s="101" t="str">
        <f>IFERROR('BMP P Tracking Table'!$AH359*'BMP P Tracking Table'!$AD359,"")</f>
        <v/>
      </c>
      <c r="AJ359" s="64"/>
      <c r="AK359" s="96"/>
      <c r="AL359" s="96"/>
      <c r="AM359" s="63"/>
      <c r="AN359" s="99" t="str">
        <f t="shared" si="22"/>
        <v/>
      </c>
      <c r="AO359" s="96"/>
      <c r="AP359" s="96"/>
      <c r="AQ359" s="96"/>
      <c r="AR359" s="96"/>
      <c r="AS359" s="96"/>
      <c r="AT359" s="96"/>
      <c r="AU359" s="96"/>
      <c r="AV359" s="64"/>
      <c r="AW359" s="97"/>
      <c r="AX359" s="97"/>
      <c r="AY359" s="101" t="str">
        <f>IF('BMP P Tracking Table'!$AK359="Yes",IF('BMP P Tracking Table'!$AL359="No",'BMP P Tracking Table'!$U359*VLOOKUP('BMP P Tracking Table'!$Q359,'Loading Rates'!$B$1:$L$24,4,FALSE)+IF('BMP P Tracking Table'!$V359="By HSG",'BMP P Tracking Table'!$W359*VLOOKUP('BMP P Tracking Table'!$Q359,'Loading Rates'!$B$1:$L$24,6,FALSE)+'BMP P Tracking Table'!$X359*VLOOKUP('BMP P Tracking Table'!$Q359,'Loading Rates'!$B$1:$L$24,7,FALSE)+'BMP P Tracking Table'!$Y359*VLOOKUP('BMP P Tracking Table'!$Q359,'Loading Rates'!$B$1:$L$24,8,FALSE)+'BMP P Tracking Table'!$Z359*VLOOKUP('BMP P Tracking Table'!$Q359,'Loading Rates'!$B$1:$L$24,9,FALSE),'BMP P Tracking Table'!$AA359*VLOOKUP('BMP P Tracking Table'!$Q359,'Loading Rates'!$B$1:$L$24,10,FALSE)),'BMP P Tracking Table'!$AO359*VLOOKUP('BMP P Tracking Table'!$Q359,'Loading Rates'!$B$1:$L$24,4,FALSE)+IF('BMP P Tracking Table'!$AP359="By HSG",'BMP P Tracking Table'!$AQ359*VLOOKUP('BMP P Tracking Table'!$Q359,'Loading Rates'!$B$1:$L$24,6,FALSE)+'BMP P Tracking Table'!$AR359*VLOOKUP('BMP P Tracking Table'!$Q359,'Loading Rates'!$B$1:$L$24,7,FALSE)+'BMP P Tracking Table'!$AS359*VLOOKUP('BMP P Tracking Table'!$Q359,'Loading Rates'!$B$1:$L$24,8,FALSE)+'BMP P Tracking Table'!$AT359*VLOOKUP('BMP P Tracking Table'!$Q359,'Loading Rates'!$B$1:$L$24,9,FALSE),'BMP P Tracking Table'!$AU359*VLOOKUP('BMP P Tracking Table'!$Q359,'Loading Rates'!$B$1:$L$24,10,FALSE))),"")</f>
        <v/>
      </c>
      <c r="AZ359" s="101" t="str">
        <f>IFERROR(IF('BMP P Tracking Table'!$AL359="Yes",MIN(2,IF('BMP P Tracking Table'!$AP359="Total Pervious",(-(3630*'BMP P Tracking Table'!$AO359+20.691*'BMP P Tracking Table'!$AU359)+SQRT((3630*'BMP P Tracking Table'!$AO359+20.691*'BMP P Tracking Table'!$AU359)^2-(4*(996.798*'BMP P Tracking Table'!$AU359)*-'BMP P Tracking Table'!$AW359)))/(2*(996.798*'BMP P Tracking Table'!$AU359)),IF(SUM('BMP P Tracking Table'!$AQ359:$AT359)=0,'BMP P Tracking Table'!$AU359/(-3630*'BMP P Tracking Table'!$AO359),(-(3630*'BMP P Tracking Table'!$AO359+20.691*'BMP P Tracking Table'!$AT359-216.711*'BMP P Tracking Table'!$AS359-83.853*'BMP P Tracking Table'!$AR359-42.834*'BMP P Tracking Table'!$AQ359)+SQRT((3630*'BMP P Tracking Table'!$AO359+20.691*'BMP P Tracking Table'!$AT359-216.711*'BMP P Tracking Table'!$AS359-83.853*'BMP P Tracking Table'!$AR359-42.834*'BMP P Tracking Table'!$AQ359)^2-(4*(149.919*'BMP P Tracking Table'!$AQ359+236.676*'BMP P Tracking Table'!$AR359+726*'BMP P Tracking Table'!$AS359+996.798*'BMP P Tracking Table'!$AT359)*-'BMP P Tracking Table'!$AW359)))/(2*(149.919*'BMP P Tracking Table'!$AQ359+236.676*'BMP P Tracking Table'!$AR359+726*'BMP P Tracking Table'!$AS359+996.798*'BMP P Tracking Table'!$AT359))))),MIN(2,IF('BMP P Tracking Table'!$AP359="Total Pervious",(-(3630*'BMP P Tracking Table'!$U359+20.691*'BMP P Tracking Table'!$AA359)+SQRT((3630*'BMP P Tracking Table'!$U359+20.691*'BMP P Tracking Table'!$AA359)^2-(4*(996.798*'BMP P Tracking Table'!$AA359)*-'BMP P Tracking Table'!$AW359)))/(2*(996.798*'BMP P Tracking Table'!$AA359)),IF(SUM('BMP P Tracking Table'!$W359:$Z359)=0,'BMP P Tracking Table'!$AW359/(-3630*'BMP P Tracking Table'!$U359),(-(3630*'BMP P Tracking Table'!$U359+20.691*'BMP P Tracking Table'!$Z359-216.711*'BMP P Tracking Table'!$Y359-83.853*'BMP P Tracking Table'!$X359-42.834*'BMP P Tracking Table'!$W359)+SQRT((3630*'BMP P Tracking Table'!$U359+20.691*'BMP P Tracking Table'!$Z359-216.711*'BMP P Tracking Table'!$Y359-83.853*'BMP P Tracking Table'!$X359-42.834*'BMP P Tracking Table'!$W359)^2-(4*(149.919*'BMP P Tracking Table'!$W359+236.676*'BMP P Tracking Table'!$X359+726*'BMP P Tracking Table'!$Y359+996.798*'BMP P Tracking Table'!$Z359)*-'BMP P Tracking Table'!$AW359)))/(2*(149.919*'BMP P Tracking Table'!$W359+236.676*'BMP P Tracking Table'!$X359+726*'BMP P Tracking Table'!$Y359+996.798*'BMP P Tracking Table'!$Z359)))))),"")</f>
        <v/>
      </c>
      <c r="BA359" s="101" t="str">
        <f>IFERROR((VLOOKUP(CONCATENATE('BMP P Tracking Table'!$AV359," ",'BMP P Tracking Table'!$AX359),'Performance Curves'!$C$1:$L$45,MATCH('BMP P Tracking Table'!$AZ359,'Performance Curves'!$E$1:$L$1,1)+2,FALSE)-VLOOKUP(CONCATENATE('BMP P Tracking Table'!$AV359," ",'BMP P Tracking Table'!$AX359),'Performance Curves'!$C$1:$L$45,MATCH('BMP P Tracking Table'!$AZ359,'Performance Curves'!$E$1:$L$1,1)+1,FALSE)),"")</f>
        <v/>
      </c>
      <c r="BB359" s="101" t="str">
        <f>IFERROR(('BMP P Tracking Table'!$AZ359-INDEX('Performance Curves'!$E$1:$L$1,1,MATCH('BMP P Tracking Table'!$AZ359,'Performance Curves'!$E$1:$L$1,1)))/(INDEX('Performance Curves'!$E$1:$L$1,1,MATCH('BMP P Tracking Table'!$AZ359,'Performance Curves'!$E$1:$L$1,1)+1)-INDEX('Performance Curves'!$E$1:$L$1,1,MATCH('BMP P Tracking Table'!$AZ359,'Performance Curves'!$E$1:$L$1,1))),"")</f>
        <v/>
      </c>
      <c r="BC359" s="102" t="str">
        <f>IFERROR(IF('BMP P Tracking Table'!$AZ359=2,VLOOKUP(CONCATENATE('BMP P Tracking Table'!$AV359," ",'BMP P Tracking Table'!$AX359),'Performance Curves'!$C$1:$L$44,MATCH('BMP P Tracking Table'!$AZ359,'Performance Curves'!$E$1:$L$1,1)+1,FALSE),'BMP P Tracking Table'!$BA359*'BMP P Tracking Table'!$BB359+VLOOKUP(CONCATENATE('BMP P Tracking Table'!$AV359," ",'BMP P Tracking Table'!$AX359),'Performance Curves'!$C$1:$L$44,MATCH('BMP P Tracking Table'!$AZ359,'Performance Curves'!$E$1:$L$1,1)+1,FALSE)),"")</f>
        <v/>
      </c>
      <c r="BD359" s="101" t="str">
        <f>IFERROR('BMP P Tracking Table'!$BC359*'BMP P Tracking Table'!$AY359,"")</f>
        <v/>
      </c>
      <c r="BE359" s="96"/>
      <c r="BF359" s="37">
        <f t="shared" si="23"/>
        <v>0</v>
      </c>
    </row>
    <row r="360" spans="1:58" x14ac:dyDescent="0.3">
      <c r="A360" s="64"/>
      <c r="B360" s="64"/>
      <c r="C360" s="64"/>
      <c r="D360" s="64"/>
      <c r="E360" s="93"/>
      <c r="F360" s="93"/>
      <c r="G360" s="64"/>
      <c r="H360" s="64"/>
      <c r="I360" s="64"/>
      <c r="J360" s="94"/>
      <c r="K360" s="64"/>
      <c r="L360" s="64"/>
      <c r="M360" s="64"/>
      <c r="N360" s="64"/>
      <c r="O360" s="64"/>
      <c r="P360" s="64"/>
      <c r="Q360" s="64" t="str">
        <f>IFERROR(VLOOKUP('BMP P Tracking Table'!$P360,Dropdowns!$C$2:$E$15,3,FALSE),"")</f>
        <v/>
      </c>
      <c r="R360" s="64" t="str">
        <f>IFERROR(VLOOKUP('BMP P Tracking Table'!$Q360,Dropdowns!$P$3:$Q$23,2,FALSE),"")</f>
        <v/>
      </c>
      <c r="S360" s="64"/>
      <c r="T360" s="64"/>
      <c r="U360" s="64"/>
      <c r="V360" s="64"/>
      <c r="W360" s="64"/>
      <c r="X360" s="64"/>
      <c r="Y360" s="64"/>
      <c r="Z360" s="64"/>
      <c r="AA360" s="64"/>
      <c r="AB360" s="95"/>
      <c r="AC360" s="64"/>
      <c r="AD360" s="101" t="str">
        <f>IFERROR('BMP P Tracking Table'!$U360*VLOOKUP('BMP P Tracking Table'!$Q360,'Loading Rates'!$B$1:$L$24,4,FALSE)+IF('BMP P Tracking Table'!$V360="By HSG",'BMP P Tracking Table'!$W360*VLOOKUP('BMP P Tracking Table'!$Q360,'Loading Rates'!$B$1:$L$24,6,FALSE)+'BMP P Tracking Table'!$X360*VLOOKUP('BMP P Tracking Table'!$Q360,'Loading Rates'!$B$1:$L$24,7,FALSE)+'BMP P Tracking Table'!$Y360*VLOOKUP('BMP P Tracking Table'!$Q360,'Loading Rates'!$B$1:$L$24,8,FALSE)+'BMP P Tracking Table'!$Z360*VLOOKUP('BMP P Tracking Table'!$Q360,'Loading Rates'!$B$1:$L$24,9,FALSE),'BMP P Tracking Table'!$AA360*VLOOKUP('BMP P Tracking Table'!$Q360,'Loading Rates'!$B$1:$L$24,10,FALSE)),"")</f>
        <v/>
      </c>
      <c r="AE360" s="101" t="str">
        <f>IFERROR(MIN(2,IF('BMP P Tracking Table'!$V360="Total Pervious",(-(3630*'BMP P Tracking Table'!$U360+20.691*'BMP P Tracking Table'!$AA360)+SQRT((3630*'BMP P Tracking Table'!$U360+20.691*'BMP P Tracking Table'!$AA360)^2-(4*(996.798*'BMP P Tracking Table'!$AA360)*-'BMP P Tracking Table'!$AB360)))/(2*(996.798*'BMP P Tracking Table'!$AA360)),IF(SUM('BMP P Tracking Table'!$W360:$Z360)=0,'BMP P Tracking Table'!$AB360/(-3630*'BMP P Tracking Table'!$U360),(-(3630*'BMP P Tracking Table'!$U360+20.691*'BMP P Tracking Table'!$Z360-216.711*'BMP P Tracking Table'!$Y360-83.853*'BMP P Tracking Table'!$X360-42.834*'BMP P Tracking Table'!$W360)+SQRT((3630*'BMP P Tracking Table'!$U360+20.691*'BMP P Tracking Table'!$Z360-216.711*'BMP P Tracking Table'!$Y360-83.853*'BMP P Tracking Table'!$X360-42.834*'BMP P Tracking Table'!$W360)^2-(4*(149.919*'BMP P Tracking Table'!$W360+236.676*'BMP P Tracking Table'!$X360+726*'BMP P Tracking Table'!$Y360+996.798*'BMP P Tracking Table'!$Z360)*-'BMP P Tracking Table'!$AB360)))/(2*(149.919*'BMP P Tracking Table'!$W360+236.676*'BMP P Tracking Table'!$X360+726*'BMP P Tracking Table'!$Y360+996.798*'BMP P Tracking Table'!$Z360))))),"")</f>
        <v/>
      </c>
      <c r="AF360" s="101" t="str">
        <f>IFERROR((VLOOKUP(CONCATENATE('BMP P Tracking Table'!$T360," ",'BMP P Tracking Table'!$AC360),'Performance Curves'!$C$1:$L$45,MATCH('BMP P Tracking Table'!$AE360,'Performance Curves'!$E$1:$L$1,1)+2,FALSE)-VLOOKUP(CONCATENATE('BMP P Tracking Table'!$T360," ",'BMP P Tracking Table'!$AC360),'Performance Curves'!$C$1:$L$45,MATCH('BMP P Tracking Table'!$AE360,'Performance Curves'!$E$1:$L$1,1)+1,FALSE)),"")</f>
        <v/>
      </c>
      <c r="AG360" s="101" t="str">
        <f>IFERROR(('BMP P Tracking Table'!$AE360-INDEX('Performance Curves'!$E$1:$L$1,1,MATCH('BMP P Tracking Table'!$AE360,'Performance Curves'!$E$1:$L$1,1)))/(INDEX('Performance Curves'!$E$1:$L$1,1,MATCH('BMP P Tracking Table'!$AE360,'Performance Curves'!$E$1:$L$1,1)+1)-INDEX('Performance Curves'!$E$1:$L$1,1,MATCH('BMP P Tracking Table'!$AE360,'Performance Curves'!$E$1:$L$1,1))),"")</f>
        <v/>
      </c>
      <c r="AH360" s="102" t="str">
        <f>IFERROR(IF('BMP P Tracking Table'!$AE360=2,VLOOKUP(CONCATENATE('BMP P Tracking Table'!$T360," ",'BMP P Tracking Table'!$AC360),'Performance Curves'!$C$1:$L$45,MATCH('BMP P Tracking Table'!$AE360,'Performance Curves'!$E$1:$L$1,1)+1,FALSE),'BMP P Tracking Table'!$AF360*'BMP P Tracking Table'!$AG360+VLOOKUP(CONCATENATE('BMP P Tracking Table'!$T360," ",'BMP P Tracking Table'!$AC360),'Performance Curves'!$C$1:$L$45,MATCH('BMP P Tracking Table'!$AE360,'Performance Curves'!$E$1:$L$1,1)+1,FALSE)),"")</f>
        <v/>
      </c>
      <c r="AI360" s="101" t="str">
        <f>IFERROR('BMP P Tracking Table'!$AH360*'BMP P Tracking Table'!$AD360,"")</f>
        <v/>
      </c>
      <c r="AJ360" s="64"/>
      <c r="AK360" s="96"/>
      <c r="AL360" s="96"/>
      <c r="AM360" s="63"/>
      <c r="AN360" s="99" t="str">
        <f t="shared" si="22"/>
        <v/>
      </c>
      <c r="AO360" s="96"/>
      <c r="AP360" s="96"/>
      <c r="AQ360" s="96"/>
      <c r="AR360" s="96"/>
      <c r="AS360" s="96"/>
      <c r="AT360" s="96"/>
      <c r="AU360" s="96"/>
      <c r="AV360" s="64"/>
      <c r="AW360" s="97"/>
      <c r="AX360" s="97"/>
      <c r="AY360" s="101" t="str">
        <f>IF('BMP P Tracking Table'!$AK360="Yes",IF('BMP P Tracking Table'!$AL360="No",'BMP P Tracking Table'!$U360*VLOOKUP('BMP P Tracking Table'!$Q360,'Loading Rates'!$B$1:$L$24,4,FALSE)+IF('BMP P Tracking Table'!$V360="By HSG",'BMP P Tracking Table'!$W360*VLOOKUP('BMP P Tracking Table'!$Q360,'Loading Rates'!$B$1:$L$24,6,FALSE)+'BMP P Tracking Table'!$X360*VLOOKUP('BMP P Tracking Table'!$Q360,'Loading Rates'!$B$1:$L$24,7,FALSE)+'BMP P Tracking Table'!$Y360*VLOOKUP('BMP P Tracking Table'!$Q360,'Loading Rates'!$B$1:$L$24,8,FALSE)+'BMP P Tracking Table'!$Z360*VLOOKUP('BMP P Tracking Table'!$Q360,'Loading Rates'!$B$1:$L$24,9,FALSE),'BMP P Tracking Table'!$AA360*VLOOKUP('BMP P Tracking Table'!$Q360,'Loading Rates'!$B$1:$L$24,10,FALSE)),'BMP P Tracking Table'!$AO360*VLOOKUP('BMP P Tracking Table'!$Q360,'Loading Rates'!$B$1:$L$24,4,FALSE)+IF('BMP P Tracking Table'!$AP360="By HSG",'BMP P Tracking Table'!$AQ360*VLOOKUP('BMP P Tracking Table'!$Q360,'Loading Rates'!$B$1:$L$24,6,FALSE)+'BMP P Tracking Table'!$AR360*VLOOKUP('BMP P Tracking Table'!$Q360,'Loading Rates'!$B$1:$L$24,7,FALSE)+'BMP P Tracking Table'!$AS360*VLOOKUP('BMP P Tracking Table'!$Q360,'Loading Rates'!$B$1:$L$24,8,FALSE)+'BMP P Tracking Table'!$AT360*VLOOKUP('BMP P Tracking Table'!$Q360,'Loading Rates'!$B$1:$L$24,9,FALSE),'BMP P Tracking Table'!$AU360*VLOOKUP('BMP P Tracking Table'!$Q360,'Loading Rates'!$B$1:$L$24,10,FALSE))),"")</f>
        <v/>
      </c>
      <c r="AZ360" s="101" t="str">
        <f>IFERROR(IF('BMP P Tracking Table'!$AL360="Yes",MIN(2,IF('BMP P Tracking Table'!$AP360="Total Pervious",(-(3630*'BMP P Tracking Table'!$AO360+20.691*'BMP P Tracking Table'!$AU360)+SQRT((3630*'BMP P Tracking Table'!$AO360+20.691*'BMP P Tracking Table'!$AU360)^2-(4*(996.798*'BMP P Tracking Table'!$AU360)*-'BMP P Tracking Table'!$AW360)))/(2*(996.798*'BMP P Tracking Table'!$AU360)),IF(SUM('BMP P Tracking Table'!$AQ360:$AT360)=0,'BMP P Tracking Table'!$AU360/(-3630*'BMP P Tracking Table'!$AO360),(-(3630*'BMP P Tracking Table'!$AO360+20.691*'BMP P Tracking Table'!$AT360-216.711*'BMP P Tracking Table'!$AS360-83.853*'BMP P Tracking Table'!$AR360-42.834*'BMP P Tracking Table'!$AQ360)+SQRT((3630*'BMP P Tracking Table'!$AO360+20.691*'BMP P Tracking Table'!$AT360-216.711*'BMP P Tracking Table'!$AS360-83.853*'BMP P Tracking Table'!$AR360-42.834*'BMP P Tracking Table'!$AQ360)^2-(4*(149.919*'BMP P Tracking Table'!$AQ360+236.676*'BMP P Tracking Table'!$AR360+726*'BMP P Tracking Table'!$AS360+996.798*'BMP P Tracking Table'!$AT360)*-'BMP P Tracking Table'!$AW360)))/(2*(149.919*'BMP P Tracking Table'!$AQ360+236.676*'BMP P Tracking Table'!$AR360+726*'BMP P Tracking Table'!$AS360+996.798*'BMP P Tracking Table'!$AT360))))),MIN(2,IF('BMP P Tracking Table'!$AP360="Total Pervious",(-(3630*'BMP P Tracking Table'!$U360+20.691*'BMP P Tracking Table'!$AA360)+SQRT((3630*'BMP P Tracking Table'!$U360+20.691*'BMP P Tracking Table'!$AA360)^2-(4*(996.798*'BMP P Tracking Table'!$AA360)*-'BMP P Tracking Table'!$AW360)))/(2*(996.798*'BMP P Tracking Table'!$AA360)),IF(SUM('BMP P Tracking Table'!$W360:$Z360)=0,'BMP P Tracking Table'!$AW360/(-3630*'BMP P Tracking Table'!$U360),(-(3630*'BMP P Tracking Table'!$U360+20.691*'BMP P Tracking Table'!$Z360-216.711*'BMP P Tracking Table'!$Y360-83.853*'BMP P Tracking Table'!$X360-42.834*'BMP P Tracking Table'!$W360)+SQRT((3630*'BMP P Tracking Table'!$U360+20.691*'BMP P Tracking Table'!$Z360-216.711*'BMP P Tracking Table'!$Y360-83.853*'BMP P Tracking Table'!$X360-42.834*'BMP P Tracking Table'!$W360)^2-(4*(149.919*'BMP P Tracking Table'!$W360+236.676*'BMP P Tracking Table'!$X360+726*'BMP P Tracking Table'!$Y360+996.798*'BMP P Tracking Table'!$Z360)*-'BMP P Tracking Table'!$AW360)))/(2*(149.919*'BMP P Tracking Table'!$W360+236.676*'BMP P Tracking Table'!$X360+726*'BMP P Tracking Table'!$Y360+996.798*'BMP P Tracking Table'!$Z360)))))),"")</f>
        <v/>
      </c>
      <c r="BA360" s="101" t="str">
        <f>IFERROR((VLOOKUP(CONCATENATE('BMP P Tracking Table'!$AV360," ",'BMP P Tracking Table'!$AX360),'Performance Curves'!$C$1:$L$45,MATCH('BMP P Tracking Table'!$AZ360,'Performance Curves'!$E$1:$L$1,1)+2,FALSE)-VLOOKUP(CONCATENATE('BMP P Tracking Table'!$AV360," ",'BMP P Tracking Table'!$AX360),'Performance Curves'!$C$1:$L$45,MATCH('BMP P Tracking Table'!$AZ360,'Performance Curves'!$E$1:$L$1,1)+1,FALSE)),"")</f>
        <v/>
      </c>
      <c r="BB360" s="101" t="str">
        <f>IFERROR(('BMP P Tracking Table'!$AZ360-INDEX('Performance Curves'!$E$1:$L$1,1,MATCH('BMP P Tracking Table'!$AZ360,'Performance Curves'!$E$1:$L$1,1)))/(INDEX('Performance Curves'!$E$1:$L$1,1,MATCH('BMP P Tracking Table'!$AZ360,'Performance Curves'!$E$1:$L$1,1)+1)-INDEX('Performance Curves'!$E$1:$L$1,1,MATCH('BMP P Tracking Table'!$AZ360,'Performance Curves'!$E$1:$L$1,1))),"")</f>
        <v/>
      </c>
      <c r="BC360" s="102" t="str">
        <f>IFERROR(IF('BMP P Tracking Table'!$AZ360=2,VLOOKUP(CONCATENATE('BMP P Tracking Table'!$AV360," ",'BMP P Tracking Table'!$AX360),'Performance Curves'!$C$1:$L$44,MATCH('BMP P Tracking Table'!$AZ360,'Performance Curves'!$E$1:$L$1,1)+1,FALSE),'BMP P Tracking Table'!$BA360*'BMP P Tracking Table'!$BB360+VLOOKUP(CONCATENATE('BMP P Tracking Table'!$AV360," ",'BMP P Tracking Table'!$AX360),'Performance Curves'!$C$1:$L$44,MATCH('BMP P Tracking Table'!$AZ360,'Performance Curves'!$E$1:$L$1,1)+1,FALSE)),"")</f>
        <v/>
      </c>
      <c r="BD360" s="101" t="str">
        <f>IFERROR('BMP P Tracking Table'!$BC360*'BMP P Tracking Table'!$AY360,"")</f>
        <v/>
      </c>
      <c r="BE360" s="96"/>
      <c r="BF360" s="37">
        <f t="shared" si="23"/>
        <v>0</v>
      </c>
    </row>
    <row r="361" spans="1:58" x14ac:dyDescent="0.3">
      <c r="A361" s="64"/>
      <c r="B361" s="64"/>
      <c r="C361" s="64"/>
      <c r="D361" s="64"/>
      <c r="E361" s="93"/>
      <c r="F361" s="93"/>
      <c r="G361" s="64"/>
      <c r="H361" s="64"/>
      <c r="I361" s="64"/>
      <c r="J361" s="94"/>
      <c r="K361" s="64"/>
      <c r="L361" s="64"/>
      <c r="M361" s="64"/>
      <c r="N361" s="64"/>
      <c r="O361" s="64"/>
      <c r="P361" s="64"/>
      <c r="Q361" s="64" t="str">
        <f>IFERROR(VLOOKUP('BMP P Tracking Table'!$P361,Dropdowns!$C$2:$E$15,3,FALSE),"")</f>
        <v/>
      </c>
      <c r="R361" s="64" t="str">
        <f>IFERROR(VLOOKUP('BMP P Tracking Table'!$Q361,Dropdowns!$P$3:$Q$23,2,FALSE),"")</f>
        <v/>
      </c>
      <c r="S361" s="64"/>
      <c r="T361" s="64"/>
      <c r="U361" s="64"/>
      <c r="V361" s="64"/>
      <c r="W361" s="64"/>
      <c r="X361" s="64"/>
      <c r="Y361" s="64"/>
      <c r="Z361" s="64"/>
      <c r="AA361" s="64"/>
      <c r="AB361" s="95"/>
      <c r="AC361" s="64"/>
      <c r="AD361" s="101" t="str">
        <f>IFERROR('BMP P Tracking Table'!$U361*VLOOKUP('BMP P Tracking Table'!$Q361,'Loading Rates'!$B$1:$L$24,4,FALSE)+IF('BMP P Tracking Table'!$V361="By HSG",'BMP P Tracking Table'!$W361*VLOOKUP('BMP P Tracking Table'!$Q361,'Loading Rates'!$B$1:$L$24,6,FALSE)+'BMP P Tracking Table'!$X361*VLOOKUP('BMP P Tracking Table'!$Q361,'Loading Rates'!$B$1:$L$24,7,FALSE)+'BMP P Tracking Table'!$Y361*VLOOKUP('BMP P Tracking Table'!$Q361,'Loading Rates'!$B$1:$L$24,8,FALSE)+'BMP P Tracking Table'!$Z361*VLOOKUP('BMP P Tracking Table'!$Q361,'Loading Rates'!$B$1:$L$24,9,FALSE),'BMP P Tracking Table'!$AA361*VLOOKUP('BMP P Tracking Table'!$Q361,'Loading Rates'!$B$1:$L$24,10,FALSE)),"")</f>
        <v/>
      </c>
      <c r="AE361" s="101" t="str">
        <f>IFERROR(MIN(2,IF('BMP P Tracking Table'!$V361="Total Pervious",(-(3630*'BMP P Tracking Table'!$U361+20.691*'BMP P Tracking Table'!$AA361)+SQRT((3630*'BMP P Tracking Table'!$U361+20.691*'BMP P Tracking Table'!$AA361)^2-(4*(996.798*'BMP P Tracking Table'!$AA361)*-'BMP P Tracking Table'!$AB361)))/(2*(996.798*'BMP P Tracking Table'!$AA361)),IF(SUM('BMP P Tracking Table'!$W361:$Z361)=0,'BMP P Tracking Table'!$AB361/(-3630*'BMP P Tracking Table'!$U361),(-(3630*'BMP P Tracking Table'!$U361+20.691*'BMP P Tracking Table'!$Z361-216.711*'BMP P Tracking Table'!$Y361-83.853*'BMP P Tracking Table'!$X361-42.834*'BMP P Tracking Table'!$W361)+SQRT((3630*'BMP P Tracking Table'!$U361+20.691*'BMP P Tracking Table'!$Z361-216.711*'BMP P Tracking Table'!$Y361-83.853*'BMP P Tracking Table'!$X361-42.834*'BMP P Tracking Table'!$W361)^2-(4*(149.919*'BMP P Tracking Table'!$W361+236.676*'BMP P Tracking Table'!$X361+726*'BMP P Tracking Table'!$Y361+996.798*'BMP P Tracking Table'!$Z361)*-'BMP P Tracking Table'!$AB361)))/(2*(149.919*'BMP P Tracking Table'!$W361+236.676*'BMP P Tracking Table'!$X361+726*'BMP P Tracking Table'!$Y361+996.798*'BMP P Tracking Table'!$Z361))))),"")</f>
        <v/>
      </c>
      <c r="AF361" s="101" t="str">
        <f>IFERROR((VLOOKUP(CONCATENATE('BMP P Tracking Table'!$T361," ",'BMP P Tracking Table'!$AC361),'Performance Curves'!$C$1:$L$45,MATCH('BMP P Tracking Table'!$AE361,'Performance Curves'!$E$1:$L$1,1)+2,FALSE)-VLOOKUP(CONCATENATE('BMP P Tracking Table'!$T361," ",'BMP P Tracking Table'!$AC361),'Performance Curves'!$C$1:$L$45,MATCH('BMP P Tracking Table'!$AE361,'Performance Curves'!$E$1:$L$1,1)+1,FALSE)),"")</f>
        <v/>
      </c>
      <c r="AG361" s="101" t="str">
        <f>IFERROR(('BMP P Tracking Table'!$AE361-INDEX('Performance Curves'!$E$1:$L$1,1,MATCH('BMP P Tracking Table'!$AE361,'Performance Curves'!$E$1:$L$1,1)))/(INDEX('Performance Curves'!$E$1:$L$1,1,MATCH('BMP P Tracking Table'!$AE361,'Performance Curves'!$E$1:$L$1,1)+1)-INDEX('Performance Curves'!$E$1:$L$1,1,MATCH('BMP P Tracking Table'!$AE361,'Performance Curves'!$E$1:$L$1,1))),"")</f>
        <v/>
      </c>
      <c r="AH361" s="102" t="str">
        <f>IFERROR(IF('BMP P Tracking Table'!$AE361=2,VLOOKUP(CONCATENATE('BMP P Tracking Table'!$T361," ",'BMP P Tracking Table'!$AC361),'Performance Curves'!$C$1:$L$45,MATCH('BMP P Tracking Table'!$AE361,'Performance Curves'!$E$1:$L$1,1)+1,FALSE),'BMP P Tracking Table'!$AF361*'BMP P Tracking Table'!$AG361+VLOOKUP(CONCATENATE('BMP P Tracking Table'!$T361," ",'BMP P Tracking Table'!$AC361),'Performance Curves'!$C$1:$L$45,MATCH('BMP P Tracking Table'!$AE361,'Performance Curves'!$E$1:$L$1,1)+1,FALSE)),"")</f>
        <v/>
      </c>
      <c r="AI361" s="101" t="str">
        <f>IFERROR('BMP P Tracking Table'!$AH361*'BMP P Tracking Table'!$AD361,"")</f>
        <v/>
      </c>
      <c r="AJ361" s="64"/>
      <c r="AK361" s="96"/>
      <c r="AL361" s="96"/>
      <c r="AM361" s="63"/>
      <c r="AN361" s="99" t="str">
        <f t="shared" si="22"/>
        <v/>
      </c>
      <c r="AO361" s="96"/>
      <c r="AP361" s="96"/>
      <c r="AQ361" s="96"/>
      <c r="AR361" s="96"/>
      <c r="AS361" s="96"/>
      <c r="AT361" s="96"/>
      <c r="AU361" s="96"/>
      <c r="AV361" s="64"/>
      <c r="AW361" s="97"/>
      <c r="AX361" s="97"/>
      <c r="AY361" s="101" t="str">
        <f>IF('BMP P Tracking Table'!$AK361="Yes",IF('BMP P Tracking Table'!$AL361="No",'BMP P Tracking Table'!$U361*VLOOKUP('BMP P Tracking Table'!$Q361,'Loading Rates'!$B$1:$L$24,4,FALSE)+IF('BMP P Tracking Table'!$V361="By HSG",'BMP P Tracking Table'!$W361*VLOOKUP('BMP P Tracking Table'!$Q361,'Loading Rates'!$B$1:$L$24,6,FALSE)+'BMP P Tracking Table'!$X361*VLOOKUP('BMP P Tracking Table'!$Q361,'Loading Rates'!$B$1:$L$24,7,FALSE)+'BMP P Tracking Table'!$Y361*VLOOKUP('BMP P Tracking Table'!$Q361,'Loading Rates'!$B$1:$L$24,8,FALSE)+'BMP P Tracking Table'!$Z361*VLOOKUP('BMP P Tracking Table'!$Q361,'Loading Rates'!$B$1:$L$24,9,FALSE),'BMP P Tracking Table'!$AA361*VLOOKUP('BMP P Tracking Table'!$Q361,'Loading Rates'!$B$1:$L$24,10,FALSE)),'BMP P Tracking Table'!$AO361*VLOOKUP('BMP P Tracking Table'!$Q361,'Loading Rates'!$B$1:$L$24,4,FALSE)+IF('BMP P Tracking Table'!$AP361="By HSG",'BMP P Tracking Table'!$AQ361*VLOOKUP('BMP P Tracking Table'!$Q361,'Loading Rates'!$B$1:$L$24,6,FALSE)+'BMP P Tracking Table'!$AR361*VLOOKUP('BMP P Tracking Table'!$Q361,'Loading Rates'!$B$1:$L$24,7,FALSE)+'BMP P Tracking Table'!$AS361*VLOOKUP('BMP P Tracking Table'!$Q361,'Loading Rates'!$B$1:$L$24,8,FALSE)+'BMP P Tracking Table'!$AT361*VLOOKUP('BMP P Tracking Table'!$Q361,'Loading Rates'!$B$1:$L$24,9,FALSE),'BMP P Tracking Table'!$AU361*VLOOKUP('BMP P Tracking Table'!$Q361,'Loading Rates'!$B$1:$L$24,10,FALSE))),"")</f>
        <v/>
      </c>
      <c r="AZ361" s="101" t="str">
        <f>IFERROR(IF('BMP P Tracking Table'!$AL361="Yes",MIN(2,IF('BMP P Tracking Table'!$AP361="Total Pervious",(-(3630*'BMP P Tracking Table'!$AO361+20.691*'BMP P Tracking Table'!$AU361)+SQRT((3630*'BMP P Tracking Table'!$AO361+20.691*'BMP P Tracking Table'!$AU361)^2-(4*(996.798*'BMP P Tracking Table'!$AU361)*-'BMP P Tracking Table'!$AW361)))/(2*(996.798*'BMP P Tracking Table'!$AU361)),IF(SUM('BMP P Tracking Table'!$AQ361:$AT361)=0,'BMP P Tracking Table'!$AU361/(-3630*'BMP P Tracking Table'!$AO361),(-(3630*'BMP P Tracking Table'!$AO361+20.691*'BMP P Tracking Table'!$AT361-216.711*'BMP P Tracking Table'!$AS361-83.853*'BMP P Tracking Table'!$AR361-42.834*'BMP P Tracking Table'!$AQ361)+SQRT((3630*'BMP P Tracking Table'!$AO361+20.691*'BMP P Tracking Table'!$AT361-216.711*'BMP P Tracking Table'!$AS361-83.853*'BMP P Tracking Table'!$AR361-42.834*'BMP P Tracking Table'!$AQ361)^2-(4*(149.919*'BMP P Tracking Table'!$AQ361+236.676*'BMP P Tracking Table'!$AR361+726*'BMP P Tracking Table'!$AS361+996.798*'BMP P Tracking Table'!$AT361)*-'BMP P Tracking Table'!$AW361)))/(2*(149.919*'BMP P Tracking Table'!$AQ361+236.676*'BMP P Tracking Table'!$AR361+726*'BMP P Tracking Table'!$AS361+996.798*'BMP P Tracking Table'!$AT361))))),MIN(2,IF('BMP P Tracking Table'!$AP361="Total Pervious",(-(3630*'BMP P Tracking Table'!$U361+20.691*'BMP P Tracking Table'!$AA361)+SQRT((3630*'BMP P Tracking Table'!$U361+20.691*'BMP P Tracking Table'!$AA361)^2-(4*(996.798*'BMP P Tracking Table'!$AA361)*-'BMP P Tracking Table'!$AW361)))/(2*(996.798*'BMP P Tracking Table'!$AA361)),IF(SUM('BMP P Tracking Table'!$W361:$Z361)=0,'BMP P Tracking Table'!$AW361/(-3630*'BMP P Tracking Table'!$U361),(-(3630*'BMP P Tracking Table'!$U361+20.691*'BMP P Tracking Table'!$Z361-216.711*'BMP P Tracking Table'!$Y361-83.853*'BMP P Tracking Table'!$X361-42.834*'BMP P Tracking Table'!$W361)+SQRT((3630*'BMP P Tracking Table'!$U361+20.691*'BMP P Tracking Table'!$Z361-216.711*'BMP P Tracking Table'!$Y361-83.853*'BMP P Tracking Table'!$X361-42.834*'BMP P Tracking Table'!$W361)^2-(4*(149.919*'BMP P Tracking Table'!$W361+236.676*'BMP P Tracking Table'!$X361+726*'BMP P Tracking Table'!$Y361+996.798*'BMP P Tracking Table'!$Z361)*-'BMP P Tracking Table'!$AW361)))/(2*(149.919*'BMP P Tracking Table'!$W361+236.676*'BMP P Tracking Table'!$X361+726*'BMP P Tracking Table'!$Y361+996.798*'BMP P Tracking Table'!$Z361)))))),"")</f>
        <v/>
      </c>
      <c r="BA361" s="101" t="str">
        <f>IFERROR((VLOOKUP(CONCATENATE('BMP P Tracking Table'!$AV361," ",'BMP P Tracking Table'!$AX361),'Performance Curves'!$C$1:$L$45,MATCH('BMP P Tracking Table'!$AZ361,'Performance Curves'!$E$1:$L$1,1)+2,FALSE)-VLOOKUP(CONCATENATE('BMP P Tracking Table'!$AV361," ",'BMP P Tracking Table'!$AX361),'Performance Curves'!$C$1:$L$45,MATCH('BMP P Tracking Table'!$AZ361,'Performance Curves'!$E$1:$L$1,1)+1,FALSE)),"")</f>
        <v/>
      </c>
      <c r="BB361" s="101" t="str">
        <f>IFERROR(('BMP P Tracking Table'!$AZ361-INDEX('Performance Curves'!$E$1:$L$1,1,MATCH('BMP P Tracking Table'!$AZ361,'Performance Curves'!$E$1:$L$1,1)))/(INDEX('Performance Curves'!$E$1:$L$1,1,MATCH('BMP P Tracking Table'!$AZ361,'Performance Curves'!$E$1:$L$1,1)+1)-INDEX('Performance Curves'!$E$1:$L$1,1,MATCH('BMP P Tracking Table'!$AZ361,'Performance Curves'!$E$1:$L$1,1))),"")</f>
        <v/>
      </c>
      <c r="BC361" s="102" t="str">
        <f>IFERROR(IF('BMP P Tracking Table'!$AZ361=2,VLOOKUP(CONCATENATE('BMP P Tracking Table'!$AV361," ",'BMP P Tracking Table'!$AX361),'Performance Curves'!$C$1:$L$44,MATCH('BMP P Tracking Table'!$AZ361,'Performance Curves'!$E$1:$L$1,1)+1,FALSE),'BMP P Tracking Table'!$BA361*'BMP P Tracking Table'!$BB361+VLOOKUP(CONCATENATE('BMP P Tracking Table'!$AV361," ",'BMP P Tracking Table'!$AX361),'Performance Curves'!$C$1:$L$44,MATCH('BMP P Tracking Table'!$AZ361,'Performance Curves'!$E$1:$L$1,1)+1,FALSE)),"")</f>
        <v/>
      </c>
      <c r="BD361" s="101" t="str">
        <f>IFERROR('BMP P Tracking Table'!$BC361*'BMP P Tracking Table'!$AY361,"")</f>
        <v/>
      </c>
      <c r="BE361" s="96"/>
      <c r="BF361" s="37">
        <f t="shared" si="23"/>
        <v>0</v>
      </c>
    </row>
    <row r="362" spans="1:58" x14ac:dyDescent="0.3">
      <c r="A362" s="64"/>
      <c r="B362" s="64"/>
      <c r="C362" s="64"/>
      <c r="D362" s="64"/>
      <c r="E362" s="93"/>
      <c r="F362" s="93"/>
      <c r="G362" s="64"/>
      <c r="H362" s="64"/>
      <c r="I362" s="64"/>
      <c r="J362" s="94"/>
      <c r="K362" s="64"/>
      <c r="L362" s="64"/>
      <c r="M362" s="64"/>
      <c r="N362" s="64"/>
      <c r="O362" s="64"/>
      <c r="P362" s="64"/>
      <c r="Q362" s="64" t="str">
        <f>IFERROR(VLOOKUP('BMP P Tracking Table'!$P362,Dropdowns!$C$2:$E$15,3,FALSE),"")</f>
        <v/>
      </c>
      <c r="R362" s="64" t="str">
        <f>IFERROR(VLOOKUP('BMP P Tracking Table'!$Q362,Dropdowns!$P$3:$Q$23,2,FALSE),"")</f>
        <v/>
      </c>
      <c r="S362" s="64"/>
      <c r="T362" s="64"/>
      <c r="U362" s="64"/>
      <c r="V362" s="64"/>
      <c r="W362" s="64"/>
      <c r="X362" s="64"/>
      <c r="Y362" s="64"/>
      <c r="Z362" s="64"/>
      <c r="AA362" s="64"/>
      <c r="AB362" s="95"/>
      <c r="AC362" s="64"/>
      <c r="AD362" s="101" t="str">
        <f>IFERROR('BMP P Tracking Table'!$U362*VLOOKUP('BMP P Tracking Table'!$Q362,'Loading Rates'!$B$1:$L$24,4,FALSE)+IF('BMP P Tracking Table'!$V362="By HSG",'BMP P Tracking Table'!$W362*VLOOKUP('BMP P Tracking Table'!$Q362,'Loading Rates'!$B$1:$L$24,6,FALSE)+'BMP P Tracking Table'!$X362*VLOOKUP('BMP P Tracking Table'!$Q362,'Loading Rates'!$B$1:$L$24,7,FALSE)+'BMP P Tracking Table'!$Y362*VLOOKUP('BMP P Tracking Table'!$Q362,'Loading Rates'!$B$1:$L$24,8,FALSE)+'BMP P Tracking Table'!$Z362*VLOOKUP('BMP P Tracking Table'!$Q362,'Loading Rates'!$B$1:$L$24,9,FALSE),'BMP P Tracking Table'!$AA362*VLOOKUP('BMP P Tracking Table'!$Q362,'Loading Rates'!$B$1:$L$24,10,FALSE)),"")</f>
        <v/>
      </c>
      <c r="AE362" s="101" t="str">
        <f>IFERROR(MIN(2,IF('BMP P Tracking Table'!$V362="Total Pervious",(-(3630*'BMP P Tracking Table'!$U362+20.691*'BMP P Tracking Table'!$AA362)+SQRT((3630*'BMP P Tracking Table'!$U362+20.691*'BMP P Tracking Table'!$AA362)^2-(4*(996.798*'BMP P Tracking Table'!$AA362)*-'BMP P Tracking Table'!$AB362)))/(2*(996.798*'BMP P Tracking Table'!$AA362)),IF(SUM('BMP P Tracking Table'!$W362:$Z362)=0,'BMP P Tracking Table'!$AB362/(-3630*'BMP P Tracking Table'!$U362),(-(3630*'BMP P Tracking Table'!$U362+20.691*'BMP P Tracking Table'!$Z362-216.711*'BMP P Tracking Table'!$Y362-83.853*'BMP P Tracking Table'!$X362-42.834*'BMP P Tracking Table'!$W362)+SQRT((3630*'BMP P Tracking Table'!$U362+20.691*'BMP P Tracking Table'!$Z362-216.711*'BMP P Tracking Table'!$Y362-83.853*'BMP P Tracking Table'!$X362-42.834*'BMP P Tracking Table'!$W362)^2-(4*(149.919*'BMP P Tracking Table'!$W362+236.676*'BMP P Tracking Table'!$X362+726*'BMP P Tracking Table'!$Y362+996.798*'BMP P Tracking Table'!$Z362)*-'BMP P Tracking Table'!$AB362)))/(2*(149.919*'BMP P Tracking Table'!$W362+236.676*'BMP P Tracking Table'!$X362+726*'BMP P Tracking Table'!$Y362+996.798*'BMP P Tracking Table'!$Z362))))),"")</f>
        <v/>
      </c>
      <c r="AF362" s="101" t="str">
        <f>IFERROR((VLOOKUP(CONCATENATE('BMP P Tracking Table'!$T362," ",'BMP P Tracking Table'!$AC362),'Performance Curves'!$C$1:$L$45,MATCH('BMP P Tracking Table'!$AE362,'Performance Curves'!$E$1:$L$1,1)+2,FALSE)-VLOOKUP(CONCATENATE('BMP P Tracking Table'!$T362," ",'BMP P Tracking Table'!$AC362),'Performance Curves'!$C$1:$L$45,MATCH('BMP P Tracking Table'!$AE362,'Performance Curves'!$E$1:$L$1,1)+1,FALSE)),"")</f>
        <v/>
      </c>
      <c r="AG362" s="101" t="str">
        <f>IFERROR(('BMP P Tracking Table'!$AE362-INDEX('Performance Curves'!$E$1:$L$1,1,MATCH('BMP P Tracking Table'!$AE362,'Performance Curves'!$E$1:$L$1,1)))/(INDEX('Performance Curves'!$E$1:$L$1,1,MATCH('BMP P Tracking Table'!$AE362,'Performance Curves'!$E$1:$L$1,1)+1)-INDEX('Performance Curves'!$E$1:$L$1,1,MATCH('BMP P Tracking Table'!$AE362,'Performance Curves'!$E$1:$L$1,1))),"")</f>
        <v/>
      </c>
      <c r="AH362" s="102" t="str">
        <f>IFERROR(IF('BMP P Tracking Table'!$AE362=2,VLOOKUP(CONCATENATE('BMP P Tracking Table'!$T362," ",'BMP P Tracking Table'!$AC362),'Performance Curves'!$C$1:$L$45,MATCH('BMP P Tracking Table'!$AE362,'Performance Curves'!$E$1:$L$1,1)+1,FALSE),'BMP P Tracking Table'!$AF362*'BMP P Tracking Table'!$AG362+VLOOKUP(CONCATENATE('BMP P Tracking Table'!$T362," ",'BMP P Tracking Table'!$AC362),'Performance Curves'!$C$1:$L$45,MATCH('BMP P Tracking Table'!$AE362,'Performance Curves'!$E$1:$L$1,1)+1,FALSE)),"")</f>
        <v/>
      </c>
      <c r="AI362" s="101" t="str">
        <f>IFERROR('BMP P Tracking Table'!$AH362*'BMP P Tracking Table'!$AD362,"")</f>
        <v/>
      </c>
      <c r="AJ362" s="64"/>
      <c r="AK362" s="96"/>
      <c r="AL362" s="96"/>
      <c r="AM362" s="63"/>
      <c r="AN362" s="99" t="str">
        <f t="shared" si="22"/>
        <v/>
      </c>
      <c r="AO362" s="96"/>
      <c r="AP362" s="96"/>
      <c r="AQ362" s="96"/>
      <c r="AR362" s="96"/>
      <c r="AS362" s="96"/>
      <c r="AT362" s="96"/>
      <c r="AU362" s="96"/>
      <c r="AV362" s="64"/>
      <c r="AW362" s="97"/>
      <c r="AX362" s="97"/>
      <c r="AY362" s="101" t="str">
        <f>IF('BMP P Tracking Table'!$AK362="Yes",IF('BMP P Tracking Table'!$AL362="No",'BMP P Tracking Table'!$U362*VLOOKUP('BMP P Tracking Table'!$Q362,'Loading Rates'!$B$1:$L$24,4,FALSE)+IF('BMP P Tracking Table'!$V362="By HSG",'BMP P Tracking Table'!$W362*VLOOKUP('BMP P Tracking Table'!$Q362,'Loading Rates'!$B$1:$L$24,6,FALSE)+'BMP P Tracking Table'!$X362*VLOOKUP('BMP P Tracking Table'!$Q362,'Loading Rates'!$B$1:$L$24,7,FALSE)+'BMP P Tracking Table'!$Y362*VLOOKUP('BMP P Tracking Table'!$Q362,'Loading Rates'!$B$1:$L$24,8,FALSE)+'BMP P Tracking Table'!$Z362*VLOOKUP('BMP P Tracking Table'!$Q362,'Loading Rates'!$B$1:$L$24,9,FALSE),'BMP P Tracking Table'!$AA362*VLOOKUP('BMP P Tracking Table'!$Q362,'Loading Rates'!$B$1:$L$24,10,FALSE)),'BMP P Tracking Table'!$AO362*VLOOKUP('BMP P Tracking Table'!$Q362,'Loading Rates'!$B$1:$L$24,4,FALSE)+IF('BMP P Tracking Table'!$AP362="By HSG",'BMP P Tracking Table'!$AQ362*VLOOKUP('BMP P Tracking Table'!$Q362,'Loading Rates'!$B$1:$L$24,6,FALSE)+'BMP P Tracking Table'!$AR362*VLOOKUP('BMP P Tracking Table'!$Q362,'Loading Rates'!$B$1:$L$24,7,FALSE)+'BMP P Tracking Table'!$AS362*VLOOKUP('BMP P Tracking Table'!$Q362,'Loading Rates'!$B$1:$L$24,8,FALSE)+'BMP P Tracking Table'!$AT362*VLOOKUP('BMP P Tracking Table'!$Q362,'Loading Rates'!$B$1:$L$24,9,FALSE),'BMP P Tracking Table'!$AU362*VLOOKUP('BMP P Tracking Table'!$Q362,'Loading Rates'!$B$1:$L$24,10,FALSE))),"")</f>
        <v/>
      </c>
      <c r="AZ362" s="101" t="str">
        <f>IFERROR(IF('BMP P Tracking Table'!$AL362="Yes",MIN(2,IF('BMP P Tracking Table'!$AP362="Total Pervious",(-(3630*'BMP P Tracking Table'!$AO362+20.691*'BMP P Tracking Table'!$AU362)+SQRT((3630*'BMP P Tracking Table'!$AO362+20.691*'BMP P Tracking Table'!$AU362)^2-(4*(996.798*'BMP P Tracking Table'!$AU362)*-'BMP P Tracking Table'!$AW362)))/(2*(996.798*'BMP P Tracking Table'!$AU362)),IF(SUM('BMP P Tracking Table'!$AQ362:$AT362)=0,'BMP P Tracking Table'!$AU362/(-3630*'BMP P Tracking Table'!$AO362),(-(3630*'BMP P Tracking Table'!$AO362+20.691*'BMP P Tracking Table'!$AT362-216.711*'BMP P Tracking Table'!$AS362-83.853*'BMP P Tracking Table'!$AR362-42.834*'BMP P Tracking Table'!$AQ362)+SQRT((3630*'BMP P Tracking Table'!$AO362+20.691*'BMP P Tracking Table'!$AT362-216.711*'BMP P Tracking Table'!$AS362-83.853*'BMP P Tracking Table'!$AR362-42.834*'BMP P Tracking Table'!$AQ362)^2-(4*(149.919*'BMP P Tracking Table'!$AQ362+236.676*'BMP P Tracking Table'!$AR362+726*'BMP P Tracking Table'!$AS362+996.798*'BMP P Tracking Table'!$AT362)*-'BMP P Tracking Table'!$AW362)))/(2*(149.919*'BMP P Tracking Table'!$AQ362+236.676*'BMP P Tracking Table'!$AR362+726*'BMP P Tracking Table'!$AS362+996.798*'BMP P Tracking Table'!$AT362))))),MIN(2,IF('BMP P Tracking Table'!$AP362="Total Pervious",(-(3630*'BMP P Tracking Table'!$U362+20.691*'BMP P Tracking Table'!$AA362)+SQRT((3630*'BMP P Tracking Table'!$U362+20.691*'BMP P Tracking Table'!$AA362)^2-(4*(996.798*'BMP P Tracking Table'!$AA362)*-'BMP P Tracking Table'!$AW362)))/(2*(996.798*'BMP P Tracking Table'!$AA362)),IF(SUM('BMP P Tracking Table'!$W362:$Z362)=0,'BMP P Tracking Table'!$AW362/(-3630*'BMP P Tracking Table'!$U362),(-(3630*'BMP P Tracking Table'!$U362+20.691*'BMP P Tracking Table'!$Z362-216.711*'BMP P Tracking Table'!$Y362-83.853*'BMP P Tracking Table'!$X362-42.834*'BMP P Tracking Table'!$W362)+SQRT((3630*'BMP P Tracking Table'!$U362+20.691*'BMP P Tracking Table'!$Z362-216.711*'BMP P Tracking Table'!$Y362-83.853*'BMP P Tracking Table'!$X362-42.834*'BMP P Tracking Table'!$W362)^2-(4*(149.919*'BMP P Tracking Table'!$W362+236.676*'BMP P Tracking Table'!$X362+726*'BMP P Tracking Table'!$Y362+996.798*'BMP P Tracking Table'!$Z362)*-'BMP P Tracking Table'!$AW362)))/(2*(149.919*'BMP P Tracking Table'!$W362+236.676*'BMP P Tracking Table'!$X362+726*'BMP P Tracking Table'!$Y362+996.798*'BMP P Tracking Table'!$Z362)))))),"")</f>
        <v/>
      </c>
      <c r="BA362" s="101" t="str">
        <f>IFERROR((VLOOKUP(CONCATENATE('BMP P Tracking Table'!$AV362," ",'BMP P Tracking Table'!$AX362),'Performance Curves'!$C$1:$L$45,MATCH('BMP P Tracking Table'!$AZ362,'Performance Curves'!$E$1:$L$1,1)+2,FALSE)-VLOOKUP(CONCATENATE('BMP P Tracking Table'!$AV362," ",'BMP P Tracking Table'!$AX362),'Performance Curves'!$C$1:$L$45,MATCH('BMP P Tracking Table'!$AZ362,'Performance Curves'!$E$1:$L$1,1)+1,FALSE)),"")</f>
        <v/>
      </c>
      <c r="BB362" s="101" t="str">
        <f>IFERROR(('BMP P Tracking Table'!$AZ362-INDEX('Performance Curves'!$E$1:$L$1,1,MATCH('BMP P Tracking Table'!$AZ362,'Performance Curves'!$E$1:$L$1,1)))/(INDEX('Performance Curves'!$E$1:$L$1,1,MATCH('BMP P Tracking Table'!$AZ362,'Performance Curves'!$E$1:$L$1,1)+1)-INDEX('Performance Curves'!$E$1:$L$1,1,MATCH('BMP P Tracking Table'!$AZ362,'Performance Curves'!$E$1:$L$1,1))),"")</f>
        <v/>
      </c>
      <c r="BC362" s="102" t="str">
        <f>IFERROR(IF('BMP P Tracking Table'!$AZ362=2,VLOOKUP(CONCATENATE('BMP P Tracking Table'!$AV362," ",'BMP P Tracking Table'!$AX362),'Performance Curves'!$C$1:$L$44,MATCH('BMP P Tracking Table'!$AZ362,'Performance Curves'!$E$1:$L$1,1)+1,FALSE),'BMP P Tracking Table'!$BA362*'BMP P Tracking Table'!$BB362+VLOOKUP(CONCATENATE('BMP P Tracking Table'!$AV362," ",'BMP P Tracking Table'!$AX362),'Performance Curves'!$C$1:$L$44,MATCH('BMP P Tracking Table'!$AZ362,'Performance Curves'!$E$1:$L$1,1)+1,FALSE)),"")</f>
        <v/>
      </c>
      <c r="BD362" s="101" t="str">
        <f>IFERROR('BMP P Tracking Table'!$BC362*'BMP P Tracking Table'!$AY362,"")</f>
        <v/>
      </c>
      <c r="BE362" s="96"/>
      <c r="BF362" s="37">
        <f t="shared" si="23"/>
        <v>0</v>
      </c>
    </row>
    <row r="363" spans="1:58" x14ac:dyDescent="0.3">
      <c r="A363" s="64"/>
      <c r="B363" s="64"/>
      <c r="C363" s="64"/>
      <c r="D363" s="64"/>
      <c r="E363" s="93"/>
      <c r="F363" s="93"/>
      <c r="G363" s="64"/>
      <c r="H363" s="64"/>
      <c r="I363" s="64"/>
      <c r="J363" s="94"/>
      <c r="K363" s="64"/>
      <c r="L363" s="64"/>
      <c r="M363" s="64"/>
      <c r="N363" s="64"/>
      <c r="O363" s="64"/>
      <c r="P363" s="64"/>
      <c r="Q363" s="64" t="str">
        <f>IFERROR(VLOOKUP('BMP P Tracking Table'!$P363,Dropdowns!$C$2:$E$15,3,FALSE),"")</f>
        <v/>
      </c>
      <c r="R363" s="64" t="str">
        <f>IFERROR(VLOOKUP('BMP P Tracking Table'!$Q363,Dropdowns!$P$3:$Q$23,2,FALSE),"")</f>
        <v/>
      </c>
      <c r="S363" s="64"/>
      <c r="T363" s="64"/>
      <c r="U363" s="64"/>
      <c r="V363" s="64"/>
      <c r="W363" s="64"/>
      <c r="X363" s="64"/>
      <c r="Y363" s="64"/>
      <c r="Z363" s="64"/>
      <c r="AA363" s="64"/>
      <c r="AB363" s="95"/>
      <c r="AC363" s="64"/>
      <c r="AD363" s="101" t="str">
        <f>IFERROR('BMP P Tracking Table'!$U363*VLOOKUP('BMP P Tracking Table'!$Q363,'Loading Rates'!$B$1:$L$24,4,FALSE)+IF('BMP P Tracking Table'!$V363="By HSG",'BMP P Tracking Table'!$W363*VLOOKUP('BMP P Tracking Table'!$Q363,'Loading Rates'!$B$1:$L$24,6,FALSE)+'BMP P Tracking Table'!$X363*VLOOKUP('BMP P Tracking Table'!$Q363,'Loading Rates'!$B$1:$L$24,7,FALSE)+'BMP P Tracking Table'!$Y363*VLOOKUP('BMP P Tracking Table'!$Q363,'Loading Rates'!$B$1:$L$24,8,FALSE)+'BMP P Tracking Table'!$Z363*VLOOKUP('BMP P Tracking Table'!$Q363,'Loading Rates'!$B$1:$L$24,9,FALSE),'BMP P Tracking Table'!$AA363*VLOOKUP('BMP P Tracking Table'!$Q363,'Loading Rates'!$B$1:$L$24,10,FALSE)),"")</f>
        <v/>
      </c>
      <c r="AE363" s="101" t="str">
        <f>IFERROR(MIN(2,IF('BMP P Tracking Table'!$V363="Total Pervious",(-(3630*'BMP P Tracking Table'!$U363+20.691*'BMP P Tracking Table'!$AA363)+SQRT((3630*'BMP P Tracking Table'!$U363+20.691*'BMP P Tracking Table'!$AA363)^2-(4*(996.798*'BMP P Tracking Table'!$AA363)*-'BMP P Tracking Table'!$AB363)))/(2*(996.798*'BMP P Tracking Table'!$AA363)),IF(SUM('BMP P Tracking Table'!$W363:$Z363)=0,'BMP P Tracking Table'!$AB363/(-3630*'BMP P Tracking Table'!$U363),(-(3630*'BMP P Tracking Table'!$U363+20.691*'BMP P Tracking Table'!$Z363-216.711*'BMP P Tracking Table'!$Y363-83.853*'BMP P Tracking Table'!$X363-42.834*'BMP P Tracking Table'!$W363)+SQRT((3630*'BMP P Tracking Table'!$U363+20.691*'BMP P Tracking Table'!$Z363-216.711*'BMP P Tracking Table'!$Y363-83.853*'BMP P Tracking Table'!$X363-42.834*'BMP P Tracking Table'!$W363)^2-(4*(149.919*'BMP P Tracking Table'!$W363+236.676*'BMP P Tracking Table'!$X363+726*'BMP P Tracking Table'!$Y363+996.798*'BMP P Tracking Table'!$Z363)*-'BMP P Tracking Table'!$AB363)))/(2*(149.919*'BMP P Tracking Table'!$W363+236.676*'BMP P Tracking Table'!$X363+726*'BMP P Tracking Table'!$Y363+996.798*'BMP P Tracking Table'!$Z363))))),"")</f>
        <v/>
      </c>
      <c r="AF363" s="101" t="str">
        <f>IFERROR((VLOOKUP(CONCATENATE('BMP P Tracking Table'!$T363," ",'BMP P Tracking Table'!$AC363),'Performance Curves'!$C$1:$L$45,MATCH('BMP P Tracking Table'!$AE363,'Performance Curves'!$E$1:$L$1,1)+2,FALSE)-VLOOKUP(CONCATENATE('BMP P Tracking Table'!$T363," ",'BMP P Tracking Table'!$AC363),'Performance Curves'!$C$1:$L$45,MATCH('BMP P Tracking Table'!$AE363,'Performance Curves'!$E$1:$L$1,1)+1,FALSE)),"")</f>
        <v/>
      </c>
      <c r="AG363" s="101" t="str">
        <f>IFERROR(('BMP P Tracking Table'!$AE363-INDEX('Performance Curves'!$E$1:$L$1,1,MATCH('BMP P Tracking Table'!$AE363,'Performance Curves'!$E$1:$L$1,1)))/(INDEX('Performance Curves'!$E$1:$L$1,1,MATCH('BMP P Tracking Table'!$AE363,'Performance Curves'!$E$1:$L$1,1)+1)-INDEX('Performance Curves'!$E$1:$L$1,1,MATCH('BMP P Tracking Table'!$AE363,'Performance Curves'!$E$1:$L$1,1))),"")</f>
        <v/>
      </c>
      <c r="AH363" s="102" t="str">
        <f>IFERROR(IF('BMP P Tracking Table'!$AE363=2,VLOOKUP(CONCATENATE('BMP P Tracking Table'!$T363," ",'BMP P Tracking Table'!$AC363),'Performance Curves'!$C$1:$L$45,MATCH('BMP P Tracking Table'!$AE363,'Performance Curves'!$E$1:$L$1,1)+1,FALSE),'BMP P Tracking Table'!$AF363*'BMP P Tracking Table'!$AG363+VLOOKUP(CONCATENATE('BMP P Tracking Table'!$T363," ",'BMP P Tracking Table'!$AC363),'Performance Curves'!$C$1:$L$45,MATCH('BMP P Tracking Table'!$AE363,'Performance Curves'!$E$1:$L$1,1)+1,FALSE)),"")</f>
        <v/>
      </c>
      <c r="AI363" s="101" t="str">
        <f>IFERROR('BMP P Tracking Table'!$AH363*'BMP P Tracking Table'!$AD363,"")</f>
        <v/>
      </c>
      <c r="AJ363" s="64"/>
      <c r="AK363" s="96"/>
      <c r="AL363" s="96"/>
      <c r="AM363" s="63"/>
      <c r="AN363" s="99" t="str">
        <f t="shared" si="22"/>
        <v/>
      </c>
      <c r="AO363" s="96"/>
      <c r="AP363" s="96"/>
      <c r="AQ363" s="96"/>
      <c r="AR363" s="96"/>
      <c r="AS363" s="96"/>
      <c r="AT363" s="96"/>
      <c r="AU363" s="96"/>
      <c r="AV363" s="64"/>
      <c r="AW363" s="97"/>
      <c r="AX363" s="97"/>
      <c r="AY363" s="101" t="str">
        <f>IF('BMP P Tracking Table'!$AK363="Yes",IF('BMP P Tracking Table'!$AL363="No",'BMP P Tracking Table'!$U363*VLOOKUP('BMP P Tracking Table'!$Q363,'Loading Rates'!$B$1:$L$24,4,FALSE)+IF('BMP P Tracking Table'!$V363="By HSG",'BMP P Tracking Table'!$W363*VLOOKUP('BMP P Tracking Table'!$Q363,'Loading Rates'!$B$1:$L$24,6,FALSE)+'BMP P Tracking Table'!$X363*VLOOKUP('BMP P Tracking Table'!$Q363,'Loading Rates'!$B$1:$L$24,7,FALSE)+'BMP P Tracking Table'!$Y363*VLOOKUP('BMP P Tracking Table'!$Q363,'Loading Rates'!$B$1:$L$24,8,FALSE)+'BMP P Tracking Table'!$Z363*VLOOKUP('BMP P Tracking Table'!$Q363,'Loading Rates'!$B$1:$L$24,9,FALSE),'BMP P Tracking Table'!$AA363*VLOOKUP('BMP P Tracking Table'!$Q363,'Loading Rates'!$B$1:$L$24,10,FALSE)),'BMP P Tracking Table'!$AO363*VLOOKUP('BMP P Tracking Table'!$Q363,'Loading Rates'!$B$1:$L$24,4,FALSE)+IF('BMP P Tracking Table'!$AP363="By HSG",'BMP P Tracking Table'!$AQ363*VLOOKUP('BMP P Tracking Table'!$Q363,'Loading Rates'!$B$1:$L$24,6,FALSE)+'BMP P Tracking Table'!$AR363*VLOOKUP('BMP P Tracking Table'!$Q363,'Loading Rates'!$B$1:$L$24,7,FALSE)+'BMP P Tracking Table'!$AS363*VLOOKUP('BMP P Tracking Table'!$Q363,'Loading Rates'!$B$1:$L$24,8,FALSE)+'BMP P Tracking Table'!$AT363*VLOOKUP('BMP P Tracking Table'!$Q363,'Loading Rates'!$B$1:$L$24,9,FALSE),'BMP P Tracking Table'!$AU363*VLOOKUP('BMP P Tracking Table'!$Q363,'Loading Rates'!$B$1:$L$24,10,FALSE))),"")</f>
        <v/>
      </c>
      <c r="AZ363" s="101" t="str">
        <f>IFERROR(IF('BMP P Tracking Table'!$AL363="Yes",MIN(2,IF('BMP P Tracking Table'!$AP363="Total Pervious",(-(3630*'BMP P Tracking Table'!$AO363+20.691*'BMP P Tracking Table'!$AU363)+SQRT((3630*'BMP P Tracking Table'!$AO363+20.691*'BMP P Tracking Table'!$AU363)^2-(4*(996.798*'BMP P Tracking Table'!$AU363)*-'BMP P Tracking Table'!$AW363)))/(2*(996.798*'BMP P Tracking Table'!$AU363)),IF(SUM('BMP P Tracking Table'!$AQ363:$AT363)=0,'BMP P Tracking Table'!$AU363/(-3630*'BMP P Tracking Table'!$AO363),(-(3630*'BMP P Tracking Table'!$AO363+20.691*'BMP P Tracking Table'!$AT363-216.711*'BMP P Tracking Table'!$AS363-83.853*'BMP P Tracking Table'!$AR363-42.834*'BMP P Tracking Table'!$AQ363)+SQRT((3630*'BMP P Tracking Table'!$AO363+20.691*'BMP P Tracking Table'!$AT363-216.711*'BMP P Tracking Table'!$AS363-83.853*'BMP P Tracking Table'!$AR363-42.834*'BMP P Tracking Table'!$AQ363)^2-(4*(149.919*'BMP P Tracking Table'!$AQ363+236.676*'BMP P Tracking Table'!$AR363+726*'BMP P Tracking Table'!$AS363+996.798*'BMP P Tracking Table'!$AT363)*-'BMP P Tracking Table'!$AW363)))/(2*(149.919*'BMP P Tracking Table'!$AQ363+236.676*'BMP P Tracking Table'!$AR363+726*'BMP P Tracking Table'!$AS363+996.798*'BMP P Tracking Table'!$AT363))))),MIN(2,IF('BMP P Tracking Table'!$AP363="Total Pervious",(-(3630*'BMP P Tracking Table'!$U363+20.691*'BMP P Tracking Table'!$AA363)+SQRT((3630*'BMP P Tracking Table'!$U363+20.691*'BMP P Tracking Table'!$AA363)^2-(4*(996.798*'BMP P Tracking Table'!$AA363)*-'BMP P Tracking Table'!$AW363)))/(2*(996.798*'BMP P Tracking Table'!$AA363)),IF(SUM('BMP P Tracking Table'!$W363:$Z363)=0,'BMP P Tracking Table'!$AW363/(-3630*'BMP P Tracking Table'!$U363),(-(3630*'BMP P Tracking Table'!$U363+20.691*'BMP P Tracking Table'!$Z363-216.711*'BMP P Tracking Table'!$Y363-83.853*'BMP P Tracking Table'!$X363-42.834*'BMP P Tracking Table'!$W363)+SQRT((3630*'BMP P Tracking Table'!$U363+20.691*'BMP P Tracking Table'!$Z363-216.711*'BMP P Tracking Table'!$Y363-83.853*'BMP P Tracking Table'!$X363-42.834*'BMP P Tracking Table'!$W363)^2-(4*(149.919*'BMP P Tracking Table'!$W363+236.676*'BMP P Tracking Table'!$X363+726*'BMP P Tracking Table'!$Y363+996.798*'BMP P Tracking Table'!$Z363)*-'BMP P Tracking Table'!$AW363)))/(2*(149.919*'BMP P Tracking Table'!$W363+236.676*'BMP P Tracking Table'!$X363+726*'BMP P Tracking Table'!$Y363+996.798*'BMP P Tracking Table'!$Z363)))))),"")</f>
        <v/>
      </c>
      <c r="BA363" s="101" t="str">
        <f>IFERROR((VLOOKUP(CONCATENATE('BMP P Tracking Table'!$AV363," ",'BMP P Tracking Table'!$AX363),'Performance Curves'!$C$1:$L$45,MATCH('BMP P Tracking Table'!$AZ363,'Performance Curves'!$E$1:$L$1,1)+2,FALSE)-VLOOKUP(CONCATENATE('BMP P Tracking Table'!$AV363," ",'BMP P Tracking Table'!$AX363),'Performance Curves'!$C$1:$L$45,MATCH('BMP P Tracking Table'!$AZ363,'Performance Curves'!$E$1:$L$1,1)+1,FALSE)),"")</f>
        <v/>
      </c>
      <c r="BB363" s="101" t="str">
        <f>IFERROR(('BMP P Tracking Table'!$AZ363-INDEX('Performance Curves'!$E$1:$L$1,1,MATCH('BMP P Tracking Table'!$AZ363,'Performance Curves'!$E$1:$L$1,1)))/(INDEX('Performance Curves'!$E$1:$L$1,1,MATCH('BMP P Tracking Table'!$AZ363,'Performance Curves'!$E$1:$L$1,1)+1)-INDEX('Performance Curves'!$E$1:$L$1,1,MATCH('BMP P Tracking Table'!$AZ363,'Performance Curves'!$E$1:$L$1,1))),"")</f>
        <v/>
      </c>
      <c r="BC363" s="102" t="str">
        <f>IFERROR(IF('BMP P Tracking Table'!$AZ363=2,VLOOKUP(CONCATENATE('BMP P Tracking Table'!$AV363," ",'BMP P Tracking Table'!$AX363),'Performance Curves'!$C$1:$L$44,MATCH('BMP P Tracking Table'!$AZ363,'Performance Curves'!$E$1:$L$1,1)+1,FALSE),'BMP P Tracking Table'!$BA363*'BMP P Tracking Table'!$BB363+VLOOKUP(CONCATENATE('BMP P Tracking Table'!$AV363," ",'BMP P Tracking Table'!$AX363),'Performance Curves'!$C$1:$L$44,MATCH('BMP P Tracking Table'!$AZ363,'Performance Curves'!$E$1:$L$1,1)+1,FALSE)),"")</f>
        <v/>
      </c>
      <c r="BD363" s="101" t="str">
        <f>IFERROR('BMP P Tracking Table'!$BC363*'BMP P Tracking Table'!$AY363,"")</f>
        <v/>
      </c>
      <c r="BE363" s="96"/>
      <c r="BF363" s="37">
        <f t="shared" si="23"/>
        <v>0</v>
      </c>
    </row>
    <row r="364" spans="1:58" x14ac:dyDescent="0.3">
      <c r="A364" s="64"/>
      <c r="B364" s="64"/>
      <c r="C364" s="64"/>
      <c r="D364" s="64"/>
      <c r="E364" s="93"/>
      <c r="F364" s="93"/>
      <c r="G364" s="64"/>
      <c r="H364" s="64"/>
      <c r="I364" s="64"/>
      <c r="J364" s="94"/>
      <c r="K364" s="64"/>
      <c r="L364" s="64"/>
      <c r="M364" s="64"/>
      <c r="N364" s="64"/>
      <c r="O364" s="64"/>
      <c r="P364" s="64"/>
      <c r="Q364" s="64" t="str">
        <f>IFERROR(VLOOKUP('BMP P Tracking Table'!$P364,Dropdowns!$C$2:$E$15,3,FALSE),"")</f>
        <v/>
      </c>
      <c r="R364" s="64" t="str">
        <f>IFERROR(VLOOKUP('BMP P Tracking Table'!$Q364,Dropdowns!$P$3:$Q$23,2,FALSE),"")</f>
        <v/>
      </c>
      <c r="S364" s="64"/>
      <c r="T364" s="64"/>
      <c r="U364" s="64"/>
      <c r="V364" s="64"/>
      <c r="W364" s="64"/>
      <c r="X364" s="64"/>
      <c r="Y364" s="64"/>
      <c r="Z364" s="64"/>
      <c r="AA364" s="64"/>
      <c r="AB364" s="95"/>
      <c r="AC364" s="64"/>
      <c r="AD364" s="101" t="str">
        <f>IFERROR('BMP P Tracking Table'!$U364*VLOOKUP('BMP P Tracking Table'!$Q364,'Loading Rates'!$B$1:$L$24,4,FALSE)+IF('BMP P Tracking Table'!$V364="By HSG",'BMP P Tracking Table'!$W364*VLOOKUP('BMP P Tracking Table'!$Q364,'Loading Rates'!$B$1:$L$24,6,FALSE)+'BMP P Tracking Table'!$X364*VLOOKUP('BMP P Tracking Table'!$Q364,'Loading Rates'!$B$1:$L$24,7,FALSE)+'BMP P Tracking Table'!$Y364*VLOOKUP('BMP P Tracking Table'!$Q364,'Loading Rates'!$B$1:$L$24,8,FALSE)+'BMP P Tracking Table'!$Z364*VLOOKUP('BMP P Tracking Table'!$Q364,'Loading Rates'!$B$1:$L$24,9,FALSE),'BMP P Tracking Table'!$AA364*VLOOKUP('BMP P Tracking Table'!$Q364,'Loading Rates'!$B$1:$L$24,10,FALSE)),"")</f>
        <v/>
      </c>
      <c r="AE364" s="101" t="str">
        <f>IFERROR(MIN(2,IF('BMP P Tracking Table'!$V364="Total Pervious",(-(3630*'BMP P Tracking Table'!$U364+20.691*'BMP P Tracking Table'!$AA364)+SQRT((3630*'BMP P Tracking Table'!$U364+20.691*'BMP P Tracking Table'!$AA364)^2-(4*(996.798*'BMP P Tracking Table'!$AA364)*-'BMP P Tracking Table'!$AB364)))/(2*(996.798*'BMP P Tracking Table'!$AA364)),IF(SUM('BMP P Tracking Table'!$W364:$Z364)=0,'BMP P Tracking Table'!$AB364/(-3630*'BMP P Tracking Table'!$U364),(-(3630*'BMP P Tracking Table'!$U364+20.691*'BMP P Tracking Table'!$Z364-216.711*'BMP P Tracking Table'!$Y364-83.853*'BMP P Tracking Table'!$X364-42.834*'BMP P Tracking Table'!$W364)+SQRT((3630*'BMP P Tracking Table'!$U364+20.691*'BMP P Tracking Table'!$Z364-216.711*'BMP P Tracking Table'!$Y364-83.853*'BMP P Tracking Table'!$X364-42.834*'BMP P Tracking Table'!$W364)^2-(4*(149.919*'BMP P Tracking Table'!$W364+236.676*'BMP P Tracking Table'!$X364+726*'BMP P Tracking Table'!$Y364+996.798*'BMP P Tracking Table'!$Z364)*-'BMP P Tracking Table'!$AB364)))/(2*(149.919*'BMP P Tracking Table'!$W364+236.676*'BMP P Tracking Table'!$X364+726*'BMP P Tracking Table'!$Y364+996.798*'BMP P Tracking Table'!$Z364))))),"")</f>
        <v/>
      </c>
      <c r="AF364" s="101" t="str">
        <f>IFERROR((VLOOKUP(CONCATENATE('BMP P Tracking Table'!$T364," ",'BMP P Tracking Table'!$AC364),'Performance Curves'!$C$1:$L$45,MATCH('BMP P Tracking Table'!$AE364,'Performance Curves'!$E$1:$L$1,1)+2,FALSE)-VLOOKUP(CONCATENATE('BMP P Tracking Table'!$T364," ",'BMP P Tracking Table'!$AC364),'Performance Curves'!$C$1:$L$45,MATCH('BMP P Tracking Table'!$AE364,'Performance Curves'!$E$1:$L$1,1)+1,FALSE)),"")</f>
        <v/>
      </c>
      <c r="AG364" s="101" t="str">
        <f>IFERROR(('BMP P Tracking Table'!$AE364-INDEX('Performance Curves'!$E$1:$L$1,1,MATCH('BMP P Tracking Table'!$AE364,'Performance Curves'!$E$1:$L$1,1)))/(INDEX('Performance Curves'!$E$1:$L$1,1,MATCH('BMP P Tracking Table'!$AE364,'Performance Curves'!$E$1:$L$1,1)+1)-INDEX('Performance Curves'!$E$1:$L$1,1,MATCH('BMP P Tracking Table'!$AE364,'Performance Curves'!$E$1:$L$1,1))),"")</f>
        <v/>
      </c>
      <c r="AH364" s="102" t="str">
        <f>IFERROR(IF('BMP P Tracking Table'!$AE364=2,VLOOKUP(CONCATENATE('BMP P Tracking Table'!$T364," ",'BMP P Tracking Table'!$AC364),'Performance Curves'!$C$1:$L$45,MATCH('BMP P Tracking Table'!$AE364,'Performance Curves'!$E$1:$L$1,1)+1,FALSE),'BMP P Tracking Table'!$AF364*'BMP P Tracking Table'!$AG364+VLOOKUP(CONCATENATE('BMP P Tracking Table'!$T364," ",'BMP P Tracking Table'!$AC364),'Performance Curves'!$C$1:$L$45,MATCH('BMP P Tracking Table'!$AE364,'Performance Curves'!$E$1:$L$1,1)+1,FALSE)),"")</f>
        <v/>
      </c>
      <c r="AI364" s="101" t="str">
        <f>IFERROR('BMP P Tracking Table'!$AH364*'BMP P Tracking Table'!$AD364,"")</f>
        <v/>
      </c>
      <c r="AJ364" s="64"/>
      <c r="AK364" s="96"/>
      <c r="AL364" s="96"/>
      <c r="AM364" s="63"/>
      <c r="AN364" s="99" t="str">
        <f t="shared" si="22"/>
        <v/>
      </c>
      <c r="AO364" s="96"/>
      <c r="AP364" s="96"/>
      <c r="AQ364" s="96"/>
      <c r="AR364" s="96"/>
      <c r="AS364" s="96"/>
      <c r="AT364" s="96"/>
      <c r="AU364" s="96"/>
      <c r="AV364" s="64"/>
      <c r="AW364" s="97"/>
      <c r="AX364" s="97"/>
      <c r="AY364" s="101" t="str">
        <f>IF('BMP P Tracking Table'!$AK364="Yes",IF('BMP P Tracking Table'!$AL364="No",'BMP P Tracking Table'!$U364*VLOOKUP('BMP P Tracking Table'!$Q364,'Loading Rates'!$B$1:$L$24,4,FALSE)+IF('BMP P Tracking Table'!$V364="By HSG",'BMP P Tracking Table'!$W364*VLOOKUP('BMP P Tracking Table'!$Q364,'Loading Rates'!$B$1:$L$24,6,FALSE)+'BMP P Tracking Table'!$X364*VLOOKUP('BMP P Tracking Table'!$Q364,'Loading Rates'!$B$1:$L$24,7,FALSE)+'BMP P Tracking Table'!$Y364*VLOOKUP('BMP P Tracking Table'!$Q364,'Loading Rates'!$B$1:$L$24,8,FALSE)+'BMP P Tracking Table'!$Z364*VLOOKUP('BMP P Tracking Table'!$Q364,'Loading Rates'!$B$1:$L$24,9,FALSE),'BMP P Tracking Table'!$AA364*VLOOKUP('BMP P Tracking Table'!$Q364,'Loading Rates'!$B$1:$L$24,10,FALSE)),'BMP P Tracking Table'!$AO364*VLOOKUP('BMP P Tracking Table'!$Q364,'Loading Rates'!$B$1:$L$24,4,FALSE)+IF('BMP P Tracking Table'!$AP364="By HSG",'BMP P Tracking Table'!$AQ364*VLOOKUP('BMP P Tracking Table'!$Q364,'Loading Rates'!$B$1:$L$24,6,FALSE)+'BMP P Tracking Table'!$AR364*VLOOKUP('BMP P Tracking Table'!$Q364,'Loading Rates'!$B$1:$L$24,7,FALSE)+'BMP P Tracking Table'!$AS364*VLOOKUP('BMP P Tracking Table'!$Q364,'Loading Rates'!$B$1:$L$24,8,FALSE)+'BMP P Tracking Table'!$AT364*VLOOKUP('BMP P Tracking Table'!$Q364,'Loading Rates'!$B$1:$L$24,9,FALSE),'BMP P Tracking Table'!$AU364*VLOOKUP('BMP P Tracking Table'!$Q364,'Loading Rates'!$B$1:$L$24,10,FALSE))),"")</f>
        <v/>
      </c>
      <c r="AZ364" s="101" t="str">
        <f>IFERROR(IF('BMP P Tracking Table'!$AL364="Yes",MIN(2,IF('BMP P Tracking Table'!$AP364="Total Pervious",(-(3630*'BMP P Tracking Table'!$AO364+20.691*'BMP P Tracking Table'!$AU364)+SQRT((3630*'BMP P Tracking Table'!$AO364+20.691*'BMP P Tracking Table'!$AU364)^2-(4*(996.798*'BMP P Tracking Table'!$AU364)*-'BMP P Tracking Table'!$AW364)))/(2*(996.798*'BMP P Tracking Table'!$AU364)),IF(SUM('BMP P Tracking Table'!$AQ364:$AT364)=0,'BMP P Tracking Table'!$AU364/(-3630*'BMP P Tracking Table'!$AO364),(-(3630*'BMP P Tracking Table'!$AO364+20.691*'BMP P Tracking Table'!$AT364-216.711*'BMP P Tracking Table'!$AS364-83.853*'BMP P Tracking Table'!$AR364-42.834*'BMP P Tracking Table'!$AQ364)+SQRT((3630*'BMP P Tracking Table'!$AO364+20.691*'BMP P Tracking Table'!$AT364-216.711*'BMP P Tracking Table'!$AS364-83.853*'BMP P Tracking Table'!$AR364-42.834*'BMP P Tracking Table'!$AQ364)^2-(4*(149.919*'BMP P Tracking Table'!$AQ364+236.676*'BMP P Tracking Table'!$AR364+726*'BMP P Tracking Table'!$AS364+996.798*'BMP P Tracking Table'!$AT364)*-'BMP P Tracking Table'!$AW364)))/(2*(149.919*'BMP P Tracking Table'!$AQ364+236.676*'BMP P Tracking Table'!$AR364+726*'BMP P Tracking Table'!$AS364+996.798*'BMP P Tracking Table'!$AT364))))),MIN(2,IF('BMP P Tracking Table'!$AP364="Total Pervious",(-(3630*'BMP P Tracking Table'!$U364+20.691*'BMP P Tracking Table'!$AA364)+SQRT((3630*'BMP P Tracking Table'!$U364+20.691*'BMP P Tracking Table'!$AA364)^2-(4*(996.798*'BMP P Tracking Table'!$AA364)*-'BMP P Tracking Table'!$AW364)))/(2*(996.798*'BMP P Tracking Table'!$AA364)),IF(SUM('BMP P Tracking Table'!$W364:$Z364)=0,'BMP P Tracking Table'!$AW364/(-3630*'BMP P Tracking Table'!$U364),(-(3630*'BMP P Tracking Table'!$U364+20.691*'BMP P Tracking Table'!$Z364-216.711*'BMP P Tracking Table'!$Y364-83.853*'BMP P Tracking Table'!$X364-42.834*'BMP P Tracking Table'!$W364)+SQRT((3630*'BMP P Tracking Table'!$U364+20.691*'BMP P Tracking Table'!$Z364-216.711*'BMP P Tracking Table'!$Y364-83.853*'BMP P Tracking Table'!$X364-42.834*'BMP P Tracking Table'!$W364)^2-(4*(149.919*'BMP P Tracking Table'!$W364+236.676*'BMP P Tracking Table'!$X364+726*'BMP P Tracking Table'!$Y364+996.798*'BMP P Tracking Table'!$Z364)*-'BMP P Tracking Table'!$AW364)))/(2*(149.919*'BMP P Tracking Table'!$W364+236.676*'BMP P Tracking Table'!$X364+726*'BMP P Tracking Table'!$Y364+996.798*'BMP P Tracking Table'!$Z364)))))),"")</f>
        <v/>
      </c>
      <c r="BA364" s="101" t="str">
        <f>IFERROR((VLOOKUP(CONCATENATE('BMP P Tracking Table'!$AV364," ",'BMP P Tracking Table'!$AX364),'Performance Curves'!$C$1:$L$45,MATCH('BMP P Tracking Table'!$AZ364,'Performance Curves'!$E$1:$L$1,1)+2,FALSE)-VLOOKUP(CONCATENATE('BMP P Tracking Table'!$AV364," ",'BMP P Tracking Table'!$AX364),'Performance Curves'!$C$1:$L$45,MATCH('BMP P Tracking Table'!$AZ364,'Performance Curves'!$E$1:$L$1,1)+1,FALSE)),"")</f>
        <v/>
      </c>
      <c r="BB364" s="101" t="str">
        <f>IFERROR(('BMP P Tracking Table'!$AZ364-INDEX('Performance Curves'!$E$1:$L$1,1,MATCH('BMP P Tracking Table'!$AZ364,'Performance Curves'!$E$1:$L$1,1)))/(INDEX('Performance Curves'!$E$1:$L$1,1,MATCH('BMP P Tracking Table'!$AZ364,'Performance Curves'!$E$1:$L$1,1)+1)-INDEX('Performance Curves'!$E$1:$L$1,1,MATCH('BMP P Tracking Table'!$AZ364,'Performance Curves'!$E$1:$L$1,1))),"")</f>
        <v/>
      </c>
      <c r="BC364" s="102" t="str">
        <f>IFERROR(IF('BMP P Tracking Table'!$AZ364=2,VLOOKUP(CONCATENATE('BMP P Tracking Table'!$AV364," ",'BMP P Tracking Table'!$AX364),'Performance Curves'!$C$1:$L$44,MATCH('BMP P Tracking Table'!$AZ364,'Performance Curves'!$E$1:$L$1,1)+1,FALSE),'BMP P Tracking Table'!$BA364*'BMP P Tracking Table'!$BB364+VLOOKUP(CONCATENATE('BMP P Tracking Table'!$AV364," ",'BMP P Tracking Table'!$AX364),'Performance Curves'!$C$1:$L$44,MATCH('BMP P Tracking Table'!$AZ364,'Performance Curves'!$E$1:$L$1,1)+1,FALSE)),"")</f>
        <v/>
      </c>
      <c r="BD364" s="101" t="str">
        <f>IFERROR('BMP P Tracking Table'!$BC364*'BMP P Tracking Table'!$AY364,"")</f>
        <v/>
      </c>
      <c r="BE364" s="96"/>
      <c r="BF364" s="37">
        <f t="shared" si="23"/>
        <v>0</v>
      </c>
    </row>
    <row r="365" spans="1:58" x14ac:dyDescent="0.3">
      <c r="A365" s="64"/>
      <c r="B365" s="64"/>
      <c r="C365" s="64"/>
      <c r="D365" s="64"/>
      <c r="E365" s="93"/>
      <c r="F365" s="93"/>
      <c r="G365" s="64"/>
      <c r="H365" s="64"/>
      <c r="I365" s="64"/>
      <c r="J365" s="94"/>
      <c r="K365" s="64"/>
      <c r="L365" s="64"/>
      <c r="M365" s="64"/>
      <c r="N365" s="64"/>
      <c r="O365" s="64"/>
      <c r="P365" s="64"/>
      <c r="Q365" s="64" t="str">
        <f>IFERROR(VLOOKUP('BMP P Tracking Table'!$P365,Dropdowns!$C$2:$E$15,3,FALSE),"")</f>
        <v/>
      </c>
      <c r="R365" s="64" t="str">
        <f>IFERROR(VLOOKUP('BMP P Tracking Table'!$Q365,Dropdowns!$P$3:$Q$23,2,FALSE),"")</f>
        <v/>
      </c>
      <c r="S365" s="64"/>
      <c r="T365" s="64"/>
      <c r="U365" s="64"/>
      <c r="V365" s="64"/>
      <c r="W365" s="64"/>
      <c r="X365" s="64"/>
      <c r="Y365" s="64"/>
      <c r="Z365" s="64"/>
      <c r="AA365" s="64"/>
      <c r="AB365" s="95"/>
      <c r="AC365" s="64"/>
      <c r="AD365" s="101" t="str">
        <f>IFERROR('BMP P Tracking Table'!$U365*VLOOKUP('BMP P Tracking Table'!$Q365,'Loading Rates'!$B$1:$L$24,4,FALSE)+IF('BMP P Tracking Table'!$V365="By HSG",'BMP P Tracking Table'!$W365*VLOOKUP('BMP P Tracking Table'!$Q365,'Loading Rates'!$B$1:$L$24,6,FALSE)+'BMP P Tracking Table'!$X365*VLOOKUP('BMP P Tracking Table'!$Q365,'Loading Rates'!$B$1:$L$24,7,FALSE)+'BMP P Tracking Table'!$Y365*VLOOKUP('BMP P Tracking Table'!$Q365,'Loading Rates'!$B$1:$L$24,8,FALSE)+'BMP P Tracking Table'!$Z365*VLOOKUP('BMP P Tracking Table'!$Q365,'Loading Rates'!$B$1:$L$24,9,FALSE),'BMP P Tracking Table'!$AA365*VLOOKUP('BMP P Tracking Table'!$Q365,'Loading Rates'!$B$1:$L$24,10,FALSE)),"")</f>
        <v/>
      </c>
      <c r="AE365" s="101" t="str">
        <f>IFERROR(MIN(2,IF('BMP P Tracking Table'!$V365="Total Pervious",(-(3630*'BMP P Tracking Table'!$U365+20.691*'BMP P Tracking Table'!$AA365)+SQRT((3630*'BMP P Tracking Table'!$U365+20.691*'BMP P Tracking Table'!$AA365)^2-(4*(996.798*'BMP P Tracking Table'!$AA365)*-'BMP P Tracking Table'!$AB365)))/(2*(996.798*'BMP P Tracking Table'!$AA365)),IF(SUM('BMP P Tracking Table'!$W365:$Z365)=0,'BMP P Tracking Table'!$AB365/(-3630*'BMP P Tracking Table'!$U365),(-(3630*'BMP P Tracking Table'!$U365+20.691*'BMP P Tracking Table'!$Z365-216.711*'BMP P Tracking Table'!$Y365-83.853*'BMP P Tracking Table'!$X365-42.834*'BMP P Tracking Table'!$W365)+SQRT((3630*'BMP P Tracking Table'!$U365+20.691*'BMP P Tracking Table'!$Z365-216.711*'BMP P Tracking Table'!$Y365-83.853*'BMP P Tracking Table'!$X365-42.834*'BMP P Tracking Table'!$W365)^2-(4*(149.919*'BMP P Tracking Table'!$W365+236.676*'BMP P Tracking Table'!$X365+726*'BMP P Tracking Table'!$Y365+996.798*'BMP P Tracking Table'!$Z365)*-'BMP P Tracking Table'!$AB365)))/(2*(149.919*'BMP P Tracking Table'!$W365+236.676*'BMP P Tracking Table'!$X365+726*'BMP P Tracking Table'!$Y365+996.798*'BMP P Tracking Table'!$Z365))))),"")</f>
        <v/>
      </c>
      <c r="AF365" s="101" t="str">
        <f>IFERROR((VLOOKUP(CONCATENATE('BMP P Tracking Table'!$T365," ",'BMP P Tracking Table'!$AC365),'Performance Curves'!$C$1:$L$45,MATCH('BMP P Tracking Table'!$AE365,'Performance Curves'!$E$1:$L$1,1)+2,FALSE)-VLOOKUP(CONCATENATE('BMP P Tracking Table'!$T365," ",'BMP P Tracking Table'!$AC365),'Performance Curves'!$C$1:$L$45,MATCH('BMP P Tracking Table'!$AE365,'Performance Curves'!$E$1:$L$1,1)+1,FALSE)),"")</f>
        <v/>
      </c>
      <c r="AG365" s="101" t="str">
        <f>IFERROR(('BMP P Tracking Table'!$AE365-INDEX('Performance Curves'!$E$1:$L$1,1,MATCH('BMP P Tracking Table'!$AE365,'Performance Curves'!$E$1:$L$1,1)))/(INDEX('Performance Curves'!$E$1:$L$1,1,MATCH('BMP P Tracking Table'!$AE365,'Performance Curves'!$E$1:$L$1,1)+1)-INDEX('Performance Curves'!$E$1:$L$1,1,MATCH('BMP P Tracking Table'!$AE365,'Performance Curves'!$E$1:$L$1,1))),"")</f>
        <v/>
      </c>
      <c r="AH365" s="102" t="str">
        <f>IFERROR(IF('BMP P Tracking Table'!$AE365=2,VLOOKUP(CONCATENATE('BMP P Tracking Table'!$T365," ",'BMP P Tracking Table'!$AC365),'Performance Curves'!$C$1:$L$45,MATCH('BMP P Tracking Table'!$AE365,'Performance Curves'!$E$1:$L$1,1)+1,FALSE),'BMP P Tracking Table'!$AF365*'BMP P Tracking Table'!$AG365+VLOOKUP(CONCATENATE('BMP P Tracking Table'!$T365," ",'BMP P Tracking Table'!$AC365),'Performance Curves'!$C$1:$L$45,MATCH('BMP P Tracking Table'!$AE365,'Performance Curves'!$E$1:$L$1,1)+1,FALSE)),"")</f>
        <v/>
      </c>
      <c r="AI365" s="101" t="str">
        <f>IFERROR('BMP P Tracking Table'!$AH365*'BMP P Tracking Table'!$AD365,"")</f>
        <v/>
      </c>
      <c r="AJ365" s="64"/>
      <c r="AK365" s="96"/>
      <c r="AL365" s="96"/>
      <c r="AM365" s="63"/>
      <c r="AN365" s="99" t="str">
        <f t="shared" si="22"/>
        <v/>
      </c>
      <c r="AO365" s="96"/>
      <c r="AP365" s="96"/>
      <c r="AQ365" s="96"/>
      <c r="AR365" s="96"/>
      <c r="AS365" s="96"/>
      <c r="AT365" s="96"/>
      <c r="AU365" s="96"/>
      <c r="AV365" s="64"/>
      <c r="AW365" s="97"/>
      <c r="AX365" s="97"/>
      <c r="AY365" s="101" t="str">
        <f>IF('BMP P Tracking Table'!$AK365="Yes",IF('BMP P Tracking Table'!$AL365="No",'BMP P Tracking Table'!$U365*VLOOKUP('BMP P Tracking Table'!$Q365,'Loading Rates'!$B$1:$L$24,4,FALSE)+IF('BMP P Tracking Table'!$V365="By HSG",'BMP P Tracking Table'!$W365*VLOOKUP('BMP P Tracking Table'!$Q365,'Loading Rates'!$B$1:$L$24,6,FALSE)+'BMP P Tracking Table'!$X365*VLOOKUP('BMP P Tracking Table'!$Q365,'Loading Rates'!$B$1:$L$24,7,FALSE)+'BMP P Tracking Table'!$Y365*VLOOKUP('BMP P Tracking Table'!$Q365,'Loading Rates'!$B$1:$L$24,8,FALSE)+'BMP P Tracking Table'!$Z365*VLOOKUP('BMP P Tracking Table'!$Q365,'Loading Rates'!$B$1:$L$24,9,FALSE),'BMP P Tracking Table'!$AA365*VLOOKUP('BMP P Tracking Table'!$Q365,'Loading Rates'!$B$1:$L$24,10,FALSE)),'BMP P Tracking Table'!$AO365*VLOOKUP('BMP P Tracking Table'!$Q365,'Loading Rates'!$B$1:$L$24,4,FALSE)+IF('BMP P Tracking Table'!$AP365="By HSG",'BMP P Tracking Table'!$AQ365*VLOOKUP('BMP P Tracking Table'!$Q365,'Loading Rates'!$B$1:$L$24,6,FALSE)+'BMP P Tracking Table'!$AR365*VLOOKUP('BMP P Tracking Table'!$Q365,'Loading Rates'!$B$1:$L$24,7,FALSE)+'BMP P Tracking Table'!$AS365*VLOOKUP('BMP P Tracking Table'!$Q365,'Loading Rates'!$B$1:$L$24,8,FALSE)+'BMP P Tracking Table'!$AT365*VLOOKUP('BMP P Tracking Table'!$Q365,'Loading Rates'!$B$1:$L$24,9,FALSE),'BMP P Tracking Table'!$AU365*VLOOKUP('BMP P Tracking Table'!$Q365,'Loading Rates'!$B$1:$L$24,10,FALSE))),"")</f>
        <v/>
      </c>
      <c r="AZ365" s="101" t="str">
        <f>IFERROR(IF('BMP P Tracking Table'!$AL365="Yes",MIN(2,IF('BMP P Tracking Table'!$AP365="Total Pervious",(-(3630*'BMP P Tracking Table'!$AO365+20.691*'BMP P Tracking Table'!$AU365)+SQRT((3630*'BMP P Tracking Table'!$AO365+20.691*'BMP P Tracking Table'!$AU365)^2-(4*(996.798*'BMP P Tracking Table'!$AU365)*-'BMP P Tracking Table'!$AW365)))/(2*(996.798*'BMP P Tracking Table'!$AU365)),IF(SUM('BMP P Tracking Table'!$AQ365:$AT365)=0,'BMP P Tracking Table'!$AU365/(-3630*'BMP P Tracking Table'!$AO365),(-(3630*'BMP P Tracking Table'!$AO365+20.691*'BMP P Tracking Table'!$AT365-216.711*'BMP P Tracking Table'!$AS365-83.853*'BMP P Tracking Table'!$AR365-42.834*'BMP P Tracking Table'!$AQ365)+SQRT((3630*'BMP P Tracking Table'!$AO365+20.691*'BMP P Tracking Table'!$AT365-216.711*'BMP P Tracking Table'!$AS365-83.853*'BMP P Tracking Table'!$AR365-42.834*'BMP P Tracking Table'!$AQ365)^2-(4*(149.919*'BMP P Tracking Table'!$AQ365+236.676*'BMP P Tracking Table'!$AR365+726*'BMP P Tracking Table'!$AS365+996.798*'BMP P Tracking Table'!$AT365)*-'BMP P Tracking Table'!$AW365)))/(2*(149.919*'BMP P Tracking Table'!$AQ365+236.676*'BMP P Tracking Table'!$AR365+726*'BMP P Tracking Table'!$AS365+996.798*'BMP P Tracking Table'!$AT365))))),MIN(2,IF('BMP P Tracking Table'!$AP365="Total Pervious",(-(3630*'BMP P Tracking Table'!$U365+20.691*'BMP P Tracking Table'!$AA365)+SQRT((3630*'BMP P Tracking Table'!$U365+20.691*'BMP P Tracking Table'!$AA365)^2-(4*(996.798*'BMP P Tracking Table'!$AA365)*-'BMP P Tracking Table'!$AW365)))/(2*(996.798*'BMP P Tracking Table'!$AA365)),IF(SUM('BMP P Tracking Table'!$W365:$Z365)=0,'BMP P Tracking Table'!$AW365/(-3630*'BMP P Tracking Table'!$U365),(-(3630*'BMP P Tracking Table'!$U365+20.691*'BMP P Tracking Table'!$Z365-216.711*'BMP P Tracking Table'!$Y365-83.853*'BMP P Tracking Table'!$X365-42.834*'BMP P Tracking Table'!$W365)+SQRT((3630*'BMP P Tracking Table'!$U365+20.691*'BMP P Tracking Table'!$Z365-216.711*'BMP P Tracking Table'!$Y365-83.853*'BMP P Tracking Table'!$X365-42.834*'BMP P Tracking Table'!$W365)^2-(4*(149.919*'BMP P Tracking Table'!$W365+236.676*'BMP P Tracking Table'!$X365+726*'BMP P Tracking Table'!$Y365+996.798*'BMP P Tracking Table'!$Z365)*-'BMP P Tracking Table'!$AW365)))/(2*(149.919*'BMP P Tracking Table'!$W365+236.676*'BMP P Tracking Table'!$X365+726*'BMP P Tracking Table'!$Y365+996.798*'BMP P Tracking Table'!$Z365)))))),"")</f>
        <v/>
      </c>
      <c r="BA365" s="101" t="str">
        <f>IFERROR((VLOOKUP(CONCATENATE('BMP P Tracking Table'!$AV365," ",'BMP P Tracking Table'!$AX365),'Performance Curves'!$C$1:$L$45,MATCH('BMP P Tracking Table'!$AZ365,'Performance Curves'!$E$1:$L$1,1)+2,FALSE)-VLOOKUP(CONCATENATE('BMP P Tracking Table'!$AV365," ",'BMP P Tracking Table'!$AX365),'Performance Curves'!$C$1:$L$45,MATCH('BMP P Tracking Table'!$AZ365,'Performance Curves'!$E$1:$L$1,1)+1,FALSE)),"")</f>
        <v/>
      </c>
      <c r="BB365" s="101" t="str">
        <f>IFERROR(('BMP P Tracking Table'!$AZ365-INDEX('Performance Curves'!$E$1:$L$1,1,MATCH('BMP P Tracking Table'!$AZ365,'Performance Curves'!$E$1:$L$1,1)))/(INDEX('Performance Curves'!$E$1:$L$1,1,MATCH('BMP P Tracking Table'!$AZ365,'Performance Curves'!$E$1:$L$1,1)+1)-INDEX('Performance Curves'!$E$1:$L$1,1,MATCH('BMP P Tracking Table'!$AZ365,'Performance Curves'!$E$1:$L$1,1))),"")</f>
        <v/>
      </c>
      <c r="BC365" s="102" t="str">
        <f>IFERROR(IF('BMP P Tracking Table'!$AZ365=2,VLOOKUP(CONCATENATE('BMP P Tracking Table'!$AV365," ",'BMP P Tracking Table'!$AX365),'Performance Curves'!$C$1:$L$44,MATCH('BMP P Tracking Table'!$AZ365,'Performance Curves'!$E$1:$L$1,1)+1,FALSE),'BMP P Tracking Table'!$BA365*'BMP P Tracking Table'!$BB365+VLOOKUP(CONCATENATE('BMP P Tracking Table'!$AV365," ",'BMP P Tracking Table'!$AX365),'Performance Curves'!$C$1:$L$44,MATCH('BMP P Tracking Table'!$AZ365,'Performance Curves'!$E$1:$L$1,1)+1,FALSE)),"")</f>
        <v/>
      </c>
      <c r="BD365" s="101" t="str">
        <f>IFERROR('BMP P Tracking Table'!$BC365*'BMP P Tracking Table'!$AY365,"")</f>
        <v/>
      </c>
      <c r="BE365" s="96"/>
      <c r="BF365" s="37">
        <f t="shared" si="23"/>
        <v>0</v>
      </c>
    </row>
    <row r="366" spans="1:58" x14ac:dyDescent="0.3">
      <c r="A366" s="64"/>
      <c r="B366" s="64"/>
      <c r="C366" s="64"/>
      <c r="D366" s="64"/>
      <c r="E366" s="93"/>
      <c r="F366" s="93"/>
      <c r="G366" s="64"/>
      <c r="H366" s="64"/>
      <c r="I366" s="64"/>
      <c r="J366" s="94"/>
      <c r="K366" s="64"/>
      <c r="L366" s="64"/>
      <c r="M366" s="64"/>
      <c r="N366" s="64"/>
      <c r="O366" s="64"/>
      <c r="P366" s="64"/>
      <c r="Q366" s="64" t="str">
        <f>IFERROR(VLOOKUP('BMP P Tracking Table'!$P366,Dropdowns!$C$2:$E$15,3,FALSE),"")</f>
        <v/>
      </c>
      <c r="R366" s="64" t="str">
        <f>IFERROR(VLOOKUP('BMP P Tracking Table'!$Q366,Dropdowns!$P$3:$Q$23,2,FALSE),"")</f>
        <v/>
      </c>
      <c r="S366" s="64"/>
      <c r="T366" s="64"/>
      <c r="U366" s="64"/>
      <c r="V366" s="64"/>
      <c r="W366" s="64"/>
      <c r="X366" s="64"/>
      <c r="Y366" s="64"/>
      <c r="Z366" s="64"/>
      <c r="AA366" s="64"/>
      <c r="AB366" s="95"/>
      <c r="AC366" s="64"/>
      <c r="AD366" s="101" t="str">
        <f>IFERROR('BMP P Tracking Table'!$U366*VLOOKUP('BMP P Tracking Table'!$Q366,'Loading Rates'!$B$1:$L$24,4,FALSE)+IF('BMP P Tracking Table'!$V366="By HSG",'BMP P Tracking Table'!$W366*VLOOKUP('BMP P Tracking Table'!$Q366,'Loading Rates'!$B$1:$L$24,6,FALSE)+'BMP P Tracking Table'!$X366*VLOOKUP('BMP P Tracking Table'!$Q366,'Loading Rates'!$B$1:$L$24,7,FALSE)+'BMP P Tracking Table'!$Y366*VLOOKUP('BMP P Tracking Table'!$Q366,'Loading Rates'!$B$1:$L$24,8,FALSE)+'BMP P Tracking Table'!$Z366*VLOOKUP('BMP P Tracking Table'!$Q366,'Loading Rates'!$B$1:$L$24,9,FALSE),'BMP P Tracking Table'!$AA366*VLOOKUP('BMP P Tracking Table'!$Q366,'Loading Rates'!$B$1:$L$24,10,FALSE)),"")</f>
        <v/>
      </c>
      <c r="AE366" s="101" t="str">
        <f>IFERROR(MIN(2,IF('BMP P Tracking Table'!$V366="Total Pervious",(-(3630*'BMP P Tracking Table'!$U366+20.691*'BMP P Tracking Table'!$AA366)+SQRT((3630*'BMP P Tracking Table'!$U366+20.691*'BMP P Tracking Table'!$AA366)^2-(4*(996.798*'BMP P Tracking Table'!$AA366)*-'BMP P Tracking Table'!$AB366)))/(2*(996.798*'BMP P Tracking Table'!$AA366)),IF(SUM('BMP P Tracking Table'!$W366:$Z366)=0,'BMP P Tracking Table'!$AB366/(-3630*'BMP P Tracking Table'!$U366),(-(3630*'BMP P Tracking Table'!$U366+20.691*'BMP P Tracking Table'!$Z366-216.711*'BMP P Tracking Table'!$Y366-83.853*'BMP P Tracking Table'!$X366-42.834*'BMP P Tracking Table'!$W366)+SQRT((3630*'BMP P Tracking Table'!$U366+20.691*'BMP P Tracking Table'!$Z366-216.711*'BMP P Tracking Table'!$Y366-83.853*'BMP P Tracking Table'!$X366-42.834*'BMP P Tracking Table'!$W366)^2-(4*(149.919*'BMP P Tracking Table'!$W366+236.676*'BMP P Tracking Table'!$X366+726*'BMP P Tracking Table'!$Y366+996.798*'BMP P Tracking Table'!$Z366)*-'BMP P Tracking Table'!$AB366)))/(2*(149.919*'BMP P Tracking Table'!$W366+236.676*'BMP P Tracking Table'!$X366+726*'BMP P Tracking Table'!$Y366+996.798*'BMP P Tracking Table'!$Z366))))),"")</f>
        <v/>
      </c>
      <c r="AF366" s="101" t="str">
        <f>IFERROR((VLOOKUP(CONCATENATE('BMP P Tracking Table'!$T366," ",'BMP P Tracking Table'!$AC366),'Performance Curves'!$C$1:$L$45,MATCH('BMP P Tracking Table'!$AE366,'Performance Curves'!$E$1:$L$1,1)+2,FALSE)-VLOOKUP(CONCATENATE('BMP P Tracking Table'!$T366," ",'BMP P Tracking Table'!$AC366),'Performance Curves'!$C$1:$L$45,MATCH('BMP P Tracking Table'!$AE366,'Performance Curves'!$E$1:$L$1,1)+1,FALSE)),"")</f>
        <v/>
      </c>
      <c r="AG366" s="101" t="str">
        <f>IFERROR(('BMP P Tracking Table'!$AE366-INDEX('Performance Curves'!$E$1:$L$1,1,MATCH('BMP P Tracking Table'!$AE366,'Performance Curves'!$E$1:$L$1,1)))/(INDEX('Performance Curves'!$E$1:$L$1,1,MATCH('BMP P Tracking Table'!$AE366,'Performance Curves'!$E$1:$L$1,1)+1)-INDEX('Performance Curves'!$E$1:$L$1,1,MATCH('BMP P Tracking Table'!$AE366,'Performance Curves'!$E$1:$L$1,1))),"")</f>
        <v/>
      </c>
      <c r="AH366" s="102" t="str">
        <f>IFERROR(IF('BMP P Tracking Table'!$AE366=2,VLOOKUP(CONCATENATE('BMP P Tracking Table'!$T366," ",'BMP P Tracking Table'!$AC366),'Performance Curves'!$C$1:$L$45,MATCH('BMP P Tracking Table'!$AE366,'Performance Curves'!$E$1:$L$1,1)+1,FALSE),'BMP P Tracking Table'!$AF366*'BMP P Tracking Table'!$AG366+VLOOKUP(CONCATENATE('BMP P Tracking Table'!$T366," ",'BMP P Tracking Table'!$AC366),'Performance Curves'!$C$1:$L$45,MATCH('BMP P Tracking Table'!$AE366,'Performance Curves'!$E$1:$L$1,1)+1,FALSE)),"")</f>
        <v/>
      </c>
      <c r="AI366" s="101" t="str">
        <f>IFERROR('BMP P Tracking Table'!$AH366*'BMP P Tracking Table'!$AD366,"")</f>
        <v/>
      </c>
      <c r="AJ366" s="64"/>
      <c r="AK366" s="96"/>
      <c r="AL366" s="96"/>
      <c r="AM366" s="63"/>
      <c r="AN366" s="99" t="str">
        <f t="shared" si="22"/>
        <v/>
      </c>
      <c r="AO366" s="96"/>
      <c r="AP366" s="96"/>
      <c r="AQ366" s="96"/>
      <c r="AR366" s="96"/>
      <c r="AS366" s="96"/>
      <c r="AT366" s="96"/>
      <c r="AU366" s="96"/>
      <c r="AV366" s="64"/>
      <c r="AW366" s="97"/>
      <c r="AX366" s="97"/>
      <c r="AY366" s="101" t="str">
        <f>IF('BMP P Tracking Table'!$AK366="Yes",IF('BMP P Tracking Table'!$AL366="No",'BMP P Tracking Table'!$U366*VLOOKUP('BMP P Tracking Table'!$Q366,'Loading Rates'!$B$1:$L$24,4,FALSE)+IF('BMP P Tracking Table'!$V366="By HSG",'BMP P Tracking Table'!$W366*VLOOKUP('BMP P Tracking Table'!$Q366,'Loading Rates'!$B$1:$L$24,6,FALSE)+'BMP P Tracking Table'!$X366*VLOOKUP('BMP P Tracking Table'!$Q366,'Loading Rates'!$B$1:$L$24,7,FALSE)+'BMP P Tracking Table'!$Y366*VLOOKUP('BMP P Tracking Table'!$Q366,'Loading Rates'!$B$1:$L$24,8,FALSE)+'BMP P Tracking Table'!$Z366*VLOOKUP('BMP P Tracking Table'!$Q366,'Loading Rates'!$B$1:$L$24,9,FALSE),'BMP P Tracking Table'!$AA366*VLOOKUP('BMP P Tracking Table'!$Q366,'Loading Rates'!$B$1:$L$24,10,FALSE)),'BMP P Tracking Table'!$AO366*VLOOKUP('BMP P Tracking Table'!$Q366,'Loading Rates'!$B$1:$L$24,4,FALSE)+IF('BMP P Tracking Table'!$AP366="By HSG",'BMP P Tracking Table'!$AQ366*VLOOKUP('BMP P Tracking Table'!$Q366,'Loading Rates'!$B$1:$L$24,6,FALSE)+'BMP P Tracking Table'!$AR366*VLOOKUP('BMP P Tracking Table'!$Q366,'Loading Rates'!$B$1:$L$24,7,FALSE)+'BMP P Tracking Table'!$AS366*VLOOKUP('BMP P Tracking Table'!$Q366,'Loading Rates'!$B$1:$L$24,8,FALSE)+'BMP P Tracking Table'!$AT366*VLOOKUP('BMP P Tracking Table'!$Q366,'Loading Rates'!$B$1:$L$24,9,FALSE),'BMP P Tracking Table'!$AU366*VLOOKUP('BMP P Tracking Table'!$Q366,'Loading Rates'!$B$1:$L$24,10,FALSE))),"")</f>
        <v/>
      </c>
      <c r="AZ366" s="101" t="str">
        <f>IFERROR(IF('BMP P Tracking Table'!$AL366="Yes",MIN(2,IF('BMP P Tracking Table'!$AP366="Total Pervious",(-(3630*'BMP P Tracking Table'!$AO366+20.691*'BMP P Tracking Table'!$AU366)+SQRT((3630*'BMP P Tracking Table'!$AO366+20.691*'BMP P Tracking Table'!$AU366)^2-(4*(996.798*'BMP P Tracking Table'!$AU366)*-'BMP P Tracking Table'!$AW366)))/(2*(996.798*'BMP P Tracking Table'!$AU366)),IF(SUM('BMP P Tracking Table'!$AQ366:$AT366)=0,'BMP P Tracking Table'!$AU366/(-3630*'BMP P Tracking Table'!$AO366),(-(3630*'BMP P Tracking Table'!$AO366+20.691*'BMP P Tracking Table'!$AT366-216.711*'BMP P Tracking Table'!$AS366-83.853*'BMP P Tracking Table'!$AR366-42.834*'BMP P Tracking Table'!$AQ366)+SQRT((3630*'BMP P Tracking Table'!$AO366+20.691*'BMP P Tracking Table'!$AT366-216.711*'BMP P Tracking Table'!$AS366-83.853*'BMP P Tracking Table'!$AR366-42.834*'BMP P Tracking Table'!$AQ366)^2-(4*(149.919*'BMP P Tracking Table'!$AQ366+236.676*'BMP P Tracking Table'!$AR366+726*'BMP P Tracking Table'!$AS366+996.798*'BMP P Tracking Table'!$AT366)*-'BMP P Tracking Table'!$AW366)))/(2*(149.919*'BMP P Tracking Table'!$AQ366+236.676*'BMP P Tracking Table'!$AR366+726*'BMP P Tracking Table'!$AS366+996.798*'BMP P Tracking Table'!$AT366))))),MIN(2,IF('BMP P Tracking Table'!$AP366="Total Pervious",(-(3630*'BMP P Tracking Table'!$U366+20.691*'BMP P Tracking Table'!$AA366)+SQRT((3630*'BMP P Tracking Table'!$U366+20.691*'BMP P Tracking Table'!$AA366)^2-(4*(996.798*'BMP P Tracking Table'!$AA366)*-'BMP P Tracking Table'!$AW366)))/(2*(996.798*'BMP P Tracking Table'!$AA366)),IF(SUM('BMP P Tracking Table'!$W366:$Z366)=0,'BMP P Tracking Table'!$AW366/(-3630*'BMP P Tracking Table'!$U366),(-(3630*'BMP P Tracking Table'!$U366+20.691*'BMP P Tracking Table'!$Z366-216.711*'BMP P Tracking Table'!$Y366-83.853*'BMP P Tracking Table'!$X366-42.834*'BMP P Tracking Table'!$W366)+SQRT((3630*'BMP P Tracking Table'!$U366+20.691*'BMP P Tracking Table'!$Z366-216.711*'BMP P Tracking Table'!$Y366-83.853*'BMP P Tracking Table'!$X366-42.834*'BMP P Tracking Table'!$W366)^2-(4*(149.919*'BMP P Tracking Table'!$W366+236.676*'BMP P Tracking Table'!$X366+726*'BMP P Tracking Table'!$Y366+996.798*'BMP P Tracking Table'!$Z366)*-'BMP P Tracking Table'!$AW366)))/(2*(149.919*'BMP P Tracking Table'!$W366+236.676*'BMP P Tracking Table'!$X366+726*'BMP P Tracking Table'!$Y366+996.798*'BMP P Tracking Table'!$Z366)))))),"")</f>
        <v/>
      </c>
      <c r="BA366" s="101" t="str">
        <f>IFERROR((VLOOKUP(CONCATENATE('BMP P Tracking Table'!$AV366," ",'BMP P Tracking Table'!$AX366),'Performance Curves'!$C$1:$L$45,MATCH('BMP P Tracking Table'!$AZ366,'Performance Curves'!$E$1:$L$1,1)+2,FALSE)-VLOOKUP(CONCATENATE('BMP P Tracking Table'!$AV366," ",'BMP P Tracking Table'!$AX366),'Performance Curves'!$C$1:$L$45,MATCH('BMP P Tracking Table'!$AZ366,'Performance Curves'!$E$1:$L$1,1)+1,FALSE)),"")</f>
        <v/>
      </c>
      <c r="BB366" s="101" t="str">
        <f>IFERROR(('BMP P Tracking Table'!$AZ366-INDEX('Performance Curves'!$E$1:$L$1,1,MATCH('BMP P Tracking Table'!$AZ366,'Performance Curves'!$E$1:$L$1,1)))/(INDEX('Performance Curves'!$E$1:$L$1,1,MATCH('BMP P Tracking Table'!$AZ366,'Performance Curves'!$E$1:$L$1,1)+1)-INDEX('Performance Curves'!$E$1:$L$1,1,MATCH('BMP P Tracking Table'!$AZ366,'Performance Curves'!$E$1:$L$1,1))),"")</f>
        <v/>
      </c>
      <c r="BC366" s="102" t="str">
        <f>IFERROR(IF('BMP P Tracking Table'!$AZ366=2,VLOOKUP(CONCATENATE('BMP P Tracking Table'!$AV366," ",'BMP P Tracking Table'!$AX366),'Performance Curves'!$C$1:$L$44,MATCH('BMP P Tracking Table'!$AZ366,'Performance Curves'!$E$1:$L$1,1)+1,FALSE),'BMP P Tracking Table'!$BA366*'BMP P Tracking Table'!$BB366+VLOOKUP(CONCATENATE('BMP P Tracking Table'!$AV366," ",'BMP P Tracking Table'!$AX366),'Performance Curves'!$C$1:$L$44,MATCH('BMP P Tracking Table'!$AZ366,'Performance Curves'!$E$1:$L$1,1)+1,FALSE)),"")</f>
        <v/>
      </c>
      <c r="BD366" s="101" t="str">
        <f>IFERROR('BMP P Tracking Table'!$BC366*'BMP P Tracking Table'!$AY366,"")</f>
        <v/>
      </c>
      <c r="BE366" s="96"/>
      <c r="BF366" s="37">
        <f t="shared" si="23"/>
        <v>0</v>
      </c>
    </row>
    <row r="367" spans="1:58" x14ac:dyDescent="0.3">
      <c r="A367" s="64"/>
      <c r="B367" s="64"/>
      <c r="C367" s="64"/>
      <c r="D367" s="64"/>
      <c r="E367" s="93"/>
      <c r="F367" s="93"/>
      <c r="G367" s="64"/>
      <c r="H367" s="64"/>
      <c r="I367" s="64"/>
      <c r="J367" s="94"/>
      <c r="K367" s="64"/>
      <c r="L367" s="64"/>
      <c r="M367" s="64"/>
      <c r="N367" s="64"/>
      <c r="O367" s="64"/>
      <c r="P367" s="64"/>
      <c r="Q367" s="64" t="str">
        <f>IFERROR(VLOOKUP('BMP P Tracking Table'!$P367,Dropdowns!$C$2:$E$15,3,FALSE),"")</f>
        <v/>
      </c>
      <c r="R367" s="64" t="str">
        <f>IFERROR(VLOOKUP('BMP P Tracking Table'!$Q367,Dropdowns!$P$3:$Q$23,2,FALSE),"")</f>
        <v/>
      </c>
      <c r="S367" s="64"/>
      <c r="T367" s="64"/>
      <c r="U367" s="64"/>
      <c r="V367" s="64"/>
      <c r="W367" s="64"/>
      <c r="X367" s="64"/>
      <c r="Y367" s="64"/>
      <c r="Z367" s="64"/>
      <c r="AA367" s="64"/>
      <c r="AB367" s="95"/>
      <c r="AC367" s="64"/>
      <c r="AD367" s="101" t="str">
        <f>IFERROR('BMP P Tracking Table'!$U367*VLOOKUP('BMP P Tracking Table'!$Q367,'Loading Rates'!$B$1:$L$24,4,FALSE)+IF('BMP P Tracking Table'!$V367="By HSG",'BMP P Tracking Table'!$W367*VLOOKUP('BMP P Tracking Table'!$Q367,'Loading Rates'!$B$1:$L$24,6,FALSE)+'BMP P Tracking Table'!$X367*VLOOKUP('BMP P Tracking Table'!$Q367,'Loading Rates'!$B$1:$L$24,7,FALSE)+'BMP P Tracking Table'!$Y367*VLOOKUP('BMP P Tracking Table'!$Q367,'Loading Rates'!$B$1:$L$24,8,FALSE)+'BMP P Tracking Table'!$Z367*VLOOKUP('BMP P Tracking Table'!$Q367,'Loading Rates'!$B$1:$L$24,9,FALSE),'BMP P Tracking Table'!$AA367*VLOOKUP('BMP P Tracking Table'!$Q367,'Loading Rates'!$B$1:$L$24,10,FALSE)),"")</f>
        <v/>
      </c>
      <c r="AE367" s="101" t="str">
        <f>IFERROR(MIN(2,IF('BMP P Tracking Table'!$V367="Total Pervious",(-(3630*'BMP P Tracking Table'!$U367+20.691*'BMP P Tracking Table'!$AA367)+SQRT((3630*'BMP P Tracking Table'!$U367+20.691*'BMP P Tracking Table'!$AA367)^2-(4*(996.798*'BMP P Tracking Table'!$AA367)*-'BMP P Tracking Table'!$AB367)))/(2*(996.798*'BMP P Tracking Table'!$AA367)),IF(SUM('BMP P Tracking Table'!$W367:$Z367)=0,'BMP P Tracking Table'!$AB367/(-3630*'BMP P Tracking Table'!$U367),(-(3630*'BMP P Tracking Table'!$U367+20.691*'BMP P Tracking Table'!$Z367-216.711*'BMP P Tracking Table'!$Y367-83.853*'BMP P Tracking Table'!$X367-42.834*'BMP P Tracking Table'!$W367)+SQRT((3630*'BMP P Tracking Table'!$U367+20.691*'BMP P Tracking Table'!$Z367-216.711*'BMP P Tracking Table'!$Y367-83.853*'BMP P Tracking Table'!$X367-42.834*'BMP P Tracking Table'!$W367)^2-(4*(149.919*'BMP P Tracking Table'!$W367+236.676*'BMP P Tracking Table'!$X367+726*'BMP P Tracking Table'!$Y367+996.798*'BMP P Tracking Table'!$Z367)*-'BMP P Tracking Table'!$AB367)))/(2*(149.919*'BMP P Tracking Table'!$W367+236.676*'BMP P Tracking Table'!$X367+726*'BMP P Tracking Table'!$Y367+996.798*'BMP P Tracking Table'!$Z367))))),"")</f>
        <v/>
      </c>
      <c r="AF367" s="101" t="str">
        <f>IFERROR((VLOOKUP(CONCATENATE('BMP P Tracking Table'!$T367," ",'BMP P Tracking Table'!$AC367),'Performance Curves'!$C$1:$L$45,MATCH('BMP P Tracking Table'!$AE367,'Performance Curves'!$E$1:$L$1,1)+2,FALSE)-VLOOKUP(CONCATENATE('BMP P Tracking Table'!$T367," ",'BMP P Tracking Table'!$AC367),'Performance Curves'!$C$1:$L$45,MATCH('BMP P Tracking Table'!$AE367,'Performance Curves'!$E$1:$L$1,1)+1,FALSE)),"")</f>
        <v/>
      </c>
      <c r="AG367" s="101" t="str">
        <f>IFERROR(('BMP P Tracking Table'!$AE367-INDEX('Performance Curves'!$E$1:$L$1,1,MATCH('BMP P Tracking Table'!$AE367,'Performance Curves'!$E$1:$L$1,1)))/(INDEX('Performance Curves'!$E$1:$L$1,1,MATCH('BMP P Tracking Table'!$AE367,'Performance Curves'!$E$1:$L$1,1)+1)-INDEX('Performance Curves'!$E$1:$L$1,1,MATCH('BMP P Tracking Table'!$AE367,'Performance Curves'!$E$1:$L$1,1))),"")</f>
        <v/>
      </c>
      <c r="AH367" s="102" t="str">
        <f>IFERROR(IF('BMP P Tracking Table'!$AE367=2,VLOOKUP(CONCATENATE('BMP P Tracking Table'!$T367," ",'BMP P Tracking Table'!$AC367),'Performance Curves'!$C$1:$L$45,MATCH('BMP P Tracking Table'!$AE367,'Performance Curves'!$E$1:$L$1,1)+1,FALSE),'BMP P Tracking Table'!$AF367*'BMP P Tracking Table'!$AG367+VLOOKUP(CONCATENATE('BMP P Tracking Table'!$T367," ",'BMP P Tracking Table'!$AC367),'Performance Curves'!$C$1:$L$45,MATCH('BMP P Tracking Table'!$AE367,'Performance Curves'!$E$1:$L$1,1)+1,FALSE)),"")</f>
        <v/>
      </c>
      <c r="AI367" s="101" t="str">
        <f>IFERROR('BMP P Tracking Table'!$AH367*'BMP P Tracking Table'!$AD367,"")</f>
        <v/>
      </c>
      <c r="AJ367" s="64"/>
      <c r="AK367" s="96"/>
      <c r="AL367" s="96"/>
      <c r="AM367" s="63"/>
      <c r="AN367" s="99" t="str">
        <f t="shared" si="22"/>
        <v/>
      </c>
      <c r="AO367" s="96"/>
      <c r="AP367" s="96"/>
      <c r="AQ367" s="96"/>
      <c r="AR367" s="96"/>
      <c r="AS367" s="96"/>
      <c r="AT367" s="96"/>
      <c r="AU367" s="96"/>
      <c r="AV367" s="64"/>
      <c r="AW367" s="97"/>
      <c r="AX367" s="97"/>
      <c r="AY367" s="101" t="str">
        <f>IF('BMP P Tracking Table'!$AK367="Yes",IF('BMP P Tracking Table'!$AL367="No",'BMP P Tracking Table'!$U367*VLOOKUP('BMP P Tracking Table'!$Q367,'Loading Rates'!$B$1:$L$24,4,FALSE)+IF('BMP P Tracking Table'!$V367="By HSG",'BMP P Tracking Table'!$W367*VLOOKUP('BMP P Tracking Table'!$Q367,'Loading Rates'!$B$1:$L$24,6,FALSE)+'BMP P Tracking Table'!$X367*VLOOKUP('BMP P Tracking Table'!$Q367,'Loading Rates'!$B$1:$L$24,7,FALSE)+'BMP P Tracking Table'!$Y367*VLOOKUP('BMP P Tracking Table'!$Q367,'Loading Rates'!$B$1:$L$24,8,FALSE)+'BMP P Tracking Table'!$Z367*VLOOKUP('BMP P Tracking Table'!$Q367,'Loading Rates'!$B$1:$L$24,9,FALSE),'BMP P Tracking Table'!$AA367*VLOOKUP('BMP P Tracking Table'!$Q367,'Loading Rates'!$B$1:$L$24,10,FALSE)),'BMP P Tracking Table'!$AO367*VLOOKUP('BMP P Tracking Table'!$Q367,'Loading Rates'!$B$1:$L$24,4,FALSE)+IF('BMP P Tracking Table'!$AP367="By HSG",'BMP P Tracking Table'!$AQ367*VLOOKUP('BMP P Tracking Table'!$Q367,'Loading Rates'!$B$1:$L$24,6,FALSE)+'BMP P Tracking Table'!$AR367*VLOOKUP('BMP P Tracking Table'!$Q367,'Loading Rates'!$B$1:$L$24,7,FALSE)+'BMP P Tracking Table'!$AS367*VLOOKUP('BMP P Tracking Table'!$Q367,'Loading Rates'!$B$1:$L$24,8,FALSE)+'BMP P Tracking Table'!$AT367*VLOOKUP('BMP P Tracking Table'!$Q367,'Loading Rates'!$B$1:$L$24,9,FALSE),'BMP P Tracking Table'!$AU367*VLOOKUP('BMP P Tracking Table'!$Q367,'Loading Rates'!$B$1:$L$24,10,FALSE))),"")</f>
        <v/>
      </c>
      <c r="AZ367" s="101" t="str">
        <f>IFERROR(IF('BMP P Tracking Table'!$AL367="Yes",MIN(2,IF('BMP P Tracking Table'!$AP367="Total Pervious",(-(3630*'BMP P Tracking Table'!$AO367+20.691*'BMP P Tracking Table'!$AU367)+SQRT((3630*'BMP P Tracking Table'!$AO367+20.691*'BMP P Tracking Table'!$AU367)^2-(4*(996.798*'BMP P Tracking Table'!$AU367)*-'BMP P Tracking Table'!$AW367)))/(2*(996.798*'BMP P Tracking Table'!$AU367)),IF(SUM('BMP P Tracking Table'!$AQ367:$AT367)=0,'BMP P Tracking Table'!$AU367/(-3630*'BMP P Tracking Table'!$AO367),(-(3630*'BMP P Tracking Table'!$AO367+20.691*'BMP P Tracking Table'!$AT367-216.711*'BMP P Tracking Table'!$AS367-83.853*'BMP P Tracking Table'!$AR367-42.834*'BMP P Tracking Table'!$AQ367)+SQRT((3630*'BMP P Tracking Table'!$AO367+20.691*'BMP P Tracking Table'!$AT367-216.711*'BMP P Tracking Table'!$AS367-83.853*'BMP P Tracking Table'!$AR367-42.834*'BMP P Tracking Table'!$AQ367)^2-(4*(149.919*'BMP P Tracking Table'!$AQ367+236.676*'BMP P Tracking Table'!$AR367+726*'BMP P Tracking Table'!$AS367+996.798*'BMP P Tracking Table'!$AT367)*-'BMP P Tracking Table'!$AW367)))/(2*(149.919*'BMP P Tracking Table'!$AQ367+236.676*'BMP P Tracking Table'!$AR367+726*'BMP P Tracking Table'!$AS367+996.798*'BMP P Tracking Table'!$AT367))))),MIN(2,IF('BMP P Tracking Table'!$AP367="Total Pervious",(-(3630*'BMP P Tracking Table'!$U367+20.691*'BMP P Tracking Table'!$AA367)+SQRT((3630*'BMP P Tracking Table'!$U367+20.691*'BMP P Tracking Table'!$AA367)^2-(4*(996.798*'BMP P Tracking Table'!$AA367)*-'BMP P Tracking Table'!$AW367)))/(2*(996.798*'BMP P Tracking Table'!$AA367)),IF(SUM('BMP P Tracking Table'!$W367:$Z367)=0,'BMP P Tracking Table'!$AW367/(-3630*'BMP P Tracking Table'!$U367),(-(3630*'BMP P Tracking Table'!$U367+20.691*'BMP P Tracking Table'!$Z367-216.711*'BMP P Tracking Table'!$Y367-83.853*'BMP P Tracking Table'!$X367-42.834*'BMP P Tracking Table'!$W367)+SQRT((3630*'BMP P Tracking Table'!$U367+20.691*'BMP P Tracking Table'!$Z367-216.711*'BMP P Tracking Table'!$Y367-83.853*'BMP P Tracking Table'!$X367-42.834*'BMP P Tracking Table'!$W367)^2-(4*(149.919*'BMP P Tracking Table'!$W367+236.676*'BMP P Tracking Table'!$X367+726*'BMP P Tracking Table'!$Y367+996.798*'BMP P Tracking Table'!$Z367)*-'BMP P Tracking Table'!$AW367)))/(2*(149.919*'BMP P Tracking Table'!$W367+236.676*'BMP P Tracking Table'!$X367+726*'BMP P Tracking Table'!$Y367+996.798*'BMP P Tracking Table'!$Z367)))))),"")</f>
        <v/>
      </c>
      <c r="BA367" s="101" t="str">
        <f>IFERROR((VLOOKUP(CONCATENATE('BMP P Tracking Table'!$AV367," ",'BMP P Tracking Table'!$AX367),'Performance Curves'!$C$1:$L$45,MATCH('BMP P Tracking Table'!$AZ367,'Performance Curves'!$E$1:$L$1,1)+2,FALSE)-VLOOKUP(CONCATENATE('BMP P Tracking Table'!$AV367," ",'BMP P Tracking Table'!$AX367),'Performance Curves'!$C$1:$L$45,MATCH('BMP P Tracking Table'!$AZ367,'Performance Curves'!$E$1:$L$1,1)+1,FALSE)),"")</f>
        <v/>
      </c>
      <c r="BB367" s="101" t="str">
        <f>IFERROR(('BMP P Tracking Table'!$AZ367-INDEX('Performance Curves'!$E$1:$L$1,1,MATCH('BMP P Tracking Table'!$AZ367,'Performance Curves'!$E$1:$L$1,1)))/(INDEX('Performance Curves'!$E$1:$L$1,1,MATCH('BMP P Tracking Table'!$AZ367,'Performance Curves'!$E$1:$L$1,1)+1)-INDEX('Performance Curves'!$E$1:$L$1,1,MATCH('BMP P Tracking Table'!$AZ367,'Performance Curves'!$E$1:$L$1,1))),"")</f>
        <v/>
      </c>
      <c r="BC367" s="102" t="str">
        <f>IFERROR(IF('BMP P Tracking Table'!$AZ367=2,VLOOKUP(CONCATENATE('BMP P Tracking Table'!$AV367," ",'BMP P Tracking Table'!$AX367),'Performance Curves'!$C$1:$L$44,MATCH('BMP P Tracking Table'!$AZ367,'Performance Curves'!$E$1:$L$1,1)+1,FALSE),'BMP P Tracking Table'!$BA367*'BMP P Tracking Table'!$BB367+VLOOKUP(CONCATENATE('BMP P Tracking Table'!$AV367," ",'BMP P Tracking Table'!$AX367),'Performance Curves'!$C$1:$L$44,MATCH('BMP P Tracking Table'!$AZ367,'Performance Curves'!$E$1:$L$1,1)+1,FALSE)),"")</f>
        <v/>
      </c>
      <c r="BD367" s="101" t="str">
        <f>IFERROR('BMP P Tracking Table'!$BC367*'BMP P Tracking Table'!$AY367,"")</f>
        <v/>
      </c>
      <c r="BE367" s="96"/>
      <c r="BF367" s="37">
        <f t="shared" si="23"/>
        <v>0</v>
      </c>
    </row>
    <row r="368" spans="1:58" x14ac:dyDescent="0.3">
      <c r="A368" s="64"/>
      <c r="B368" s="64"/>
      <c r="C368" s="64"/>
      <c r="D368" s="64"/>
      <c r="E368" s="93"/>
      <c r="F368" s="93"/>
      <c r="G368" s="64"/>
      <c r="H368" s="64"/>
      <c r="I368" s="64"/>
      <c r="J368" s="94"/>
      <c r="K368" s="64"/>
      <c r="L368" s="64"/>
      <c r="M368" s="64"/>
      <c r="N368" s="64"/>
      <c r="O368" s="64"/>
      <c r="P368" s="64"/>
      <c r="Q368" s="64" t="str">
        <f>IFERROR(VLOOKUP('BMP P Tracking Table'!$P368,Dropdowns!$C$2:$E$15,3,FALSE),"")</f>
        <v/>
      </c>
      <c r="R368" s="64" t="str">
        <f>IFERROR(VLOOKUP('BMP P Tracking Table'!$Q368,Dropdowns!$P$3:$Q$23,2,FALSE),"")</f>
        <v/>
      </c>
      <c r="S368" s="64"/>
      <c r="T368" s="64"/>
      <c r="U368" s="64"/>
      <c r="V368" s="64"/>
      <c r="W368" s="64"/>
      <c r="X368" s="64"/>
      <c r="Y368" s="64"/>
      <c r="Z368" s="64"/>
      <c r="AA368" s="64"/>
      <c r="AB368" s="95"/>
      <c r="AC368" s="64"/>
      <c r="AD368" s="101" t="str">
        <f>IFERROR('BMP P Tracking Table'!$U368*VLOOKUP('BMP P Tracking Table'!$Q368,'Loading Rates'!$B$1:$L$24,4,FALSE)+IF('BMP P Tracking Table'!$V368="By HSG",'BMP P Tracking Table'!$W368*VLOOKUP('BMP P Tracking Table'!$Q368,'Loading Rates'!$B$1:$L$24,6,FALSE)+'BMP P Tracking Table'!$X368*VLOOKUP('BMP P Tracking Table'!$Q368,'Loading Rates'!$B$1:$L$24,7,FALSE)+'BMP P Tracking Table'!$Y368*VLOOKUP('BMP P Tracking Table'!$Q368,'Loading Rates'!$B$1:$L$24,8,FALSE)+'BMP P Tracking Table'!$Z368*VLOOKUP('BMP P Tracking Table'!$Q368,'Loading Rates'!$B$1:$L$24,9,FALSE),'BMP P Tracking Table'!$AA368*VLOOKUP('BMP P Tracking Table'!$Q368,'Loading Rates'!$B$1:$L$24,10,FALSE)),"")</f>
        <v/>
      </c>
      <c r="AE368" s="101" t="str">
        <f>IFERROR(MIN(2,IF('BMP P Tracking Table'!$V368="Total Pervious",(-(3630*'BMP P Tracking Table'!$U368+20.691*'BMP P Tracking Table'!$AA368)+SQRT((3630*'BMP P Tracking Table'!$U368+20.691*'BMP P Tracking Table'!$AA368)^2-(4*(996.798*'BMP P Tracking Table'!$AA368)*-'BMP P Tracking Table'!$AB368)))/(2*(996.798*'BMP P Tracking Table'!$AA368)),IF(SUM('BMP P Tracking Table'!$W368:$Z368)=0,'BMP P Tracking Table'!$AB368/(-3630*'BMP P Tracking Table'!$U368),(-(3630*'BMP P Tracking Table'!$U368+20.691*'BMP P Tracking Table'!$Z368-216.711*'BMP P Tracking Table'!$Y368-83.853*'BMP P Tracking Table'!$X368-42.834*'BMP P Tracking Table'!$W368)+SQRT((3630*'BMP P Tracking Table'!$U368+20.691*'BMP P Tracking Table'!$Z368-216.711*'BMP P Tracking Table'!$Y368-83.853*'BMP P Tracking Table'!$X368-42.834*'BMP P Tracking Table'!$W368)^2-(4*(149.919*'BMP P Tracking Table'!$W368+236.676*'BMP P Tracking Table'!$X368+726*'BMP P Tracking Table'!$Y368+996.798*'BMP P Tracking Table'!$Z368)*-'BMP P Tracking Table'!$AB368)))/(2*(149.919*'BMP P Tracking Table'!$W368+236.676*'BMP P Tracking Table'!$X368+726*'BMP P Tracking Table'!$Y368+996.798*'BMP P Tracking Table'!$Z368))))),"")</f>
        <v/>
      </c>
      <c r="AF368" s="101" t="str">
        <f>IFERROR((VLOOKUP(CONCATENATE('BMP P Tracking Table'!$T368," ",'BMP P Tracking Table'!$AC368),'Performance Curves'!$C$1:$L$45,MATCH('BMP P Tracking Table'!$AE368,'Performance Curves'!$E$1:$L$1,1)+2,FALSE)-VLOOKUP(CONCATENATE('BMP P Tracking Table'!$T368," ",'BMP P Tracking Table'!$AC368),'Performance Curves'!$C$1:$L$45,MATCH('BMP P Tracking Table'!$AE368,'Performance Curves'!$E$1:$L$1,1)+1,FALSE)),"")</f>
        <v/>
      </c>
      <c r="AG368" s="101" t="str">
        <f>IFERROR(('BMP P Tracking Table'!$AE368-INDEX('Performance Curves'!$E$1:$L$1,1,MATCH('BMP P Tracking Table'!$AE368,'Performance Curves'!$E$1:$L$1,1)))/(INDEX('Performance Curves'!$E$1:$L$1,1,MATCH('BMP P Tracking Table'!$AE368,'Performance Curves'!$E$1:$L$1,1)+1)-INDEX('Performance Curves'!$E$1:$L$1,1,MATCH('BMP P Tracking Table'!$AE368,'Performance Curves'!$E$1:$L$1,1))),"")</f>
        <v/>
      </c>
      <c r="AH368" s="102" t="str">
        <f>IFERROR(IF('BMP P Tracking Table'!$AE368=2,VLOOKUP(CONCATENATE('BMP P Tracking Table'!$T368," ",'BMP P Tracking Table'!$AC368),'Performance Curves'!$C$1:$L$45,MATCH('BMP P Tracking Table'!$AE368,'Performance Curves'!$E$1:$L$1,1)+1,FALSE),'BMP P Tracking Table'!$AF368*'BMP P Tracking Table'!$AG368+VLOOKUP(CONCATENATE('BMP P Tracking Table'!$T368," ",'BMP P Tracking Table'!$AC368),'Performance Curves'!$C$1:$L$45,MATCH('BMP P Tracking Table'!$AE368,'Performance Curves'!$E$1:$L$1,1)+1,FALSE)),"")</f>
        <v/>
      </c>
      <c r="AI368" s="101" t="str">
        <f>IFERROR('BMP P Tracking Table'!$AH368*'BMP P Tracking Table'!$AD368,"")</f>
        <v/>
      </c>
      <c r="AJ368" s="64"/>
      <c r="AK368" s="96"/>
      <c r="AL368" s="96"/>
      <c r="AM368" s="63"/>
      <c r="AN368" s="99" t="str">
        <f t="shared" si="22"/>
        <v/>
      </c>
      <c r="AO368" s="96"/>
      <c r="AP368" s="96"/>
      <c r="AQ368" s="96"/>
      <c r="AR368" s="96"/>
      <c r="AS368" s="96"/>
      <c r="AT368" s="96"/>
      <c r="AU368" s="96"/>
      <c r="AV368" s="64"/>
      <c r="AW368" s="97"/>
      <c r="AX368" s="97"/>
      <c r="AY368" s="101" t="str">
        <f>IF('BMP P Tracking Table'!$AK368="Yes",IF('BMP P Tracking Table'!$AL368="No",'BMP P Tracking Table'!$U368*VLOOKUP('BMP P Tracking Table'!$Q368,'Loading Rates'!$B$1:$L$24,4,FALSE)+IF('BMP P Tracking Table'!$V368="By HSG",'BMP P Tracking Table'!$W368*VLOOKUP('BMP P Tracking Table'!$Q368,'Loading Rates'!$B$1:$L$24,6,FALSE)+'BMP P Tracking Table'!$X368*VLOOKUP('BMP P Tracking Table'!$Q368,'Loading Rates'!$B$1:$L$24,7,FALSE)+'BMP P Tracking Table'!$Y368*VLOOKUP('BMP P Tracking Table'!$Q368,'Loading Rates'!$B$1:$L$24,8,FALSE)+'BMP P Tracking Table'!$Z368*VLOOKUP('BMP P Tracking Table'!$Q368,'Loading Rates'!$B$1:$L$24,9,FALSE),'BMP P Tracking Table'!$AA368*VLOOKUP('BMP P Tracking Table'!$Q368,'Loading Rates'!$B$1:$L$24,10,FALSE)),'BMP P Tracking Table'!$AO368*VLOOKUP('BMP P Tracking Table'!$Q368,'Loading Rates'!$B$1:$L$24,4,FALSE)+IF('BMP P Tracking Table'!$AP368="By HSG",'BMP P Tracking Table'!$AQ368*VLOOKUP('BMP P Tracking Table'!$Q368,'Loading Rates'!$B$1:$L$24,6,FALSE)+'BMP P Tracking Table'!$AR368*VLOOKUP('BMP P Tracking Table'!$Q368,'Loading Rates'!$B$1:$L$24,7,FALSE)+'BMP P Tracking Table'!$AS368*VLOOKUP('BMP P Tracking Table'!$Q368,'Loading Rates'!$B$1:$L$24,8,FALSE)+'BMP P Tracking Table'!$AT368*VLOOKUP('BMP P Tracking Table'!$Q368,'Loading Rates'!$B$1:$L$24,9,FALSE),'BMP P Tracking Table'!$AU368*VLOOKUP('BMP P Tracking Table'!$Q368,'Loading Rates'!$B$1:$L$24,10,FALSE))),"")</f>
        <v/>
      </c>
      <c r="AZ368" s="101" t="str">
        <f>IFERROR(IF('BMP P Tracking Table'!$AL368="Yes",MIN(2,IF('BMP P Tracking Table'!$AP368="Total Pervious",(-(3630*'BMP P Tracking Table'!$AO368+20.691*'BMP P Tracking Table'!$AU368)+SQRT((3630*'BMP P Tracking Table'!$AO368+20.691*'BMP P Tracking Table'!$AU368)^2-(4*(996.798*'BMP P Tracking Table'!$AU368)*-'BMP P Tracking Table'!$AW368)))/(2*(996.798*'BMP P Tracking Table'!$AU368)),IF(SUM('BMP P Tracking Table'!$AQ368:$AT368)=0,'BMP P Tracking Table'!$AU368/(-3630*'BMP P Tracking Table'!$AO368),(-(3630*'BMP P Tracking Table'!$AO368+20.691*'BMP P Tracking Table'!$AT368-216.711*'BMP P Tracking Table'!$AS368-83.853*'BMP P Tracking Table'!$AR368-42.834*'BMP P Tracking Table'!$AQ368)+SQRT((3630*'BMP P Tracking Table'!$AO368+20.691*'BMP P Tracking Table'!$AT368-216.711*'BMP P Tracking Table'!$AS368-83.853*'BMP P Tracking Table'!$AR368-42.834*'BMP P Tracking Table'!$AQ368)^2-(4*(149.919*'BMP P Tracking Table'!$AQ368+236.676*'BMP P Tracking Table'!$AR368+726*'BMP P Tracking Table'!$AS368+996.798*'BMP P Tracking Table'!$AT368)*-'BMP P Tracking Table'!$AW368)))/(2*(149.919*'BMP P Tracking Table'!$AQ368+236.676*'BMP P Tracking Table'!$AR368+726*'BMP P Tracking Table'!$AS368+996.798*'BMP P Tracking Table'!$AT368))))),MIN(2,IF('BMP P Tracking Table'!$AP368="Total Pervious",(-(3630*'BMP P Tracking Table'!$U368+20.691*'BMP P Tracking Table'!$AA368)+SQRT((3630*'BMP P Tracking Table'!$U368+20.691*'BMP P Tracking Table'!$AA368)^2-(4*(996.798*'BMP P Tracking Table'!$AA368)*-'BMP P Tracking Table'!$AW368)))/(2*(996.798*'BMP P Tracking Table'!$AA368)),IF(SUM('BMP P Tracking Table'!$W368:$Z368)=0,'BMP P Tracking Table'!$AW368/(-3630*'BMP P Tracking Table'!$U368),(-(3630*'BMP P Tracking Table'!$U368+20.691*'BMP P Tracking Table'!$Z368-216.711*'BMP P Tracking Table'!$Y368-83.853*'BMP P Tracking Table'!$X368-42.834*'BMP P Tracking Table'!$W368)+SQRT((3630*'BMP P Tracking Table'!$U368+20.691*'BMP P Tracking Table'!$Z368-216.711*'BMP P Tracking Table'!$Y368-83.853*'BMP P Tracking Table'!$X368-42.834*'BMP P Tracking Table'!$W368)^2-(4*(149.919*'BMP P Tracking Table'!$W368+236.676*'BMP P Tracking Table'!$X368+726*'BMP P Tracking Table'!$Y368+996.798*'BMP P Tracking Table'!$Z368)*-'BMP P Tracking Table'!$AW368)))/(2*(149.919*'BMP P Tracking Table'!$W368+236.676*'BMP P Tracking Table'!$X368+726*'BMP P Tracking Table'!$Y368+996.798*'BMP P Tracking Table'!$Z368)))))),"")</f>
        <v/>
      </c>
      <c r="BA368" s="101" t="str">
        <f>IFERROR((VLOOKUP(CONCATENATE('BMP P Tracking Table'!$AV368," ",'BMP P Tracking Table'!$AX368),'Performance Curves'!$C$1:$L$45,MATCH('BMP P Tracking Table'!$AZ368,'Performance Curves'!$E$1:$L$1,1)+2,FALSE)-VLOOKUP(CONCATENATE('BMP P Tracking Table'!$AV368," ",'BMP P Tracking Table'!$AX368),'Performance Curves'!$C$1:$L$45,MATCH('BMP P Tracking Table'!$AZ368,'Performance Curves'!$E$1:$L$1,1)+1,FALSE)),"")</f>
        <v/>
      </c>
      <c r="BB368" s="101" t="str">
        <f>IFERROR(('BMP P Tracking Table'!$AZ368-INDEX('Performance Curves'!$E$1:$L$1,1,MATCH('BMP P Tracking Table'!$AZ368,'Performance Curves'!$E$1:$L$1,1)))/(INDEX('Performance Curves'!$E$1:$L$1,1,MATCH('BMP P Tracking Table'!$AZ368,'Performance Curves'!$E$1:$L$1,1)+1)-INDEX('Performance Curves'!$E$1:$L$1,1,MATCH('BMP P Tracking Table'!$AZ368,'Performance Curves'!$E$1:$L$1,1))),"")</f>
        <v/>
      </c>
      <c r="BC368" s="102" t="str">
        <f>IFERROR(IF('BMP P Tracking Table'!$AZ368=2,VLOOKUP(CONCATENATE('BMP P Tracking Table'!$AV368," ",'BMP P Tracking Table'!$AX368),'Performance Curves'!$C$1:$L$44,MATCH('BMP P Tracking Table'!$AZ368,'Performance Curves'!$E$1:$L$1,1)+1,FALSE),'BMP P Tracking Table'!$BA368*'BMP P Tracking Table'!$BB368+VLOOKUP(CONCATENATE('BMP P Tracking Table'!$AV368," ",'BMP P Tracking Table'!$AX368),'Performance Curves'!$C$1:$L$44,MATCH('BMP P Tracking Table'!$AZ368,'Performance Curves'!$E$1:$L$1,1)+1,FALSE)),"")</f>
        <v/>
      </c>
      <c r="BD368" s="101" t="str">
        <f>IFERROR('BMP P Tracking Table'!$BC368*'BMP P Tracking Table'!$AY368,"")</f>
        <v/>
      </c>
      <c r="BE368" s="96"/>
      <c r="BF368" s="37">
        <f t="shared" si="23"/>
        <v>0</v>
      </c>
    </row>
    <row r="369" spans="1:58" x14ac:dyDescent="0.3">
      <c r="A369" s="64"/>
      <c r="B369" s="64"/>
      <c r="C369" s="64"/>
      <c r="D369" s="64"/>
      <c r="E369" s="93"/>
      <c r="F369" s="93"/>
      <c r="G369" s="64"/>
      <c r="H369" s="64"/>
      <c r="I369" s="64"/>
      <c r="J369" s="94"/>
      <c r="K369" s="64"/>
      <c r="L369" s="64"/>
      <c r="M369" s="64"/>
      <c r="N369" s="64"/>
      <c r="O369" s="64"/>
      <c r="P369" s="64"/>
      <c r="Q369" s="64" t="str">
        <f>IFERROR(VLOOKUP('BMP P Tracking Table'!$P369,Dropdowns!$C$2:$E$15,3,FALSE),"")</f>
        <v/>
      </c>
      <c r="R369" s="64" t="str">
        <f>IFERROR(VLOOKUP('BMP P Tracking Table'!$Q369,Dropdowns!$P$3:$Q$23,2,FALSE),"")</f>
        <v/>
      </c>
      <c r="S369" s="64"/>
      <c r="T369" s="64"/>
      <c r="U369" s="64"/>
      <c r="V369" s="64"/>
      <c r="W369" s="64"/>
      <c r="X369" s="64"/>
      <c r="Y369" s="64"/>
      <c r="Z369" s="64"/>
      <c r="AA369" s="64"/>
      <c r="AB369" s="95"/>
      <c r="AC369" s="64"/>
      <c r="AD369" s="101" t="str">
        <f>IFERROR('BMP P Tracking Table'!$U369*VLOOKUP('BMP P Tracking Table'!$Q369,'Loading Rates'!$B$1:$L$24,4,FALSE)+IF('BMP P Tracking Table'!$V369="By HSG",'BMP P Tracking Table'!$W369*VLOOKUP('BMP P Tracking Table'!$Q369,'Loading Rates'!$B$1:$L$24,6,FALSE)+'BMP P Tracking Table'!$X369*VLOOKUP('BMP P Tracking Table'!$Q369,'Loading Rates'!$B$1:$L$24,7,FALSE)+'BMP P Tracking Table'!$Y369*VLOOKUP('BMP P Tracking Table'!$Q369,'Loading Rates'!$B$1:$L$24,8,FALSE)+'BMP P Tracking Table'!$Z369*VLOOKUP('BMP P Tracking Table'!$Q369,'Loading Rates'!$B$1:$L$24,9,FALSE),'BMP P Tracking Table'!$AA369*VLOOKUP('BMP P Tracking Table'!$Q369,'Loading Rates'!$B$1:$L$24,10,FALSE)),"")</f>
        <v/>
      </c>
      <c r="AE369" s="101" t="str">
        <f>IFERROR(MIN(2,IF('BMP P Tracking Table'!$V369="Total Pervious",(-(3630*'BMP P Tracking Table'!$U369+20.691*'BMP P Tracking Table'!$AA369)+SQRT((3630*'BMP P Tracking Table'!$U369+20.691*'BMP P Tracking Table'!$AA369)^2-(4*(996.798*'BMP P Tracking Table'!$AA369)*-'BMP P Tracking Table'!$AB369)))/(2*(996.798*'BMP P Tracking Table'!$AA369)),IF(SUM('BMP P Tracking Table'!$W369:$Z369)=0,'BMP P Tracking Table'!$AB369/(-3630*'BMP P Tracking Table'!$U369),(-(3630*'BMP P Tracking Table'!$U369+20.691*'BMP P Tracking Table'!$Z369-216.711*'BMP P Tracking Table'!$Y369-83.853*'BMP P Tracking Table'!$X369-42.834*'BMP P Tracking Table'!$W369)+SQRT((3630*'BMP P Tracking Table'!$U369+20.691*'BMP P Tracking Table'!$Z369-216.711*'BMP P Tracking Table'!$Y369-83.853*'BMP P Tracking Table'!$X369-42.834*'BMP P Tracking Table'!$W369)^2-(4*(149.919*'BMP P Tracking Table'!$W369+236.676*'BMP P Tracking Table'!$X369+726*'BMP P Tracking Table'!$Y369+996.798*'BMP P Tracking Table'!$Z369)*-'BMP P Tracking Table'!$AB369)))/(2*(149.919*'BMP P Tracking Table'!$W369+236.676*'BMP P Tracking Table'!$X369+726*'BMP P Tracking Table'!$Y369+996.798*'BMP P Tracking Table'!$Z369))))),"")</f>
        <v/>
      </c>
      <c r="AF369" s="101" t="str">
        <f>IFERROR((VLOOKUP(CONCATENATE('BMP P Tracking Table'!$T369," ",'BMP P Tracking Table'!$AC369),'Performance Curves'!$C$1:$L$45,MATCH('BMP P Tracking Table'!$AE369,'Performance Curves'!$E$1:$L$1,1)+2,FALSE)-VLOOKUP(CONCATENATE('BMP P Tracking Table'!$T369," ",'BMP P Tracking Table'!$AC369),'Performance Curves'!$C$1:$L$45,MATCH('BMP P Tracking Table'!$AE369,'Performance Curves'!$E$1:$L$1,1)+1,FALSE)),"")</f>
        <v/>
      </c>
      <c r="AG369" s="101" t="str">
        <f>IFERROR(('BMP P Tracking Table'!$AE369-INDEX('Performance Curves'!$E$1:$L$1,1,MATCH('BMP P Tracking Table'!$AE369,'Performance Curves'!$E$1:$L$1,1)))/(INDEX('Performance Curves'!$E$1:$L$1,1,MATCH('BMP P Tracking Table'!$AE369,'Performance Curves'!$E$1:$L$1,1)+1)-INDEX('Performance Curves'!$E$1:$L$1,1,MATCH('BMP P Tracking Table'!$AE369,'Performance Curves'!$E$1:$L$1,1))),"")</f>
        <v/>
      </c>
      <c r="AH369" s="102" t="str">
        <f>IFERROR(IF('BMP P Tracking Table'!$AE369=2,VLOOKUP(CONCATENATE('BMP P Tracking Table'!$T369," ",'BMP P Tracking Table'!$AC369),'Performance Curves'!$C$1:$L$45,MATCH('BMP P Tracking Table'!$AE369,'Performance Curves'!$E$1:$L$1,1)+1,FALSE),'BMP P Tracking Table'!$AF369*'BMP P Tracking Table'!$AG369+VLOOKUP(CONCATENATE('BMP P Tracking Table'!$T369," ",'BMP P Tracking Table'!$AC369),'Performance Curves'!$C$1:$L$45,MATCH('BMP P Tracking Table'!$AE369,'Performance Curves'!$E$1:$L$1,1)+1,FALSE)),"")</f>
        <v/>
      </c>
      <c r="AI369" s="101" t="str">
        <f>IFERROR('BMP P Tracking Table'!$AH369*'BMP P Tracking Table'!$AD369,"")</f>
        <v/>
      </c>
      <c r="AJ369" s="64"/>
      <c r="AK369" s="96"/>
      <c r="AL369" s="96"/>
      <c r="AM369" s="63"/>
      <c r="AN369" s="99" t="str">
        <f t="shared" si="22"/>
        <v/>
      </c>
      <c r="AO369" s="96"/>
      <c r="AP369" s="96"/>
      <c r="AQ369" s="96"/>
      <c r="AR369" s="96"/>
      <c r="AS369" s="96"/>
      <c r="AT369" s="96"/>
      <c r="AU369" s="96"/>
      <c r="AV369" s="64"/>
      <c r="AW369" s="97"/>
      <c r="AX369" s="97"/>
      <c r="AY369" s="101" t="str">
        <f>IF('BMP P Tracking Table'!$AK369="Yes",IF('BMP P Tracking Table'!$AL369="No",'BMP P Tracking Table'!$U369*VLOOKUP('BMP P Tracking Table'!$Q369,'Loading Rates'!$B$1:$L$24,4,FALSE)+IF('BMP P Tracking Table'!$V369="By HSG",'BMP P Tracking Table'!$W369*VLOOKUP('BMP P Tracking Table'!$Q369,'Loading Rates'!$B$1:$L$24,6,FALSE)+'BMP P Tracking Table'!$X369*VLOOKUP('BMP P Tracking Table'!$Q369,'Loading Rates'!$B$1:$L$24,7,FALSE)+'BMP P Tracking Table'!$Y369*VLOOKUP('BMP P Tracking Table'!$Q369,'Loading Rates'!$B$1:$L$24,8,FALSE)+'BMP P Tracking Table'!$Z369*VLOOKUP('BMP P Tracking Table'!$Q369,'Loading Rates'!$B$1:$L$24,9,FALSE),'BMP P Tracking Table'!$AA369*VLOOKUP('BMP P Tracking Table'!$Q369,'Loading Rates'!$B$1:$L$24,10,FALSE)),'BMP P Tracking Table'!$AO369*VLOOKUP('BMP P Tracking Table'!$Q369,'Loading Rates'!$B$1:$L$24,4,FALSE)+IF('BMP P Tracking Table'!$AP369="By HSG",'BMP P Tracking Table'!$AQ369*VLOOKUP('BMP P Tracking Table'!$Q369,'Loading Rates'!$B$1:$L$24,6,FALSE)+'BMP P Tracking Table'!$AR369*VLOOKUP('BMP P Tracking Table'!$Q369,'Loading Rates'!$B$1:$L$24,7,FALSE)+'BMP P Tracking Table'!$AS369*VLOOKUP('BMP P Tracking Table'!$Q369,'Loading Rates'!$B$1:$L$24,8,FALSE)+'BMP P Tracking Table'!$AT369*VLOOKUP('BMP P Tracking Table'!$Q369,'Loading Rates'!$B$1:$L$24,9,FALSE),'BMP P Tracking Table'!$AU369*VLOOKUP('BMP P Tracking Table'!$Q369,'Loading Rates'!$B$1:$L$24,10,FALSE))),"")</f>
        <v/>
      </c>
      <c r="AZ369" s="101" t="str">
        <f>IFERROR(IF('BMP P Tracking Table'!$AL369="Yes",MIN(2,IF('BMP P Tracking Table'!$AP369="Total Pervious",(-(3630*'BMP P Tracking Table'!$AO369+20.691*'BMP P Tracking Table'!$AU369)+SQRT((3630*'BMP P Tracking Table'!$AO369+20.691*'BMP P Tracking Table'!$AU369)^2-(4*(996.798*'BMP P Tracking Table'!$AU369)*-'BMP P Tracking Table'!$AW369)))/(2*(996.798*'BMP P Tracking Table'!$AU369)),IF(SUM('BMP P Tracking Table'!$AQ369:$AT369)=0,'BMP P Tracking Table'!$AU369/(-3630*'BMP P Tracking Table'!$AO369),(-(3630*'BMP P Tracking Table'!$AO369+20.691*'BMP P Tracking Table'!$AT369-216.711*'BMP P Tracking Table'!$AS369-83.853*'BMP P Tracking Table'!$AR369-42.834*'BMP P Tracking Table'!$AQ369)+SQRT((3630*'BMP P Tracking Table'!$AO369+20.691*'BMP P Tracking Table'!$AT369-216.711*'BMP P Tracking Table'!$AS369-83.853*'BMP P Tracking Table'!$AR369-42.834*'BMP P Tracking Table'!$AQ369)^2-(4*(149.919*'BMP P Tracking Table'!$AQ369+236.676*'BMP P Tracking Table'!$AR369+726*'BMP P Tracking Table'!$AS369+996.798*'BMP P Tracking Table'!$AT369)*-'BMP P Tracking Table'!$AW369)))/(2*(149.919*'BMP P Tracking Table'!$AQ369+236.676*'BMP P Tracking Table'!$AR369+726*'BMP P Tracking Table'!$AS369+996.798*'BMP P Tracking Table'!$AT369))))),MIN(2,IF('BMP P Tracking Table'!$AP369="Total Pervious",(-(3630*'BMP P Tracking Table'!$U369+20.691*'BMP P Tracking Table'!$AA369)+SQRT((3630*'BMP P Tracking Table'!$U369+20.691*'BMP P Tracking Table'!$AA369)^2-(4*(996.798*'BMP P Tracking Table'!$AA369)*-'BMP P Tracking Table'!$AW369)))/(2*(996.798*'BMP P Tracking Table'!$AA369)),IF(SUM('BMP P Tracking Table'!$W369:$Z369)=0,'BMP P Tracking Table'!$AW369/(-3630*'BMP P Tracking Table'!$U369),(-(3630*'BMP P Tracking Table'!$U369+20.691*'BMP P Tracking Table'!$Z369-216.711*'BMP P Tracking Table'!$Y369-83.853*'BMP P Tracking Table'!$X369-42.834*'BMP P Tracking Table'!$W369)+SQRT((3630*'BMP P Tracking Table'!$U369+20.691*'BMP P Tracking Table'!$Z369-216.711*'BMP P Tracking Table'!$Y369-83.853*'BMP P Tracking Table'!$X369-42.834*'BMP P Tracking Table'!$W369)^2-(4*(149.919*'BMP P Tracking Table'!$W369+236.676*'BMP P Tracking Table'!$X369+726*'BMP P Tracking Table'!$Y369+996.798*'BMP P Tracking Table'!$Z369)*-'BMP P Tracking Table'!$AW369)))/(2*(149.919*'BMP P Tracking Table'!$W369+236.676*'BMP P Tracking Table'!$X369+726*'BMP P Tracking Table'!$Y369+996.798*'BMP P Tracking Table'!$Z369)))))),"")</f>
        <v/>
      </c>
      <c r="BA369" s="101" t="str">
        <f>IFERROR((VLOOKUP(CONCATENATE('BMP P Tracking Table'!$AV369," ",'BMP P Tracking Table'!$AX369),'Performance Curves'!$C$1:$L$45,MATCH('BMP P Tracking Table'!$AZ369,'Performance Curves'!$E$1:$L$1,1)+2,FALSE)-VLOOKUP(CONCATENATE('BMP P Tracking Table'!$AV369," ",'BMP P Tracking Table'!$AX369),'Performance Curves'!$C$1:$L$45,MATCH('BMP P Tracking Table'!$AZ369,'Performance Curves'!$E$1:$L$1,1)+1,FALSE)),"")</f>
        <v/>
      </c>
      <c r="BB369" s="101" t="str">
        <f>IFERROR(('BMP P Tracking Table'!$AZ369-INDEX('Performance Curves'!$E$1:$L$1,1,MATCH('BMP P Tracking Table'!$AZ369,'Performance Curves'!$E$1:$L$1,1)))/(INDEX('Performance Curves'!$E$1:$L$1,1,MATCH('BMP P Tracking Table'!$AZ369,'Performance Curves'!$E$1:$L$1,1)+1)-INDEX('Performance Curves'!$E$1:$L$1,1,MATCH('BMP P Tracking Table'!$AZ369,'Performance Curves'!$E$1:$L$1,1))),"")</f>
        <v/>
      </c>
      <c r="BC369" s="102" t="str">
        <f>IFERROR(IF('BMP P Tracking Table'!$AZ369=2,VLOOKUP(CONCATENATE('BMP P Tracking Table'!$AV369," ",'BMP P Tracking Table'!$AX369),'Performance Curves'!$C$1:$L$44,MATCH('BMP P Tracking Table'!$AZ369,'Performance Curves'!$E$1:$L$1,1)+1,FALSE),'BMP P Tracking Table'!$BA369*'BMP P Tracking Table'!$BB369+VLOOKUP(CONCATENATE('BMP P Tracking Table'!$AV369," ",'BMP P Tracking Table'!$AX369),'Performance Curves'!$C$1:$L$44,MATCH('BMP P Tracking Table'!$AZ369,'Performance Curves'!$E$1:$L$1,1)+1,FALSE)),"")</f>
        <v/>
      </c>
      <c r="BD369" s="101" t="str">
        <f>IFERROR('BMP P Tracking Table'!$BC369*'BMP P Tracking Table'!$AY369,"")</f>
        <v/>
      </c>
      <c r="BE369" s="96"/>
      <c r="BF369" s="37">
        <f t="shared" si="23"/>
        <v>0</v>
      </c>
    </row>
    <row r="370" spans="1:58" x14ac:dyDescent="0.3">
      <c r="A370" s="64"/>
      <c r="B370" s="64"/>
      <c r="C370" s="64"/>
      <c r="D370" s="64"/>
      <c r="E370" s="93"/>
      <c r="F370" s="93"/>
      <c r="G370" s="64"/>
      <c r="H370" s="64"/>
      <c r="I370" s="64"/>
      <c r="J370" s="94"/>
      <c r="K370" s="64"/>
      <c r="L370" s="64"/>
      <c r="M370" s="64"/>
      <c r="N370" s="64"/>
      <c r="O370" s="64"/>
      <c r="P370" s="64"/>
      <c r="Q370" s="64" t="str">
        <f>IFERROR(VLOOKUP('BMP P Tracking Table'!$P370,Dropdowns!$C$2:$E$15,3,FALSE),"")</f>
        <v/>
      </c>
      <c r="R370" s="64" t="str">
        <f>IFERROR(VLOOKUP('BMP P Tracking Table'!$Q370,Dropdowns!$P$3:$Q$23,2,FALSE),"")</f>
        <v/>
      </c>
      <c r="S370" s="64"/>
      <c r="T370" s="64"/>
      <c r="U370" s="64"/>
      <c r="V370" s="64"/>
      <c r="W370" s="64"/>
      <c r="X370" s="64"/>
      <c r="Y370" s="64"/>
      <c r="Z370" s="64"/>
      <c r="AA370" s="64"/>
      <c r="AB370" s="95"/>
      <c r="AC370" s="64"/>
      <c r="AD370" s="101" t="str">
        <f>IFERROR('BMP P Tracking Table'!$U370*VLOOKUP('BMP P Tracking Table'!$Q370,'Loading Rates'!$B$1:$L$24,4,FALSE)+IF('BMP P Tracking Table'!$V370="By HSG",'BMP P Tracking Table'!$W370*VLOOKUP('BMP P Tracking Table'!$Q370,'Loading Rates'!$B$1:$L$24,6,FALSE)+'BMP P Tracking Table'!$X370*VLOOKUP('BMP P Tracking Table'!$Q370,'Loading Rates'!$B$1:$L$24,7,FALSE)+'BMP P Tracking Table'!$Y370*VLOOKUP('BMP P Tracking Table'!$Q370,'Loading Rates'!$B$1:$L$24,8,FALSE)+'BMP P Tracking Table'!$Z370*VLOOKUP('BMP P Tracking Table'!$Q370,'Loading Rates'!$B$1:$L$24,9,FALSE),'BMP P Tracking Table'!$AA370*VLOOKUP('BMP P Tracking Table'!$Q370,'Loading Rates'!$B$1:$L$24,10,FALSE)),"")</f>
        <v/>
      </c>
      <c r="AE370" s="101" t="str">
        <f>IFERROR(MIN(2,IF('BMP P Tracking Table'!$V370="Total Pervious",(-(3630*'BMP P Tracking Table'!$U370+20.691*'BMP P Tracking Table'!$AA370)+SQRT((3630*'BMP P Tracking Table'!$U370+20.691*'BMP P Tracking Table'!$AA370)^2-(4*(996.798*'BMP P Tracking Table'!$AA370)*-'BMP P Tracking Table'!$AB370)))/(2*(996.798*'BMP P Tracking Table'!$AA370)),IF(SUM('BMP P Tracking Table'!$W370:$Z370)=0,'BMP P Tracking Table'!$AB370/(-3630*'BMP P Tracking Table'!$U370),(-(3630*'BMP P Tracking Table'!$U370+20.691*'BMP P Tracking Table'!$Z370-216.711*'BMP P Tracking Table'!$Y370-83.853*'BMP P Tracking Table'!$X370-42.834*'BMP P Tracking Table'!$W370)+SQRT((3630*'BMP P Tracking Table'!$U370+20.691*'BMP P Tracking Table'!$Z370-216.711*'BMP P Tracking Table'!$Y370-83.853*'BMP P Tracking Table'!$X370-42.834*'BMP P Tracking Table'!$W370)^2-(4*(149.919*'BMP P Tracking Table'!$W370+236.676*'BMP P Tracking Table'!$X370+726*'BMP P Tracking Table'!$Y370+996.798*'BMP P Tracking Table'!$Z370)*-'BMP P Tracking Table'!$AB370)))/(2*(149.919*'BMP P Tracking Table'!$W370+236.676*'BMP P Tracking Table'!$X370+726*'BMP P Tracking Table'!$Y370+996.798*'BMP P Tracking Table'!$Z370))))),"")</f>
        <v/>
      </c>
      <c r="AF370" s="101" t="str">
        <f>IFERROR((VLOOKUP(CONCATENATE('BMP P Tracking Table'!$T370," ",'BMP P Tracking Table'!$AC370),'Performance Curves'!$C$1:$L$45,MATCH('BMP P Tracking Table'!$AE370,'Performance Curves'!$E$1:$L$1,1)+2,FALSE)-VLOOKUP(CONCATENATE('BMP P Tracking Table'!$T370," ",'BMP P Tracking Table'!$AC370),'Performance Curves'!$C$1:$L$45,MATCH('BMP P Tracking Table'!$AE370,'Performance Curves'!$E$1:$L$1,1)+1,FALSE)),"")</f>
        <v/>
      </c>
      <c r="AG370" s="101" t="str">
        <f>IFERROR(('BMP P Tracking Table'!$AE370-INDEX('Performance Curves'!$E$1:$L$1,1,MATCH('BMP P Tracking Table'!$AE370,'Performance Curves'!$E$1:$L$1,1)))/(INDEX('Performance Curves'!$E$1:$L$1,1,MATCH('BMP P Tracking Table'!$AE370,'Performance Curves'!$E$1:$L$1,1)+1)-INDEX('Performance Curves'!$E$1:$L$1,1,MATCH('BMP P Tracking Table'!$AE370,'Performance Curves'!$E$1:$L$1,1))),"")</f>
        <v/>
      </c>
      <c r="AH370" s="102" t="str">
        <f>IFERROR(IF('BMP P Tracking Table'!$AE370=2,VLOOKUP(CONCATENATE('BMP P Tracking Table'!$T370," ",'BMP P Tracking Table'!$AC370),'Performance Curves'!$C$1:$L$45,MATCH('BMP P Tracking Table'!$AE370,'Performance Curves'!$E$1:$L$1,1)+1,FALSE),'BMP P Tracking Table'!$AF370*'BMP P Tracking Table'!$AG370+VLOOKUP(CONCATENATE('BMP P Tracking Table'!$T370," ",'BMP P Tracking Table'!$AC370),'Performance Curves'!$C$1:$L$45,MATCH('BMP P Tracking Table'!$AE370,'Performance Curves'!$E$1:$L$1,1)+1,FALSE)),"")</f>
        <v/>
      </c>
      <c r="AI370" s="101" t="str">
        <f>IFERROR('BMP P Tracking Table'!$AH370*'BMP P Tracking Table'!$AD370,"")</f>
        <v/>
      </c>
      <c r="AJ370" s="64"/>
      <c r="AK370" s="96"/>
      <c r="AL370" s="96"/>
      <c r="AM370" s="63"/>
      <c r="AN370" s="99" t="str">
        <f t="shared" si="22"/>
        <v/>
      </c>
      <c r="AO370" s="96"/>
      <c r="AP370" s="96"/>
      <c r="AQ370" s="96"/>
      <c r="AR370" s="96"/>
      <c r="AS370" s="96"/>
      <c r="AT370" s="96"/>
      <c r="AU370" s="96"/>
      <c r="AV370" s="64"/>
      <c r="AW370" s="97"/>
      <c r="AX370" s="97"/>
      <c r="AY370" s="101" t="str">
        <f>IF('BMP P Tracking Table'!$AK370="Yes",IF('BMP P Tracking Table'!$AL370="No",'BMP P Tracking Table'!$U370*VLOOKUP('BMP P Tracking Table'!$Q370,'Loading Rates'!$B$1:$L$24,4,FALSE)+IF('BMP P Tracking Table'!$V370="By HSG",'BMP P Tracking Table'!$W370*VLOOKUP('BMP P Tracking Table'!$Q370,'Loading Rates'!$B$1:$L$24,6,FALSE)+'BMP P Tracking Table'!$X370*VLOOKUP('BMP P Tracking Table'!$Q370,'Loading Rates'!$B$1:$L$24,7,FALSE)+'BMP P Tracking Table'!$Y370*VLOOKUP('BMP P Tracking Table'!$Q370,'Loading Rates'!$B$1:$L$24,8,FALSE)+'BMP P Tracking Table'!$Z370*VLOOKUP('BMP P Tracking Table'!$Q370,'Loading Rates'!$B$1:$L$24,9,FALSE),'BMP P Tracking Table'!$AA370*VLOOKUP('BMP P Tracking Table'!$Q370,'Loading Rates'!$B$1:$L$24,10,FALSE)),'BMP P Tracking Table'!$AO370*VLOOKUP('BMP P Tracking Table'!$Q370,'Loading Rates'!$B$1:$L$24,4,FALSE)+IF('BMP P Tracking Table'!$AP370="By HSG",'BMP P Tracking Table'!$AQ370*VLOOKUP('BMP P Tracking Table'!$Q370,'Loading Rates'!$B$1:$L$24,6,FALSE)+'BMP P Tracking Table'!$AR370*VLOOKUP('BMP P Tracking Table'!$Q370,'Loading Rates'!$B$1:$L$24,7,FALSE)+'BMP P Tracking Table'!$AS370*VLOOKUP('BMP P Tracking Table'!$Q370,'Loading Rates'!$B$1:$L$24,8,FALSE)+'BMP P Tracking Table'!$AT370*VLOOKUP('BMP P Tracking Table'!$Q370,'Loading Rates'!$B$1:$L$24,9,FALSE),'BMP P Tracking Table'!$AU370*VLOOKUP('BMP P Tracking Table'!$Q370,'Loading Rates'!$B$1:$L$24,10,FALSE))),"")</f>
        <v/>
      </c>
      <c r="AZ370" s="101" t="str">
        <f>IFERROR(IF('BMP P Tracking Table'!$AL370="Yes",MIN(2,IF('BMP P Tracking Table'!$AP370="Total Pervious",(-(3630*'BMP P Tracking Table'!$AO370+20.691*'BMP P Tracking Table'!$AU370)+SQRT((3630*'BMP P Tracking Table'!$AO370+20.691*'BMP P Tracking Table'!$AU370)^2-(4*(996.798*'BMP P Tracking Table'!$AU370)*-'BMP P Tracking Table'!$AW370)))/(2*(996.798*'BMP P Tracking Table'!$AU370)),IF(SUM('BMP P Tracking Table'!$AQ370:$AT370)=0,'BMP P Tracking Table'!$AU370/(-3630*'BMP P Tracking Table'!$AO370),(-(3630*'BMP P Tracking Table'!$AO370+20.691*'BMP P Tracking Table'!$AT370-216.711*'BMP P Tracking Table'!$AS370-83.853*'BMP P Tracking Table'!$AR370-42.834*'BMP P Tracking Table'!$AQ370)+SQRT((3630*'BMP P Tracking Table'!$AO370+20.691*'BMP P Tracking Table'!$AT370-216.711*'BMP P Tracking Table'!$AS370-83.853*'BMP P Tracking Table'!$AR370-42.834*'BMP P Tracking Table'!$AQ370)^2-(4*(149.919*'BMP P Tracking Table'!$AQ370+236.676*'BMP P Tracking Table'!$AR370+726*'BMP P Tracking Table'!$AS370+996.798*'BMP P Tracking Table'!$AT370)*-'BMP P Tracking Table'!$AW370)))/(2*(149.919*'BMP P Tracking Table'!$AQ370+236.676*'BMP P Tracking Table'!$AR370+726*'BMP P Tracking Table'!$AS370+996.798*'BMP P Tracking Table'!$AT370))))),MIN(2,IF('BMP P Tracking Table'!$AP370="Total Pervious",(-(3630*'BMP P Tracking Table'!$U370+20.691*'BMP P Tracking Table'!$AA370)+SQRT((3630*'BMP P Tracking Table'!$U370+20.691*'BMP P Tracking Table'!$AA370)^2-(4*(996.798*'BMP P Tracking Table'!$AA370)*-'BMP P Tracking Table'!$AW370)))/(2*(996.798*'BMP P Tracking Table'!$AA370)),IF(SUM('BMP P Tracking Table'!$W370:$Z370)=0,'BMP P Tracking Table'!$AW370/(-3630*'BMP P Tracking Table'!$U370),(-(3630*'BMP P Tracking Table'!$U370+20.691*'BMP P Tracking Table'!$Z370-216.711*'BMP P Tracking Table'!$Y370-83.853*'BMP P Tracking Table'!$X370-42.834*'BMP P Tracking Table'!$W370)+SQRT((3630*'BMP P Tracking Table'!$U370+20.691*'BMP P Tracking Table'!$Z370-216.711*'BMP P Tracking Table'!$Y370-83.853*'BMP P Tracking Table'!$X370-42.834*'BMP P Tracking Table'!$W370)^2-(4*(149.919*'BMP P Tracking Table'!$W370+236.676*'BMP P Tracking Table'!$X370+726*'BMP P Tracking Table'!$Y370+996.798*'BMP P Tracking Table'!$Z370)*-'BMP P Tracking Table'!$AW370)))/(2*(149.919*'BMP P Tracking Table'!$W370+236.676*'BMP P Tracking Table'!$X370+726*'BMP P Tracking Table'!$Y370+996.798*'BMP P Tracking Table'!$Z370)))))),"")</f>
        <v/>
      </c>
      <c r="BA370" s="101" t="str">
        <f>IFERROR((VLOOKUP(CONCATENATE('BMP P Tracking Table'!$AV370," ",'BMP P Tracking Table'!$AX370),'Performance Curves'!$C$1:$L$45,MATCH('BMP P Tracking Table'!$AZ370,'Performance Curves'!$E$1:$L$1,1)+2,FALSE)-VLOOKUP(CONCATENATE('BMP P Tracking Table'!$AV370," ",'BMP P Tracking Table'!$AX370),'Performance Curves'!$C$1:$L$45,MATCH('BMP P Tracking Table'!$AZ370,'Performance Curves'!$E$1:$L$1,1)+1,FALSE)),"")</f>
        <v/>
      </c>
      <c r="BB370" s="101" t="str">
        <f>IFERROR(('BMP P Tracking Table'!$AZ370-INDEX('Performance Curves'!$E$1:$L$1,1,MATCH('BMP P Tracking Table'!$AZ370,'Performance Curves'!$E$1:$L$1,1)))/(INDEX('Performance Curves'!$E$1:$L$1,1,MATCH('BMP P Tracking Table'!$AZ370,'Performance Curves'!$E$1:$L$1,1)+1)-INDEX('Performance Curves'!$E$1:$L$1,1,MATCH('BMP P Tracking Table'!$AZ370,'Performance Curves'!$E$1:$L$1,1))),"")</f>
        <v/>
      </c>
      <c r="BC370" s="102" t="str">
        <f>IFERROR(IF('BMP P Tracking Table'!$AZ370=2,VLOOKUP(CONCATENATE('BMP P Tracking Table'!$AV370," ",'BMP P Tracking Table'!$AX370),'Performance Curves'!$C$1:$L$44,MATCH('BMP P Tracking Table'!$AZ370,'Performance Curves'!$E$1:$L$1,1)+1,FALSE),'BMP P Tracking Table'!$BA370*'BMP P Tracking Table'!$BB370+VLOOKUP(CONCATENATE('BMP P Tracking Table'!$AV370," ",'BMP P Tracking Table'!$AX370),'Performance Curves'!$C$1:$L$44,MATCH('BMP P Tracking Table'!$AZ370,'Performance Curves'!$E$1:$L$1,1)+1,FALSE)),"")</f>
        <v/>
      </c>
      <c r="BD370" s="101" t="str">
        <f>IFERROR('BMP P Tracking Table'!$BC370*'BMP P Tracking Table'!$AY370,"")</f>
        <v/>
      </c>
      <c r="BE370" s="96"/>
      <c r="BF370" s="37">
        <f t="shared" si="23"/>
        <v>0</v>
      </c>
    </row>
    <row r="371" spans="1:58" x14ac:dyDescent="0.3">
      <c r="A371" s="64"/>
      <c r="B371" s="64"/>
      <c r="C371" s="64"/>
      <c r="D371" s="64"/>
      <c r="E371" s="93"/>
      <c r="F371" s="93"/>
      <c r="G371" s="64"/>
      <c r="H371" s="64"/>
      <c r="I371" s="64"/>
      <c r="J371" s="94"/>
      <c r="K371" s="64"/>
      <c r="L371" s="64"/>
      <c r="M371" s="64"/>
      <c r="N371" s="64"/>
      <c r="O371" s="64"/>
      <c r="P371" s="64"/>
      <c r="Q371" s="64" t="str">
        <f>IFERROR(VLOOKUP('BMP P Tracking Table'!$P371,Dropdowns!$C$2:$E$15,3,FALSE),"")</f>
        <v/>
      </c>
      <c r="R371" s="64" t="str">
        <f>IFERROR(VLOOKUP('BMP P Tracking Table'!$Q371,Dropdowns!$P$3:$Q$23,2,FALSE),"")</f>
        <v/>
      </c>
      <c r="S371" s="64"/>
      <c r="T371" s="64"/>
      <c r="U371" s="64"/>
      <c r="V371" s="64"/>
      <c r="W371" s="64"/>
      <c r="X371" s="64"/>
      <c r="Y371" s="64"/>
      <c r="Z371" s="64"/>
      <c r="AA371" s="64"/>
      <c r="AB371" s="95"/>
      <c r="AC371" s="64"/>
      <c r="AD371" s="101" t="str">
        <f>IFERROR('BMP P Tracking Table'!$U371*VLOOKUP('BMP P Tracking Table'!$Q371,'Loading Rates'!$B$1:$L$24,4,FALSE)+IF('BMP P Tracking Table'!$V371="By HSG",'BMP P Tracking Table'!$W371*VLOOKUP('BMP P Tracking Table'!$Q371,'Loading Rates'!$B$1:$L$24,6,FALSE)+'BMP P Tracking Table'!$X371*VLOOKUP('BMP P Tracking Table'!$Q371,'Loading Rates'!$B$1:$L$24,7,FALSE)+'BMP P Tracking Table'!$Y371*VLOOKUP('BMP P Tracking Table'!$Q371,'Loading Rates'!$B$1:$L$24,8,FALSE)+'BMP P Tracking Table'!$Z371*VLOOKUP('BMP P Tracking Table'!$Q371,'Loading Rates'!$B$1:$L$24,9,FALSE),'BMP P Tracking Table'!$AA371*VLOOKUP('BMP P Tracking Table'!$Q371,'Loading Rates'!$B$1:$L$24,10,FALSE)),"")</f>
        <v/>
      </c>
      <c r="AE371" s="101" t="str">
        <f>IFERROR(MIN(2,IF('BMP P Tracking Table'!$V371="Total Pervious",(-(3630*'BMP P Tracking Table'!$U371+20.691*'BMP P Tracking Table'!$AA371)+SQRT((3630*'BMP P Tracking Table'!$U371+20.691*'BMP P Tracking Table'!$AA371)^2-(4*(996.798*'BMP P Tracking Table'!$AA371)*-'BMP P Tracking Table'!$AB371)))/(2*(996.798*'BMP P Tracking Table'!$AA371)),IF(SUM('BMP P Tracking Table'!$W371:$Z371)=0,'BMP P Tracking Table'!$AB371/(-3630*'BMP P Tracking Table'!$U371),(-(3630*'BMP P Tracking Table'!$U371+20.691*'BMP P Tracking Table'!$Z371-216.711*'BMP P Tracking Table'!$Y371-83.853*'BMP P Tracking Table'!$X371-42.834*'BMP P Tracking Table'!$W371)+SQRT((3630*'BMP P Tracking Table'!$U371+20.691*'BMP P Tracking Table'!$Z371-216.711*'BMP P Tracking Table'!$Y371-83.853*'BMP P Tracking Table'!$X371-42.834*'BMP P Tracking Table'!$W371)^2-(4*(149.919*'BMP P Tracking Table'!$W371+236.676*'BMP P Tracking Table'!$X371+726*'BMP P Tracking Table'!$Y371+996.798*'BMP P Tracking Table'!$Z371)*-'BMP P Tracking Table'!$AB371)))/(2*(149.919*'BMP P Tracking Table'!$W371+236.676*'BMP P Tracking Table'!$X371+726*'BMP P Tracking Table'!$Y371+996.798*'BMP P Tracking Table'!$Z371))))),"")</f>
        <v/>
      </c>
      <c r="AF371" s="101" t="str">
        <f>IFERROR((VLOOKUP(CONCATENATE('BMP P Tracking Table'!$T371," ",'BMP P Tracking Table'!$AC371),'Performance Curves'!$C$1:$L$45,MATCH('BMP P Tracking Table'!$AE371,'Performance Curves'!$E$1:$L$1,1)+2,FALSE)-VLOOKUP(CONCATENATE('BMP P Tracking Table'!$T371," ",'BMP P Tracking Table'!$AC371),'Performance Curves'!$C$1:$L$45,MATCH('BMP P Tracking Table'!$AE371,'Performance Curves'!$E$1:$L$1,1)+1,FALSE)),"")</f>
        <v/>
      </c>
      <c r="AG371" s="101" t="str">
        <f>IFERROR(('BMP P Tracking Table'!$AE371-INDEX('Performance Curves'!$E$1:$L$1,1,MATCH('BMP P Tracking Table'!$AE371,'Performance Curves'!$E$1:$L$1,1)))/(INDEX('Performance Curves'!$E$1:$L$1,1,MATCH('BMP P Tracking Table'!$AE371,'Performance Curves'!$E$1:$L$1,1)+1)-INDEX('Performance Curves'!$E$1:$L$1,1,MATCH('BMP P Tracking Table'!$AE371,'Performance Curves'!$E$1:$L$1,1))),"")</f>
        <v/>
      </c>
      <c r="AH371" s="102" t="str">
        <f>IFERROR(IF('BMP P Tracking Table'!$AE371=2,VLOOKUP(CONCATENATE('BMP P Tracking Table'!$T371," ",'BMP P Tracking Table'!$AC371),'Performance Curves'!$C$1:$L$45,MATCH('BMP P Tracking Table'!$AE371,'Performance Curves'!$E$1:$L$1,1)+1,FALSE),'BMP P Tracking Table'!$AF371*'BMP P Tracking Table'!$AG371+VLOOKUP(CONCATENATE('BMP P Tracking Table'!$T371," ",'BMP P Tracking Table'!$AC371),'Performance Curves'!$C$1:$L$45,MATCH('BMP P Tracking Table'!$AE371,'Performance Curves'!$E$1:$L$1,1)+1,FALSE)),"")</f>
        <v/>
      </c>
      <c r="AI371" s="101" t="str">
        <f>IFERROR('BMP P Tracking Table'!$AH371*'BMP P Tracking Table'!$AD371,"")</f>
        <v/>
      </c>
      <c r="AJ371" s="64"/>
      <c r="AK371" s="96"/>
      <c r="AL371" s="96"/>
      <c r="AM371" s="63"/>
      <c r="AN371" s="99" t="str">
        <f t="shared" si="22"/>
        <v/>
      </c>
      <c r="AO371" s="96"/>
      <c r="AP371" s="96"/>
      <c r="AQ371" s="96"/>
      <c r="AR371" s="96"/>
      <c r="AS371" s="96"/>
      <c r="AT371" s="96"/>
      <c r="AU371" s="96"/>
      <c r="AV371" s="64"/>
      <c r="AW371" s="97"/>
      <c r="AX371" s="97"/>
      <c r="AY371" s="101" t="str">
        <f>IF('BMP P Tracking Table'!$AK371="Yes",IF('BMP P Tracking Table'!$AL371="No",'BMP P Tracking Table'!$U371*VLOOKUP('BMP P Tracking Table'!$Q371,'Loading Rates'!$B$1:$L$24,4,FALSE)+IF('BMP P Tracking Table'!$V371="By HSG",'BMP P Tracking Table'!$W371*VLOOKUP('BMP P Tracking Table'!$Q371,'Loading Rates'!$B$1:$L$24,6,FALSE)+'BMP P Tracking Table'!$X371*VLOOKUP('BMP P Tracking Table'!$Q371,'Loading Rates'!$B$1:$L$24,7,FALSE)+'BMP P Tracking Table'!$Y371*VLOOKUP('BMP P Tracking Table'!$Q371,'Loading Rates'!$B$1:$L$24,8,FALSE)+'BMP P Tracking Table'!$Z371*VLOOKUP('BMP P Tracking Table'!$Q371,'Loading Rates'!$B$1:$L$24,9,FALSE),'BMP P Tracking Table'!$AA371*VLOOKUP('BMP P Tracking Table'!$Q371,'Loading Rates'!$B$1:$L$24,10,FALSE)),'BMP P Tracking Table'!$AO371*VLOOKUP('BMP P Tracking Table'!$Q371,'Loading Rates'!$B$1:$L$24,4,FALSE)+IF('BMP P Tracking Table'!$AP371="By HSG",'BMP P Tracking Table'!$AQ371*VLOOKUP('BMP P Tracking Table'!$Q371,'Loading Rates'!$B$1:$L$24,6,FALSE)+'BMP P Tracking Table'!$AR371*VLOOKUP('BMP P Tracking Table'!$Q371,'Loading Rates'!$B$1:$L$24,7,FALSE)+'BMP P Tracking Table'!$AS371*VLOOKUP('BMP P Tracking Table'!$Q371,'Loading Rates'!$B$1:$L$24,8,FALSE)+'BMP P Tracking Table'!$AT371*VLOOKUP('BMP P Tracking Table'!$Q371,'Loading Rates'!$B$1:$L$24,9,FALSE),'BMP P Tracking Table'!$AU371*VLOOKUP('BMP P Tracking Table'!$Q371,'Loading Rates'!$B$1:$L$24,10,FALSE))),"")</f>
        <v/>
      </c>
      <c r="AZ371" s="101" t="str">
        <f>IFERROR(IF('BMP P Tracking Table'!$AL371="Yes",MIN(2,IF('BMP P Tracking Table'!$AP371="Total Pervious",(-(3630*'BMP P Tracking Table'!$AO371+20.691*'BMP P Tracking Table'!$AU371)+SQRT((3630*'BMP P Tracking Table'!$AO371+20.691*'BMP P Tracking Table'!$AU371)^2-(4*(996.798*'BMP P Tracking Table'!$AU371)*-'BMP P Tracking Table'!$AW371)))/(2*(996.798*'BMP P Tracking Table'!$AU371)),IF(SUM('BMP P Tracking Table'!$AQ371:$AT371)=0,'BMP P Tracking Table'!$AU371/(-3630*'BMP P Tracking Table'!$AO371),(-(3630*'BMP P Tracking Table'!$AO371+20.691*'BMP P Tracking Table'!$AT371-216.711*'BMP P Tracking Table'!$AS371-83.853*'BMP P Tracking Table'!$AR371-42.834*'BMP P Tracking Table'!$AQ371)+SQRT((3630*'BMP P Tracking Table'!$AO371+20.691*'BMP P Tracking Table'!$AT371-216.711*'BMP P Tracking Table'!$AS371-83.853*'BMP P Tracking Table'!$AR371-42.834*'BMP P Tracking Table'!$AQ371)^2-(4*(149.919*'BMP P Tracking Table'!$AQ371+236.676*'BMP P Tracking Table'!$AR371+726*'BMP P Tracking Table'!$AS371+996.798*'BMP P Tracking Table'!$AT371)*-'BMP P Tracking Table'!$AW371)))/(2*(149.919*'BMP P Tracking Table'!$AQ371+236.676*'BMP P Tracking Table'!$AR371+726*'BMP P Tracking Table'!$AS371+996.798*'BMP P Tracking Table'!$AT371))))),MIN(2,IF('BMP P Tracking Table'!$AP371="Total Pervious",(-(3630*'BMP P Tracking Table'!$U371+20.691*'BMP P Tracking Table'!$AA371)+SQRT((3630*'BMP P Tracking Table'!$U371+20.691*'BMP P Tracking Table'!$AA371)^2-(4*(996.798*'BMP P Tracking Table'!$AA371)*-'BMP P Tracking Table'!$AW371)))/(2*(996.798*'BMP P Tracking Table'!$AA371)),IF(SUM('BMP P Tracking Table'!$W371:$Z371)=0,'BMP P Tracking Table'!$AW371/(-3630*'BMP P Tracking Table'!$U371),(-(3630*'BMP P Tracking Table'!$U371+20.691*'BMP P Tracking Table'!$Z371-216.711*'BMP P Tracking Table'!$Y371-83.853*'BMP P Tracking Table'!$X371-42.834*'BMP P Tracking Table'!$W371)+SQRT((3630*'BMP P Tracking Table'!$U371+20.691*'BMP P Tracking Table'!$Z371-216.711*'BMP P Tracking Table'!$Y371-83.853*'BMP P Tracking Table'!$X371-42.834*'BMP P Tracking Table'!$W371)^2-(4*(149.919*'BMP P Tracking Table'!$W371+236.676*'BMP P Tracking Table'!$X371+726*'BMP P Tracking Table'!$Y371+996.798*'BMP P Tracking Table'!$Z371)*-'BMP P Tracking Table'!$AW371)))/(2*(149.919*'BMP P Tracking Table'!$W371+236.676*'BMP P Tracking Table'!$X371+726*'BMP P Tracking Table'!$Y371+996.798*'BMP P Tracking Table'!$Z371)))))),"")</f>
        <v/>
      </c>
      <c r="BA371" s="101" t="str">
        <f>IFERROR((VLOOKUP(CONCATENATE('BMP P Tracking Table'!$AV371," ",'BMP P Tracking Table'!$AX371),'Performance Curves'!$C$1:$L$45,MATCH('BMP P Tracking Table'!$AZ371,'Performance Curves'!$E$1:$L$1,1)+2,FALSE)-VLOOKUP(CONCATENATE('BMP P Tracking Table'!$AV371," ",'BMP P Tracking Table'!$AX371),'Performance Curves'!$C$1:$L$45,MATCH('BMP P Tracking Table'!$AZ371,'Performance Curves'!$E$1:$L$1,1)+1,FALSE)),"")</f>
        <v/>
      </c>
      <c r="BB371" s="101" t="str">
        <f>IFERROR(('BMP P Tracking Table'!$AZ371-INDEX('Performance Curves'!$E$1:$L$1,1,MATCH('BMP P Tracking Table'!$AZ371,'Performance Curves'!$E$1:$L$1,1)))/(INDEX('Performance Curves'!$E$1:$L$1,1,MATCH('BMP P Tracking Table'!$AZ371,'Performance Curves'!$E$1:$L$1,1)+1)-INDEX('Performance Curves'!$E$1:$L$1,1,MATCH('BMP P Tracking Table'!$AZ371,'Performance Curves'!$E$1:$L$1,1))),"")</f>
        <v/>
      </c>
      <c r="BC371" s="102" t="str">
        <f>IFERROR(IF('BMP P Tracking Table'!$AZ371=2,VLOOKUP(CONCATENATE('BMP P Tracking Table'!$AV371," ",'BMP P Tracking Table'!$AX371),'Performance Curves'!$C$1:$L$44,MATCH('BMP P Tracking Table'!$AZ371,'Performance Curves'!$E$1:$L$1,1)+1,FALSE),'BMP P Tracking Table'!$BA371*'BMP P Tracking Table'!$BB371+VLOOKUP(CONCATENATE('BMP P Tracking Table'!$AV371," ",'BMP P Tracking Table'!$AX371),'Performance Curves'!$C$1:$L$44,MATCH('BMP P Tracking Table'!$AZ371,'Performance Curves'!$E$1:$L$1,1)+1,FALSE)),"")</f>
        <v/>
      </c>
      <c r="BD371" s="101" t="str">
        <f>IFERROR('BMP P Tracking Table'!$BC371*'BMP P Tracking Table'!$AY371,"")</f>
        <v/>
      </c>
      <c r="BE371" s="91"/>
      <c r="BF371" s="37">
        <f t="shared" si="23"/>
        <v>0</v>
      </c>
    </row>
    <row r="372" spans="1:58" x14ac:dyDescent="0.3">
      <c r="A372" s="64"/>
      <c r="B372" s="64"/>
      <c r="C372" s="64"/>
      <c r="D372" s="64"/>
      <c r="E372" s="93"/>
      <c r="F372" s="93"/>
      <c r="G372" s="64"/>
      <c r="H372" s="64"/>
      <c r="I372" s="64"/>
      <c r="J372" s="94"/>
      <c r="K372" s="64"/>
      <c r="L372" s="64"/>
      <c r="M372" s="64"/>
      <c r="N372" s="64"/>
      <c r="O372" s="64"/>
      <c r="P372" s="64"/>
      <c r="Q372" s="64" t="str">
        <f>IFERROR(VLOOKUP('BMP P Tracking Table'!$P372,Dropdowns!$C$2:$E$15,3,FALSE),"")</f>
        <v/>
      </c>
      <c r="R372" s="64" t="str">
        <f>IFERROR(VLOOKUP('BMP P Tracking Table'!$Q372,Dropdowns!$P$3:$Q$23,2,FALSE),"")</f>
        <v/>
      </c>
      <c r="S372" s="64"/>
      <c r="T372" s="64"/>
      <c r="U372" s="64"/>
      <c r="V372" s="64"/>
      <c r="W372" s="64"/>
      <c r="X372" s="64"/>
      <c r="Y372" s="64"/>
      <c r="Z372" s="64"/>
      <c r="AA372" s="64"/>
      <c r="AB372" s="95"/>
      <c r="AC372" s="64"/>
      <c r="AD372" s="101" t="str">
        <f>IFERROR('BMP P Tracking Table'!$U372*VLOOKUP('BMP P Tracking Table'!$Q372,'Loading Rates'!$B$1:$L$24,4,FALSE)+IF('BMP P Tracking Table'!$V372="By HSG",'BMP P Tracking Table'!$W372*VLOOKUP('BMP P Tracking Table'!$Q372,'Loading Rates'!$B$1:$L$24,6,FALSE)+'BMP P Tracking Table'!$X372*VLOOKUP('BMP P Tracking Table'!$Q372,'Loading Rates'!$B$1:$L$24,7,FALSE)+'BMP P Tracking Table'!$Y372*VLOOKUP('BMP P Tracking Table'!$Q372,'Loading Rates'!$B$1:$L$24,8,FALSE)+'BMP P Tracking Table'!$Z372*VLOOKUP('BMP P Tracking Table'!$Q372,'Loading Rates'!$B$1:$L$24,9,FALSE),'BMP P Tracking Table'!$AA372*VLOOKUP('BMP P Tracking Table'!$Q372,'Loading Rates'!$B$1:$L$24,10,FALSE)),"")</f>
        <v/>
      </c>
      <c r="AE372" s="101" t="str">
        <f>IFERROR(MIN(2,IF('BMP P Tracking Table'!$V372="Total Pervious",(-(3630*'BMP P Tracking Table'!$U372+20.691*'BMP P Tracking Table'!$AA372)+SQRT((3630*'BMP P Tracking Table'!$U372+20.691*'BMP P Tracking Table'!$AA372)^2-(4*(996.798*'BMP P Tracking Table'!$AA372)*-'BMP P Tracking Table'!$AB372)))/(2*(996.798*'BMP P Tracking Table'!$AA372)),IF(SUM('BMP P Tracking Table'!$W372:$Z372)=0,'BMP P Tracking Table'!$AB372/(-3630*'BMP P Tracking Table'!$U372),(-(3630*'BMP P Tracking Table'!$U372+20.691*'BMP P Tracking Table'!$Z372-216.711*'BMP P Tracking Table'!$Y372-83.853*'BMP P Tracking Table'!$X372-42.834*'BMP P Tracking Table'!$W372)+SQRT((3630*'BMP P Tracking Table'!$U372+20.691*'BMP P Tracking Table'!$Z372-216.711*'BMP P Tracking Table'!$Y372-83.853*'BMP P Tracking Table'!$X372-42.834*'BMP P Tracking Table'!$W372)^2-(4*(149.919*'BMP P Tracking Table'!$W372+236.676*'BMP P Tracking Table'!$X372+726*'BMP P Tracking Table'!$Y372+996.798*'BMP P Tracking Table'!$Z372)*-'BMP P Tracking Table'!$AB372)))/(2*(149.919*'BMP P Tracking Table'!$W372+236.676*'BMP P Tracking Table'!$X372+726*'BMP P Tracking Table'!$Y372+996.798*'BMP P Tracking Table'!$Z372))))),"")</f>
        <v/>
      </c>
      <c r="AF372" s="101" t="str">
        <f>IFERROR((VLOOKUP(CONCATENATE('BMP P Tracking Table'!$T372," ",'BMP P Tracking Table'!$AC372),'Performance Curves'!$C$1:$L$45,MATCH('BMP P Tracking Table'!$AE372,'Performance Curves'!$E$1:$L$1,1)+2,FALSE)-VLOOKUP(CONCATENATE('BMP P Tracking Table'!$T372," ",'BMP P Tracking Table'!$AC372),'Performance Curves'!$C$1:$L$45,MATCH('BMP P Tracking Table'!$AE372,'Performance Curves'!$E$1:$L$1,1)+1,FALSE)),"")</f>
        <v/>
      </c>
      <c r="AG372" s="101" t="str">
        <f>IFERROR(('BMP P Tracking Table'!$AE372-INDEX('Performance Curves'!$E$1:$L$1,1,MATCH('BMP P Tracking Table'!$AE372,'Performance Curves'!$E$1:$L$1,1)))/(INDEX('Performance Curves'!$E$1:$L$1,1,MATCH('BMP P Tracking Table'!$AE372,'Performance Curves'!$E$1:$L$1,1)+1)-INDEX('Performance Curves'!$E$1:$L$1,1,MATCH('BMP P Tracking Table'!$AE372,'Performance Curves'!$E$1:$L$1,1))),"")</f>
        <v/>
      </c>
      <c r="AH372" s="102" t="str">
        <f>IFERROR(IF('BMP P Tracking Table'!$AE372=2,VLOOKUP(CONCATENATE('BMP P Tracking Table'!$T372," ",'BMP P Tracking Table'!$AC372),'Performance Curves'!$C$1:$L$45,MATCH('BMP P Tracking Table'!$AE372,'Performance Curves'!$E$1:$L$1,1)+1,FALSE),'BMP P Tracking Table'!$AF372*'BMP P Tracking Table'!$AG372+VLOOKUP(CONCATENATE('BMP P Tracking Table'!$T372," ",'BMP P Tracking Table'!$AC372),'Performance Curves'!$C$1:$L$45,MATCH('BMP P Tracking Table'!$AE372,'Performance Curves'!$E$1:$L$1,1)+1,FALSE)),"")</f>
        <v/>
      </c>
      <c r="AI372" s="101" t="str">
        <f>IFERROR('BMP P Tracking Table'!$AH372*'BMP P Tracking Table'!$AD372,"")</f>
        <v/>
      </c>
      <c r="AJ372" s="64"/>
      <c r="AK372" s="96"/>
      <c r="AL372" s="96"/>
      <c r="AM372" s="63"/>
      <c r="AN372" s="99" t="str">
        <f t="shared" si="22"/>
        <v/>
      </c>
      <c r="AO372" s="96"/>
      <c r="AP372" s="96"/>
      <c r="AQ372" s="96"/>
      <c r="AR372" s="96"/>
      <c r="AS372" s="96"/>
      <c r="AT372" s="96"/>
      <c r="AU372" s="96"/>
      <c r="AV372" s="64"/>
      <c r="AW372" s="97"/>
      <c r="AX372" s="97"/>
      <c r="AY372" s="101" t="str">
        <f>IF('BMP P Tracking Table'!$AK372="Yes",IF('BMP P Tracking Table'!$AL372="No",'BMP P Tracking Table'!$U372*VLOOKUP('BMP P Tracking Table'!$Q372,'Loading Rates'!$B$1:$L$24,4,FALSE)+IF('BMP P Tracking Table'!$V372="By HSG",'BMP P Tracking Table'!$W372*VLOOKUP('BMP P Tracking Table'!$Q372,'Loading Rates'!$B$1:$L$24,6,FALSE)+'BMP P Tracking Table'!$X372*VLOOKUP('BMP P Tracking Table'!$Q372,'Loading Rates'!$B$1:$L$24,7,FALSE)+'BMP P Tracking Table'!$Y372*VLOOKUP('BMP P Tracking Table'!$Q372,'Loading Rates'!$B$1:$L$24,8,FALSE)+'BMP P Tracking Table'!$Z372*VLOOKUP('BMP P Tracking Table'!$Q372,'Loading Rates'!$B$1:$L$24,9,FALSE),'BMP P Tracking Table'!$AA372*VLOOKUP('BMP P Tracking Table'!$Q372,'Loading Rates'!$B$1:$L$24,10,FALSE)),'BMP P Tracking Table'!$AO372*VLOOKUP('BMP P Tracking Table'!$Q372,'Loading Rates'!$B$1:$L$24,4,FALSE)+IF('BMP P Tracking Table'!$AP372="By HSG",'BMP P Tracking Table'!$AQ372*VLOOKUP('BMP P Tracking Table'!$Q372,'Loading Rates'!$B$1:$L$24,6,FALSE)+'BMP P Tracking Table'!$AR372*VLOOKUP('BMP P Tracking Table'!$Q372,'Loading Rates'!$B$1:$L$24,7,FALSE)+'BMP P Tracking Table'!$AS372*VLOOKUP('BMP P Tracking Table'!$Q372,'Loading Rates'!$B$1:$L$24,8,FALSE)+'BMP P Tracking Table'!$AT372*VLOOKUP('BMP P Tracking Table'!$Q372,'Loading Rates'!$B$1:$L$24,9,FALSE),'BMP P Tracking Table'!$AU372*VLOOKUP('BMP P Tracking Table'!$Q372,'Loading Rates'!$B$1:$L$24,10,FALSE))),"")</f>
        <v/>
      </c>
      <c r="AZ372" s="101" t="str">
        <f>IFERROR(IF('BMP P Tracking Table'!$AL372="Yes",MIN(2,IF('BMP P Tracking Table'!$AP372="Total Pervious",(-(3630*'BMP P Tracking Table'!$AO372+20.691*'BMP P Tracking Table'!$AU372)+SQRT((3630*'BMP P Tracking Table'!$AO372+20.691*'BMP P Tracking Table'!$AU372)^2-(4*(996.798*'BMP P Tracking Table'!$AU372)*-'BMP P Tracking Table'!$AW372)))/(2*(996.798*'BMP P Tracking Table'!$AU372)),IF(SUM('BMP P Tracking Table'!$AQ372:$AT372)=0,'BMP P Tracking Table'!$AU372/(-3630*'BMP P Tracking Table'!$AO372),(-(3630*'BMP P Tracking Table'!$AO372+20.691*'BMP P Tracking Table'!$AT372-216.711*'BMP P Tracking Table'!$AS372-83.853*'BMP P Tracking Table'!$AR372-42.834*'BMP P Tracking Table'!$AQ372)+SQRT((3630*'BMP P Tracking Table'!$AO372+20.691*'BMP P Tracking Table'!$AT372-216.711*'BMP P Tracking Table'!$AS372-83.853*'BMP P Tracking Table'!$AR372-42.834*'BMP P Tracking Table'!$AQ372)^2-(4*(149.919*'BMP P Tracking Table'!$AQ372+236.676*'BMP P Tracking Table'!$AR372+726*'BMP P Tracking Table'!$AS372+996.798*'BMP P Tracking Table'!$AT372)*-'BMP P Tracking Table'!$AW372)))/(2*(149.919*'BMP P Tracking Table'!$AQ372+236.676*'BMP P Tracking Table'!$AR372+726*'BMP P Tracking Table'!$AS372+996.798*'BMP P Tracking Table'!$AT372))))),MIN(2,IF('BMP P Tracking Table'!$AP372="Total Pervious",(-(3630*'BMP P Tracking Table'!$U372+20.691*'BMP P Tracking Table'!$AA372)+SQRT((3630*'BMP P Tracking Table'!$U372+20.691*'BMP P Tracking Table'!$AA372)^2-(4*(996.798*'BMP P Tracking Table'!$AA372)*-'BMP P Tracking Table'!$AW372)))/(2*(996.798*'BMP P Tracking Table'!$AA372)),IF(SUM('BMP P Tracking Table'!$W372:$Z372)=0,'BMP P Tracking Table'!$AW372/(-3630*'BMP P Tracking Table'!$U372),(-(3630*'BMP P Tracking Table'!$U372+20.691*'BMP P Tracking Table'!$Z372-216.711*'BMP P Tracking Table'!$Y372-83.853*'BMP P Tracking Table'!$X372-42.834*'BMP P Tracking Table'!$W372)+SQRT((3630*'BMP P Tracking Table'!$U372+20.691*'BMP P Tracking Table'!$Z372-216.711*'BMP P Tracking Table'!$Y372-83.853*'BMP P Tracking Table'!$X372-42.834*'BMP P Tracking Table'!$W372)^2-(4*(149.919*'BMP P Tracking Table'!$W372+236.676*'BMP P Tracking Table'!$X372+726*'BMP P Tracking Table'!$Y372+996.798*'BMP P Tracking Table'!$Z372)*-'BMP P Tracking Table'!$AW372)))/(2*(149.919*'BMP P Tracking Table'!$W372+236.676*'BMP P Tracking Table'!$X372+726*'BMP P Tracking Table'!$Y372+996.798*'BMP P Tracking Table'!$Z372)))))),"")</f>
        <v/>
      </c>
      <c r="BA372" s="101" t="str">
        <f>IFERROR((VLOOKUP(CONCATENATE('BMP P Tracking Table'!$AV372," ",'BMP P Tracking Table'!$AX372),'Performance Curves'!$C$1:$L$45,MATCH('BMP P Tracking Table'!$AZ372,'Performance Curves'!$E$1:$L$1,1)+2,FALSE)-VLOOKUP(CONCATENATE('BMP P Tracking Table'!$AV372," ",'BMP P Tracking Table'!$AX372),'Performance Curves'!$C$1:$L$45,MATCH('BMP P Tracking Table'!$AZ372,'Performance Curves'!$E$1:$L$1,1)+1,FALSE)),"")</f>
        <v/>
      </c>
      <c r="BB372" s="101" t="str">
        <f>IFERROR(('BMP P Tracking Table'!$AZ372-INDEX('Performance Curves'!$E$1:$L$1,1,MATCH('BMP P Tracking Table'!$AZ372,'Performance Curves'!$E$1:$L$1,1)))/(INDEX('Performance Curves'!$E$1:$L$1,1,MATCH('BMP P Tracking Table'!$AZ372,'Performance Curves'!$E$1:$L$1,1)+1)-INDEX('Performance Curves'!$E$1:$L$1,1,MATCH('BMP P Tracking Table'!$AZ372,'Performance Curves'!$E$1:$L$1,1))),"")</f>
        <v/>
      </c>
      <c r="BC372" s="102" t="str">
        <f>IFERROR(IF('BMP P Tracking Table'!$AZ372=2,VLOOKUP(CONCATENATE('BMP P Tracking Table'!$AV372," ",'BMP P Tracking Table'!$AX372),'Performance Curves'!$C$1:$L$44,MATCH('BMP P Tracking Table'!$AZ372,'Performance Curves'!$E$1:$L$1,1)+1,FALSE),'BMP P Tracking Table'!$BA372*'BMP P Tracking Table'!$BB372+VLOOKUP(CONCATENATE('BMP P Tracking Table'!$AV372," ",'BMP P Tracking Table'!$AX372),'Performance Curves'!$C$1:$L$44,MATCH('BMP P Tracking Table'!$AZ372,'Performance Curves'!$E$1:$L$1,1)+1,FALSE)),"")</f>
        <v/>
      </c>
      <c r="BD372" s="101" t="str">
        <f>IFERROR('BMP P Tracking Table'!$BC372*'BMP P Tracking Table'!$AY372,"")</f>
        <v/>
      </c>
      <c r="BE372" s="96"/>
      <c r="BF372" s="37">
        <f t="shared" si="23"/>
        <v>0</v>
      </c>
    </row>
    <row r="373" spans="1:58" x14ac:dyDescent="0.3">
      <c r="A373" s="64"/>
      <c r="B373" s="64"/>
      <c r="C373" s="64"/>
      <c r="D373" s="64"/>
      <c r="E373" s="93"/>
      <c r="F373" s="93"/>
      <c r="G373" s="64"/>
      <c r="H373" s="64"/>
      <c r="I373" s="64"/>
      <c r="J373" s="94"/>
      <c r="K373" s="64"/>
      <c r="L373" s="64"/>
      <c r="M373" s="64"/>
      <c r="N373" s="64"/>
      <c r="O373" s="64"/>
      <c r="P373" s="64"/>
      <c r="Q373" s="64" t="str">
        <f>IFERROR(VLOOKUP('BMP P Tracking Table'!$P373,Dropdowns!$C$2:$E$15,3,FALSE),"")</f>
        <v/>
      </c>
      <c r="R373" s="64" t="str">
        <f>IFERROR(VLOOKUP('BMP P Tracking Table'!$Q373,Dropdowns!$P$3:$Q$23,2,FALSE),"")</f>
        <v/>
      </c>
      <c r="S373" s="64"/>
      <c r="T373" s="64"/>
      <c r="U373" s="64"/>
      <c r="V373" s="64"/>
      <c r="W373" s="64"/>
      <c r="X373" s="64"/>
      <c r="Y373" s="64"/>
      <c r="Z373" s="64"/>
      <c r="AA373" s="64"/>
      <c r="AB373" s="95"/>
      <c r="AC373" s="64"/>
      <c r="AD373" s="101" t="str">
        <f>IFERROR('BMP P Tracking Table'!$U373*VLOOKUP('BMP P Tracking Table'!$Q373,'Loading Rates'!$B$1:$L$24,4,FALSE)+IF('BMP P Tracking Table'!$V373="By HSG",'BMP P Tracking Table'!$W373*VLOOKUP('BMP P Tracking Table'!$Q373,'Loading Rates'!$B$1:$L$24,6,FALSE)+'BMP P Tracking Table'!$X373*VLOOKUP('BMP P Tracking Table'!$Q373,'Loading Rates'!$B$1:$L$24,7,FALSE)+'BMP P Tracking Table'!$Y373*VLOOKUP('BMP P Tracking Table'!$Q373,'Loading Rates'!$B$1:$L$24,8,FALSE)+'BMP P Tracking Table'!$Z373*VLOOKUP('BMP P Tracking Table'!$Q373,'Loading Rates'!$B$1:$L$24,9,FALSE),'BMP P Tracking Table'!$AA373*VLOOKUP('BMP P Tracking Table'!$Q373,'Loading Rates'!$B$1:$L$24,10,FALSE)),"")</f>
        <v/>
      </c>
      <c r="AE373" s="101" t="str">
        <f>IFERROR(MIN(2,IF('BMP P Tracking Table'!$V373="Total Pervious",(-(3630*'BMP P Tracking Table'!$U373+20.691*'BMP P Tracking Table'!$AA373)+SQRT((3630*'BMP P Tracking Table'!$U373+20.691*'BMP P Tracking Table'!$AA373)^2-(4*(996.798*'BMP P Tracking Table'!$AA373)*-'BMP P Tracking Table'!$AB373)))/(2*(996.798*'BMP P Tracking Table'!$AA373)),IF(SUM('BMP P Tracking Table'!$W373:$Z373)=0,'BMP P Tracking Table'!$AB373/(-3630*'BMP P Tracking Table'!$U373),(-(3630*'BMP P Tracking Table'!$U373+20.691*'BMP P Tracking Table'!$Z373-216.711*'BMP P Tracking Table'!$Y373-83.853*'BMP P Tracking Table'!$X373-42.834*'BMP P Tracking Table'!$W373)+SQRT((3630*'BMP P Tracking Table'!$U373+20.691*'BMP P Tracking Table'!$Z373-216.711*'BMP P Tracking Table'!$Y373-83.853*'BMP P Tracking Table'!$X373-42.834*'BMP P Tracking Table'!$W373)^2-(4*(149.919*'BMP P Tracking Table'!$W373+236.676*'BMP P Tracking Table'!$X373+726*'BMP P Tracking Table'!$Y373+996.798*'BMP P Tracking Table'!$Z373)*-'BMP P Tracking Table'!$AB373)))/(2*(149.919*'BMP P Tracking Table'!$W373+236.676*'BMP P Tracking Table'!$X373+726*'BMP P Tracking Table'!$Y373+996.798*'BMP P Tracking Table'!$Z373))))),"")</f>
        <v/>
      </c>
      <c r="AF373" s="101" t="str">
        <f>IFERROR((VLOOKUP(CONCATENATE('BMP P Tracking Table'!$T373," ",'BMP P Tracking Table'!$AC373),'Performance Curves'!$C$1:$L$45,MATCH('BMP P Tracking Table'!$AE373,'Performance Curves'!$E$1:$L$1,1)+2,FALSE)-VLOOKUP(CONCATENATE('BMP P Tracking Table'!$T373," ",'BMP P Tracking Table'!$AC373),'Performance Curves'!$C$1:$L$45,MATCH('BMP P Tracking Table'!$AE373,'Performance Curves'!$E$1:$L$1,1)+1,FALSE)),"")</f>
        <v/>
      </c>
      <c r="AG373" s="101" t="str">
        <f>IFERROR(('BMP P Tracking Table'!$AE373-INDEX('Performance Curves'!$E$1:$L$1,1,MATCH('BMP P Tracking Table'!$AE373,'Performance Curves'!$E$1:$L$1,1)))/(INDEX('Performance Curves'!$E$1:$L$1,1,MATCH('BMP P Tracking Table'!$AE373,'Performance Curves'!$E$1:$L$1,1)+1)-INDEX('Performance Curves'!$E$1:$L$1,1,MATCH('BMP P Tracking Table'!$AE373,'Performance Curves'!$E$1:$L$1,1))),"")</f>
        <v/>
      </c>
      <c r="AH373" s="102" t="str">
        <f>IFERROR(IF('BMP P Tracking Table'!$AE373=2,VLOOKUP(CONCATENATE('BMP P Tracking Table'!$T373," ",'BMP P Tracking Table'!$AC373),'Performance Curves'!$C$1:$L$45,MATCH('BMP P Tracking Table'!$AE373,'Performance Curves'!$E$1:$L$1,1)+1,FALSE),'BMP P Tracking Table'!$AF373*'BMP P Tracking Table'!$AG373+VLOOKUP(CONCATENATE('BMP P Tracking Table'!$T373," ",'BMP P Tracking Table'!$AC373),'Performance Curves'!$C$1:$L$45,MATCH('BMP P Tracking Table'!$AE373,'Performance Curves'!$E$1:$L$1,1)+1,FALSE)),"")</f>
        <v/>
      </c>
      <c r="AI373" s="101" t="str">
        <f>IFERROR('BMP P Tracking Table'!$AH373*'BMP P Tracking Table'!$AD373,"")</f>
        <v/>
      </c>
      <c r="AJ373" s="64"/>
      <c r="AK373" s="96"/>
      <c r="AL373" s="96"/>
      <c r="AM373" s="63"/>
      <c r="AN373" s="99" t="str">
        <f t="shared" si="22"/>
        <v/>
      </c>
      <c r="AO373" s="96"/>
      <c r="AP373" s="96"/>
      <c r="AQ373" s="96"/>
      <c r="AR373" s="96"/>
      <c r="AS373" s="96"/>
      <c r="AT373" s="96"/>
      <c r="AU373" s="96"/>
      <c r="AV373" s="64"/>
      <c r="AW373" s="97"/>
      <c r="AX373" s="97"/>
      <c r="AY373" s="101" t="str">
        <f>IF('BMP P Tracking Table'!$AK373="Yes",IF('BMP P Tracking Table'!$AL373="No",'BMP P Tracking Table'!$U373*VLOOKUP('BMP P Tracking Table'!$Q373,'Loading Rates'!$B$1:$L$24,4,FALSE)+IF('BMP P Tracking Table'!$V373="By HSG",'BMP P Tracking Table'!$W373*VLOOKUP('BMP P Tracking Table'!$Q373,'Loading Rates'!$B$1:$L$24,6,FALSE)+'BMP P Tracking Table'!$X373*VLOOKUP('BMP P Tracking Table'!$Q373,'Loading Rates'!$B$1:$L$24,7,FALSE)+'BMP P Tracking Table'!$Y373*VLOOKUP('BMP P Tracking Table'!$Q373,'Loading Rates'!$B$1:$L$24,8,FALSE)+'BMP P Tracking Table'!$Z373*VLOOKUP('BMP P Tracking Table'!$Q373,'Loading Rates'!$B$1:$L$24,9,FALSE),'BMP P Tracking Table'!$AA373*VLOOKUP('BMP P Tracking Table'!$Q373,'Loading Rates'!$B$1:$L$24,10,FALSE)),'BMP P Tracking Table'!$AO373*VLOOKUP('BMP P Tracking Table'!$Q373,'Loading Rates'!$B$1:$L$24,4,FALSE)+IF('BMP P Tracking Table'!$AP373="By HSG",'BMP P Tracking Table'!$AQ373*VLOOKUP('BMP P Tracking Table'!$Q373,'Loading Rates'!$B$1:$L$24,6,FALSE)+'BMP P Tracking Table'!$AR373*VLOOKUP('BMP P Tracking Table'!$Q373,'Loading Rates'!$B$1:$L$24,7,FALSE)+'BMP P Tracking Table'!$AS373*VLOOKUP('BMP P Tracking Table'!$Q373,'Loading Rates'!$B$1:$L$24,8,FALSE)+'BMP P Tracking Table'!$AT373*VLOOKUP('BMP P Tracking Table'!$Q373,'Loading Rates'!$B$1:$L$24,9,FALSE),'BMP P Tracking Table'!$AU373*VLOOKUP('BMP P Tracking Table'!$Q373,'Loading Rates'!$B$1:$L$24,10,FALSE))),"")</f>
        <v/>
      </c>
      <c r="AZ373" s="101" t="str">
        <f>IFERROR(IF('BMP P Tracking Table'!$AL373="Yes",MIN(2,IF('BMP P Tracking Table'!$AP373="Total Pervious",(-(3630*'BMP P Tracking Table'!$AO373+20.691*'BMP P Tracking Table'!$AU373)+SQRT((3630*'BMP P Tracking Table'!$AO373+20.691*'BMP P Tracking Table'!$AU373)^2-(4*(996.798*'BMP P Tracking Table'!$AU373)*-'BMP P Tracking Table'!$AW373)))/(2*(996.798*'BMP P Tracking Table'!$AU373)),IF(SUM('BMP P Tracking Table'!$AQ373:$AT373)=0,'BMP P Tracking Table'!$AU373/(-3630*'BMP P Tracking Table'!$AO373),(-(3630*'BMP P Tracking Table'!$AO373+20.691*'BMP P Tracking Table'!$AT373-216.711*'BMP P Tracking Table'!$AS373-83.853*'BMP P Tracking Table'!$AR373-42.834*'BMP P Tracking Table'!$AQ373)+SQRT((3630*'BMP P Tracking Table'!$AO373+20.691*'BMP P Tracking Table'!$AT373-216.711*'BMP P Tracking Table'!$AS373-83.853*'BMP P Tracking Table'!$AR373-42.834*'BMP P Tracking Table'!$AQ373)^2-(4*(149.919*'BMP P Tracking Table'!$AQ373+236.676*'BMP P Tracking Table'!$AR373+726*'BMP P Tracking Table'!$AS373+996.798*'BMP P Tracking Table'!$AT373)*-'BMP P Tracking Table'!$AW373)))/(2*(149.919*'BMP P Tracking Table'!$AQ373+236.676*'BMP P Tracking Table'!$AR373+726*'BMP P Tracking Table'!$AS373+996.798*'BMP P Tracking Table'!$AT373))))),MIN(2,IF('BMP P Tracking Table'!$AP373="Total Pervious",(-(3630*'BMP P Tracking Table'!$U373+20.691*'BMP P Tracking Table'!$AA373)+SQRT((3630*'BMP P Tracking Table'!$U373+20.691*'BMP P Tracking Table'!$AA373)^2-(4*(996.798*'BMP P Tracking Table'!$AA373)*-'BMP P Tracking Table'!$AW373)))/(2*(996.798*'BMP P Tracking Table'!$AA373)),IF(SUM('BMP P Tracking Table'!$W373:$Z373)=0,'BMP P Tracking Table'!$AW373/(-3630*'BMP P Tracking Table'!$U373),(-(3630*'BMP P Tracking Table'!$U373+20.691*'BMP P Tracking Table'!$Z373-216.711*'BMP P Tracking Table'!$Y373-83.853*'BMP P Tracking Table'!$X373-42.834*'BMP P Tracking Table'!$W373)+SQRT((3630*'BMP P Tracking Table'!$U373+20.691*'BMP P Tracking Table'!$Z373-216.711*'BMP P Tracking Table'!$Y373-83.853*'BMP P Tracking Table'!$X373-42.834*'BMP P Tracking Table'!$W373)^2-(4*(149.919*'BMP P Tracking Table'!$W373+236.676*'BMP P Tracking Table'!$X373+726*'BMP P Tracking Table'!$Y373+996.798*'BMP P Tracking Table'!$Z373)*-'BMP P Tracking Table'!$AW373)))/(2*(149.919*'BMP P Tracking Table'!$W373+236.676*'BMP P Tracking Table'!$X373+726*'BMP P Tracking Table'!$Y373+996.798*'BMP P Tracking Table'!$Z373)))))),"")</f>
        <v/>
      </c>
      <c r="BA373" s="101" t="str">
        <f>IFERROR((VLOOKUP(CONCATENATE('BMP P Tracking Table'!$AV373," ",'BMP P Tracking Table'!$AX373),'Performance Curves'!$C$1:$L$45,MATCH('BMP P Tracking Table'!$AZ373,'Performance Curves'!$E$1:$L$1,1)+2,FALSE)-VLOOKUP(CONCATENATE('BMP P Tracking Table'!$AV373," ",'BMP P Tracking Table'!$AX373),'Performance Curves'!$C$1:$L$45,MATCH('BMP P Tracking Table'!$AZ373,'Performance Curves'!$E$1:$L$1,1)+1,FALSE)),"")</f>
        <v/>
      </c>
      <c r="BB373" s="101" t="str">
        <f>IFERROR(('BMP P Tracking Table'!$AZ373-INDEX('Performance Curves'!$E$1:$L$1,1,MATCH('BMP P Tracking Table'!$AZ373,'Performance Curves'!$E$1:$L$1,1)))/(INDEX('Performance Curves'!$E$1:$L$1,1,MATCH('BMP P Tracking Table'!$AZ373,'Performance Curves'!$E$1:$L$1,1)+1)-INDEX('Performance Curves'!$E$1:$L$1,1,MATCH('BMP P Tracking Table'!$AZ373,'Performance Curves'!$E$1:$L$1,1))),"")</f>
        <v/>
      </c>
      <c r="BC373" s="102" t="str">
        <f>IFERROR(IF('BMP P Tracking Table'!$AZ373=2,VLOOKUP(CONCATENATE('BMP P Tracking Table'!$AV373," ",'BMP P Tracking Table'!$AX373),'Performance Curves'!$C$1:$L$44,MATCH('BMP P Tracking Table'!$AZ373,'Performance Curves'!$E$1:$L$1,1)+1,FALSE),'BMP P Tracking Table'!$BA373*'BMP P Tracking Table'!$BB373+VLOOKUP(CONCATENATE('BMP P Tracking Table'!$AV373," ",'BMP P Tracking Table'!$AX373),'Performance Curves'!$C$1:$L$44,MATCH('BMP P Tracking Table'!$AZ373,'Performance Curves'!$E$1:$L$1,1)+1,FALSE)),"")</f>
        <v/>
      </c>
      <c r="BD373" s="101" t="str">
        <f>IFERROR('BMP P Tracking Table'!$BC373*'BMP P Tracking Table'!$AY373,"")</f>
        <v/>
      </c>
      <c r="BE373" s="96"/>
      <c r="BF373" s="37">
        <f t="shared" si="23"/>
        <v>0</v>
      </c>
    </row>
    <row r="374" spans="1:58" x14ac:dyDescent="0.3">
      <c r="A374" s="64"/>
      <c r="B374" s="64"/>
      <c r="C374" s="64"/>
      <c r="D374" s="64"/>
      <c r="E374" s="93"/>
      <c r="F374" s="93"/>
      <c r="G374" s="64"/>
      <c r="H374" s="64"/>
      <c r="I374" s="64"/>
      <c r="J374" s="94"/>
      <c r="K374" s="64"/>
      <c r="L374" s="64"/>
      <c r="M374" s="64"/>
      <c r="N374" s="64"/>
      <c r="O374" s="64"/>
      <c r="P374" s="64"/>
      <c r="Q374" s="64" t="str">
        <f>IFERROR(VLOOKUP('BMP P Tracking Table'!$P374,Dropdowns!$C$2:$E$15,3,FALSE),"")</f>
        <v/>
      </c>
      <c r="R374" s="64" t="str">
        <f>IFERROR(VLOOKUP('BMP P Tracking Table'!$Q374,Dropdowns!$P$3:$Q$23,2,FALSE),"")</f>
        <v/>
      </c>
      <c r="S374" s="64"/>
      <c r="T374" s="64"/>
      <c r="U374" s="64"/>
      <c r="V374" s="64"/>
      <c r="W374" s="64"/>
      <c r="X374" s="64"/>
      <c r="Y374" s="64"/>
      <c r="Z374" s="64"/>
      <c r="AA374" s="64"/>
      <c r="AB374" s="95"/>
      <c r="AC374" s="64"/>
      <c r="AD374" s="101" t="str">
        <f>IFERROR('BMP P Tracking Table'!$U374*VLOOKUP('BMP P Tracking Table'!$Q374,'Loading Rates'!$B$1:$L$24,4,FALSE)+IF('BMP P Tracking Table'!$V374="By HSG",'BMP P Tracking Table'!$W374*VLOOKUP('BMP P Tracking Table'!$Q374,'Loading Rates'!$B$1:$L$24,6,FALSE)+'BMP P Tracking Table'!$X374*VLOOKUP('BMP P Tracking Table'!$Q374,'Loading Rates'!$B$1:$L$24,7,FALSE)+'BMP P Tracking Table'!$Y374*VLOOKUP('BMP P Tracking Table'!$Q374,'Loading Rates'!$B$1:$L$24,8,FALSE)+'BMP P Tracking Table'!$Z374*VLOOKUP('BMP P Tracking Table'!$Q374,'Loading Rates'!$B$1:$L$24,9,FALSE),'BMP P Tracking Table'!$AA374*VLOOKUP('BMP P Tracking Table'!$Q374,'Loading Rates'!$B$1:$L$24,10,FALSE)),"")</f>
        <v/>
      </c>
      <c r="AE374" s="101" t="str">
        <f>IFERROR(MIN(2,IF('BMP P Tracking Table'!$V374="Total Pervious",(-(3630*'BMP P Tracking Table'!$U374+20.691*'BMP P Tracking Table'!$AA374)+SQRT((3630*'BMP P Tracking Table'!$U374+20.691*'BMP P Tracking Table'!$AA374)^2-(4*(996.798*'BMP P Tracking Table'!$AA374)*-'BMP P Tracking Table'!$AB374)))/(2*(996.798*'BMP P Tracking Table'!$AA374)),IF(SUM('BMP P Tracking Table'!$W374:$Z374)=0,'BMP P Tracking Table'!$AB374/(-3630*'BMP P Tracking Table'!$U374),(-(3630*'BMP P Tracking Table'!$U374+20.691*'BMP P Tracking Table'!$Z374-216.711*'BMP P Tracking Table'!$Y374-83.853*'BMP P Tracking Table'!$X374-42.834*'BMP P Tracking Table'!$W374)+SQRT((3630*'BMP P Tracking Table'!$U374+20.691*'BMP P Tracking Table'!$Z374-216.711*'BMP P Tracking Table'!$Y374-83.853*'BMP P Tracking Table'!$X374-42.834*'BMP P Tracking Table'!$W374)^2-(4*(149.919*'BMP P Tracking Table'!$W374+236.676*'BMP P Tracking Table'!$X374+726*'BMP P Tracking Table'!$Y374+996.798*'BMP P Tracking Table'!$Z374)*-'BMP P Tracking Table'!$AB374)))/(2*(149.919*'BMP P Tracking Table'!$W374+236.676*'BMP P Tracking Table'!$X374+726*'BMP P Tracking Table'!$Y374+996.798*'BMP P Tracking Table'!$Z374))))),"")</f>
        <v/>
      </c>
      <c r="AF374" s="101" t="str">
        <f>IFERROR((VLOOKUP(CONCATENATE('BMP P Tracking Table'!$T374," ",'BMP P Tracking Table'!$AC374),'Performance Curves'!$C$1:$L$45,MATCH('BMP P Tracking Table'!$AE374,'Performance Curves'!$E$1:$L$1,1)+2,FALSE)-VLOOKUP(CONCATENATE('BMP P Tracking Table'!$T374," ",'BMP P Tracking Table'!$AC374),'Performance Curves'!$C$1:$L$45,MATCH('BMP P Tracking Table'!$AE374,'Performance Curves'!$E$1:$L$1,1)+1,FALSE)),"")</f>
        <v/>
      </c>
      <c r="AG374" s="101" t="str">
        <f>IFERROR(('BMP P Tracking Table'!$AE374-INDEX('Performance Curves'!$E$1:$L$1,1,MATCH('BMP P Tracking Table'!$AE374,'Performance Curves'!$E$1:$L$1,1)))/(INDEX('Performance Curves'!$E$1:$L$1,1,MATCH('BMP P Tracking Table'!$AE374,'Performance Curves'!$E$1:$L$1,1)+1)-INDEX('Performance Curves'!$E$1:$L$1,1,MATCH('BMP P Tracking Table'!$AE374,'Performance Curves'!$E$1:$L$1,1))),"")</f>
        <v/>
      </c>
      <c r="AH374" s="102" t="str">
        <f>IFERROR(IF('BMP P Tracking Table'!$AE374=2,VLOOKUP(CONCATENATE('BMP P Tracking Table'!$T374," ",'BMP P Tracking Table'!$AC374),'Performance Curves'!$C$1:$L$45,MATCH('BMP P Tracking Table'!$AE374,'Performance Curves'!$E$1:$L$1,1)+1,FALSE),'BMP P Tracking Table'!$AF374*'BMP P Tracking Table'!$AG374+VLOOKUP(CONCATENATE('BMP P Tracking Table'!$T374," ",'BMP P Tracking Table'!$AC374),'Performance Curves'!$C$1:$L$45,MATCH('BMP P Tracking Table'!$AE374,'Performance Curves'!$E$1:$L$1,1)+1,FALSE)),"")</f>
        <v/>
      </c>
      <c r="AI374" s="101" t="str">
        <f>IFERROR('BMP P Tracking Table'!$AH374*'BMP P Tracking Table'!$AD374,"")</f>
        <v/>
      </c>
      <c r="AJ374" s="64"/>
      <c r="AK374" s="96"/>
      <c r="AL374" s="96"/>
      <c r="AM374" s="63"/>
      <c r="AN374" s="99" t="str">
        <f t="shared" si="22"/>
        <v/>
      </c>
      <c r="AO374" s="96"/>
      <c r="AP374" s="96"/>
      <c r="AQ374" s="96"/>
      <c r="AR374" s="96"/>
      <c r="AS374" s="96"/>
      <c r="AT374" s="96"/>
      <c r="AU374" s="96"/>
      <c r="AV374" s="64"/>
      <c r="AW374" s="97"/>
      <c r="AX374" s="97"/>
      <c r="AY374" s="101" t="str">
        <f>IF('BMP P Tracking Table'!$AK374="Yes",IF('BMP P Tracking Table'!$AL374="No",'BMP P Tracking Table'!$U374*VLOOKUP('BMP P Tracking Table'!$Q374,'Loading Rates'!$B$1:$L$24,4,FALSE)+IF('BMP P Tracking Table'!$V374="By HSG",'BMP P Tracking Table'!$W374*VLOOKUP('BMP P Tracking Table'!$Q374,'Loading Rates'!$B$1:$L$24,6,FALSE)+'BMP P Tracking Table'!$X374*VLOOKUP('BMP P Tracking Table'!$Q374,'Loading Rates'!$B$1:$L$24,7,FALSE)+'BMP P Tracking Table'!$Y374*VLOOKUP('BMP P Tracking Table'!$Q374,'Loading Rates'!$B$1:$L$24,8,FALSE)+'BMP P Tracking Table'!$Z374*VLOOKUP('BMP P Tracking Table'!$Q374,'Loading Rates'!$B$1:$L$24,9,FALSE),'BMP P Tracking Table'!$AA374*VLOOKUP('BMP P Tracking Table'!$Q374,'Loading Rates'!$B$1:$L$24,10,FALSE)),'BMP P Tracking Table'!$AO374*VLOOKUP('BMP P Tracking Table'!$Q374,'Loading Rates'!$B$1:$L$24,4,FALSE)+IF('BMP P Tracking Table'!$AP374="By HSG",'BMP P Tracking Table'!$AQ374*VLOOKUP('BMP P Tracking Table'!$Q374,'Loading Rates'!$B$1:$L$24,6,FALSE)+'BMP P Tracking Table'!$AR374*VLOOKUP('BMP P Tracking Table'!$Q374,'Loading Rates'!$B$1:$L$24,7,FALSE)+'BMP P Tracking Table'!$AS374*VLOOKUP('BMP P Tracking Table'!$Q374,'Loading Rates'!$B$1:$L$24,8,FALSE)+'BMP P Tracking Table'!$AT374*VLOOKUP('BMP P Tracking Table'!$Q374,'Loading Rates'!$B$1:$L$24,9,FALSE),'BMP P Tracking Table'!$AU374*VLOOKUP('BMP P Tracking Table'!$Q374,'Loading Rates'!$B$1:$L$24,10,FALSE))),"")</f>
        <v/>
      </c>
      <c r="AZ374" s="101" t="str">
        <f>IFERROR(IF('BMP P Tracking Table'!$AL374="Yes",MIN(2,IF('BMP P Tracking Table'!$AP374="Total Pervious",(-(3630*'BMP P Tracking Table'!$AO374+20.691*'BMP P Tracking Table'!$AU374)+SQRT((3630*'BMP P Tracking Table'!$AO374+20.691*'BMP P Tracking Table'!$AU374)^2-(4*(996.798*'BMP P Tracking Table'!$AU374)*-'BMP P Tracking Table'!$AW374)))/(2*(996.798*'BMP P Tracking Table'!$AU374)),IF(SUM('BMP P Tracking Table'!$AQ374:$AT374)=0,'BMP P Tracking Table'!$AU374/(-3630*'BMP P Tracking Table'!$AO374),(-(3630*'BMP P Tracking Table'!$AO374+20.691*'BMP P Tracking Table'!$AT374-216.711*'BMP P Tracking Table'!$AS374-83.853*'BMP P Tracking Table'!$AR374-42.834*'BMP P Tracking Table'!$AQ374)+SQRT((3630*'BMP P Tracking Table'!$AO374+20.691*'BMP P Tracking Table'!$AT374-216.711*'BMP P Tracking Table'!$AS374-83.853*'BMP P Tracking Table'!$AR374-42.834*'BMP P Tracking Table'!$AQ374)^2-(4*(149.919*'BMP P Tracking Table'!$AQ374+236.676*'BMP P Tracking Table'!$AR374+726*'BMP P Tracking Table'!$AS374+996.798*'BMP P Tracking Table'!$AT374)*-'BMP P Tracking Table'!$AW374)))/(2*(149.919*'BMP P Tracking Table'!$AQ374+236.676*'BMP P Tracking Table'!$AR374+726*'BMP P Tracking Table'!$AS374+996.798*'BMP P Tracking Table'!$AT374))))),MIN(2,IF('BMP P Tracking Table'!$AP374="Total Pervious",(-(3630*'BMP P Tracking Table'!$U374+20.691*'BMP P Tracking Table'!$AA374)+SQRT((3630*'BMP P Tracking Table'!$U374+20.691*'BMP P Tracking Table'!$AA374)^2-(4*(996.798*'BMP P Tracking Table'!$AA374)*-'BMP P Tracking Table'!$AW374)))/(2*(996.798*'BMP P Tracking Table'!$AA374)),IF(SUM('BMP P Tracking Table'!$W374:$Z374)=0,'BMP P Tracking Table'!$AW374/(-3630*'BMP P Tracking Table'!$U374),(-(3630*'BMP P Tracking Table'!$U374+20.691*'BMP P Tracking Table'!$Z374-216.711*'BMP P Tracking Table'!$Y374-83.853*'BMP P Tracking Table'!$X374-42.834*'BMP P Tracking Table'!$W374)+SQRT((3630*'BMP P Tracking Table'!$U374+20.691*'BMP P Tracking Table'!$Z374-216.711*'BMP P Tracking Table'!$Y374-83.853*'BMP P Tracking Table'!$X374-42.834*'BMP P Tracking Table'!$W374)^2-(4*(149.919*'BMP P Tracking Table'!$W374+236.676*'BMP P Tracking Table'!$X374+726*'BMP P Tracking Table'!$Y374+996.798*'BMP P Tracking Table'!$Z374)*-'BMP P Tracking Table'!$AW374)))/(2*(149.919*'BMP P Tracking Table'!$W374+236.676*'BMP P Tracking Table'!$X374+726*'BMP P Tracking Table'!$Y374+996.798*'BMP P Tracking Table'!$Z374)))))),"")</f>
        <v/>
      </c>
      <c r="BA374" s="101" t="str">
        <f>IFERROR((VLOOKUP(CONCATENATE('BMP P Tracking Table'!$AV374," ",'BMP P Tracking Table'!$AX374),'Performance Curves'!$C$1:$L$45,MATCH('BMP P Tracking Table'!$AZ374,'Performance Curves'!$E$1:$L$1,1)+2,FALSE)-VLOOKUP(CONCATENATE('BMP P Tracking Table'!$AV374," ",'BMP P Tracking Table'!$AX374),'Performance Curves'!$C$1:$L$45,MATCH('BMP P Tracking Table'!$AZ374,'Performance Curves'!$E$1:$L$1,1)+1,FALSE)),"")</f>
        <v/>
      </c>
      <c r="BB374" s="101" t="str">
        <f>IFERROR(('BMP P Tracking Table'!$AZ374-INDEX('Performance Curves'!$E$1:$L$1,1,MATCH('BMP P Tracking Table'!$AZ374,'Performance Curves'!$E$1:$L$1,1)))/(INDEX('Performance Curves'!$E$1:$L$1,1,MATCH('BMP P Tracking Table'!$AZ374,'Performance Curves'!$E$1:$L$1,1)+1)-INDEX('Performance Curves'!$E$1:$L$1,1,MATCH('BMP P Tracking Table'!$AZ374,'Performance Curves'!$E$1:$L$1,1))),"")</f>
        <v/>
      </c>
      <c r="BC374" s="102" t="str">
        <f>IFERROR(IF('BMP P Tracking Table'!$AZ374=2,VLOOKUP(CONCATENATE('BMP P Tracking Table'!$AV374," ",'BMP P Tracking Table'!$AX374),'Performance Curves'!$C$1:$L$44,MATCH('BMP P Tracking Table'!$AZ374,'Performance Curves'!$E$1:$L$1,1)+1,FALSE),'BMP P Tracking Table'!$BA374*'BMP P Tracking Table'!$BB374+VLOOKUP(CONCATENATE('BMP P Tracking Table'!$AV374," ",'BMP P Tracking Table'!$AX374),'Performance Curves'!$C$1:$L$44,MATCH('BMP P Tracking Table'!$AZ374,'Performance Curves'!$E$1:$L$1,1)+1,FALSE)),"")</f>
        <v/>
      </c>
      <c r="BD374" s="101" t="str">
        <f>IFERROR('BMP P Tracking Table'!$BC374*'BMP P Tracking Table'!$AY374,"")</f>
        <v/>
      </c>
      <c r="BE374" s="96"/>
      <c r="BF374" s="37">
        <f t="shared" si="23"/>
        <v>0</v>
      </c>
    </row>
    <row r="375" spans="1:58" x14ac:dyDescent="0.3">
      <c r="A375" s="64"/>
      <c r="B375" s="64"/>
      <c r="C375" s="64"/>
      <c r="D375" s="64"/>
      <c r="E375" s="93"/>
      <c r="F375" s="93"/>
      <c r="G375" s="64"/>
      <c r="H375" s="64"/>
      <c r="I375" s="64"/>
      <c r="J375" s="94"/>
      <c r="K375" s="64"/>
      <c r="L375" s="64"/>
      <c r="M375" s="64"/>
      <c r="N375" s="64"/>
      <c r="O375" s="64"/>
      <c r="P375" s="64"/>
      <c r="Q375" s="64" t="str">
        <f>IFERROR(VLOOKUP('BMP P Tracking Table'!$P375,Dropdowns!$C$2:$E$15,3,FALSE),"")</f>
        <v/>
      </c>
      <c r="R375" s="64" t="str">
        <f>IFERROR(VLOOKUP('BMP P Tracking Table'!$Q375,Dropdowns!$P$3:$Q$23,2,FALSE),"")</f>
        <v/>
      </c>
      <c r="S375" s="64"/>
      <c r="T375" s="64"/>
      <c r="U375" s="64"/>
      <c r="V375" s="64"/>
      <c r="W375" s="64"/>
      <c r="X375" s="64"/>
      <c r="Y375" s="64"/>
      <c r="Z375" s="64"/>
      <c r="AA375" s="64"/>
      <c r="AB375" s="95"/>
      <c r="AC375" s="64"/>
      <c r="AD375" s="101" t="str">
        <f>IFERROR('BMP P Tracking Table'!$U375*VLOOKUP('BMP P Tracking Table'!$Q375,'Loading Rates'!$B$1:$L$24,4,FALSE)+IF('BMP P Tracking Table'!$V375="By HSG",'BMP P Tracking Table'!$W375*VLOOKUP('BMP P Tracking Table'!$Q375,'Loading Rates'!$B$1:$L$24,6,FALSE)+'BMP P Tracking Table'!$X375*VLOOKUP('BMP P Tracking Table'!$Q375,'Loading Rates'!$B$1:$L$24,7,FALSE)+'BMP P Tracking Table'!$Y375*VLOOKUP('BMP P Tracking Table'!$Q375,'Loading Rates'!$B$1:$L$24,8,FALSE)+'BMP P Tracking Table'!$Z375*VLOOKUP('BMP P Tracking Table'!$Q375,'Loading Rates'!$B$1:$L$24,9,FALSE),'BMP P Tracking Table'!$AA375*VLOOKUP('BMP P Tracking Table'!$Q375,'Loading Rates'!$B$1:$L$24,10,FALSE)),"")</f>
        <v/>
      </c>
      <c r="AE375" s="101" t="str">
        <f>IFERROR(MIN(2,IF('BMP P Tracking Table'!$V375="Total Pervious",(-(3630*'BMP P Tracking Table'!$U375+20.691*'BMP P Tracking Table'!$AA375)+SQRT((3630*'BMP P Tracking Table'!$U375+20.691*'BMP P Tracking Table'!$AA375)^2-(4*(996.798*'BMP P Tracking Table'!$AA375)*-'BMP P Tracking Table'!$AB375)))/(2*(996.798*'BMP P Tracking Table'!$AA375)),IF(SUM('BMP P Tracking Table'!$W375:$Z375)=0,'BMP P Tracking Table'!$AB375/(-3630*'BMP P Tracking Table'!$U375),(-(3630*'BMP P Tracking Table'!$U375+20.691*'BMP P Tracking Table'!$Z375-216.711*'BMP P Tracking Table'!$Y375-83.853*'BMP P Tracking Table'!$X375-42.834*'BMP P Tracking Table'!$W375)+SQRT((3630*'BMP P Tracking Table'!$U375+20.691*'BMP P Tracking Table'!$Z375-216.711*'BMP P Tracking Table'!$Y375-83.853*'BMP P Tracking Table'!$X375-42.834*'BMP P Tracking Table'!$W375)^2-(4*(149.919*'BMP P Tracking Table'!$W375+236.676*'BMP P Tracking Table'!$X375+726*'BMP P Tracking Table'!$Y375+996.798*'BMP P Tracking Table'!$Z375)*-'BMP P Tracking Table'!$AB375)))/(2*(149.919*'BMP P Tracking Table'!$W375+236.676*'BMP P Tracking Table'!$X375+726*'BMP P Tracking Table'!$Y375+996.798*'BMP P Tracking Table'!$Z375))))),"")</f>
        <v/>
      </c>
      <c r="AF375" s="101" t="str">
        <f>IFERROR((VLOOKUP(CONCATENATE('BMP P Tracking Table'!$T375," ",'BMP P Tracking Table'!$AC375),'Performance Curves'!$C$1:$L$45,MATCH('BMP P Tracking Table'!$AE375,'Performance Curves'!$E$1:$L$1,1)+2,FALSE)-VLOOKUP(CONCATENATE('BMP P Tracking Table'!$T375," ",'BMP P Tracking Table'!$AC375),'Performance Curves'!$C$1:$L$45,MATCH('BMP P Tracking Table'!$AE375,'Performance Curves'!$E$1:$L$1,1)+1,FALSE)),"")</f>
        <v/>
      </c>
      <c r="AG375" s="101" t="str">
        <f>IFERROR(('BMP P Tracking Table'!$AE375-INDEX('Performance Curves'!$E$1:$L$1,1,MATCH('BMP P Tracking Table'!$AE375,'Performance Curves'!$E$1:$L$1,1)))/(INDEX('Performance Curves'!$E$1:$L$1,1,MATCH('BMP P Tracking Table'!$AE375,'Performance Curves'!$E$1:$L$1,1)+1)-INDEX('Performance Curves'!$E$1:$L$1,1,MATCH('BMP P Tracking Table'!$AE375,'Performance Curves'!$E$1:$L$1,1))),"")</f>
        <v/>
      </c>
      <c r="AH375" s="102" t="str">
        <f>IFERROR(IF('BMP P Tracking Table'!$AE375=2,VLOOKUP(CONCATENATE('BMP P Tracking Table'!$T375," ",'BMP P Tracking Table'!$AC375),'Performance Curves'!$C$1:$L$45,MATCH('BMP P Tracking Table'!$AE375,'Performance Curves'!$E$1:$L$1,1)+1,FALSE),'BMP P Tracking Table'!$AF375*'BMP P Tracking Table'!$AG375+VLOOKUP(CONCATENATE('BMP P Tracking Table'!$T375," ",'BMP P Tracking Table'!$AC375),'Performance Curves'!$C$1:$L$45,MATCH('BMP P Tracking Table'!$AE375,'Performance Curves'!$E$1:$L$1,1)+1,FALSE)),"")</f>
        <v/>
      </c>
      <c r="AI375" s="101" t="str">
        <f>IFERROR('BMP P Tracking Table'!$AH375*'BMP P Tracking Table'!$AD375,"")</f>
        <v/>
      </c>
      <c r="AJ375" s="64"/>
      <c r="AK375" s="96"/>
      <c r="AL375" s="96"/>
      <c r="AM375" s="63"/>
      <c r="AN375" s="99" t="str">
        <f t="shared" si="22"/>
        <v/>
      </c>
      <c r="AO375" s="96"/>
      <c r="AP375" s="96"/>
      <c r="AQ375" s="96"/>
      <c r="AR375" s="96"/>
      <c r="AS375" s="96"/>
      <c r="AT375" s="96"/>
      <c r="AU375" s="96"/>
      <c r="AV375" s="64"/>
      <c r="AW375" s="97"/>
      <c r="AX375" s="97"/>
      <c r="AY375" s="101" t="str">
        <f>IF('BMP P Tracking Table'!$AK375="Yes",IF('BMP P Tracking Table'!$AL375="No",'BMP P Tracking Table'!$U375*VLOOKUP('BMP P Tracking Table'!$Q375,'Loading Rates'!$B$1:$L$24,4,FALSE)+IF('BMP P Tracking Table'!$V375="By HSG",'BMP P Tracking Table'!$W375*VLOOKUP('BMP P Tracking Table'!$Q375,'Loading Rates'!$B$1:$L$24,6,FALSE)+'BMP P Tracking Table'!$X375*VLOOKUP('BMP P Tracking Table'!$Q375,'Loading Rates'!$B$1:$L$24,7,FALSE)+'BMP P Tracking Table'!$Y375*VLOOKUP('BMP P Tracking Table'!$Q375,'Loading Rates'!$B$1:$L$24,8,FALSE)+'BMP P Tracking Table'!$Z375*VLOOKUP('BMP P Tracking Table'!$Q375,'Loading Rates'!$B$1:$L$24,9,FALSE),'BMP P Tracking Table'!$AA375*VLOOKUP('BMP P Tracking Table'!$Q375,'Loading Rates'!$B$1:$L$24,10,FALSE)),'BMP P Tracking Table'!$AO375*VLOOKUP('BMP P Tracking Table'!$Q375,'Loading Rates'!$B$1:$L$24,4,FALSE)+IF('BMP P Tracking Table'!$AP375="By HSG",'BMP P Tracking Table'!$AQ375*VLOOKUP('BMP P Tracking Table'!$Q375,'Loading Rates'!$B$1:$L$24,6,FALSE)+'BMP P Tracking Table'!$AR375*VLOOKUP('BMP P Tracking Table'!$Q375,'Loading Rates'!$B$1:$L$24,7,FALSE)+'BMP P Tracking Table'!$AS375*VLOOKUP('BMP P Tracking Table'!$Q375,'Loading Rates'!$B$1:$L$24,8,FALSE)+'BMP P Tracking Table'!$AT375*VLOOKUP('BMP P Tracking Table'!$Q375,'Loading Rates'!$B$1:$L$24,9,FALSE),'BMP P Tracking Table'!$AU375*VLOOKUP('BMP P Tracking Table'!$Q375,'Loading Rates'!$B$1:$L$24,10,FALSE))),"")</f>
        <v/>
      </c>
      <c r="AZ375" s="101" t="str">
        <f>IFERROR(IF('BMP P Tracking Table'!$AL375="Yes",MIN(2,IF('BMP P Tracking Table'!$AP375="Total Pervious",(-(3630*'BMP P Tracking Table'!$AO375+20.691*'BMP P Tracking Table'!$AU375)+SQRT((3630*'BMP P Tracking Table'!$AO375+20.691*'BMP P Tracking Table'!$AU375)^2-(4*(996.798*'BMP P Tracking Table'!$AU375)*-'BMP P Tracking Table'!$AW375)))/(2*(996.798*'BMP P Tracking Table'!$AU375)),IF(SUM('BMP P Tracking Table'!$AQ375:$AT375)=0,'BMP P Tracking Table'!$AU375/(-3630*'BMP P Tracking Table'!$AO375),(-(3630*'BMP P Tracking Table'!$AO375+20.691*'BMP P Tracking Table'!$AT375-216.711*'BMP P Tracking Table'!$AS375-83.853*'BMP P Tracking Table'!$AR375-42.834*'BMP P Tracking Table'!$AQ375)+SQRT((3630*'BMP P Tracking Table'!$AO375+20.691*'BMP P Tracking Table'!$AT375-216.711*'BMP P Tracking Table'!$AS375-83.853*'BMP P Tracking Table'!$AR375-42.834*'BMP P Tracking Table'!$AQ375)^2-(4*(149.919*'BMP P Tracking Table'!$AQ375+236.676*'BMP P Tracking Table'!$AR375+726*'BMP P Tracking Table'!$AS375+996.798*'BMP P Tracking Table'!$AT375)*-'BMP P Tracking Table'!$AW375)))/(2*(149.919*'BMP P Tracking Table'!$AQ375+236.676*'BMP P Tracking Table'!$AR375+726*'BMP P Tracking Table'!$AS375+996.798*'BMP P Tracking Table'!$AT375))))),MIN(2,IF('BMP P Tracking Table'!$AP375="Total Pervious",(-(3630*'BMP P Tracking Table'!$U375+20.691*'BMP P Tracking Table'!$AA375)+SQRT((3630*'BMP P Tracking Table'!$U375+20.691*'BMP P Tracking Table'!$AA375)^2-(4*(996.798*'BMP P Tracking Table'!$AA375)*-'BMP P Tracking Table'!$AW375)))/(2*(996.798*'BMP P Tracking Table'!$AA375)),IF(SUM('BMP P Tracking Table'!$W375:$Z375)=0,'BMP P Tracking Table'!$AW375/(-3630*'BMP P Tracking Table'!$U375),(-(3630*'BMP P Tracking Table'!$U375+20.691*'BMP P Tracking Table'!$Z375-216.711*'BMP P Tracking Table'!$Y375-83.853*'BMP P Tracking Table'!$X375-42.834*'BMP P Tracking Table'!$W375)+SQRT((3630*'BMP P Tracking Table'!$U375+20.691*'BMP P Tracking Table'!$Z375-216.711*'BMP P Tracking Table'!$Y375-83.853*'BMP P Tracking Table'!$X375-42.834*'BMP P Tracking Table'!$W375)^2-(4*(149.919*'BMP P Tracking Table'!$W375+236.676*'BMP P Tracking Table'!$X375+726*'BMP P Tracking Table'!$Y375+996.798*'BMP P Tracking Table'!$Z375)*-'BMP P Tracking Table'!$AW375)))/(2*(149.919*'BMP P Tracking Table'!$W375+236.676*'BMP P Tracking Table'!$X375+726*'BMP P Tracking Table'!$Y375+996.798*'BMP P Tracking Table'!$Z375)))))),"")</f>
        <v/>
      </c>
      <c r="BA375" s="101" t="str">
        <f>IFERROR((VLOOKUP(CONCATENATE('BMP P Tracking Table'!$AV375," ",'BMP P Tracking Table'!$AX375),'Performance Curves'!$C$1:$L$45,MATCH('BMP P Tracking Table'!$AZ375,'Performance Curves'!$E$1:$L$1,1)+2,FALSE)-VLOOKUP(CONCATENATE('BMP P Tracking Table'!$AV375," ",'BMP P Tracking Table'!$AX375),'Performance Curves'!$C$1:$L$45,MATCH('BMP P Tracking Table'!$AZ375,'Performance Curves'!$E$1:$L$1,1)+1,FALSE)),"")</f>
        <v/>
      </c>
      <c r="BB375" s="101" t="str">
        <f>IFERROR(('BMP P Tracking Table'!$AZ375-INDEX('Performance Curves'!$E$1:$L$1,1,MATCH('BMP P Tracking Table'!$AZ375,'Performance Curves'!$E$1:$L$1,1)))/(INDEX('Performance Curves'!$E$1:$L$1,1,MATCH('BMP P Tracking Table'!$AZ375,'Performance Curves'!$E$1:$L$1,1)+1)-INDEX('Performance Curves'!$E$1:$L$1,1,MATCH('BMP P Tracking Table'!$AZ375,'Performance Curves'!$E$1:$L$1,1))),"")</f>
        <v/>
      </c>
      <c r="BC375" s="102" t="str">
        <f>IFERROR(IF('BMP P Tracking Table'!$AZ375=2,VLOOKUP(CONCATENATE('BMP P Tracking Table'!$AV375," ",'BMP P Tracking Table'!$AX375),'Performance Curves'!$C$1:$L$44,MATCH('BMP P Tracking Table'!$AZ375,'Performance Curves'!$E$1:$L$1,1)+1,FALSE),'BMP P Tracking Table'!$BA375*'BMP P Tracking Table'!$BB375+VLOOKUP(CONCATENATE('BMP P Tracking Table'!$AV375," ",'BMP P Tracking Table'!$AX375),'Performance Curves'!$C$1:$L$44,MATCH('BMP P Tracking Table'!$AZ375,'Performance Curves'!$E$1:$L$1,1)+1,FALSE)),"")</f>
        <v/>
      </c>
      <c r="BD375" s="101" t="str">
        <f>IFERROR('BMP P Tracking Table'!$BC375*'BMP P Tracking Table'!$AY375,"")</f>
        <v/>
      </c>
      <c r="BE375" s="96"/>
      <c r="BF375" s="37">
        <f t="shared" si="23"/>
        <v>0</v>
      </c>
    </row>
    <row r="376" spans="1:58" x14ac:dyDescent="0.3">
      <c r="A376" s="64"/>
      <c r="B376" s="64"/>
      <c r="C376" s="64"/>
      <c r="D376" s="64"/>
      <c r="E376" s="93"/>
      <c r="F376" s="93"/>
      <c r="G376" s="64"/>
      <c r="H376" s="64"/>
      <c r="I376" s="64"/>
      <c r="J376" s="94"/>
      <c r="K376" s="64"/>
      <c r="L376" s="64"/>
      <c r="M376" s="64"/>
      <c r="N376" s="64"/>
      <c r="O376" s="64"/>
      <c r="P376" s="64"/>
      <c r="Q376" s="64" t="str">
        <f>IFERROR(VLOOKUP('BMP P Tracking Table'!$P376,Dropdowns!$C$2:$E$15,3,FALSE),"")</f>
        <v/>
      </c>
      <c r="R376" s="64" t="str">
        <f>IFERROR(VLOOKUP('BMP P Tracking Table'!$Q376,Dropdowns!$P$3:$Q$23,2,FALSE),"")</f>
        <v/>
      </c>
      <c r="S376" s="64"/>
      <c r="T376" s="64"/>
      <c r="U376" s="64"/>
      <c r="V376" s="64"/>
      <c r="W376" s="64"/>
      <c r="X376" s="64"/>
      <c r="Y376" s="64"/>
      <c r="Z376" s="64"/>
      <c r="AA376" s="64"/>
      <c r="AB376" s="95"/>
      <c r="AC376" s="64"/>
      <c r="AD376" s="101" t="str">
        <f>IFERROR('BMP P Tracking Table'!$U376*VLOOKUP('BMP P Tracking Table'!$Q376,'Loading Rates'!$B$1:$L$24,4,FALSE)+IF('BMP P Tracking Table'!$V376="By HSG",'BMP P Tracking Table'!$W376*VLOOKUP('BMP P Tracking Table'!$Q376,'Loading Rates'!$B$1:$L$24,6,FALSE)+'BMP P Tracking Table'!$X376*VLOOKUP('BMP P Tracking Table'!$Q376,'Loading Rates'!$B$1:$L$24,7,FALSE)+'BMP P Tracking Table'!$Y376*VLOOKUP('BMP P Tracking Table'!$Q376,'Loading Rates'!$B$1:$L$24,8,FALSE)+'BMP P Tracking Table'!$Z376*VLOOKUP('BMP P Tracking Table'!$Q376,'Loading Rates'!$B$1:$L$24,9,FALSE),'BMP P Tracking Table'!$AA376*VLOOKUP('BMP P Tracking Table'!$Q376,'Loading Rates'!$B$1:$L$24,10,FALSE)),"")</f>
        <v/>
      </c>
      <c r="AE376" s="101" t="str">
        <f>IFERROR(MIN(2,IF('BMP P Tracking Table'!$V376="Total Pervious",(-(3630*'BMP P Tracking Table'!$U376+20.691*'BMP P Tracking Table'!$AA376)+SQRT((3630*'BMP P Tracking Table'!$U376+20.691*'BMP P Tracking Table'!$AA376)^2-(4*(996.798*'BMP P Tracking Table'!$AA376)*-'BMP P Tracking Table'!$AB376)))/(2*(996.798*'BMP P Tracking Table'!$AA376)),IF(SUM('BMP P Tracking Table'!$W376:$Z376)=0,'BMP P Tracking Table'!$AB376/(-3630*'BMP P Tracking Table'!$U376),(-(3630*'BMP P Tracking Table'!$U376+20.691*'BMP P Tracking Table'!$Z376-216.711*'BMP P Tracking Table'!$Y376-83.853*'BMP P Tracking Table'!$X376-42.834*'BMP P Tracking Table'!$W376)+SQRT((3630*'BMP P Tracking Table'!$U376+20.691*'BMP P Tracking Table'!$Z376-216.711*'BMP P Tracking Table'!$Y376-83.853*'BMP P Tracking Table'!$X376-42.834*'BMP P Tracking Table'!$W376)^2-(4*(149.919*'BMP P Tracking Table'!$W376+236.676*'BMP P Tracking Table'!$X376+726*'BMP P Tracking Table'!$Y376+996.798*'BMP P Tracking Table'!$Z376)*-'BMP P Tracking Table'!$AB376)))/(2*(149.919*'BMP P Tracking Table'!$W376+236.676*'BMP P Tracking Table'!$X376+726*'BMP P Tracking Table'!$Y376+996.798*'BMP P Tracking Table'!$Z376))))),"")</f>
        <v/>
      </c>
      <c r="AF376" s="101" t="str">
        <f>IFERROR((VLOOKUP(CONCATENATE('BMP P Tracking Table'!$T376," ",'BMP P Tracking Table'!$AC376),'Performance Curves'!$C$1:$L$45,MATCH('BMP P Tracking Table'!$AE376,'Performance Curves'!$E$1:$L$1,1)+2,FALSE)-VLOOKUP(CONCATENATE('BMP P Tracking Table'!$T376," ",'BMP P Tracking Table'!$AC376),'Performance Curves'!$C$1:$L$45,MATCH('BMP P Tracking Table'!$AE376,'Performance Curves'!$E$1:$L$1,1)+1,FALSE)),"")</f>
        <v/>
      </c>
      <c r="AG376" s="101" t="str">
        <f>IFERROR(('BMP P Tracking Table'!$AE376-INDEX('Performance Curves'!$E$1:$L$1,1,MATCH('BMP P Tracking Table'!$AE376,'Performance Curves'!$E$1:$L$1,1)))/(INDEX('Performance Curves'!$E$1:$L$1,1,MATCH('BMP P Tracking Table'!$AE376,'Performance Curves'!$E$1:$L$1,1)+1)-INDEX('Performance Curves'!$E$1:$L$1,1,MATCH('BMP P Tracking Table'!$AE376,'Performance Curves'!$E$1:$L$1,1))),"")</f>
        <v/>
      </c>
      <c r="AH376" s="102" t="str">
        <f>IFERROR(IF('BMP P Tracking Table'!$AE376=2,VLOOKUP(CONCATENATE('BMP P Tracking Table'!$T376," ",'BMP P Tracking Table'!$AC376),'Performance Curves'!$C$1:$L$45,MATCH('BMP P Tracking Table'!$AE376,'Performance Curves'!$E$1:$L$1,1)+1,FALSE),'BMP P Tracking Table'!$AF376*'BMP P Tracking Table'!$AG376+VLOOKUP(CONCATENATE('BMP P Tracking Table'!$T376," ",'BMP P Tracking Table'!$AC376),'Performance Curves'!$C$1:$L$45,MATCH('BMP P Tracking Table'!$AE376,'Performance Curves'!$E$1:$L$1,1)+1,FALSE)),"")</f>
        <v/>
      </c>
      <c r="AI376" s="101" t="str">
        <f>IFERROR('BMP P Tracking Table'!$AH376*'BMP P Tracking Table'!$AD376,"")</f>
        <v/>
      </c>
      <c r="AJ376" s="64"/>
      <c r="AK376" s="96"/>
      <c r="AL376" s="96"/>
      <c r="AM376" s="63"/>
      <c r="AN376" s="99" t="str">
        <f t="shared" si="22"/>
        <v/>
      </c>
      <c r="AO376" s="96"/>
      <c r="AP376" s="96"/>
      <c r="AQ376" s="96"/>
      <c r="AR376" s="96"/>
      <c r="AS376" s="96"/>
      <c r="AT376" s="96"/>
      <c r="AU376" s="96"/>
      <c r="AV376" s="64"/>
      <c r="AW376" s="97"/>
      <c r="AX376" s="97"/>
      <c r="AY376" s="101" t="str">
        <f>IF('BMP P Tracking Table'!$AK376="Yes",IF('BMP P Tracking Table'!$AL376="No",'BMP P Tracking Table'!$U376*VLOOKUP('BMP P Tracking Table'!$Q376,'Loading Rates'!$B$1:$L$24,4,FALSE)+IF('BMP P Tracking Table'!$V376="By HSG",'BMP P Tracking Table'!$W376*VLOOKUP('BMP P Tracking Table'!$Q376,'Loading Rates'!$B$1:$L$24,6,FALSE)+'BMP P Tracking Table'!$X376*VLOOKUP('BMP P Tracking Table'!$Q376,'Loading Rates'!$B$1:$L$24,7,FALSE)+'BMP P Tracking Table'!$Y376*VLOOKUP('BMP P Tracking Table'!$Q376,'Loading Rates'!$B$1:$L$24,8,FALSE)+'BMP P Tracking Table'!$Z376*VLOOKUP('BMP P Tracking Table'!$Q376,'Loading Rates'!$B$1:$L$24,9,FALSE),'BMP P Tracking Table'!$AA376*VLOOKUP('BMP P Tracking Table'!$Q376,'Loading Rates'!$B$1:$L$24,10,FALSE)),'BMP P Tracking Table'!$AO376*VLOOKUP('BMP P Tracking Table'!$Q376,'Loading Rates'!$B$1:$L$24,4,FALSE)+IF('BMP P Tracking Table'!$AP376="By HSG",'BMP P Tracking Table'!$AQ376*VLOOKUP('BMP P Tracking Table'!$Q376,'Loading Rates'!$B$1:$L$24,6,FALSE)+'BMP P Tracking Table'!$AR376*VLOOKUP('BMP P Tracking Table'!$Q376,'Loading Rates'!$B$1:$L$24,7,FALSE)+'BMP P Tracking Table'!$AS376*VLOOKUP('BMP P Tracking Table'!$Q376,'Loading Rates'!$B$1:$L$24,8,FALSE)+'BMP P Tracking Table'!$AT376*VLOOKUP('BMP P Tracking Table'!$Q376,'Loading Rates'!$B$1:$L$24,9,FALSE),'BMP P Tracking Table'!$AU376*VLOOKUP('BMP P Tracking Table'!$Q376,'Loading Rates'!$B$1:$L$24,10,FALSE))),"")</f>
        <v/>
      </c>
      <c r="AZ376" s="101" t="str">
        <f>IFERROR(IF('BMP P Tracking Table'!$AL376="Yes",MIN(2,IF('BMP P Tracking Table'!$AP376="Total Pervious",(-(3630*'BMP P Tracking Table'!$AO376+20.691*'BMP P Tracking Table'!$AU376)+SQRT((3630*'BMP P Tracking Table'!$AO376+20.691*'BMP P Tracking Table'!$AU376)^2-(4*(996.798*'BMP P Tracking Table'!$AU376)*-'BMP P Tracking Table'!$AW376)))/(2*(996.798*'BMP P Tracking Table'!$AU376)),IF(SUM('BMP P Tracking Table'!$AQ376:$AT376)=0,'BMP P Tracking Table'!$AU376/(-3630*'BMP P Tracking Table'!$AO376),(-(3630*'BMP P Tracking Table'!$AO376+20.691*'BMP P Tracking Table'!$AT376-216.711*'BMP P Tracking Table'!$AS376-83.853*'BMP P Tracking Table'!$AR376-42.834*'BMP P Tracking Table'!$AQ376)+SQRT((3630*'BMP P Tracking Table'!$AO376+20.691*'BMP P Tracking Table'!$AT376-216.711*'BMP P Tracking Table'!$AS376-83.853*'BMP P Tracking Table'!$AR376-42.834*'BMP P Tracking Table'!$AQ376)^2-(4*(149.919*'BMP P Tracking Table'!$AQ376+236.676*'BMP P Tracking Table'!$AR376+726*'BMP P Tracking Table'!$AS376+996.798*'BMP P Tracking Table'!$AT376)*-'BMP P Tracking Table'!$AW376)))/(2*(149.919*'BMP P Tracking Table'!$AQ376+236.676*'BMP P Tracking Table'!$AR376+726*'BMP P Tracking Table'!$AS376+996.798*'BMP P Tracking Table'!$AT376))))),MIN(2,IF('BMP P Tracking Table'!$AP376="Total Pervious",(-(3630*'BMP P Tracking Table'!$U376+20.691*'BMP P Tracking Table'!$AA376)+SQRT((3630*'BMP P Tracking Table'!$U376+20.691*'BMP P Tracking Table'!$AA376)^2-(4*(996.798*'BMP P Tracking Table'!$AA376)*-'BMP P Tracking Table'!$AW376)))/(2*(996.798*'BMP P Tracking Table'!$AA376)),IF(SUM('BMP P Tracking Table'!$W376:$Z376)=0,'BMP P Tracking Table'!$AW376/(-3630*'BMP P Tracking Table'!$U376),(-(3630*'BMP P Tracking Table'!$U376+20.691*'BMP P Tracking Table'!$Z376-216.711*'BMP P Tracking Table'!$Y376-83.853*'BMP P Tracking Table'!$X376-42.834*'BMP P Tracking Table'!$W376)+SQRT((3630*'BMP P Tracking Table'!$U376+20.691*'BMP P Tracking Table'!$Z376-216.711*'BMP P Tracking Table'!$Y376-83.853*'BMP P Tracking Table'!$X376-42.834*'BMP P Tracking Table'!$W376)^2-(4*(149.919*'BMP P Tracking Table'!$W376+236.676*'BMP P Tracking Table'!$X376+726*'BMP P Tracking Table'!$Y376+996.798*'BMP P Tracking Table'!$Z376)*-'BMP P Tracking Table'!$AW376)))/(2*(149.919*'BMP P Tracking Table'!$W376+236.676*'BMP P Tracking Table'!$X376+726*'BMP P Tracking Table'!$Y376+996.798*'BMP P Tracking Table'!$Z376)))))),"")</f>
        <v/>
      </c>
      <c r="BA376" s="101" t="str">
        <f>IFERROR((VLOOKUP(CONCATENATE('BMP P Tracking Table'!$AV376," ",'BMP P Tracking Table'!$AX376),'Performance Curves'!$C$1:$L$45,MATCH('BMP P Tracking Table'!$AZ376,'Performance Curves'!$E$1:$L$1,1)+2,FALSE)-VLOOKUP(CONCATENATE('BMP P Tracking Table'!$AV376," ",'BMP P Tracking Table'!$AX376),'Performance Curves'!$C$1:$L$45,MATCH('BMP P Tracking Table'!$AZ376,'Performance Curves'!$E$1:$L$1,1)+1,FALSE)),"")</f>
        <v/>
      </c>
      <c r="BB376" s="101" t="str">
        <f>IFERROR(('BMP P Tracking Table'!$AZ376-INDEX('Performance Curves'!$E$1:$L$1,1,MATCH('BMP P Tracking Table'!$AZ376,'Performance Curves'!$E$1:$L$1,1)))/(INDEX('Performance Curves'!$E$1:$L$1,1,MATCH('BMP P Tracking Table'!$AZ376,'Performance Curves'!$E$1:$L$1,1)+1)-INDEX('Performance Curves'!$E$1:$L$1,1,MATCH('BMP P Tracking Table'!$AZ376,'Performance Curves'!$E$1:$L$1,1))),"")</f>
        <v/>
      </c>
      <c r="BC376" s="102" t="str">
        <f>IFERROR(IF('BMP P Tracking Table'!$AZ376=2,VLOOKUP(CONCATENATE('BMP P Tracking Table'!$AV376," ",'BMP P Tracking Table'!$AX376),'Performance Curves'!$C$1:$L$44,MATCH('BMP P Tracking Table'!$AZ376,'Performance Curves'!$E$1:$L$1,1)+1,FALSE),'BMP P Tracking Table'!$BA376*'BMP P Tracking Table'!$BB376+VLOOKUP(CONCATENATE('BMP P Tracking Table'!$AV376," ",'BMP P Tracking Table'!$AX376),'Performance Curves'!$C$1:$L$44,MATCH('BMP P Tracking Table'!$AZ376,'Performance Curves'!$E$1:$L$1,1)+1,FALSE)),"")</f>
        <v/>
      </c>
      <c r="BD376" s="101" t="str">
        <f>IFERROR('BMP P Tracking Table'!$BC376*'BMP P Tracking Table'!$AY376,"")</f>
        <v/>
      </c>
      <c r="BE376" s="96"/>
      <c r="BF376" s="37">
        <f t="shared" si="23"/>
        <v>0</v>
      </c>
    </row>
    <row r="377" spans="1:58" x14ac:dyDescent="0.3">
      <c r="A377" s="64"/>
      <c r="B377" s="64"/>
      <c r="C377" s="64"/>
      <c r="D377" s="64"/>
      <c r="E377" s="93"/>
      <c r="F377" s="93"/>
      <c r="G377" s="64"/>
      <c r="H377" s="64"/>
      <c r="I377" s="64"/>
      <c r="J377" s="94"/>
      <c r="K377" s="64"/>
      <c r="L377" s="64"/>
      <c r="M377" s="64"/>
      <c r="N377" s="64"/>
      <c r="O377" s="64"/>
      <c r="P377" s="64"/>
      <c r="Q377" s="64" t="str">
        <f>IFERROR(VLOOKUP('BMP P Tracking Table'!$P377,Dropdowns!$C$2:$E$15,3,FALSE),"")</f>
        <v/>
      </c>
      <c r="R377" s="64" t="str">
        <f>IFERROR(VLOOKUP('BMP P Tracking Table'!$Q377,Dropdowns!$P$3:$Q$23,2,FALSE),"")</f>
        <v/>
      </c>
      <c r="S377" s="64"/>
      <c r="T377" s="64"/>
      <c r="U377" s="64"/>
      <c r="V377" s="64"/>
      <c r="W377" s="64"/>
      <c r="X377" s="64"/>
      <c r="Y377" s="64"/>
      <c r="Z377" s="64"/>
      <c r="AA377" s="64"/>
      <c r="AB377" s="95"/>
      <c r="AC377" s="64"/>
      <c r="AD377" s="101" t="str">
        <f>IFERROR('BMP P Tracking Table'!$U377*VLOOKUP('BMP P Tracking Table'!$Q377,'Loading Rates'!$B$1:$L$24,4,FALSE)+IF('BMP P Tracking Table'!$V377="By HSG",'BMP P Tracking Table'!$W377*VLOOKUP('BMP P Tracking Table'!$Q377,'Loading Rates'!$B$1:$L$24,6,FALSE)+'BMP P Tracking Table'!$X377*VLOOKUP('BMP P Tracking Table'!$Q377,'Loading Rates'!$B$1:$L$24,7,FALSE)+'BMP P Tracking Table'!$Y377*VLOOKUP('BMP P Tracking Table'!$Q377,'Loading Rates'!$B$1:$L$24,8,FALSE)+'BMP P Tracking Table'!$Z377*VLOOKUP('BMP P Tracking Table'!$Q377,'Loading Rates'!$B$1:$L$24,9,FALSE),'BMP P Tracking Table'!$AA377*VLOOKUP('BMP P Tracking Table'!$Q377,'Loading Rates'!$B$1:$L$24,10,FALSE)),"")</f>
        <v/>
      </c>
      <c r="AE377" s="101" t="str">
        <f>IFERROR(MIN(2,IF('BMP P Tracking Table'!$V377="Total Pervious",(-(3630*'BMP P Tracking Table'!$U377+20.691*'BMP P Tracking Table'!$AA377)+SQRT((3630*'BMP P Tracking Table'!$U377+20.691*'BMP P Tracking Table'!$AA377)^2-(4*(996.798*'BMP P Tracking Table'!$AA377)*-'BMP P Tracking Table'!$AB377)))/(2*(996.798*'BMP P Tracking Table'!$AA377)),IF(SUM('BMP P Tracking Table'!$W377:$Z377)=0,'BMP P Tracking Table'!$AB377/(-3630*'BMP P Tracking Table'!$U377),(-(3630*'BMP P Tracking Table'!$U377+20.691*'BMP P Tracking Table'!$Z377-216.711*'BMP P Tracking Table'!$Y377-83.853*'BMP P Tracking Table'!$X377-42.834*'BMP P Tracking Table'!$W377)+SQRT((3630*'BMP P Tracking Table'!$U377+20.691*'BMP P Tracking Table'!$Z377-216.711*'BMP P Tracking Table'!$Y377-83.853*'BMP P Tracking Table'!$X377-42.834*'BMP P Tracking Table'!$W377)^2-(4*(149.919*'BMP P Tracking Table'!$W377+236.676*'BMP P Tracking Table'!$X377+726*'BMP P Tracking Table'!$Y377+996.798*'BMP P Tracking Table'!$Z377)*-'BMP P Tracking Table'!$AB377)))/(2*(149.919*'BMP P Tracking Table'!$W377+236.676*'BMP P Tracking Table'!$X377+726*'BMP P Tracking Table'!$Y377+996.798*'BMP P Tracking Table'!$Z377))))),"")</f>
        <v/>
      </c>
      <c r="AF377" s="101" t="str">
        <f>IFERROR((VLOOKUP(CONCATENATE('BMP P Tracking Table'!$T377," ",'BMP P Tracking Table'!$AC377),'Performance Curves'!$C$1:$L$45,MATCH('BMP P Tracking Table'!$AE377,'Performance Curves'!$E$1:$L$1,1)+2,FALSE)-VLOOKUP(CONCATENATE('BMP P Tracking Table'!$T377," ",'BMP P Tracking Table'!$AC377),'Performance Curves'!$C$1:$L$45,MATCH('BMP P Tracking Table'!$AE377,'Performance Curves'!$E$1:$L$1,1)+1,FALSE)),"")</f>
        <v/>
      </c>
      <c r="AG377" s="101" t="str">
        <f>IFERROR(('BMP P Tracking Table'!$AE377-INDEX('Performance Curves'!$E$1:$L$1,1,MATCH('BMP P Tracking Table'!$AE377,'Performance Curves'!$E$1:$L$1,1)))/(INDEX('Performance Curves'!$E$1:$L$1,1,MATCH('BMP P Tracking Table'!$AE377,'Performance Curves'!$E$1:$L$1,1)+1)-INDEX('Performance Curves'!$E$1:$L$1,1,MATCH('BMP P Tracking Table'!$AE377,'Performance Curves'!$E$1:$L$1,1))),"")</f>
        <v/>
      </c>
      <c r="AH377" s="102" t="str">
        <f>IFERROR(IF('BMP P Tracking Table'!$AE377=2,VLOOKUP(CONCATENATE('BMP P Tracking Table'!$T377," ",'BMP P Tracking Table'!$AC377),'Performance Curves'!$C$1:$L$45,MATCH('BMP P Tracking Table'!$AE377,'Performance Curves'!$E$1:$L$1,1)+1,FALSE),'BMP P Tracking Table'!$AF377*'BMP P Tracking Table'!$AG377+VLOOKUP(CONCATENATE('BMP P Tracking Table'!$T377," ",'BMP P Tracking Table'!$AC377),'Performance Curves'!$C$1:$L$45,MATCH('BMP P Tracking Table'!$AE377,'Performance Curves'!$E$1:$L$1,1)+1,FALSE)),"")</f>
        <v/>
      </c>
      <c r="AI377" s="101" t="str">
        <f>IFERROR('BMP P Tracking Table'!$AH377*'BMP P Tracking Table'!$AD377,"")</f>
        <v/>
      </c>
      <c r="AJ377" s="64"/>
      <c r="AK377" s="96"/>
      <c r="AL377" s="96"/>
      <c r="AM377" s="63"/>
      <c r="AN377" s="99" t="str">
        <f t="shared" si="22"/>
        <v/>
      </c>
      <c r="AO377" s="96"/>
      <c r="AP377" s="96"/>
      <c r="AQ377" s="96"/>
      <c r="AR377" s="96"/>
      <c r="AS377" s="96"/>
      <c r="AT377" s="96"/>
      <c r="AU377" s="96"/>
      <c r="AV377" s="64"/>
      <c r="AW377" s="97"/>
      <c r="AX377" s="97"/>
      <c r="AY377" s="101" t="str">
        <f>IF('BMP P Tracking Table'!$AK377="Yes",IF('BMP P Tracking Table'!$AL377="No",'BMP P Tracking Table'!$U377*VLOOKUP('BMP P Tracking Table'!$Q377,'Loading Rates'!$B$1:$L$24,4,FALSE)+IF('BMP P Tracking Table'!$V377="By HSG",'BMP P Tracking Table'!$W377*VLOOKUP('BMP P Tracking Table'!$Q377,'Loading Rates'!$B$1:$L$24,6,FALSE)+'BMP P Tracking Table'!$X377*VLOOKUP('BMP P Tracking Table'!$Q377,'Loading Rates'!$B$1:$L$24,7,FALSE)+'BMP P Tracking Table'!$Y377*VLOOKUP('BMP P Tracking Table'!$Q377,'Loading Rates'!$B$1:$L$24,8,FALSE)+'BMP P Tracking Table'!$Z377*VLOOKUP('BMP P Tracking Table'!$Q377,'Loading Rates'!$B$1:$L$24,9,FALSE),'BMP P Tracking Table'!$AA377*VLOOKUP('BMP P Tracking Table'!$Q377,'Loading Rates'!$B$1:$L$24,10,FALSE)),'BMP P Tracking Table'!$AO377*VLOOKUP('BMP P Tracking Table'!$Q377,'Loading Rates'!$B$1:$L$24,4,FALSE)+IF('BMP P Tracking Table'!$AP377="By HSG",'BMP P Tracking Table'!$AQ377*VLOOKUP('BMP P Tracking Table'!$Q377,'Loading Rates'!$B$1:$L$24,6,FALSE)+'BMP P Tracking Table'!$AR377*VLOOKUP('BMP P Tracking Table'!$Q377,'Loading Rates'!$B$1:$L$24,7,FALSE)+'BMP P Tracking Table'!$AS377*VLOOKUP('BMP P Tracking Table'!$Q377,'Loading Rates'!$B$1:$L$24,8,FALSE)+'BMP P Tracking Table'!$AT377*VLOOKUP('BMP P Tracking Table'!$Q377,'Loading Rates'!$B$1:$L$24,9,FALSE),'BMP P Tracking Table'!$AU377*VLOOKUP('BMP P Tracking Table'!$Q377,'Loading Rates'!$B$1:$L$24,10,FALSE))),"")</f>
        <v/>
      </c>
      <c r="AZ377" s="101" t="str">
        <f>IFERROR(IF('BMP P Tracking Table'!$AL377="Yes",MIN(2,IF('BMP P Tracking Table'!$AP377="Total Pervious",(-(3630*'BMP P Tracking Table'!$AO377+20.691*'BMP P Tracking Table'!$AU377)+SQRT((3630*'BMP P Tracking Table'!$AO377+20.691*'BMP P Tracking Table'!$AU377)^2-(4*(996.798*'BMP P Tracking Table'!$AU377)*-'BMP P Tracking Table'!$AW377)))/(2*(996.798*'BMP P Tracking Table'!$AU377)),IF(SUM('BMP P Tracking Table'!$AQ377:$AT377)=0,'BMP P Tracking Table'!$AU377/(-3630*'BMP P Tracking Table'!$AO377),(-(3630*'BMP P Tracking Table'!$AO377+20.691*'BMP P Tracking Table'!$AT377-216.711*'BMP P Tracking Table'!$AS377-83.853*'BMP P Tracking Table'!$AR377-42.834*'BMP P Tracking Table'!$AQ377)+SQRT((3630*'BMP P Tracking Table'!$AO377+20.691*'BMP P Tracking Table'!$AT377-216.711*'BMP P Tracking Table'!$AS377-83.853*'BMP P Tracking Table'!$AR377-42.834*'BMP P Tracking Table'!$AQ377)^2-(4*(149.919*'BMP P Tracking Table'!$AQ377+236.676*'BMP P Tracking Table'!$AR377+726*'BMP P Tracking Table'!$AS377+996.798*'BMP P Tracking Table'!$AT377)*-'BMP P Tracking Table'!$AW377)))/(2*(149.919*'BMP P Tracking Table'!$AQ377+236.676*'BMP P Tracking Table'!$AR377+726*'BMP P Tracking Table'!$AS377+996.798*'BMP P Tracking Table'!$AT377))))),MIN(2,IF('BMP P Tracking Table'!$AP377="Total Pervious",(-(3630*'BMP P Tracking Table'!$U377+20.691*'BMP P Tracking Table'!$AA377)+SQRT((3630*'BMP P Tracking Table'!$U377+20.691*'BMP P Tracking Table'!$AA377)^2-(4*(996.798*'BMP P Tracking Table'!$AA377)*-'BMP P Tracking Table'!$AW377)))/(2*(996.798*'BMP P Tracking Table'!$AA377)),IF(SUM('BMP P Tracking Table'!$W377:$Z377)=0,'BMP P Tracking Table'!$AW377/(-3630*'BMP P Tracking Table'!$U377),(-(3630*'BMP P Tracking Table'!$U377+20.691*'BMP P Tracking Table'!$Z377-216.711*'BMP P Tracking Table'!$Y377-83.853*'BMP P Tracking Table'!$X377-42.834*'BMP P Tracking Table'!$W377)+SQRT((3630*'BMP P Tracking Table'!$U377+20.691*'BMP P Tracking Table'!$Z377-216.711*'BMP P Tracking Table'!$Y377-83.853*'BMP P Tracking Table'!$X377-42.834*'BMP P Tracking Table'!$W377)^2-(4*(149.919*'BMP P Tracking Table'!$W377+236.676*'BMP P Tracking Table'!$X377+726*'BMP P Tracking Table'!$Y377+996.798*'BMP P Tracking Table'!$Z377)*-'BMP P Tracking Table'!$AW377)))/(2*(149.919*'BMP P Tracking Table'!$W377+236.676*'BMP P Tracking Table'!$X377+726*'BMP P Tracking Table'!$Y377+996.798*'BMP P Tracking Table'!$Z377)))))),"")</f>
        <v/>
      </c>
      <c r="BA377" s="101" t="str">
        <f>IFERROR((VLOOKUP(CONCATENATE('BMP P Tracking Table'!$AV377," ",'BMP P Tracking Table'!$AX377),'Performance Curves'!$C$1:$L$45,MATCH('BMP P Tracking Table'!$AZ377,'Performance Curves'!$E$1:$L$1,1)+2,FALSE)-VLOOKUP(CONCATENATE('BMP P Tracking Table'!$AV377," ",'BMP P Tracking Table'!$AX377),'Performance Curves'!$C$1:$L$45,MATCH('BMP P Tracking Table'!$AZ377,'Performance Curves'!$E$1:$L$1,1)+1,FALSE)),"")</f>
        <v/>
      </c>
      <c r="BB377" s="101" t="str">
        <f>IFERROR(('BMP P Tracking Table'!$AZ377-INDEX('Performance Curves'!$E$1:$L$1,1,MATCH('BMP P Tracking Table'!$AZ377,'Performance Curves'!$E$1:$L$1,1)))/(INDEX('Performance Curves'!$E$1:$L$1,1,MATCH('BMP P Tracking Table'!$AZ377,'Performance Curves'!$E$1:$L$1,1)+1)-INDEX('Performance Curves'!$E$1:$L$1,1,MATCH('BMP P Tracking Table'!$AZ377,'Performance Curves'!$E$1:$L$1,1))),"")</f>
        <v/>
      </c>
      <c r="BC377" s="102" t="str">
        <f>IFERROR(IF('BMP P Tracking Table'!$AZ377=2,VLOOKUP(CONCATENATE('BMP P Tracking Table'!$AV377," ",'BMP P Tracking Table'!$AX377),'Performance Curves'!$C$1:$L$44,MATCH('BMP P Tracking Table'!$AZ377,'Performance Curves'!$E$1:$L$1,1)+1,FALSE),'BMP P Tracking Table'!$BA377*'BMP P Tracking Table'!$BB377+VLOOKUP(CONCATENATE('BMP P Tracking Table'!$AV377," ",'BMP P Tracking Table'!$AX377),'Performance Curves'!$C$1:$L$44,MATCH('BMP P Tracking Table'!$AZ377,'Performance Curves'!$E$1:$L$1,1)+1,FALSE)),"")</f>
        <v/>
      </c>
      <c r="BD377" s="101" t="str">
        <f>IFERROR('BMP P Tracking Table'!$BC377*'BMP P Tracking Table'!$AY377,"")</f>
        <v/>
      </c>
      <c r="BE377" s="96"/>
      <c r="BF377" s="37">
        <f t="shared" si="23"/>
        <v>0</v>
      </c>
    </row>
    <row r="378" spans="1:58" x14ac:dyDescent="0.3">
      <c r="A378" s="64"/>
      <c r="B378" s="64"/>
      <c r="C378" s="64"/>
      <c r="D378" s="64"/>
      <c r="E378" s="93"/>
      <c r="F378" s="93"/>
      <c r="G378" s="64"/>
      <c r="H378" s="64"/>
      <c r="I378" s="64"/>
      <c r="J378" s="94"/>
      <c r="K378" s="64"/>
      <c r="L378" s="64"/>
      <c r="M378" s="64"/>
      <c r="N378" s="64"/>
      <c r="O378" s="64"/>
      <c r="P378" s="64"/>
      <c r="Q378" s="64" t="str">
        <f>IFERROR(VLOOKUP('BMP P Tracking Table'!$P378,Dropdowns!$C$2:$E$15,3,FALSE),"")</f>
        <v/>
      </c>
      <c r="R378" s="64" t="str">
        <f>IFERROR(VLOOKUP('BMP P Tracking Table'!$Q378,Dropdowns!$P$3:$Q$23,2,FALSE),"")</f>
        <v/>
      </c>
      <c r="S378" s="64"/>
      <c r="T378" s="64"/>
      <c r="U378" s="64"/>
      <c r="V378" s="64"/>
      <c r="W378" s="64"/>
      <c r="X378" s="64"/>
      <c r="Y378" s="64"/>
      <c r="Z378" s="64"/>
      <c r="AA378" s="64"/>
      <c r="AB378" s="95"/>
      <c r="AC378" s="64"/>
      <c r="AD378" s="101" t="str">
        <f>IFERROR('BMP P Tracking Table'!$U378*VLOOKUP('BMP P Tracking Table'!$Q378,'Loading Rates'!$B$1:$L$24,4,FALSE)+IF('BMP P Tracking Table'!$V378="By HSG",'BMP P Tracking Table'!$W378*VLOOKUP('BMP P Tracking Table'!$Q378,'Loading Rates'!$B$1:$L$24,6,FALSE)+'BMP P Tracking Table'!$X378*VLOOKUP('BMP P Tracking Table'!$Q378,'Loading Rates'!$B$1:$L$24,7,FALSE)+'BMP P Tracking Table'!$Y378*VLOOKUP('BMP P Tracking Table'!$Q378,'Loading Rates'!$B$1:$L$24,8,FALSE)+'BMP P Tracking Table'!$Z378*VLOOKUP('BMP P Tracking Table'!$Q378,'Loading Rates'!$B$1:$L$24,9,FALSE),'BMP P Tracking Table'!$AA378*VLOOKUP('BMP P Tracking Table'!$Q378,'Loading Rates'!$B$1:$L$24,10,FALSE)),"")</f>
        <v/>
      </c>
      <c r="AE378" s="101" t="str">
        <f>IFERROR(MIN(2,IF('BMP P Tracking Table'!$V378="Total Pervious",(-(3630*'BMP P Tracking Table'!$U378+20.691*'BMP P Tracking Table'!$AA378)+SQRT((3630*'BMP P Tracking Table'!$U378+20.691*'BMP P Tracking Table'!$AA378)^2-(4*(996.798*'BMP P Tracking Table'!$AA378)*-'BMP P Tracking Table'!$AB378)))/(2*(996.798*'BMP P Tracking Table'!$AA378)),IF(SUM('BMP P Tracking Table'!$W378:$Z378)=0,'BMP P Tracking Table'!$AB378/(-3630*'BMP P Tracking Table'!$U378),(-(3630*'BMP P Tracking Table'!$U378+20.691*'BMP P Tracking Table'!$Z378-216.711*'BMP P Tracking Table'!$Y378-83.853*'BMP P Tracking Table'!$X378-42.834*'BMP P Tracking Table'!$W378)+SQRT((3630*'BMP P Tracking Table'!$U378+20.691*'BMP P Tracking Table'!$Z378-216.711*'BMP P Tracking Table'!$Y378-83.853*'BMP P Tracking Table'!$X378-42.834*'BMP P Tracking Table'!$W378)^2-(4*(149.919*'BMP P Tracking Table'!$W378+236.676*'BMP P Tracking Table'!$X378+726*'BMP P Tracking Table'!$Y378+996.798*'BMP P Tracking Table'!$Z378)*-'BMP P Tracking Table'!$AB378)))/(2*(149.919*'BMP P Tracking Table'!$W378+236.676*'BMP P Tracking Table'!$X378+726*'BMP P Tracking Table'!$Y378+996.798*'BMP P Tracking Table'!$Z378))))),"")</f>
        <v/>
      </c>
      <c r="AF378" s="101" t="str">
        <f>IFERROR((VLOOKUP(CONCATENATE('BMP P Tracking Table'!$T378," ",'BMP P Tracking Table'!$AC378),'Performance Curves'!$C$1:$L$45,MATCH('BMP P Tracking Table'!$AE378,'Performance Curves'!$E$1:$L$1,1)+2,FALSE)-VLOOKUP(CONCATENATE('BMP P Tracking Table'!$T378," ",'BMP P Tracking Table'!$AC378),'Performance Curves'!$C$1:$L$45,MATCH('BMP P Tracking Table'!$AE378,'Performance Curves'!$E$1:$L$1,1)+1,FALSE)),"")</f>
        <v/>
      </c>
      <c r="AG378" s="101" t="str">
        <f>IFERROR(('BMP P Tracking Table'!$AE378-INDEX('Performance Curves'!$E$1:$L$1,1,MATCH('BMP P Tracking Table'!$AE378,'Performance Curves'!$E$1:$L$1,1)))/(INDEX('Performance Curves'!$E$1:$L$1,1,MATCH('BMP P Tracking Table'!$AE378,'Performance Curves'!$E$1:$L$1,1)+1)-INDEX('Performance Curves'!$E$1:$L$1,1,MATCH('BMP P Tracking Table'!$AE378,'Performance Curves'!$E$1:$L$1,1))),"")</f>
        <v/>
      </c>
      <c r="AH378" s="102" t="str">
        <f>IFERROR(IF('BMP P Tracking Table'!$AE378=2,VLOOKUP(CONCATENATE('BMP P Tracking Table'!$T378," ",'BMP P Tracking Table'!$AC378),'Performance Curves'!$C$1:$L$45,MATCH('BMP P Tracking Table'!$AE378,'Performance Curves'!$E$1:$L$1,1)+1,FALSE),'BMP P Tracking Table'!$AF378*'BMP P Tracking Table'!$AG378+VLOOKUP(CONCATENATE('BMP P Tracking Table'!$T378," ",'BMP P Tracking Table'!$AC378),'Performance Curves'!$C$1:$L$45,MATCH('BMP P Tracking Table'!$AE378,'Performance Curves'!$E$1:$L$1,1)+1,FALSE)),"")</f>
        <v/>
      </c>
      <c r="AI378" s="101" t="str">
        <f>IFERROR('BMP P Tracking Table'!$AH378*'BMP P Tracking Table'!$AD378,"")</f>
        <v/>
      </c>
      <c r="AJ378" s="64"/>
      <c r="AK378" s="96"/>
      <c r="AL378" s="96"/>
      <c r="AM378" s="63"/>
      <c r="AN378" s="99" t="str">
        <f t="shared" si="22"/>
        <v/>
      </c>
      <c r="AO378" s="96"/>
      <c r="AP378" s="96"/>
      <c r="AQ378" s="96"/>
      <c r="AR378" s="96"/>
      <c r="AS378" s="96"/>
      <c r="AT378" s="96"/>
      <c r="AU378" s="96"/>
      <c r="AV378" s="64"/>
      <c r="AW378" s="97"/>
      <c r="AX378" s="97"/>
      <c r="AY378" s="101" t="str">
        <f>IF('BMP P Tracking Table'!$AK378="Yes",IF('BMP P Tracking Table'!$AL378="No",'BMP P Tracking Table'!$U378*VLOOKUP('BMP P Tracking Table'!$Q378,'Loading Rates'!$B$1:$L$24,4,FALSE)+IF('BMP P Tracking Table'!$V378="By HSG",'BMP P Tracking Table'!$W378*VLOOKUP('BMP P Tracking Table'!$Q378,'Loading Rates'!$B$1:$L$24,6,FALSE)+'BMP P Tracking Table'!$X378*VLOOKUP('BMP P Tracking Table'!$Q378,'Loading Rates'!$B$1:$L$24,7,FALSE)+'BMP P Tracking Table'!$Y378*VLOOKUP('BMP P Tracking Table'!$Q378,'Loading Rates'!$B$1:$L$24,8,FALSE)+'BMP P Tracking Table'!$Z378*VLOOKUP('BMP P Tracking Table'!$Q378,'Loading Rates'!$B$1:$L$24,9,FALSE),'BMP P Tracking Table'!$AA378*VLOOKUP('BMP P Tracking Table'!$Q378,'Loading Rates'!$B$1:$L$24,10,FALSE)),'BMP P Tracking Table'!$AO378*VLOOKUP('BMP P Tracking Table'!$Q378,'Loading Rates'!$B$1:$L$24,4,FALSE)+IF('BMP P Tracking Table'!$AP378="By HSG",'BMP P Tracking Table'!$AQ378*VLOOKUP('BMP P Tracking Table'!$Q378,'Loading Rates'!$B$1:$L$24,6,FALSE)+'BMP P Tracking Table'!$AR378*VLOOKUP('BMP P Tracking Table'!$Q378,'Loading Rates'!$B$1:$L$24,7,FALSE)+'BMP P Tracking Table'!$AS378*VLOOKUP('BMP P Tracking Table'!$Q378,'Loading Rates'!$B$1:$L$24,8,FALSE)+'BMP P Tracking Table'!$AT378*VLOOKUP('BMP P Tracking Table'!$Q378,'Loading Rates'!$B$1:$L$24,9,FALSE),'BMP P Tracking Table'!$AU378*VLOOKUP('BMP P Tracking Table'!$Q378,'Loading Rates'!$B$1:$L$24,10,FALSE))),"")</f>
        <v/>
      </c>
      <c r="AZ378" s="101" t="str">
        <f>IFERROR(IF('BMP P Tracking Table'!$AL378="Yes",MIN(2,IF('BMP P Tracking Table'!$AP378="Total Pervious",(-(3630*'BMP P Tracking Table'!$AO378+20.691*'BMP P Tracking Table'!$AU378)+SQRT((3630*'BMP P Tracking Table'!$AO378+20.691*'BMP P Tracking Table'!$AU378)^2-(4*(996.798*'BMP P Tracking Table'!$AU378)*-'BMP P Tracking Table'!$AW378)))/(2*(996.798*'BMP P Tracking Table'!$AU378)),IF(SUM('BMP P Tracking Table'!$AQ378:$AT378)=0,'BMP P Tracking Table'!$AU378/(-3630*'BMP P Tracking Table'!$AO378),(-(3630*'BMP P Tracking Table'!$AO378+20.691*'BMP P Tracking Table'!$AT378-216.711*'BMP P Tracking Table'!$AS378-83.853*'BMP P Tracking Table'!$AR378-42.834*'BMP P Tracking Table'!$AQ378)+SQRT((3630*'BMP P Tracking Table'!$AO378+20.691*'BMP P Tracking Table'!$AT378-216.711*'BMP P Tracking Table'!$AS378-83.853*'BMP P Tracking Table'!$AR378-42.834*'BMP P Tracking Table'!$AQ378)^2-(4*(149.919*'BMP P Tracking Table'!$AQ378+236.676*'BMP P Tracking Table'!$AR378+726*'BMP P Tracking Table'!$AS378+996.798*'BMP P Tracking Table'!$AT378)*-'BMP P Tracking Table'!$AW378)))/(2*(149.919*'BMP P Tracking Table'!$AQ378+236.676*'BMP P Tracking Table'!$AR378+726*'BMP P Tracking Table'!$AS378+996.798*'BMP P Tracking Table'!$AT378))))),MIN(2,IF('BMP P Tracking Table'!$AP378="Total Pervious",(-(3630*'BMP P Tracking Table'!$U378+20.691*'BMP P Tracking Table'!$AA378)+SQRT((3630*'BMP P Tracking Table'!$U378+20.691*'BMP P Tracking Table'!$AA378)^2-(4*(996.798*'BMP P Tracking Table'!$AA378)*-'BMP P Tracking Table'!$AW378)))/(2*(996.798*'BMP P Tracking Table'!$AA378)),IF(SUM('BMP P Tracking Table'!$W378:$Z378)=0,'BMP P Tracking Table'!$AW378/(-3630*'BMP P Tracking Table'!$U378),(-(3630*'BMP P Tracking Table'!$U378+20.691*'BMP P Tracking Table'!$Z378-216.711*'BMP P Tracking Table'!$Y378-83.853*'BMP P Tracking Table'!$X378-42.834*'BMP P Tracking Table'!$W378)+SQRT((3630*'BMP P Tracking Table'!$U378+20.691*'BMP P Tracking Table'!$Z378-216.711*'BMP P Tracking Table'!$Y378-83.853*'BMP P Tracking Table'!$X378-42.834*'BMP P Tracking Table'!$W378)^2-(4*(149.919*'BMP P Tracking Table'!$W378+236.676*'BMP P Tracking Table'!$X378+726*'BMP P Tracking Table'!$Y378+996.798*'BMP P Tracking Table'!$Z378)*-'BMP P Tracking Table'!$AW378)))/(2*(149.919*'BMP P Tracking Table'!$W378+236.676*'BMP P Tracking Table'!$X378+726*'BMP P Tracking Table'!$Y378+996.798*'BMP P Tracking Table'!$Z378)))))),"")</f>
        <v/>
      </c>
      <c r="BA378" s="101" t="str">
        <f>IFERROR((VLOOKUP(CONCATENATE('BMP P Tracking Table'!$AV378," ",'BMP P Tracking Table'!$AX378),'Performance Curves'!$C$1:$L$45,MATCH('BMP P Tracking Table'!$AZ378,'Performance Curves'!$E$1:$L$1,1)+2,FALSE)-VLOOKUP(CONCATENATE('BMP P Tracking Table'!$AV378," ",'BMP P Tracking Table'!$AX378),'Performance Curves'!$C$1:$L$45,MATCH('BMP P Tracking Table'!$AZ378,'Performance Curves'!$E$1:$L$1,1)+1,FALSE)),"")</f>
        <v/>
      </c>
      <c r="BB378" s="101" t="str">
        <f>IFERROR(('BMP P Tracking Table'!$AZ378-INDEX('Performance Curves'!$E$1:$L$1,1,MATCH('BMP P Tracking Table'!$AZ378,'Performance Curves'!$E$1:$L$1,1)))/(INDEX('Performance Curves'!$E$1:$L$1,1,MATCH('BMP P Tracking Table'!$AZ378,'Performance Curves'!$E$1:$L$1,1)+1)-INDEX('Performance Curves'!$E$1:$L$1,1,MATCH('BMP P Tracking Table'!$AZ378,'Performance Curves'!$E$1:$L$1,1))),"")</f>
        <v/>
      </c>
      <c r="BC378" s="102" t="str">
        <f>IFERROR(IF('BMP P Tracking Table'!$AZ378=2,VLOOKUP(CONCATENATE('BMP P Tracking Table'!$AV378," ",'BMP P Tracking Table'!$AX378),'Performance Curves'!$C$1:$L$44,MATCH('BMP P Tracking Table'!$AZ378,'Performance Curves'!$E$1:$L$1,1)+1,FALSE),'BMP P Tracking Table'!$BA378*'BMP P Tracking Table'!$BB378+VLOOKUP(CONCATENATE('BMP P Tracking Table'!$AV378," ",'BMP P Tracking Table'!$AX378),'Performance Curves'!$C$1:$L$44,MATCH('BMP P Tracking Table'!$AZ378,'Performance Curves'!$E$1:$L$1,1)+1,FALSE)),"")</f>
        <v/>
      </c>
      <c r="BD378" s="101" t="str">
        <f>IFERROR('BMP P Tracking Table'!$BC378*'BMP P Tracking Table'!$AY378,"")</f>
        <v/>
      </c>
      <c r="BE378" s="96"/>
      <c r="BF378" s="37">
        <f t="shared" si="23"/>
        <v>0</v>
      </c>
    </row>
    <row r="379" spans="1:58" x14ac:dyDescent="0.3">
      <c r="A379" s="64"/>
      <c r="B379" s="64"/>
      <c r="C379" s="64"/>
      <c r="D379" s="64"/>
      <c r="E379" s="93"/>
      <c r="F379" s="93"/>
      <c r="G379" s="64"/>
      <c r="H379" s="64"/>
      <c r="I379" s="64"/>
      <c r="J379" s="94"/>
      <c r="K379" s="64"/>
      <c r="L379" s="64"/>
      <c r="M379" s="64"/>
      <c r="N379" s="64"/>
      <c r="O379" s="64"/>
      <c r="P379" s="64"/>
      <c r="Q379" s="64" t="str">
        <f>IFERROR(VLOOKUP('BMP P Tracking Table'!$P379,Dropdowns!$C$2:$E$15,3,FALSE),"")</f>
        <v/>
      </c>
      <c r="R379" s="64" t="str">
        <f>IFERROR(VLOOKUP('BMP P Tracking Table'!$Q379,Dropdowns!$P$3:$Q$23,2,FALSE),"")</f>
        <v/>
      </c>
      <c r="S379" s="64"/>
      <c r="T379" s="64"/>
      <c r="U379" s="64"/>
      <c r="V379" s="64"/>
      <c r="W379" s="64"/>
      <c r="X379" s="64"/>
      <c r="Y379" s="64"/>
      <c r="Z379" s="64"/>
      <c r="AA379" s="64"/>
      <c r="AB379" s="95"/>
      <c r="AC379" s="64"/>
      <c r="AD379" s="101" t="str">
        <f>IFERROR('BMP P Tracking Table'!$U379*VLOOKUP('BMP P Tracking Table'!$Q379,'Loading Rates'!$B$1:$L$24,4,FALSE)+IF('BMP P Tracking Table'!$V379="By HSG",'BMP P Tracking Table'!$W379*VLOOKUP('BMP P Tracking Table'!$Q379,'Loading Rates'!$B$1:$L$24,6,FALSE)+'BMP P Tracking Table'!$X379*VLOOKUP('BMP P Tracking Table'!$Q379,'Loading Rates'!$B$1:$L$24,7,FALSE)+'BMP P Tracking Table'!$Y379*VLOOKUP('BMP P Tracking Table'!$Q379,'Loading Rates'!$B$1:$L$24,8,FALSE)+'BMP P Tracking Table'!$Z379*VLOOKUP('BMP P Tracking Table'!$Q379,'Loading Rates'!$B$1:$L$24,9,FALSE),'BMP P Tracking Table'!$AA379*VLOOKUP('BMP P Tracking Table'!$Q379,'Loading Rates'!$B$1:$L$24,10,FALSE)),"")</f>
        <v/>
      </c>
      <c r="AE379" s="101" t="str">
        <f>IFERROR(MIN(2,IF('BMP P Tracking Table'!$V379="Total Pervious",(-(3630*'BMP P Tracking Table'!$U379+20.691*'BMP P Tracking Table'!$AA379)+SQRT((3630*'BMP P Tracking Table'!$U379+20.691*'BMP P Tracking Table'!$AA379)^2-(4*(996.798*'BMP P Tracking Table'!$AA379)*-'BMP P Tracking Table'!$AB379)))/(2*(996.798*'BMP P Tracking Table'!$AA379)),IF(SUM('BMP P Tracking Table'!$W379:$Z379)=0,'BMP P Tracking Table'!$AB379/(-3630*'BMP P Tracking Table'!$U379),(-(3630*'BMP P Tracking Table'!$U379+20.691*'BMP P Tracking Table'!$Z379-216.711*'BMP P Tracking Table'!$Y379-83.853*'BMP P Tracking Table'!$X379-42.834*'BMP P Tracking Table'!$W379)+SQRT((3630*'BMP P Tracking Table'!$U379+20.691*'BMP P Tracking Table'!$Z379-216.711*'BMP P Tracking Table'!$Y379-83.853*'BMP P Tracking Table'!$X379-42.834*'BMP P Tracking Table'!$W379)^2-(4*(149.919*'BMP P Tracking Table'!$W379+236.676*'BMP P Tracking Table'!$X379+726*'BMP P Tracking Table'!$Y379+996.798*'BMP P Tracking Table'!$Z379)*-'BMP P Tracking Table'!$AB379)))/(2*(149.919*'BMP P Tracking Table'!$W379+236.676*'BMP P Tracking Table'!$X379+726*'BMP P Tracking Table'!$Y379+996.798*'BMP P Tracking Table'!$Z379))))),"")</f>
        <v/>
      </c>
      <c r="AF379" s="101" t="str">
        <f>IFERROR((VLOOKUP(CONCATENATE('BMP P Tracking Table'!$T379," ",'BMP P Tracking Table'!$AC379),'Performance Curves'!$C$1:$L$45,MATCH('BMP P Tracking Table'!$AE379,'Performance Curves'!$E$1:$L$1,1)+2,FALSE)-VLOOKUP(CONCATENATE('BMP P Tracking Table'!$T379," ",'BMP P Tracking Table'!$AC379),'Performance Curves'!$C$1:$L$45,MATCH('BMP P Tracking Table'!$AE379,'Performance Curves'!$E$1:$L$1,1)+1,FALSE)),"")</f>
        <v/>
      </c>
      <c r="AG379" s="101" t="str">
        <f>IFERROR(('BMP P Tracking Table'!$AE379-INDEX('Performance Curves'!$E$1:$L$1,1,MATCH('BMP P Tracking Table'!$AE379,'Performance Curves'!$E$1:$L$1,1)))/(INDEX('Performance Curves'!$E$1:$L$1,1,MATCH('BMP P Tracking Table'!$AE379,'Performance Curves'!$E$1:$L$1,1)+1)-INDEX('Performance Curves'!$E$1:$L$1,1,MATCH('BMP P Tracking Table'!$AE379,'Performance Curves'!$E$1:$L$1,1))),"")</f>
        <v/>
      </c>
      <c r="AH379" s="102" t="str">
        <f>IFERROR(IF('BMP P Tracking Table'!$AE379=2,VLOOKUP(CONCATENATE('BMP P Tracking Table'!$T379," ",'BMP P Tracking Table'!$AC379),'Performance Curves'!$C$1:$L$45,MATCH('BMP P Tracking Table'!$AE379,'Performance Curves'!$E$1:$L$1,1)+1,FALSE),'BMP P Tracking Table'!$AF379*'BMP P Tracking Table'!$AG379+VLOOKUP(CONCATENATE('BMP P Tracking Table'!$T379," ",'BMP P Tracking Table'!$AC379),'Performance Curves'!$C$1:$L$45,MATCH('BMP P Tracking Table'!$AE379,'Performance Curves'!$E$1:$L$1,1)+1,FALSE)),"")</f>
        <v/>
      </c>
      <c r="AI379" s="101" t="str">
        <f>IFERROR('BMP P Tracking Table'!$AH379*'BMP P Tracking Table'!$AD379,"")</f>
        <v/>
      </c>
      <c r="AJ379" s="64"/>
      <c r="AK379" s="96"/>
      <c r="AL379" s="96"/>
      <c r="AM379" s="63"/>
      <c r="AN379" s="99" t="str">
        <f t="shared" si="22"/>
        <v/>
      </c>
      <c r="AO379" s="96"/>
      <c r="AP379" s="96"/>
      <c r="AQ379" s="96"/>
      <c r="AR379" s="96"/>
      <c r="AS379" s="96"/>
      <c r="AT379" s="96"/>
      <c r="AU379" s="96"/>
      <c r="AV379" s="64"/>
      <c r="AW379" s="97"/>
      <c r="AX379" s="97"/>
      <c r="AY379" s="101" t="str">
        <f>IF('BMP P Tracking Table'!$AK379="Yes",IF('BMP P Tracking Table'!$AL379="No",'BMP P Tracking Table'!$U379*VLOOKUP('BMP P Tracking Table'!$Q379,'Loading Rates'!$B$1:$L$24,4,FALSE)+IF('BMP P Tracking Table'!$V379="By HSG",'BMP P Tracking Table'!$W379*VLOOKUP('BMP P Tracking Table'!$Q379,'Loading Rates'!$B$1:$L$24,6,FALSE)+'BMP P Tracking Table'!$X379*VLOOKUP('BMP P Tracking Table'!$Q379,'Loading Rates'!$B$1:$L$24,7,FALSE)+'BMP P Tracking Table'!$Y379*VLOOKUP('BMP P Tracking Table'!$Q379,'Loading Rates'!$B$1:$L$24,8,FALSE)+'BMP P Tracking Table'!$Z379*VLOOKUP('BMP P Tracking Table'!$Q379,'Loading Rates'!$B$1:$L$24,9,FALSE),'BMP P Tracking Table'!$AA379*VLOOKUP('BMP P Tracking Table'!$Q379,'Loading Rates'!$B$1:$L$24,10,FALSE)),'BMP P Tracking Table'!$AO379*VLOOKUP('BMP P Tracking Table'!$Q379,'Loading Rates'!$B$1:$L$24,4,FALSE)+IF('BMP P Tracking Table'!$AP379="By HSG",'BMP P Tracking Table'!$AQ379*VLOOKUP('BMP P Tracking Table'!$Q379,'Loading Rates'!$B$1:$L$24,6,FALSE)+'BMP P Tracking Table'!$AR379*VLOOKUP('BMP P Tracking Table'!$Q379,'Loading Rates'!$B$1:$L$24,7,FALSE)+'BMP P Tracking Table'!$AS379*VLOOKUP('BMP P Tracking Table'!$Q379,'Loading Rates'!$B$1:$L$24,8,FALSE)+'BMP P Tracking Table'!$AT379*VLOOKUP('BMP P Tracking Table'!$Q379,'Loading Rates'!$B$1:$L$24,9,FALSE),'BMP P Tracking Table'!$AU379*VLOOKUP('BMP P Tracking Table'!$Q379,'Loading Rates'!$B$1:$L$24,10,FALSE))),"")</f>
        <v/>
      </c>
      <c r="AZ379" s="101" t="str">
        <f>IFERROR(IF('BMP P Tracking Table'!$AL379="Yes",MIN(2,IF('BMP P Tracking Table'!$AP379="Total Pervious",(-(3630*'BMP P Tracking Table'!$AO379+20.691*'BMP P Tracking Table'!$AU379)+SQRT((3630*'BMP P Tracking Table'!$AO379+20.691*'BMP P Tracking Table'!$AU379)^2-(4*(996.798*'BMP P Tracking Table'!$AU379)*-'BMP P Tracking Table'!$AW379)))/(2*(996.798*'BMP P Tracking Table'!$AU379)),IF(SUM('BMP P Tracking Table'!$AQ379:$AT379)=0,'BMP P Tracking Table'!$AU379/(-3630*'BMP P Tracking Table'!$AO379),(-(3630*'BMP P Tracking Table'!$AO379+20.691*'BMP P Tracking Table'!$AT379-216.711*'BMP P Tracking Table'!$AS379-83.853*'BMP P Tracking Table'!$AR379-42.834*'BMP P Tracking Table'!$AQ379)+SQRT((3630*'BMP P Tracking Table'!$AO379+20.691*'BMP P Tracking Table'!$AT379-216.711*'BMP P Tracking Table'!$AS379-83.853*'BMP P Tracking Table'!$AR379-42.834*'BMP P Tracking Table'!$AQ379)^2-(4*(149.919*'BMP P Tracking Table'!$AQ379+236.676*'BMP P Tracking Table'!$AR379+726*'BMP P Tracking Table'!$AS379+996.798*'BMP P Tracking Table'!$AT379)*-'BMP P Tracking Table'!$AW379)))/(2*(149.919*'BMP P Tracking Table'!$AQ379+236.676*'BMP P Tracking Table'!$AR379+726*'BMP P Tracking Table'!$AS379+996.798*'BMP P Tracking Table'!$AT379))))),MIN(2,IF('BMP P Tracking Table'!$AP379="Total Pervious",(-(3630*'BMP P Tracking Table'!$U379+20.691*'BMP P Tracking Table'!$AA379)+SQRT((3630*'BMP P Tracking Table'!$U379+20.691*'BMP P Tracking Table'!$AA379)^2-(4*(996.798*'BMP P Tracking Table'!$AA379)*-'BMP P Tracking Table'!$AW379)))/(2*(996.798*'BMP P Tracking Table'!$AA379)),IF(SUM('BMP P Tracking Table'!$W379:$Z379)=0,'BMP P Tracking Table'!$AW379/(-3630*'BMP P Tracking Table'!$U379),(-(3630*'BMP P Tracking Table'!$U379+20.691*'BMP P Tracking Table'!$Z379-216.711*'BMP P Tracking Table'!$Y379-83.853*'BMP P Tracking Table'!$X379-42.834*'BMP P Tracking Table'!$W379)+SQRT((3630*'BMP P Tracking Table'!$U379+20.691*'BMP P Tracking Table'!$Z379-216.711*'BMP P Tracking Table'!$Y379-83.853*'BMP P Tracking Table'!$X379-42.834*'BMP P Tracking Table'!$W379)^2-(4*(149.919*'BMP P Tracking Table'!$W379+236.676*'BMP P Tracking Table'!$X379+726*'BMP P Tracking Table'!$Y379+996.798*'BMP P Tracking Table'!$Z379)*-'BMP P Tracking Table'!$AW379)))/(2*(149.919*'BMP P Tracking Table'!$W379+236.676*'BMP P Tracking Table'!$X379+726*'BMP P Tracking Table'!$Y379+996.798*'BMP P Tracking Table'!$Z379)))))),"")</f>
        <v/>
      </c>
      <c r="BA379" s="101" t="str">
        <f>IFERROR((VLOOKUP(CONCATENATE('BMP P Tracking Table'!$AV379," ",'BMP P Tracking Table'!$AX379),'Performance Curves'!$C$1:$L$45,MATCH('BMP P Tracking Table'!$AZ379,'Performance Curves'!$E$1:$L$1,1)+2,FALSE)-VLOOKUP(CONCATENATE('BMP P Tracking Table'!$AV379," ",'BMP P Tracking Table'!$AX379),'Performance Curves'!$C$1:$L$45,MATCH('BMP P Tracking Table'!$AZ379,'Performance Curves'!$E$1:$L$1,1)+1,FALSE)),"")</f>
        <v/>
      </c>
      <c r="BB379" s="101" t="str">
        <f>IFERROR(('BMP P Tracking Table'!$AZ379-INDEX('Performance Curves'!$E$1:$L$1,1,MATCH('BMP P Tracking Table'!$AZ379,'Performance Curves'!$E$1:$L$1,1)))/(INDEX('Performance Curves'!$E$1:$L$1,1,MATCH('BMP P Tracking Table'!$AZ379,'Performance Curves'!$E$1:$L$1,1)+1)-INDEX('Performance Curves'!$E$1:$L$1,1,MATCH('BMP P Tracking Table'!$AZ379,'Performance Curves'!$E$1:$L$1,1))),"")</f>
        <v/>
      </c>
      <c r="BC379" s="102" t="str">
        <f>IFERROR(IF('BMP P Tracking Table'!$AZ379=2,VLOOKUP(CONCATENATE('BMP P Tracking Table'!$AV379," ",'BMP P Tracking Table'!$AX379),'Performance Curves'!$C$1:$L$44,MATCH('BMP P Tracking Table'!$AZ379,'Performance Curves'!$E$1:$L$1,1)+1,FALSE),'BMP P Tracking Table'!$BA379*'BMP P Tracking Table'!$BB379+VLOOKUP(CONCATENATE('BMP P Tracking Table'!$AV379," ",'BMP P Tracking Table'!$AX379),'Performance Curves'!$C$1:$L$44,MATCH('BMP P Tracking Table'!$AZ379,'Performance Curves'!$E$1:$L$1,1)+1,FALSE)),"")</f>
        <v/>
      </c>
      <c r="BD379" s="101" t="str">
        <f>IFERROR('BMP P Tracking Table'!$BC379*'BMP P Tracking Table'!$AY379,"")</f>
        <v/>
      </c>
      <c r="BE379" s="96"/>
      <c r="BF379" s="37">
        <f t="shared" si="23"/>
        <v>0</v>
      </c>
    </row>
    <row r="380" spans="1:58" x14ac:dyDescent="0.3">
      <c r="A380" s="64"/>
      <c r="B380" s="64"/>
      <c r="C380" s="64"/>
      <c r="D380" s="64"/>
      <c r="E380" s="93"/>
      <c r="F380" s="93"/>
      <c r="G380" s="64"/>
      <c r="H380" s="64"/>
      <c r="I380" s="64"/>
      <c r="J380" s="94"/>
      <c r="K380" s="64"/>
      <c r="L380" s="64"/>
      <c r="M380" s="64"/>
      <c r="N380" s="64"/>
      <c r="O380" s="64"/>
      <c r="P380" s="64"/>
      <c r="Q380" s="64" t="str">
        <f>IFERROR(VLOOKUP('BMP P Tracking Table'!$P380,Dropdowns!$C$2:$E$15,3,FALSE),"")</f>
        <v/>
      </c>
      <c r="R380" s="64" t="str">
        <f>IFERROR(VLOOKUP('BMP P Tracking Table'!$Q380,Dropdowns!$P$3:$Q$23,2,FALSE),"")</f>
        <v/>
      </c>
      <c r="S380" s="64"/>
      <c r="T380" s="64"/>
      <c r="U380" s="64"/>
      <c r="V380" s="64"/>
      <c r="W380" s="64"/>
      <c r="X380" s="64"/>
      <c r="Y380" s="64"/>
      <c r="Z380" s="64"/>
      <c r="AA380" s="64"/>
      <c r="AB380" s="95"/>
      <c r="AC380" s="64"/>
      <c r="AD380" s="101" t="str">
        <f>IFERROR('BMP P Tracking Table'!$U380*VLOOKUP('BMP P Tracking Table'!$Q380,'Loading Rates'!$B$1:$L$24,4,FALSE)+IF('BMP P Tracking Table'!$V380="By HSG",'BMP P Tracking Table'!$W380*VLOOKUP('BMP P Tracking Table'!$Q380,'Loading Rates'!$B$1:$L$24,6,FALSE)+'BMP P Tracking Table'!$X380*VLOOKUP('BMP P Tracking Table'!$Q380,'Loading Rates'!$B$1:$L$24,7,FALSE)+'BMP P Tracking Table'!$Y380*VLOOKUP('BMP P Tracking Table'!$Q380,'Loading Rates'!$B$1:$L$24,8,FALSE)+'BMP P Tracking Table'!$Z380*VLOOKUP('BMP P Tracking Table'!$Q380,'Loading Rates'!$B$1:$L$24,9,FALSE),'BMP P Tracking Table'!$AA380*VLOOKUP('BMP P Tracking Table'!$Q380,'Loading Rates'!$B$1:$L$24,10,FALSE)),"")</f>
        <v/>
      </c>
      <c r="AE380" s="101" t="str">
        <f>IFERROR(MIN(2,IF('BMP P Tracking Table'!$V380="Total Pervious",(-(3630*'BMP P Tracking Table'!$U380+20.691*'BMP P Tracking Table'!$AA380)+SQRT((3630*'BMP P Tracking Table'!$U380+20.691*'BMP P Tracking Table'!$AA380)^2-(4*(996.798*'BMP P Tracking Table'!$AA380)*-'BMP P Tracking Table'!$AB380)))/(2*(996.798*'BMP P Tracking Table'!$AA380)),IF(SUM('BMP P Tracking Table'!$W380:$Z380)=0,'BMP P Tracking Table'!$AB380/(-3630*'BMP P Tracking Table'!$U380),(-(3630*'BMP P Tracking Table'!$U380+20.691*'BMP P Tracking Table'!$Z380-216.711*'BMP P Tracking Table'!$Y380-83.853*'BMP P Tracking Table'!$X380-42.834*'BMP P Tracking Table'!$W380)+SQRT((3630*'BMP P Tracking Table'!$U380+20.691*'BMP P Tracking Table'!$Z380-216.711*'BMP P Tracking Table'!$Y380-83.853*'BMP P Tracking Table'!$X380-42.834*'BMP P Tracking Table'!$W380)^2-(4*(149.919*'BMP P Tracking Table'!$W380+236.676*'BMP P Tracking Table'!$X380+726*'BMP P Tracking Table'!$Y380+996.798*'BMP P Tracking Table'!$Z380)*-'BMP P Tracking Table'!$AB380)))/(2*(149.919*'BMP P Tracking Table'!$W380+236.676*'BMP P Tracking Table'!$X380+726*'BMP P Tracking Table'!$Y380+996.798*'BMP P Tracking Table'!$Z380))))),"")</f>
        <v/>
      </c>
      <c r="AF380" s="101" t="str">
        <f>IFERROR((VLOOKUP(CONCATENATE('BMP P Tracking Table'!$T380," ",'BMP P Tracking Table'!$AC380),'Performance Curves'!$C$1:$L$45,MATCH('BMP P Tracking Table'!$AE380,'Performance Curves'!$E$1:$L$1,1)+2,FALSE)-VLOOKUP(CONCATENATE('BMP P Tracking Table'!$T380," ",'BMP P Tracking Table'!$AC380),'Performance Curves'!$C$1:$L$45,MATCH('BMP P Tracking Table'!$AE380,'Performance Curves'!$E$1:$L$1,1)+1,FALSE)),"")</f>
        <v/>
      </c>
      <c r="AG380" s="101" t="str">
        <f>IFERROR(('BMP P Tracking Table'!$AE380-INDEX('Performance Curves'!$E$1:$L$1,1,MATCH('BMP P Tracking Table'!$AE380,'Performance Curves'!$E$1:$L$1,1)))/(INDEX('Performance Curves'!$E$1:$L$1,1,MATCH('BMP P Tracking Table'!$AE380,'Performance Curves'!$E$1:$L$1,1)+1)-INDEX('Performance Curves'!$E$1:$L$1,1,MATCH('BMP P Tracking Table'!$AE380,'Performance Curves'!$E$1:$L$1,1))),"")</f>
        <v/>
      </c>
      <c r="AH380" s="102" t="str">
        <f>IFERROR(IF('BMP P Tracking Table'!$AE380=2,VLOOKUP(CONCATENATE('BMP P Tracking Table'!$T380," ",'BMP P Tracking Table'!$AC380),'Performance Curves'!$C$1:$L$45,MATCH('BMP P Tracking Table'!$AE380,'Performance Curves'!$E$1:$L$1,1)+1,FALSE),'BMP P Tracking Table'!$AF380*'BMP P Tracking Table'!$AG380+VLOOKUP(CONCATENATE('BMP P Tracking Table'!$T380," ",'BMP P Tracking Table'!$AC380),'Performance Curves'!$C$1:$L$45,MATCH('BMP P Tracking Table'!$AE380,'Performance Curves'!$E$1:$L$1,1)+1,FALSE)),"")</f>
        <v/>
      </c>
      <c r="AI380" s="101" t="str">
        <f>IFERROR('BMP P Tracking Table'!$AH380*'BMP P Tracking Table'!$AD380,"")</f>
        <v/>
      </c>
      <c r="AJ380" s="64"/>
      <c r="AK380" s="96"/>
      <c r="AL380" s="96"/>
      <c r="AM380" s="63"/>
      <c r="AN380" s="99" t="str">
        <f t="shared" si="22"/>
        <v/>
      </c>
      <c r="AO380" s="96"/>
      <c r="AP380" s="96"/>
      <c r="AQ380" s="96"/>
      <c r="AR380" s="96"/>
      <c r="AS380" s="96"/>
      <c r="AT380" s="96"/>
      <c r="AU380" s="96"/>
      <c r="AV380" s="64"/>
      <c r="AW380" s="97"/>
      <c r="AX380" s="97"/>
      <c r="AY380" s="101" t="str">
        <f>IF('BMP P Tracking Table'!$AK380="Yes",IF('BMP P Tracking Table'!$AL380="No",'BMP P Tracking Table'!$U380*VLOOKUP('BMP P Tracking Table'!$Q380,'Loading Rates'!$B$1:$L$24,4,FALSE)+IF('BMP P Tracking Table'!$V380="By HSG",'BMP P Tracking Table'!$W380*VLOOKUP('BMP P Tracking Table'!$Q380,'Loading Rates'!$B$1:$L$24,6,FALSE)+'BMP P Tracking Table'!$X380*VLOOKUP('BMP P Tracking Table'!$Q380,'Loading Rates'!$B$1:$L$24,7,FALSE)+'BMP P Tracking Table'!$Y380*VLOOKUP('BMP P Tracking Table'!$Q380,'Loading Rates'!$B$1:$L$24,8,FALSE)+'BMP P Tracking Table'!$Z380*VLOOKUP('BMP P Tracking Table'!$Q380,'Loading Rates'!$B$1:$L$24,9,FALSE),'BMP P Tracking Table'!$AA380*VLOOKUP('BMP P Tracking Table'!$Q380,'Loading Rates'!$B$1:$L$24,10,FALSE)),'BMP P Tracking Table'!$AO380*VLOOKUP('BMP P Tracking Table'!$Q380,'Loading Rates'!$B$1:$L$24,4,FALSE)+IF('BMP P Tracking Table'!$AP380="By HSG",'BMP P Tracking Table'!$AQ380*VLOOKUP('BMP P Tracking Table'!$Q380,'Loading Rates'!$B$1:$L$24,6,FALSE)+'BMP P Tracking Table'!$AR380*VLOOKUP('BMP P Tracking Table'!$Q380,'Loading Rates'!$B$1:$L$24,7,FALSE)+'BMP P Tracking Table'!$AS380*VLOOKUP('BMP P Tracking Table'!$Q380,'Loading Rates'!$B$1:$L$24,8,FALSE)+'BMP P Tracking Table'!$AT380*VLOOKUP('BMP P Tracking Table'!$Q380,'Loading Rates'!$B$1:$L$24,9,FALSE),'BMP P Tracking Table'!$AU380*VLOOKUP('BMP P Tracking Table'!$Q380,'Loading Rates'!$B$1:$L$24,10,FALSE))),"")</f>
        <v/>
      </c>
      <c r="AZ380" s="101" t="str">
        <f>IFERROR(IF('BMP P Tracking Table'!$AL380="Yes",MIN(2,IF('BMP P Tracking Table'!$AP380="Total Pervious",(-(3630*'BMP P Tracking Table'!$AO380+20.691*'BMP P Tracking Table'!$AU380)+SQRT((3630*'BMP P Tracking Table'!$AO380+20.691*'BMP P Tracking Table'!$AU380)^2-(4*(996.798*'BMP P Tracking Table'!$AU380)*-'BMP P Tracking Table'!$AW380)))/(2*(996.798*'BMP P Tracking Table'!$AU380)),IF(SUM('BMP P Tracking Table'!$AQ380:$AT380)=0,'BMP P Tracking Table'!$AU380/(-3630*'BMP P Tracking Table'!$AO380),(-(3630*'BMP P Tracking Table'!$AO380+20.691*'BMP P Tracking Table'!$AT380-216.711*'BMP P Tracking Table'!$AS380-83.853*'BMP P Tracking Table'!$AR380-42.834*'BMP P Tracking Table'!$AQ380)+SQRT((3630*'BMP P Tracking Table'!$AO380+20.691*'BMP P Tracking Table'!$AT380-216.711*'BMP P Tracking Table'!$AS380-83.853*'BMP P Tracking Table'!$AR380-42.834*'BMP P Tracking Table'!$AQ380)^2-(4*(149.919*'BMP P Tracking Table'!$AQ380+236.676*'BMP P Tracking Table'!$AR380+726*'BMP P Tracking Table'!$AS380+996.798*'BMP P Tracking Table'!$AT380)*-'BMP P Tracking Table'!$AW380)))/(2*(149.919*'BMP P Tracking Table'!$AQ380+236.676*'BMP P Tracking Table'!$AR380+726*'BMP P Tracking Table'!$AS380+996.798*'BMP P Tracking Table'!$AT380))))),MIN(2,IF('BMP P Tracking Table'!$AP380="Total Pervious",(-(3630*'BMP P Tracking Table'!$U380+20.691*'BMP P Tracking Table'!$AA380)+SQRT((3630*'BMP P Tracking Table'!$U380+20.691*'BMP P Tracking Table'!$AA380)^2-(4*(996.798*'BMP P Tracking Table'!$AA380)*-'BMP P Tracking Table'!$AW380)))/(2*(996.798*'BMP P Tracking Table'!$AA380)),IF(SUM('BMP P Tracking Table'!$W380:$Z380)=0,'BMP P Tracking Table'!$AW380/(-3630*'BMP P Tracking Table'!$U380),(-(3630*'BMP P Tracking Table'!$U380+20.691*'BMP P Tracking Table'!$Z380-216.711*'BMP P Tracking Table'!$Y380-83.853*'BMP P Tracking Table'!$X380-42.834*'BMP P Tracking Table'!$W380)+SQRT((3630*'BMP P Tracking Table'!$U380+20.691*'BMP P Tracking Table'!$Z380-216.711*'BMP P Tracking Table'!$Y380-83.853*'BMP P Tracking Table'!$X380-42.834*'BMP P Tracking Table'!$W380)^2-(4*(149.919*'BMP P Tracking Table'!$W380+236.676*'BMP P Tracking Table'!$X380+726*'BMP P Tracking Table'!$Y380+996.798*'BMP P Tracking Table'!$Z380)*-'BMP P Tracking Table'!$AW380)))/(2*(149.919*'BMP P Tracking Table'!$W380+236.676*'BMP P Tracking Table'!$X380+726*'BMP P Tracking Table'!$Y380+996.798*'BMP P Tracking Table'!$Z380)))))),"")</f>
        <v/>
      </c>
      <c r="BA380" s="101" t="str">
        <f>IFERROR((VLOOKUP(CONCATENATE('BMP P Tracking Table'!$AV380," ",'BMP P Tracking Table'!$AX380),'Performance Curves'!$C$1:$L$45,MATCH('BMP P Tracking Table'!$AZ380,'Performance Curves'!$E$1:$L$1,1)+2,FALSE)-VLOOKUP(CONCATENATE('BMP P Tracking Table'!$AV380," ",'BMP P Tracking Table'!$AX380),'Performance Curves'!$C$1:$L$45,MATCH('BMP P Tracking Table'!$AZ380,'Performance Curves'!$E$1:$L$1,1)+1,FALSE)),"")</f>
        <v/>
      </c>
      <c r="BB380" s="101" t="str">
        <f>IFERROR(('BMP P Tracking Table'!$AZ380-INDEX('Performance Curves'!$E$1:$L$1,1,MATCH('BMP P Tracking Table'!$AZ380,'Performance Curves'!$E$1:$L$1,1)))/(INDEX('Performance Curves'!$E$1:$L$1,1,MATCH('BMP P Tracking Table'!$AZ380,'Performance Curves'!$E$1:$L$1,1)+1)-INDEX('Performance Curves'!$E$1:$L$1,1,MATCH('BMP P Tracking Table'!$AZ380,'Performance Curves'!$E$1:$L$1,1))),"")</f>
        <v/>
      </c>
      <c r="BC380" s="102" t="str">
        <f>IFERROR(IF('BMP P Tracking Table'!$AZ380=2,VLOOKUP(CONCATENATE('BMP P Tracking Table'!$AV380," ",'BMP P Tracking Table'!$AX380),'Performance Curves'!$C$1:$L$44,MATCH('BMP P Tracking Table'!$AZ380,'Performance Curves'!$E$1:$L$1,1)+1,FALSE),'BMP P Tracking Table'!$BA380*'BMP P Tracking Table'!$BB380+VLOOKUP(CONCATENATE('BMP P Tracking Table'!$AV380," ",'BMP P Tracking Table'!$AX380),'Performance Curves'!$C$1:$L$44,MATCH('BMP P Tracking Table'!$AZ380,'Performance Curves'!$E$1:$L$1,1)+1,FALSE)),"")</f>
        <v/>
      </c>
      <c r="BD380" s="101" t="str">
        <f>IFERROR('BMP P Tracking Table'!$BC380*'BMP P Tracking Table'!$AY380,"")</f>
        <v/>
      </c>
      <c r="BE380" s="96"/>
      <c r="BF380" s="37">
        <f t="shared" si="23"/>
        <v>0</v>
      </c>
    </row>
    <row r="381" spans="1:58" x14ac:dyDescent="0.3">
      <c r="A381" s="64"/>
      <c r="B381" s="64"/>
      <c r="C381" s="64"/>
      <c r="D381" s="64"/>
      <c r="E381" s="93"/>
      <c r="F381" s="93"/>
      <c r="G381" s="64"/>
      <c r="H381" s="64"/>
      <c r="I381" s="64"/>
      <c r="J381" s="94"/>
      <c r="K381" s="64"/>
      <c r="L381" s="64"/>
      <c r="M381" s="64"/>
      <c r="N381" s="64"/>
      <c r="O381" s="64"/>
      <c r="P381" s="64"/>
      <c r="Q381" s="64" t="str">
        <f>IFERROR(VLOOKUP('BMP P Tracking Table'!$P381,Dropdowns!$C$2:$E$15,3,FALSE),"")</f>
        <v/>
      </c>
      <c r="R381" s="64" t="str">
        <f>IFERROR(VLOOKUP('BMP P Tracking Table'!$Q381,Dropdowns!$P$3:$Q$23,2,FALSE),"")</f>
        <v/>
      </c>
      <c r="S381" s="64"/>
      <c r="T381" s="64"/>
      <c r="U381" s="64"/>
      <c r="V381" s="64"/>
      <c r="W381" s="64"/>
      <c r="X381" s="64"/>
      <c r="Y381" s="64"/>
      <c r="Z381" s="64"/>
      <c r="AA381" s="64"/>
      <c r="AB381" s="95"/>
      <c r="AC381" s="64"/>
      <c r="AD381" s="101" t="str">
        <f>IFERROR('BMP P Tracking Table'!$U381*VLOOKUP('BMP P Tracking Table'!$Q381,'Loading Rates'!$B$1:$L$24,4,FALSE)+IF('BMP P Tracking Table'!$V381="By HSG",'BMP P Tracking Table'!$W381*VLOOKUP('BMP P Tracking Table'!$Q381,'Loading Rates'!$B$1:$L$24,6,FALSE)+'BMP P Tracking Table'!$X381*VLOOKUP('BMP P Tracking Table'!$Q381,'Loading Rates'!$B$1:$L$24,7,FALSE)+'BMP P Tracking Table'!$Y381*VLOOKUP('BMP P Tracking Table'!$Q381,'Loading Rates'!$B$1:$L$24,8,FALSE)+'BMP P Tracking Table'!$Z381*VLOOKUP('BMP P Tracking Table'!$Q381,'Loading Rates'!$B$1:$L$24,9,FALSE),'BMP P Tracking Table'!$AA381*VLOOKUP('BMP P Tracking Table'!$Q381,'Loading Rates'!$B$1:$L$24,10,FALSE)),"")</f>
        <v/>
      </c>
      <c r="AE381" s="101" t="str">
        <f>IFERROR(MIN(2,IF('BMP P Tracking Table'!$V381="Total Pervious",(-(3630*'BMP P Tracking Table'!$U381+20.691*'BMP P Tracking Table'!$AA381)+SQRT((3630*'BMP P Tracking Table'!$U381+20.691*'BMP P Tracking Table'!$AA381)^2-(4*(996.798*'BMP P Tracking Table'!$AA381)*-'BMP P Tracking Table'!$AB381)))/(2*(996.798*'BMP P Tracking Table'!$AA381)),IF(SUM('BMP P Tracking Table'!$W381:$Z381)=0,'BMP P Tracking Table'!$AB381/(-3630*'BMP P Tracking Table'!$U381),(-(3630*'BMP P Tracking Table'!$U381+20.691*'BMP P Tracking Table'!$Z381-216.711*'BMP P Tracking Table'!$Y381-83.853*'BMP P Tracking Table'!$X381-42.834*'BMP P Tracking Table'!$W381)+SQRT((3630*'BMP P Tracking Table'!$U381+20.691*'BMP P Tracking Table'!$Z381-216.711*'BMP P Tracking Table'!$Y381-83.853*'BMP P Tracking Table'!$X381-42.834*'BMP P Tracking Table'!$W381)^2-(4*(149.919*'BMP P Tracking Table'!$W381+236.676*'BMP P Tracking Table'!$X381+726*'BMP P Tracking Table'!$Y381+996.798*'BMP P Tracking Table'!$Z381)*-'BMP P Tracking Table'!$AB381)))/(2*(149.919*'BMP P Tracking Table'!$W381+236.676*'BMP P Tracking Table'!$X381+726*'BMP P Tracking Table'!$Y381+996.798*'BMP P Tracking Table'!$Z381))))),"")</f>
        <v/>
      </c>
      <c r="AF381" s="101" t="str">
        <f>IFERROR((VLOOKUP(CONCATENATE('BMP P Tracking Table'!$T381," ",'BMP P Tracking Table'!$AC381),'Performance Curves'!$C$1:$L$45,MATCH('BMP P Tracking Table'!$AE381,'Performance Curves'!$E$1:$L$1,1)+2,FALSE)-VLOOKUP(CONCATENATE('BMP P Tracking Table'!$T381," ",'BMP P Tracking Table'!$AC381),'Performance Curves'!$C$1:$L$45,MATCH('BMP P Tracking Table'!$AE381,'Performance Curves'!$E$1:$L$1,1)+1,FALSE)),"")</f>
        <v/>
      </c>
      <c r="AG381" s="101" t="str">
        <f>IFERROR(('BMP P Tracking Table'!$AE381-INDEX('Performance Curves'!$E$1:$L$1,1,MATCH('BMP P Tracking Table'!$AE381,'Performance Curves'!$E$1:$L$1,1)))/(INDEX('Performance Curves'!$E$1:$L$1,1,MATCH('BMP P Tracking Table'!$AE381,'Performance Curves'!$E$1:$L$1,1)+1)-INDEX('Performance Curves'!$E$1:$L$1,1,MATCH('BMP P Tracking Table'!$AE381,'Performance Curves'!$E$1:$L$1,1))),"")</f>
        <v/>
      </c>
      <c r="AH381" s="102" t="str">
        <f>IFERROR(IF('BMP P Tracking Table'!$AE381=2,VLOOKUP(CONCATENATE('BMP P Tracking Table'!$T381," ",'BMP P Tracking Table'!$AC381),'Performance Curves'!$C$1:$L$45,MATCH('BMP P Tracking Table'!$AE381,'Performance Curves'!$E$1:$L$1,1)+1,FALSE),'BMP P Tracking Table'!$AF381*'BMP P Tracking Table'!$AG381+VLOOKUP(CONCATENATE('BMP P Tracking Table'!$T381," ",'BMP P Tracking Table'!$AC381),'Performance Curves'!$C$1:$L$45,MATCH('BMP P Tracking Table'!$AE381,'Performance Curves'!$E$1:$L$1,1)+1,FALSE)),"")</f>
        <v/>
      </c>
      <c r="AI381" s="101" t="str">
        <f>IFERROR('BMP P Tracking Table'!$AH381*'BMP P Tracking Table'!$AD381,"")</f>
        <v/>
      </c>
      <c r="AJ381" s="64"/>
      <c r="AK381" s="96"/>
      <c r="AL381" s="96"/>
      <c r="AM381" s="63"/>
      <c r="AN381" s="99" t="str">
        <f t="shared" si="22"/>
        <v/>
      </c>
      <c r="AO381" s="96"/>
      <c r="AP381" s="96"/>
      <c r="AQ381" s="96"/>
      <c r="AR381" s="96"/>
      <c r="AS381" s="96"/>
      <c r="AT381" s="96"/>
      <c r="AU381" s="96"/>
      <c r="AV381" s="64"/>
      <c r="AW381" s="97"/>
      <c r="AX381" s="97"/>
      <c r="AY381" s="101" t="str">
        <f>IF('BMP P Tracking Table'!$AK381="Yes",IF('BMP P Tracking Table'!$AL381="No",'BMP P Tracking Table'!$U381*VLOOKUP('BMP P Tracking Table'!$Q381,'Loading Rates'!$B$1:$L$24,4,FALSE)+IF('BMP P Tracking Table'!$V381="By HSG",'BMP P Tracking Table'!$W381*VLOOKUP('BMP P Tracking Table'!$Q381,'Loading Rates'!$B$1:$L$24,6,FALSE)+'BMP P Tracking Table'!$X381*VLOOKUP('BMP P Tracking Table'!$Q381,'Loading Rates'!$B$1:$L$24,7,FALSE)+'BMP P Tracking Table'!$Y381*VLOOKUP('BMP P Tracking Table'!$Q381,'Loading Rates'!$B$1:$L$24,8,FALSE)+'BMP P Tracking Table'!$Z381*VLOOKUP('BMP P Tracking Table'!$Q381,'Loading Rates'!$B$1:$L$24,9,FALSE),'BMP P Tracking Table'!$AA381*VLOOKUP('BMP P Tracking Table'!$Q381,'Loading Rates'!$B$1:$L$24,10,FALSE)),'BMP P Tracking Table'!$AO381*VLOOKUP('BMP P Tracking Table'!$Q381,'Loading Rates'!$B$1:$L$24,4,FALSE)+IF('BMP P Tracking Table'!$AP381="By HSG",'BMP P Tracking Table'!$AQ381*VLOOKUP('BMP P Tracking Table'!$Q381,'Loading Rates'!$B$1:$L$24,6,FALSE)+'BMP P Tracking Table'!$AR381*VLOOKUP('BMP P Tracking Table'!$Q381,'Loading Rates'!$B$1:$L$24,7,FALSE)+'BMP P Tracking Table'!$AS381*VLOOKUP('BMP P Tracking Table'!$Q381,'Loading Rates'!$B$1:$L$24,8,FALSE)+'BMP P Tracking Table'!$AT381*VLOOKUP('BMP P Tracking Table'!$Q381,'Loading Rates'!$B$1:$L$24,9,FALSE),'BMP P Tracking Table'!$AU381*VLOOKUP('BMP P Tracking Table'!$Q381,'Loading Rates'!$B$1:$L$24,10,FALSE))),"")</f>
        <v/>
      </c>
      <c r="AZ381" s="101" t="str">
        <f>IFERROR(IF('BMP P Tracking Table'!$AL381="Yes",MIN(2,IF('BMP P Tracking Table'!$AP381="Total Pervious",(-(3630*'BMP P Tracking Table'!$AO381+20.691*'BMP P Tracking Table'!$AU381)+SQRT((3630*'BMP P Tracking Table'!$AO381+20.691*'BMP P Tracking Table'!$AU381)^2-(4*(996.798*'BMP P Tracking Table'!$AU381)*-'BMP P Tracking Table'!$AW381)))/(2*(996.798*'BMP P Tracking Table'!$AU381)),IF(SUM('BMP P Tracking Table'!$AQ381:$AT381)=0,'BMP P Tracking Table'!$AU381/(-3630*'BMP P Tracking Table'!$AO381),(-(3630*'BMP P Tracking Table'!$AO381+20.691*'BMP P Tracking Table'!$AT381-216.711*'BMP P Tracking Table'!$AS381-83.853*'BMP P Tracking Table'!$AR381-42.834*'BMP P Tracking Table'!$AQ381)+SQRT((3630*'BMP P Tracking Table'!$AO381+20.691*'BMP P Tracking Table'!$AT381-216.711*'BMP P Tracking Table'!$AS381-83.853*'BMP P Tracking Table'!$AR381-42.834*'BMP P Tracking Table'!$AQ381)^2-(4*(149.919*'BMP P Tracking Table'!$AQ381+236.676*'BMP P Tracking Table'!$AR381+726*'BMP P Tracking Table'!$AS381+996.798*'BMP P Tracking Table'!$AT381)*-'BMP P Tracking Table'!$AW381)))/(2*(149.919*'BMP P Tracking Table'!$AQ381+236.676*'BMP P Tracking Table'!$AR381+726*'BMP P Tracking Table'!$AS381+996.798*'BMP P Tracking Table'!$AT381))))),MIN(2,IF('BMP P Tracking Table'!$AP381="Total Pervious",(-(3630*'BMP P Tracking Table'!$U381+20.691*'BMP P Tracking Table'!$AA381)+SQRT((3630*'BMP P Tracking Table'!$U381+20.691*'BMP P Tracking Table'!$AA381)^2-(4*(996.798*'BMP P Tracking Table'!$AA381)*-'BMP P Tracking Table'!$AW381)))/(2*(996.798*'BMP P Tracking Table'!$AA381)),IF(SUM('BMP P Tracking Table'!$W381:$Z381)=0,'BMP P Tracking Table'!$AW381/(-3630*'BMP P Tracking Table'!$U381),(-(3630*'BMP P Tracking Table'!$U381+20.691*'BMP P Tracking Table'!$Z381-216.711*'BMP P Tracking Table'!$Y381-83.853*'BMP P Tracking Table'!$X381-42.834*'BMP P Tracking Table'!$W381)+SQRT((3630*'BMP P Tracking Table'!$U381+20.691*'BMP P Tracking Table'!$Z381-216.711*'BMP P Tracking Table'!$Y381-83.853*'BMP P Tracking Table'!$X381-42.834*'BMP P Tracking Table'!$W381)^2-(4*(149.919*'BMP P Tracking Table'!$W381+236.676*'BMP P Tracking Table'!$X381+726*'BMP P Tracking Table'!$Y381+996.798*'BMP P Tracking Table'!$Z381)*-'BMP P Tracking Table'!$AW381)))/(2*(149.919*'BMP P Tracking Table'!$W381+236.676*'BMP P Tracking Table'!$X381+726*'BMP P Tracking Table'!$Y381+996.798*'BMP P Tracking Table'!$Z381)))))),"")</f>
        <v/>
      </c>
      <c r="BA381" s="101" t="str">
        <f>IFERROR((VLOOKUP(CONCATENATE('BMP P Tracking Table'!$AV381," ",'BMP P Tracking Table'!$AX381),'Performance Curves'!$C$1:$L$45,MATCH('BMP P Tracking Table'!$AZ381,'Performance Curves'!$E$1:$L$1,1)+2,FALSE)-VLOOKUP(CONCATENATE('BMP P Tracking Table'!$AV381," ",'BMP P Tracking Table'!$AX381),'Performance Curves'!$C$1:$L$45,MATCH('BMP P Tracking Table'!$AZ381,'Performance Curves'!$E$1:$L$1,1)+1,FALSE)),"")</f>
        <v/>
      </c>
      <c r="BB381" s="101" t="str">
        <f>IFERROR(('BMP P Tracking Table'!$AZ381-INDEX('Performance Curves'!$E$1:$L$1,1,MATCH('BMP P Tracking Table'!$AZ381,'Performance Curves'!$E$1:$L$1,1)))/(INDEX('Performance Curves'!$E$1:$L$1,1,MATCH('BMP P Tracking Table'!$AZ381,'Performance Curves'!$E$1:$L$1,1)+1)-INDEX('Performance Curves'!$E$1:$L$1,1,MATCH('BMP P Tracking Table'!$AZ381,'Performance Curves'!$E$1:$L$1,1))),"")</f>
        <v/>
      </c>
      <c r="BC381" s="102" t="str">
        <f>IFERROR(IF('BMP P Tracking Table'!$AZ381=2,VLOOKUP(CONCATENATE('BMP P Tracking Table'!$AV381," ",'BMP P Tracking Table'!$AX381),'Performance Curves'!$C$1:$L$44,MATCH('BMP P Tracking Table'!$AZ381,'Performance Curves'!$E$1:$L$1,1)+1,FALSE),'BMP P Tracking Table'!$BA381*'BMP P Tracking Table'!$BB381+VLOOKUP(CONCATENATE('BMP P Tracking Table'!$AV381," ",'BMP P Tracking Table'!$AX381),'Performance Curves'!$C$1:$L$44,MATCH('BMP P Tracking Table'!$AZ381,'Performance Curves'!$E$1:$L$1,1)+1,FALSE)),"")</f>
        <v/>
      </c>
      <c r="BD381" s="101" t="str">
        <f>IFERROR('BMP P Tracking Table'!$BC381*'BMP P Tracking Table'!$AY381,"")</f>
        <v/>
      </c>
      <c r="BE381" s="96"/>
      <c r="BF381" s="37">
        <f t="shared" si="23"/>
        <v>0</v>
      </c>
    </row>
    <row r="382" spans="1:58" x14ac:dyDescent="0.3">
      <c r="A382" s="64"/>
      <c r="B382" s="64"/>
      <c r="C382" s="64"/>
      <c r="D382" s="64"/>
      <c r="E382" s="93"/>
      <c r="F382" s="93"/>
      <c r="G382" s="64"/>
      <c r="H382" s="64"/>
      <c r="I382" s="64"/>
      <c r="J382" s="94"/>
      <c r="K382" s="64"/>
      <c r="L382" s="64"/>
      <c r="M382" s="64"/>
      <c r="N382" s="64"/>
      <c r="O382" s="64"/>
      <c r="P382" s="64"/>
      <c r="Q382" s="64" t="str">
        <f>IFERROR(VLOOKUP('BMP P Tracking Table'!$P382,Dropdowns!$C$2:$E$15,3,FALSE),"")</f>
        <v/>
      </c>
      <c r="R382" s="64" t="str">
        <f>IFERROR(VLOOKUP('BMP P Tracking Table'!$Q382,Dropdowns!$P$3:$Q$23,2,FALSE),"")</f>
        <v/>
      </c>
      <c r="S382" s="64"/>
      <c r="T382" s="64"/>
      <c r="U382" s="64"/>
      <c r="V382" s="64"/>
      <c r="W382" s="64"/>
      <c r="X382" s="64"/>
      <c r="Y382" s="64"/>
      <c r="Z382" s="64"/>
      <c r="AA382" s="64"/>
      <c r="AB382" s="95"/>
      <c r="AC382" s="64"/>
      <c r="AD382" s="101" t="str">
        <f>IFERROR('BMP P Tracking Table'!$U382*VLOOKUP('BMP P Tracking Table'!$Q382,'Loading Rates'!$B$1:$L$24,4,FALSE)+IF('BMP P Tracking Table'!$V382="By HSG",'BMP P Tracking Table'!$W382*VLOOKUP('BMP P Tracking Table'!$Q382,'Loading Rates'!$B$1:$L$24,6,FALSE)+'BMP P Tracking Table'!$X382*VLOOKUP('BMP P Tracking Table'!$Q382,'Loading Rates'!$B$1:$L$24,7,FALSE)+'BMP P Tracking Table'!$Y382*VLOOKUP('BMP P Tracking Table'!$Q382,'Loading Rates'!$B$1:$L$24,8,FALSE)+'BMP P Tracking Table'!$Z382*VLOOKUP('BMP P Tracking Table'!$Q382,'Loading Rates'!$B$1:$L$24,9,FALSE),'BMP P Tracking Table'!$AA382*VLOOKUP('BMP P Tracking Table'!$Q382,'Loading Rates'!$B$1:$L$24,10,FALSE)),"")</f>
        <v/>
      </c>
      <c r="AE382" s="101" t="str">
        <f>IFERROR(MIN(2,IF('BMP P Tracking Table'!$V382="Total Pervious",(-(3630*'BMP P Tracking Table'!$U382+20.691*'BMP P Tracking Table'!$AA382)+SQRT((3630*'BMP P Tracking Table'!$U382+20.691*'BMP P Tracking Table'!$AA382)^2-(4*(996.798*'BMP P Tracking Table'!$AA382)*-'BMP P Tracking Table'!$AB382)))/(2*(996.798*'BMP P Tracking Table'!$AA382)),IF(SUM('BMP P Tracking Table'!$W382:$Z382)=0,'BMP P Tracking Table'!$AB382/(-3630*'BMP P Tracking Table'!$U382),(-(3630*'BMP P Tracking Table'!$U382+20.691*'BMP P Tracking Table'!$Z382-216.711*'BMP P Tracking Table'!$Y382-83.853*'BMP P Tracking Table'!$X382-42.834*'BMP P Tracking Table'!$W382)+SQRT((3630*'BMP P Tracking Table'!$U382+20.691*'BMP P Tracking Table'!$Z382-216.711*'BMP P Tracking Table'!$Y382-83.853*'BMP P Tracking Table'!$X382-42.834*'BMP P Tracking Table'!$W382)^2-(4*(149.919*'BMP P Tracking Table'!$W382+236.676*'BMP P Tracking Table'!$X382+726*'BMP P Tracking Table'!$Y382+996.798*'BMP P Tracking Table'!$Z382)*-'BMP P Tracking Table'!$AB382)))/(2*(149.919*'BMP P Tracking Table'!$W382+236.676*'BMP P Tracking Table'!$X382+726*'BMP P Tracking Table'!$Y382+996.798*'BMP P Tracking Table'!$Z382))))),"")</f>
        <v/>
      </c>
      <c r="AF382" s="101" t="str">
        <f>IFERROR((VLOOKUP(CONCATENATE('BMP P Tracking Table'!$T382," ",'BMP P Tracking Table'!$AC382),'Performance Curves'!$C$1:$L$45,MATCH('BMP P Tracking Table'!$AE382,'Performance Curves'!$E$1:$L$1,1)+2,FALSE)-VLOOKUP(CONCATENATE('BMP P Tracking Table'!$T382," ",'BMP P Tracking Table'!$AC382),'Performance Curves'!$C$1:$L$45,MATCH('BMP P Tracking Table'!$AE382,'Performance Curves'!$E$1:$L$1,1)+1,FALSE)),"")</f>
        <v/>
      </c>
      <c r="AG382" s="101" t="str">
        <f>IFERROR(('BMP P Tracking Table'!$AE382-INDEX('Performance Curves'!$E$1:$L$1,1,MATCH('BMP P Tracking Table'!$AE382,'Performance Curves'!$E$1:$L$1,1)))/(INDEX('Performance Curves'!$E$1:$L$1,1,MATCH('BMP P Tracking Table'!$AE382,'Performance Curves'!$E$1:$L$1,1)+1)-INDEX('Performance Curves'!$E$1:$L$1,1,MATCH('BMP P Tracking Table'!$AE382,'Performance Curves'!$E$1:$L$1,1))),"")</f>
        <v/>
      </c>
      <c r="AH382" s="102" t="str">
        <f>IFERROR(IF('BMP P Tracking Table'!$AE382=2,VLOOKUP(CONCATENATE('BMP P Tracking Table'!$T382," ",'BMP P Tracking Table'!$AC382),'Performance Curves'!$C$1:$L$45,MATCH('BMP P Tracking Table'!$AE382,'Performance Curves'!$E$1:$L$1,1)+1,FALSE),'BMP P Tracking Table'!$AF382*'BMP P Tracking Table'!$AG382+VLOOKUP(CONCATENATE('BMP P Tracking Table'!$T382," ",'BMP P Tracking Table'!$AC382),'Performance Curves'!$C$1:$L$45,MATCH('BMP P Tracking Table'!$AE382,'Performance Curves'!$E$1:$L$1,1)+1,FALSE)),"")</f>
        <v/>
      </c>
      <c r="AI382" s="101" t="str">
        <f>IFERROR('BMP P Tracking Table'!$AH382*'BMP P Tracking Table'!$AD382,"")</f>
        <v/>
      </c>
      <c r="AJ382" s="64"/>
      <c r="AK382" s="96"/>
      <c r="AL382" s="96"/>
      <c r="AM382" s="63"/>
      <c r="AN382" s="99" t="str">
        <f t="shared" si="22"/>
        <v/>
      </c>
      <c r="AO382" s="96"/>
      <c r="AP382" s="96"/>
      <c r="AQ382" s="96"/>
      <c r="AR382" s="96"/>
      <c r="AS382" s="96"/>
      <c r="AT382" s="96"/>
      <c r="AU382" s="96"/>
      <c r="AV382" s="64"/>
      <c r="AW382" s="97"/>
      <c r="AX382" s="97"/>
      <c r="AY382" s="101" t="str">
        <f>IF('BMP P Tracking Table'!$AK382="Yes",IF('BMP P Tracking Table'!$AL382="No",'BMP P Tracking Table'!$U382*VLOOKUP('BMP P Tracking Table'!$Q382,'Loading Rates'!$B$1:$L$24,4,FALSE)+IF('BMP P Tracking Table'!$V382="By HSG",'BMP P Tracking Table'!$W382*VLOOKUP('BMP P Tracking Table'!$Q382,'Loading Rates'!$B$1:$L$24,6,FALSE)+'BMP P Tracking Table'!$X382*VLOOKUP('BMP P Tracking Table'!$Q382,'Loading Rates'!$B$1:$L$24,7,FALSE)+'BMP P Tracking Table'!$Y382*VLOOKUP('BMP P Tracking Table'!$Q382,'Loading Rates'!$B$1:$L$24,8,FALSE)+'BMP P Tracking Table'!$Z382*VLOOKUP('BMP P Tracking Table'!$Q382,'Loading Rates'!$B$1:$L$24,9,FALSE),'BMP P Tracking Table'!$AA382*VLOOKUP('BMP P Tracking Table'!$Q382,'Loading Rates'!$B$1:$L$24,10,FALSE)),'BMP P Tracking Table'!$AO382*VLOOKUP('BMP P Tracking Table'!$Q382,'Loading Rates'!$B$1:$L$24,4,FALSE)+IF('BMP P Tracking Table'!$AP382="By HSG",'BMP P Tracking Table'!$AQ382*VLOOKUP('BMP P Tracking Table'!$Q382,'Loading Rates'!$B$1:$L$24,6,FALSE)+'BMP P Tracking Table'!$AR382*VLOOKUP('BMP P Tracking Table'!$Q382,'Loading Rates'!$B$1:$L$24,7,FALSE)+'BMP P Tracking Table'!$AS382*VLOOKUP('BMP P Tracking Table'!$Q382,'Loading Rates'!$B$1:$L$24,8,FALSE)+'BMP P Tracking Table'!$AT382*VLOOKUP('BMP P Tracking Table'!$Q382,'Loading Rates'!$B$1:$L$24,9,FALSE),'BMP P Tracking Table'!$AU382*VLOOKUP('BMP P Tracking Table'!$Q382,'Loading Rates'!$B$1:$L$24,10,FALSE))),"")</f>
        <v/>
      </c>
      <c r="AZ382" s="101" t="str">
        <f>IFERROR(IF('BMP P Tracking Table'!$AL382="Yes",MIN(2,IF('BMP P Tracking Table'!$AP382="Total Pervious",(-(3630*'BMP P Tracking Table'!$AO382+20.691*'BMP P Tracking Table'!$AU382)+SQRT((3630*'BMP P Tracking Table'!$AO382+20.691*'BMP P Tracking Table'!$AU382)^2-(4*(996.798*'BMP P Tracking Table'!$AU382)*-'BMP P Tracking Table'!$AW382)))/(2*(996.798*'BMP P Tracking Table'!$AU382)),IF(SUM('BMP P Tracking Table'!$AQ382:$AT382)=0,'BMP P Tracking Table'!$AU382/(-3630*'BMP P Tracking Table'!$AO382),(-(3630*'BMP P Tracking Table'!$AO382+20.691*'BMP P Tracking Table'!$AT382-216.711*'BMP P Tracking Table'!$AS382-83.853*'BMP P Tracking Table'!$AR382-42.834*'BMP P Tracking Table'!$AQ382)+SQRT((3630*'BMP P Tracking Table'!$AO382+20.691*'BMP P Tracking Table'!$AT382-216.711*'BMP P Tracking Table'!$AS382-83.853*'BMP P Tracking Table'!$AR382-42.834*'BMP P Tracking Table'!$AQ382)^2-(4*(149.919*'BMP P Tracking Table'!$AQ382+236.676*'BMP P Tracking Table'!$AR382+726*'BMP P Tracking Table'!$AS382+996.798*'BMP P Tracking Table'!$AT382)*-'BMP P Tracking Table'!$AW382)))/(2*(149.919*'BMP P Tracking Table'!$AQ382+236.676*'BMP P Tracking Table'!$AR382+726*'BMP P Tracking Table'!$AS382+996.798*'BMP P Tracking Table'!$AT382))))),MIN(2,IF('BMP P Tracking Table'!$AP382="Total Pervious",(-(3630*'BMP P Tracking Table'!$U382+20.691*'BMP P Tracking Table'!$AA382)+SQRT((3630*'BMP P Tracking Table'!$U382+20.691*'BMP P Tracking Table'!$AA382)^2-(4*(996.798*'BMP P Tracking Table'!$AA382)*-'BMP P Tracking Table'!$AW382)))/(2*(996.798*'BMP P Tracking Table'!$AA382)),IF(SUM('BMP P Tracking Table'!$W382:$Z382)=0,'BMP P Tracking Table'!$AW382/(-3630*'BMP P Tracking Table'!$U382),(-(3630*'BMP P Tracking Table'!$U382+20.691*'BMP P Tracking Table'!$Z382-216.711*'BMP P Tracking Table'!$Y382-83.853*'BMP P Tracking Table'!$X382-42.834*'BMP P Tracking Table'!$W382)+SQRT((3630*'BMP P Tracking Table'!$U382+20.691*'BMP P Tracking Table'!$Z382-216.711*'BMP P Tracking Table'!$Y382-83.853*'BMP P Tracking Table'!$X382-42.834*'BMP P Tracking Table'!$W382)^2-(4*(149.919*'BMP P Tracking Table'!$W382+236.676*'BMP P Tracking Table'!$X382+726*'BMP P Tracking Table'!$Y382+996.798*'BMP P Tracking Table'!$Z382)*-'BMP P Tracking Table'!$AW382)))/(2*(149.919*'BMP P Tracking Table'!$W382+236.676*'BMP P Tracking Table'!$X382+726*'BMP P Tracking Table'!$Y382+996.798*'BMP P Tracking Table'!$Z382)))))),"")</f>
        <v/>
      </c>
      <c r="BA382" s="101" t="str">
        <f>IFERROR((VLOOKUP(CONCATENATE('BMP P Tracking Table'!$AV382," ",'BMP P Tracking Table'!$AX382),'Performance Curves'!$C$1:$L$45,MATCH('BMP P Tracking Table'!$AZ382,'Performance Curves'!$E$1:$L$1,1)+2,FALSE)-VLOOKUP(CONCATENATE('BMP P Tracking Table'!$AV382," ",'BMP P Tracking Table'!$AX382),'Performance Curves'!$C$1:$L$45,MATCH('BMP P Tracking Table'!$AZ382,'Performance Curves'!$E$1:$L$1,1)+1,FALSE)),"")</f>
        <v/>
      </c>
      <c r="BB382" s="101" t="str">
        <f>IFERROR(('BMP P Tracking Table'!$AZ382-INDEX('Performance Curves'!$E$1:$L$1,1,MATCH('BMP P Tracking Table'!$AZ382,'Performance Curves'!$E$1:$L$1,1)))/(INDEX('Performance Curves'!$E$1:$L$1,1,MATCH('BMP P Tracking Table'!$AZ382,'Performance Curves'!$E$1:$L$1,1)+1)-INDEX('Performance Curves'!$E$1:$L$1,1,MATCH('BMP P Tracking Table'!$AZ382,'Performance Curves'!$E$1:$L$1,1))),"")</f>
        <v/>
      </c>
      <c r="BC382" s="102" t="str">
        <f>IFERROR(IF('BMP P Tracking Table'!$AZ382=2,VLOOKUP(CONCATENATE('BMP P Tracking Table'!$AV382," ",'BMP P Tracking Table'!$AX382),'Performance Curves'!$C$1:$L$44,MATCH('BMP P Tracking Table'!$AZ382,'Performance Curves'!$E$1:$L$1,1)+1,FALSE),'BMP P Tracking Table'!$BA382*'BMP P Tracking Table'!$BB382+VLOOKUP(CONCATENATE('BMP P Tracking Table'!$AV382," ",'BMP P Tracking Table'!$AX382),'Performance Curves'!$C$1:$L$44,MATCH('BMP P Tracking Table'!$AZ382,'Performance Curves'!$E$1:$L$1,1)+1,FALSE)),"")</f>
        <v/>
      </c>
      <c r="BD382" s="101" t="str">
        <f>IFERROR('BMP P Tracking Table'!$BC382*'BMP P Tracking Table'!$AY382,"")</f>
        <v/>
      </c>
      <c r="BE382" s="96"/>
      <c r="BF382" s="37">
        <f t="shared" si="23"/>
        <v>0</v>
      </c>
    </row>
    <row r="383" spans="1:58" x14ac:dyDescent="0.3">
      <c r="A383" s="64"/>
      <c r="B383" s="64"/>
      <c r="C383" s="64"/>
      <c r="D383" s="64"/>
      <c r="E383" s="93"/>
      <c r="F383" s="93"/>
      <c r="G383" s="64"/>
      <c r="H383" s="64"/>
      <c r="I383" s="64"/>
      <c r="J383" s="94"/>
      <c r="K383" s="64"/>
      <c r="L383" s="64"/>
      <c r="M383" s="64"/>
      <c r="N383" s="64"/>
      <c r="O383" s="64"/>
      <c r="P383" s="64"/>
      <c r="Q383" s="64" t="str">
        <f>IFERROR(VLOOKUP('BMP P Tracking Table'!$P383,Dropdowns!$C$2:$E$15,3,FALSE),"")</f>
        <v/>
      </c>
      <c r="R383" s="64" t="str">
        <f>IFERROR(VLOOKUP('BMP P Tracking Table'!$Q383,Dropdowns!$P$3:$Q$23,2,FALSE),"")</f>
        <v/>
      </c>
      <c r="S383" s="64"/>
      <c r="T383" s="64"/>
      <c r="U383" s="64"/>
      <c r="V383" s="64"/>
      <c r="W383" s="64"/>
      <c r="X383" s="64"/>
      <c r="Y383" s="64"/>
      <c r="Z383" s="64"/>
      <c r="AA383" s="64"/>
      <c r="AB383" s="95"/>
      <c r="AC383" s="64"/>
      <c r="AD383" s="101" t="str">
        <f>IFERROR('BMP P Tracking Table'!$U383*VLOOKUP('BMP P Tracking Table'!$Q383,'Loading Rates'!$B$1:$L$24,4,FALSE)+IF('BMP P Tracking Table'!$V383="By HSG",'BMP P Tracking Table'!$W383*VLOOKUP('BMP P Tracking Table'!$Q383,'Loading Rates'!$B$1:$L$24,6,FALSE)+'BMP P Tracking Table'!$X383*VLOOKUP('BMP P Tracking Table'!$Q383,'Loading Rates'!$B$1:$L$24,7,FALSE)+'BMP P Tracking Table'!$Y383*VLOOKUP('BMP P Tracking Table'!$Q383,'Loading Rates'!$B$1:$L$24,8,FALSE)+'BMP P Tracking Table'!$Z383*VLOOKUP('BMP P Tracking Table'!$Q383,'Loading Rates'!$B$1:$L$24,9,FALSE),'BMP P Tracking Table'!$AA383*VLOOKUP('BMP P Tracking Table'!$Q383,'Loading Rates'!$B$1:$L$24,10,FALSE)),"")</f>
        <v/>
      </c>
      <c r="AE383" s="101" t="str">
        <f>IFERROR(MIN(2,IF('BMP P Tracking Table'!$V383="Total Pervious",(-(3630*'BMP P Tracking Table'!$U383+20.691*'BMP P Tracking Table'!$AA383)+SQRT((3630*'BMP P Tracking Table'!$U383+20.691*'BMP P Tracking Table'!$AA383)^2-(4*(996.798*'BMP P Tracking Table'!$AA383)*-'BMP P Tracking Table'!$AB383)))/(2*(996.798*'BMP P Tracking Table'!$AA383)),IF(SUM('BMP P Tracking Table'!$W383:$Z383)=0,'BMP P Tracking Table'!$AB383/(-3630*'BMP P Tracking Table'!$U383),(-(3630*'BMP P Tracking Table'!$U383+20.691*'BMP P Tracking Table'!$Z383-216.711*'BMP P Tracking Table'!$Y383-83.853*'BMP P Tracking Table'!$X383-42.834*'BMP P Tracking Table'!$W383)+SQRT((3630*'BMP P Tracking Table'!$U383+20.691*'BMP P Tracking Table'!$Z383-216.711*'BMP P Tracking Table'!$Y383-83.853*'BMP P Tracking Table'!$X383-42.834*'BMP P Tracking Table'!$W383)^2-(4*(149.919*'BMP P Tracking Table'!$W383+236.676*'BMP P Tracking Table'!$X383+726*'BMP P Tracking Table'!$Y383+996.798*'BMP P Tracking Table'!$Z383)*-'BMP P Tracking Table'!$AB383)))/(2*(149.919*'BMP P Tracking Table'!$W383+236.676*'BMP P Tracking Table'!$X383+726*'BMP P Tracking Table'!$Y383+996.798*'BMP P Tracking Table'!$Z383))))),"")</f>
        <v/>
      </c>
      <c r="AF383" s="101" t="str">
        <f>IFERROR((VLOOKUP(CONCATENATE('BMP P Tracking Table'!$T383," ",'BMP P Tracking Table'!$AC383),'Performance Curves'!$C$1:$L$45,MATCH('BMP P Tracking Table'!$AE383,'Performance Curves'!$E$1:$L$1,1)+2,FALSE)-VLOOKUP(CONCATENATE('BMP P Tracking Table'!$T383," ",'BMP P Tracking Table'!$AC383),'Performance Curves'!$C$1:$L$45,MATCH('BMP P Tracking Table'!$AE383,'Performance Curves'!$E$1:$L$1,1)+1,FALSE)),"")</f>
        <v/>
      </c>
      <c r="AG383" s="101" t="str">
        <f>IFERROR(('BMP P Tracking Table'!$AE383-INDEX('Performance Curves'!$E$1:$L$1,1,MATCH('BMP P Tracking Table'!$AE383,'Performance Curves'!$E$1:$L$1,1)))/(INDEX('Performance Curves'!$E$1:$L$1,1,MATCH('BMP P Tracking Table'!$AE383,'Performance Curves'!$E$1:$L$1,1)+1)-INDEX('Performance Curves'!$E$1:$L$1,1,MATCH('BMP P Tracking Table'!$AE383,'Performance Curves'!$E$1:$L$1,1))),"")</f>
        <v/>
      </c>
      <c r="AH383" s="102" t="str">
        <f>IFERROR(IF('BMP P Tracking Table'!$AE383=2,VLOOKUP(CONCATENATE('BMP P Tracking Table'!$T383," ",'BMP P Tracking Table'!$AC383),'Performance Curves'!$C$1:$L$45,MATCH('BMP P Tracking Table'!$AE383,'Performance Curves'!$E$1:$L$1,1)+1,FALSE),'BMP P Tracking Table'!$AF383*'BMP P Tracking Table'!$AG383+VLOOKUP(CONCATENATE('BMP P Tracking Table'!$T383," ",'BMP P Tracking Table'!$AC383),'Performance Curves'!$C$1:$L$45,MATCH('BMP P Tracking Table'!$AE383,'Performance Curves'!$E$1:$L$1,1)+1,FALSE)),"")</f>
        <v/>
      </c>
      <c r="AI383" s="101" t="str">
        <f>IFERROR('BMP P Tracking Table'!$AH383*'BMP P Tracking Table'!$AD383,"")</f>
        <v/>
      </c>
      <c r="AJ383" s="64"/>
      <c r="AK383" s="96"/>
      <c r="AL383" s="96"/>
      <c r="AM383" s="63"/>
      <c r="AN383" s="99" t="str">
        <f t="shared" si="22"/>
        <v/>
      </c>
      <c r="AO383" s="96"/>
      <c r="AP383" s="96"/>
      <c r="AQ383" s="96"/>
      <c r="AR383" s="96"/>
      <c r="AS383" s="96"/>
      <c r="AT383" s="96"/>
      <c r="AU383" s="96"/>
      <c r="AV383" s="64"/>
      <c r="AW383" s="97"/>
      <c r="AX383" s="97"/>
      <c r="AY383" s="101" t="str">
        <f>IF('BMP P Tracking Table'!$AK383="Yes",IF('BMP P Tracking Table'!$AL383="No",'BMP P Tracking Table'!$U383*VLOOKUP('BMP P Tracking Table'!$Q383,'Loading Rates'!$B$1:$L$24,4,FALSE)+IF('BMP P Tracking Table'!$V383="By HSG",'BMP P Tracking Table'!$W383*VLOOKUP('BMP P Tracking Table'!$Q383,'Loading Rates'!$B$1:$L$24,6,FALSE)+'BMP P Tracking Table'!$X383*VLOOKUP('BMP P Tracking Table'!$Q383,'Loading Rates'!$B$1:$L$24,7,FALSE)+'BMP P Tracking Table'!$Y383*VLOOKUP('BMP P Tracking Table'!$Q383,'Loading Rates'!$B$1:$L$24,8,FALSE)+'BMP P Tracking Table'!$Z383*VLOOKUP('BMP P Tracking Table'!$Q383,'Loading Rates'!$B$1:$L$24,9,FALSE),'BMP P Tracking Table'!$AA383*VLOOKUP('BMP P Tracking Table'!$Q383,'Loading Rates'!$B$1:$L$24,10,FALSE)),'BMP P Tracking Table'!$AO383*VLOOKUP('BMP P Tracking Table'!$Q383,'Loading Rates'!$B$1:$L$24,4,FALSE)+IF('BMP P Tracking Table'!$AP383="By HSG",'BMP P Tracking Table'!$AQ383*VLOOKUP('BMP P Tracking Table'!$Q383,'Loading Rates'!$B$1:$L$24,6,FALSE)+'BMP P Tracking Table'!$AR383*VLOOKUP('BMP P Tracking Table'!$Q383,'Loading Rates'!$B$1:$L$24,7,FALSE)+'BMP P Tracking Table'!$AS383*VLOOKUP('BMP P Tracking Table'!$Q383,'Loading Rates'!$B$1:$L$24,8,FALSE)+'BMP P Tracking Table'!$AT383*VLOOKUP('BMP P Tracking Table'!$Q383,'Loading Rates'!$B$1:$L$24,9,FALSE),'BMP P Tracking Table'!$AU383*VLOOKUP('BMP P Tracking Table'!$Q383,'Loading Rates'!$B$1:$L$24,10,FALSE))),"")</f>
        <v/>
      </c>
      <c r="AZ383" s="101" t="str">
        <f>IFERROR(IF('BMP P Tracking Table'!$AL383="Yes",MIN(2,IF('BMP P Tracking Table'!$AP383="Total Pervious",(-(3630*'BMP P Tracking Table'!$AO383+20.691*'BMP P Tracking Table'!$AU383)+SQRT((3630*'BMP P Tracking Table'!$AO383+20.691*'BMP P Tracking Table'!$AU383)^2-(4*(996.798*'BMP P Tracking Table'!$AU383)*-'BMP P Tracking Table'!$AW383)))/(2*(996.798*'BMP P Tracking Table'!$AU383)),IF(SUM('BMP P Tracking Table'!$AQ383:$AT383)=0,'BMP P Tracking Table'!$AU383/(-3630*'BMP P Tracking Table'!$AO383),(-(3630*'BMP P Tracking Table'!$AO383+20.691*'BMP P Tracking Table'!$AT383-216.711*'BMP P Tracking Table'!$AS383-83.853*'BMP P Tracking Table'!$AR383-42.834*'BMP P Tracking Table'!$AQ383)+SQRT((3630*'BMP P Tracking Table'!$AO383+20.691*'BMP P Tracking Table'!$AT383-216.711*'BMP P Tracking Table'!$AS383-83.853*'BMP P Tracking Table'!$AR383-42.834*'BMP P Tracking Table'!$AQ383)^2-(4*(149.919*'BMP P Tracking Table'!$AQ383+236.676*'BMP P Tracking Table'!$AR383+726*'BMP P Tracking Table'!$AS383+996.798*'BMP P Tracking Table'!$AT383)*-'BMP P Tracking Table'!$AW383)))/(2*(149.919*'BMP P Tracking Table'!$AQ383+236.676*'BMP P Tracking Table'!$AR383+726*'BMP P Tracking Table'!$AS383+996.798*'BMP P Tracking Table'!$AT383))))),MIN(2,IF('BMP P Tracking Table'!$AP383="Total Pervious",(-(3630*'BMP P Tracking Table'!$U383+20.691*'BMP P Tracking Table'!$AA383)+SQRT((3630*'BMP P Tracking Table'!$U383+20.691*'BMP P Tracking Table'!$AA383)^2-(4*(996.798*'BMP P Tracking Table'!$AA383)*-'BMP P Tracking Table'!$AW383)))/(2*(996.798*'BMP P Tracking Table'!$AA383)),IF(SUM('BMP P Tracking Table'!$W383:$Z383)=0,'BMP P Tracking Table'!$AW383/(-3630*'BMP P Tracking Table'!$U383),(-(3630*'BMP P Tracking Table'!$U383+20.691*'BMP P Tracking Table'!$Z383-216.711*'BMP P Tracking Table'!$Y383-83.853*'BMP P Tracking Table'!$X383-42.834*'BMP P Tracking Table'!$W383)+SQRT((3630*'BMP P Tracking Table'!$U383+20.691*'BMP P Tracking Table'!$Z383-216.711*'BMP P Tracking Table'!$Y383-83.853*'BMP P Tracking Table'!$X383-42.834*'BMP P Tracking Table'!$W383)^2-(4*(149.919*'BMP P Tracking Table'!$W383+236.676*'BMP P Tracking Table'!$X383+726*'BMP P Tracking Table'!$Y383+996.798*'BMP P Tracking Table'!$Z383)*-'BMP P Tracking Table'!$AW383)))/(2*(149.919*'BMP P Tracking Table'!$W383+236.676*'BMP P Tracking Table'!$X383+726*'BMP P Tracking Table'!$Y383+996.798*'BMP P Tracking Table'!$Z383)))))),"")</f>
        <v/>
      </c>
      <c r="BA383" s="101" t="str">
        <f>IFERROR((VLOOKUP(CONCATENATE('BMP P Tracking Table'!$AV383," ",'BMP P Tracking Table'!$AX383),'Performance Curves'!$C$1:$L$45,MATCH('BMP P Tracking Table'!$AZ383,'Performance Curves'!$E$1:$L$1,1)+2,FALSE)-VLOOKUP(CONCATENATE('BMP P Tracking Table'!$AV383," ",'BMP P Tracking Table'!$AX383),'Performance Curves'!$C$1:$L$45,MATCH('BMP P Tracking Table'!$AZ383,'Performance Curves'!$E$1:$L$1,1)+1,FALSE)),"")</f>
        <v/>
      </c>
      <c r="BB383" s="101" t="str">
        <f>IFERROR(('BMP P Tracking Table'!$AZ383-INDEX('Performance Curves'!$E$1:$L$1,1,MATCH('BMP P Tracking Table'!$AZ383,'Performance Curves'!$E$1:$L$1,1)))/(INDEX('Performance Curves'!$E$1:$L$1,1,MATCH('BMP P Tracking Table'!$AZ383,'Performance Curves'!$E$1:$L$1,1)+1)-INDEX('Performance Curves'!$E$1:$L$1,1,MATCH('BMP P Tracking Table'!$AZ383,'Performance Curves'!$E$1:$L$1,1))),"")</f>
        <v/>
      </c>
      <c r="BC383" s="102" t="str">
        <f>IFERROR(IF('BMP P Tracking Table'!$AZ383=2,VLOOKUP(CONCATENATE('BMP P Tracking Table'!$AV383," ",'BMP P Tracking Table'!$AX383),'Performance Curves'!$C$1:$L$44,MATCH('BMP P Tracking Table'!$AZ383,'Performance Curves'!$E$1:$L$1,1)+1,FALSE),'BMP P Tracking Table'!$BA383*'BMP P Tracking Table'!$BB383+VLOOKUP(CONCATENATE('BMP P Tracking Table'!$AV383," ",'BMP P Tracking Table'!$AX383),'Performance Curves'!$C$1:$L$44,MATCH('BMP P Tracking Table'!$AZ383,'Performance Curves'!$E$1:$L$1,1)+1,FALSE)),"")</f>
        <v/>
      </c>
      <c r="BD383" s="101" t="str">
        <f>IFERROR('BMP P Tracking Table'!$BC383*'BMP P Tracking Table'!$AY383,"")</f>
        <v/>
      </c>
      <c r="BE383" s="96"/>
      <c r="BF383" s="37">
        <f t="shared" si="23"/>
        <v>0</v>
      </c>
    </row>
    <row r="384" spans="1:58" x14ac:dyDescent="0.3">
      <c r="A384" s="64"/>
      <c r="B384" s="64"/>
      <c r="C384" s="64"/>
      <c r="D384" s="64"/>
      <c r="E384" s="93"/>
      <c r="F384" s="93"/>
      <c r="G384" s="64"/>
      <c r="H384" s="64"/>
      <c r="I384" s="64"/>
      <c r="J384" s="94"/>
      <c r="K384" s="64"/>
      <c r="L384" s="64"/>
      <c r="M384" s="64"/>
      <c r="N384" s="64"/>
      <c r="O384" s="64"/>
      <c r="P384" s="64"/>
      <c r="Q384" s="64" t="str">
        <f>IFERROR(VLOOKUP('BMP P Tracking Table'!$P384,Dropdowns!$C$2:$E$15,3,FALSE),"")</f>
        <v/>
      </c>
      <c r="R384" s="64" t="str">
        <f>IFERROR(VLOOKUP('BMP P Tracking Table'!$Q384,Dropdowns!$P$3:$Q$23,2,FALSE),"")</f>
        <v/>
      </c>
      <c r="S384" s="64"/>
      <c r="T384" s="64"/>
      <c r="U384" s="64"/>
      <c r="V384" s="64"/>
      <c r="W384" s="64"/>
      <c r="X384" s="64"/>
      <c r="Y384" s="64"/>
      <c r="Z384" s="64"/>
      <c r="AA384" s="64"/>
      <c r="AB384" s="95"/>
      <c r="AC384" s="64"/>
      <c r="AD384" s="101" t="str">
        <f>IFERROR('BMP P Tracking Table'!$U384*VLOOKUP('BMP P Tracking Table'!$Q384,'Loading Rates'!$B$1:$L$24,4,FALSE)+IF('BMP P Tracking Table'!$V384="By HSG",'BMP P Tracking Table'!$W384*VLOOKUP('BMP P Tracking Table'!$Q384,'Loading Rates'!$B$1:$L$24,6,FALSE)+'BMP P Tracking Table'!$X384*VLOOKUP('BMP P Tracking Table'!$Q384,'Loading Rates'!$B$1:$L$24,7,FALSE)+'BMP P Tracking Table'!$Y384*VLOOKUP('BMP P Tracking Table'!$Q384,'Loading Rates'!$B$1:$L$24,8,FALSE)+'BMP P Tracking Table'!$Z384*VLOOKUP('BMP P Tracking Table'!$Q384,'Loading Rates'!$B$1:$L$24,9,FALSE),'BMP P Tracking Table'!$AA384*VLOOKUP('BMP P Tracking Table'!$Q384,'Loading Rates'!$B$1:$L$24,10,FALSE)),"")</f>
        <v/>
      </c>
      <c r="AE384" s="101" t="str">
        <f>IFERROR(MIN(2,IF('BMP P Tracking Table'!$V384="Total Pervious",(-(3630*'BMP P Tracking Table'!$U384+20.691*'BMP P Tracking Table'!$AA384)+SQRT((3630*'BMP P Tracking Table'!$U384+20.691*'BMP P Tracking Table'!$AA384)^2-(4*(996.798*'BMP P Tracking Table'!$AA384)*-'BMP P Tracking Table'!$AB384)))/(2*(996.798*'BMP P Tracking Table'!$AA384)),IF(SUM('BMP P Tracking Table'!$W384:$Z384)=0,'BMP P Tracking Table'!$AB384/(-3630*'BMP P Tracking Table'!$U384),(-(3630*'BMP P Tracking Table'!$U384+20.691*'BMP P Tracking Table'!$Z384-216.711*'BMP P Tracking Table'!$Y384-83.853*'BMP P Tracking Table'!$X384-42.834*'BMP P Tracking Table'!$W384)+SQRT((3630*'BMP P Tracking Table'!$U384+20.691*'BMP P Tracking Table'!$Z384-216.711*'BMP P Tracking Table'!$Y384-83.853*'BMP P Tracking Table'!$X384-42.834*'BMP P Tracking Table'!$W384)^2-(4*(149.919*'BMP P Tracking Table'!$W384+236.676*'BMP P Tracking Table'!$X384+726*'BMP P Tracking Table'!$Y384+996.798*'BMP P Tracking Table'!$Z384)*-'BMP P Tracking Table'!$AB384)))/(2*(149.919*'BMP P Tracking Table'!$W384+236.676*'BMP P Tracking Table'!$X384+726*'BMP P Tracking Table'!$Y384+996.798*'BMP P Tracking Table'!$Z384))))),"")</f>
        <v/>
      </c>
      <c r="AF384" s="101" t="str">
        <f>IFERROR((VLOOKUP(CONCATENATE('BMP P Tracking Table'!$T384," ",'BMP P Tracking Table'!$AC384),'Performance Curves'!$C$1:$L$45,MATCH('BMP P Tracking Table'!$AE384,'Performance Curves'!$E$1:$L$1,1)+2,FALSE)-VLOOKUP(CONCATENATE('BMP P Tracking Table'!$T384," ",'BMP P Tracking Table'!$AC384),'Performance Curves'!$C$1:$L$45,MATCH('BMP P Tracking Table'!$AE384,'Performance Curves'!$E$1:$L$1,1)+1,FALSE)),"")</f>
        <v/>
      </c>
      <c r="AG384" s="101" t="str">
        <f>IFERROR(('BMP P Tracking Table'!$AE384-INDEX('Performance Curves'!$E$1:$L$1,1,MATCH('BMP P Tracking Table'!$AE384,'Performance Curves'!$E$1:$L$1,1)))/(INDEX('Performance Curves'!$E$1:$L$1,1,MATCH('BMP P Tracking Table'!$AE384,'Performance Curves'!$E$1:$L$1,1)+1)-INDEX('Performance Curves'!$E$1:$L$1,1,MATCH('BMP P Tracking Table'!$AE384,'Performance Curves'!$E$1:$L$1,1))),"")</f>
        <v/>
      </c>
      <c r="AH384" s="102" t="str">
        <f>IFERROR(IF('BMP P Tracking Table'!$AE384=2,VLOOKUP(CONCATENATE('BMP P Tracking Table'!$T384," ",'BMP P Tracking Table'!$AC384),'Performance Curves'!$C$1:$L$45,MATCH('BMP P Tracking Table'!$AE384,'Performance Curves'!$E$1:$L$1,1)+1,FALSE),'BMP P Tracking Table'!$AF384*'BMP P Tracking Table'!$AG384+VLOOKUP(CONCATENATE('BMP P Tracking Table'!$T384," ",'BMP P Tracking Table'!$AC384),'Performance Curves'!$C$1:$L$45,MATCH('BMP P Tracking Table'!$AE384,'Performance Curves'!$E$1:$L$1,1)+1,FALSE)),"")</f>
        <v/>
      </c>
      <c r="AI384" s="101" t="str">
        <f>IFERROR('BMP P Tracking Table'!$AH384*'BMP P Tracking Table'!$AD384,"")</f>
        <v/>
      </c>
      <c r="AJ384" s="64"/>
      <c r="AK384" s="96"/>
      <c r="AL384" s="96"/>
      <c r="AM384" s="63"/>
      <c r="AN384" s="99" t="str">
        <f t="shared" si="22"/>
        <v/>
      </c>
      <c r="AO384" s="96"/>
      <c r="AP384" s="96"/>
      <c r="AQ384" s="96"/>
      <c r="AR384" s="96"/>
      <c r="AS384" s="96"/>
      <c r="AT384" s="96"/>
      <c r="AU384" s="96"/>
      <c r="AV384" s="64"/>
      <c r="AW384" s="97"/>
      <c r="AX384" s="97"/>
      <c r="AY384" s="101" t="str">
        <f>IF('BMP P Tracking Table'!$AK384="Yes",IF('BMP P Tracking Table'!$AL384="No",'BMP P Tracking Table'!$U384*VLOOKUP('BMP P Tracking Table'!$Q384,'Loading Rates'!$B$1:$L$24,4,FALSE)+IF('BMP P Tracking Table'!$V384="By HSG",'BMP P Tracking Table'!$W384*VLOOKUP('BMP P Tracking Table'!$Q384,'Loading Rates'!$B$1:$L$24,6,FALSE)+'BMP P Tracking Table'!$X384*VLOOKUP('BMP P Tracking Table'!$Q384,'Loading Rates'!$B$1:$L$24,7,FALSE)+'BMP P Tracking Table'!$Y384*VLOOKUP('BMP P Tracking Table'!$Q384,'Loading Rates'!$B$1:$L$24,8,FALSE)+'BMP P Tracking Table'!$Z384*VLOOKUP('BMP P Tracking Table'!$Q384,'Loading Rates'!$B$1:$L$24,9,FALSE),'BMP P Tracking Table'!$AA384*VLOOKUP('BMP P Tracking Table'!$Q384,'Loading Rates'!$B$1:$L$24,10,FALSE)),'BMP P Tracking Table'!$AO384*VLOOKUP('BMP P Tracking Table'!$Q384,'Loading Rates'!$B$1:$L$24,4,FALSE)+IF('BMP P Tracking Table'!$AP384="By HSG",'BMP P Tracking Table'!$AQ384*VLOOKUP('BMP P Tracking Table'!$Q384,'Loading Rates'!$B$1:$L$24,6,FALSE)+'BMP P Tracking Table'!$AR384*VLOOKUP('BMP P Tracking Table'!$Q384,'Loading Rates'!$B$1:$L$24,7,FALSE)+'BMP P Tracking Table'!$AS384*VLOOKUP('BMP P Tracking Table'!$Q384,'Loading Rates'!$B$1:$L$24,8,FALSE)+'BMP P Tracking Table'!$AT384*VLOOKUP('BMP P Tracking Table'!$Q384,'Loading Rates'!$B$1:$L$24,9,FALSE),'BMP P Tracking Table'!$AU384*VLOOKUP('BMP P Tracking Table'!$Q384,'Loading Rates'!$B$1:$L$24,10,FALSE))),"")</f>
        <v/>
      </c>
      <c r="AZ384" s="101" t="str">
        <f>IFERROR(IF('BMP P Tracking Table'!$AL384="Yes",MIN(2,IF('BMP P Tracking Table'!$AP384="Total Pervious",(-(3630*'BMP P Tracking Table'!$AO384+20.691*'BMP P Tracking Table'!$AU384)+SQRT((3630*'BMP P Tracking Table'!$AO384+20.691*'BMP P Tracking Table'!$AU384)^2-(4*(996.798*'BMP P Tracking Table'!$AU384)*-'BMP P Tracking Table'!$AW384)))/(2*(996.798*'BMP P Tracking Table'!$AU384)),IF(SUM('BMP P Tracking Table'!$AQ384:$AT384)=0,'BMP P Tracking Table'!$AU384/(-3630*'BMP P Tracking Table'!$AO384),(-(3630*'BMP P Tracking Table'!$AO384+20.691*'BMP P Tracking Table'!$AT384-216.711*'BMP P Tracking Table'!$AS384-83.853*'BMP P Tracking Table'!$AR384-42.834*'BMP P Tracking Table'!$AQ384)+SQRT((3630*'BMP P Tracking Table'!$AO384+20.691*'BMP P Tracking Table'!$AT384-216.711*'BMP P Tracking Table'!$AS384-83.853*'BMP P Tracking Table'!$AR384-42.834*'BMP P Tracking Table'!$AQ384)^2-(4*(149.919*'BMP P Tracking Table'!$AQ384+236.676*'BMP P Tracking Table'!$AR384+726*'BMP P Tracking Table'!$AS384+996.798*'BMP P Tracking Table'!$AT384)*-'BMP P Tracking Table'!$AW384)))/(2*(149.919*'BMP P Tracking Table'!$AQ384+236.676*'BMP P Tracking Table'!$AR384+726*'BMP P Tracking Table'!$AS384+996.798*'BMP P Tracking Table'!$AT384))))),MIN(2,IF('BMP P Tracking Table'!$AP384="Total Pervious",(-(3630*'BMP P Tracking Table'!$U384+20.691*'BMP P Tracking Table'!$AA384)+SQRT((3630*'BMP P Tracking Table'!$U384+20.691*'BMP P Tracking Table'!$AA384)^2-(4*(996.798*'BMP P Tracking Table'!$AA384)*-'BMP P Tracking Table'!$AW384)))/(2*(996.798*'BMP P Tracking Table'!$AA384)),IF(SUM('BMP P Tracking Table'!$W384:$Z384)=0,'BMP P Tracking Table'!$AW384/(-3630*'BMP P Tracking Table'!$U384),(-(3630*'BMP P Tracking Table'!$U384+20.691*'BMP P Tracking Table'!$Z384-216.711*'BMP P Tracking Table'!$Y384-83.853*'BMP P Tracking Table'!$X384-42.834*'BMP P Tracking Table'!$W384)+SQRT((3630*'BMP P Tracking Table'!$U384+20.691*'BMP P Tracking Table'!$Z384-216.711*'BMP P Tracking Table'!$Y384-83.853*'BMP P Tracking Table'!$X384-42.834*'BMP P Tracking Table'!$W384)^2-(4*(149.919*'BMP P Tracking Table'!$W384+236.676*'BMP P Tracking Table'!$X384+726*'BMP P Tracking Table'!$Y384+996.798*'BMP P Tracking Table'!$Z384)*-'BMP P Tracking Table'!$AW384)))/(2*(149.919*'BMP P Tracking Table'!$W384+236.676*'BMP P Tracking Table'!$X384+726*'BMP P Tracking Table'!$Y384+996.798*'BMP P Tracking Table'!$Z384)))))),"")</f>
        <v/>
      </c>
      <c r="BA384" s="101" t="str">
        <f>IFERROR((VLOOKUP(CONCATENATE('BMP P Tracking Table'!$AV384," ",'BMP P Tracking Table'!$AX384),'Performance Curves'!$C$1:$L$45,MATCH('BMP P Tracking Table'!$AZ384,'Performance Curves'!$E$1:$L$1,1)+2,FALSE)-VLOOKUP(CONCATENATE('BMP P Tracking Table'!$AV384," ",'BMP P Tracking Table'!$AX384),'Performance Curves'!$C$1:$L$45,MATCH('BMP P Tracking Table'!$AZ384,'Performance Curves'!$E$1:$L$1,1)+1,FALSE)),"")</f>
        <v/>
      </c>
      <c r="BB384" s="101" t="str">
        <f>IFERROR(('BMP P Tracking Table'!$AZ384-INDEX('Performance Curves'!$E$1:$L$1,1,MATCH('BMP P Tracking Table'!$AZ384,'Performance Curves'!$E$1:$L$1,1)))/(INDEX('Performance Curves'!$E$1:$L$1,1,MATCH('BMP P Tracking Table'!$AZ384,'Performance Curves'!$E$1:$L$1,1)+1)-INDEX('Performance Curves'!$E$1:$L$1,1,MATCH('BMP P Tracking Table'!$AZ384,'Performance Curves'!$E$1:$L$1,1))),"")</f>
        <v/>
      </c>
      <c r="BC384" s="102" t="str">
        <f>IFERROR(IF('BMP P Tracking Table'!$AZ384=2,VLOOKUP(CONCATENATE('BMP P Tracking Table'!$AV384," ",'BMP P Tracking Table'!$AX384),'Performance Curves'!$C$1:$L$44,MATCH('BMP P Tracking Table'!$AZ384,'Performance Curves'!$E$1:$L$1,1)+1,FALSE),'BMP P Tracking Table'!$BA384*'BMP P Tracking Table'!$BB384+VLOOKUP(CONCATENATE('BMP P Tracking Table'!$AV384," ",'BMP P Tracking Table'!$AX384),'Performance Curves'!$C$1:$L$44,MATCH('BMP P Tracking Table'!$AZ384,'Performance Curves'!$E$1:$L$1,1)+1,FALSE)),"")</f>
        <v/>
      </c>
      <c r="BD384" s="101" t="str">
        <f>IFERROR('BMP P Tracking Table'!$BC384*'BMP P Tracking Table'!$AY384,"")</f>
        <v/>
      </c>
      <c r="BE384" s="96"/>
      <c r="BF384" s="37">
        <f t="shared" si="23"/>
        <v>0</v>
      </c>
    </row>
    <row r="385" spans="1:58" x14ac:dyDescent="0.3">
      <c r="A385" s="64"/>
      <c r="B385" s="64"/>
      <c r="C385" s="64"/>
      <c r="D385" s="64"/>
      <c r="E385" s="93"/>
      <c r="F385" s="93"/>
      <c r="G385" s="64"/>
      <c r="H385" s="64"/>
      <c r="I385" s="64"/>
      <c r="J385" s="94"/>
      <c r="K385" s="64"/>
      <c r="L385" s="64"/>
      <c r="M385" s="64"/>
      <c r="N385" s="64"/>
      <c r="O385" s="64"/>
      <c r="P385" s="64"/>
      <c r="Q385" s="64" t="str">
        <f>IFERROR(VLOOKUP('BMP P Tracking Table'!$P385,Dropdowns!$C$2:$E$15,3,FALSE),"")</f>
        <v/>
      </c>
      <c r="R385" s="64" t="str">
        <f>IFERROR(VLOOKUP('BMP P Tracking Table'!$Q385,Dropdowns!$P$3:$Q$23,2,FALSE),"")</f>
        <v/>
      </c>
      <c r="S385" s="64"/>
      <c r="T385" s="64"/>
      <c r="U385" s="64"/>
      <c r="V385" s="64"/>
      <c r="W385" s="64"/>
      <c r="X385" s="64"/>
      <c r="Y385" s="64"/>
      <c r="Z385" s="64"/>
      <c r="AA385" s="64"/>
      <c r="AB385" s="95"/>
      <c r="AC385" s="64"/>
      <c r="AD385" s="101" t="str">
        <f>IFERROR('BMP P Tracking Table'!$U385*VLOOKUP('BMP P Tracking Table'!$Q385,'Loading Rates'!$B$1:$L$24,4,FALSE)+IF('BMP P Tracking Table'!$V385="By HSG",'BMP P Tracking Table'!$W385*VLOOKUP('BMP P Tracking Table'!$Q385,'Loading Rates'!$B$1:$L$24,6,FALSE)+'BMP P Tracking Table'!$X385*VLOOKUP('BMP P Tracking Table'!$Q385,'Loading Rates'!$B$1:$L$24,7,FALSE)+'BMP P Tracking Table'!$Y385*VLOOKUP('BMP P Tracking Table'!$Q385,'Loading Rates'!$B$1:$L$24,8,FALSE)+'BMP P Tracking Table'!$Z385*VLOOKUP('BMP P Tracking Table'!$Q385,'Loading Rates'!$B$1:$L$24,9,FALSE),'BMP P Tracking Table'!$AA385*VLOOKUP('BMP P Tracking Table'!$Q385,'Loading Rates'!$B$1:$L$24,10,FALSE)),"")</f>
        <v/>
      </c>
      <c r="AE385" s="101" t="str">
        <f>IFERROR(MIN(2,IF('BMP P Tracking Table'!$V385="Total Pervious",(-(3630*'BMP P Tracking Table'!$U385+20.691*'BMP P Tracking Table'!$AA385)+SQRT((3630*'BMP P Tracking Table'!$U385+20.691*'BMP P Tracking Table'!$AA385)^2-(4*(996.798*'BMP P Tracking Table'!$AA385)*-'BMP P Tracking Table'!$AB385)))/(2*(996.798*'BMP P Tracking Table'!$AA385)),IF(SUM('BMP P Tracking Table'!$W385:$Z385)=0,'BMP P Tracking Table'!$AB385/(-3630*'BMP P Tracking Table'!$U385),(-(3630*'BMP P Tracking Table'!$U385+20.691*'BMP P Tracking Table'!$Z385-216.711*'BMP P Tracking Table'!$Y385-83.853*'BMP P Tracking Table'!$X385-42.834*'BMP P Tracking Table'!$W385)+SQRT((3630*'BMP P Tracking Table'!$U385+20.691*'BMP P Tracking Table'!$Z385-216.711*'BMP P Tracking Table'!$Y385-83.853*'BMP P Tracking Table'!$X385-42.834*'BMP P Tracking Table'!$W385)^2-(4*(149.919*'BMP P Tracking Table'!$W385+236.676*'BMP P Tracking Table'!$X385+726*'BMP P Tracking Table'!$Y385+996.798*'BMP P Tracking Table'!$Z385)*-'BMP P Tracking Table'!$AB385)))/(2*(149.919*'BMP P Tracking Table'!$W385+236.676*'BMP P Tracking Table'!$X385+726*'BMP P Tracking Table'!$Y385+996.798*'BMP P Tracking Table'!$Z385))))),"")</f>
        <v/>
      </c>
      <c r="AF385" s="101" t="str">
        <f>IFERROR((VLOOKUP(CONCATENATE('BMP P Tracking Table'!$T385," ",'BMP P Tracking Table'!$AC385),'Performance Curves'!$C$1:$L$45,MATCH('BMP P Tracking Table'!$AE385,'Performance Curves'!$E$1:$L$1,1)+2,FALSE)-VLOOKUP(CONCATENATE('BMP P Tracking Table'!$T385," ",'BMP P Tracking Table'!$AC385),'Performance Curves'!$C$1:$L$45,MATCH('BMP P Tracking Table'!$AE385,'Performance Curves'!$E$1:$L$1,1)+1,FALSE)),"")</f>
        <v/>
      </c>
      <c r="AG385" s="101" t="str">
        <f>IFERROR(('BMP P Tracking Table'!$AE385-INDEX('Performance Curves'!$E$1:$L$1,1,MATCH('BMP P Tracking Table'!$AE385,'Performance Curves'!$E$1:$L$1,1)))/(INDEX('Performance Curves'!$E$1:$L$1,1,MATCH('BMP P Tracking Table'!$AE385,'Performance Curves'!$E$1:$L$1,1)+1)-INDEX('Performance Curves'!$E$1:$L$1,1,MATCH('BMP P Tracking Table'!$AE385,'Performance Curves'!$E$1:$L$1,1))),"")</f>
        <v/>
      </c>
      <c r="AH385" s="102" t="str">
        <f>IFERROR(IF('BMP P Tracking Table'!$AE385=2,VLOOKUP(CONCATENATE('BMP P Tracking Table'!$T385," ",'BMP P Tracking Table'!$AC385),'Performance Curves'!$C$1:$L$45,MATCH('BMP P Tracking Table'!$AE385,'Performance Curves'!$E$1:$L$1,1)+1,FALSE),'BMP P Tracking Table'!$AF385*'BMP P Tracking Table'!$AG385+VLOOKUP(CONCATENATE('BMP P Tracking Table'!$T385," ",'BMP P Tracking Table'!$AC385),'Performance Curves'!$C$1:$L$45,MATCH('BMP P Tracking Table'!$AE385,'Performance Curves'!$E$1:$L$1,1)+1,FALSE)),"")</f>
        <v/>
      </c>
      <c r="AI385" s="101" t="str">
        <f>IFERROR('BMP P Tracking Table'!$AH385*'BMP P Tracking Table'!$AD385,"")</f>
        <v/>
      </c>
      <c r="AJ385" s="64"/>
      <c r="AK385" s="96"/>
      <c r="AL385" s="96"/>
      <c r="AM385" s="63"/>
      <c r="AN385" s="99" t="str">
        <f t="shared" si="22"/>
        <v/>
      </c>
      <c r="AO385" s="96"/>
      <c r="AP385" s="96"/>
      <c r="AQ385" s="96"/>
      <c r="AR385" s="96"/>
      <c r="AS385" s="96"/>
      <c r="AT385" s="96"/>
      <c r="AU385" s="96"/>
      <c r="AV385" s="64"/>
      <c r="AW385" s="97"/>
      <c r="AX385" s="97"/>
      <c r="AY385" s="101" t="str">
        <f>IF('BMP P Tracking Table'!$AK385="Yes",IF('BMP P Tracking Table'!$AL385="No",'BMP P Tracking Table'!$U385*VLOOKUP('BMP P Tracking Table'!$Q385,'Loading Rates'!$B$1:$L$24,4,FALSE)+IF('BMP P Tracking Table'!$V385="By HSG",'BMP P Tracking Table'!$W385*VLOOKUP('BMP P Tracking Table'!$Q385,'Loading Rates'!$B$1:$L$24,6,FALSE)+'BMP P Tracking Table'!$X385*VLOOKUP('BMP P Tracking Table'!$Q385,'Loading Rates'!$B$1:$L$24,7,FALSE)+'BMP P Tracking Table'!$Y385*VLOOKUP('BMP P Tracking Table'!$Q385,'Loading Rates'!$B$1:$L$24,8,FALSE)+'BMP P Tracking Table'!$Z385*VLOOKUP('BMP P Tracking Table'!$Q385,'Loading Rates'!$B$1:$L$24,9,FALSE),'BMP P Tracking Table'!$AA385*VLOOKUP('BMP P Tracking Table'!$Q385,'Loading Rates'!$B$1:$L$24,10,FALSE)),'BMP P Tracking Table'!$AO385*VLOOKUP('BMP P Tracking Table'!$Q385,'Loading Rates'!$B$1:$L$24,4,FALSE)+IF('BMP P Tracking Table'!$AP385="By HSG",'BMP P Tracking Table'!$AQ385*VLOOKUP('BMP P Tracking Table'!$Q385,'Loading Rates'!$B$1:$L$24,6,FALSE)+'BMP P Tracking Table'!$AR385*VLOOKUP('BMP P Tracking Table'!$Q385,'Loading Rates'!$B$1:$L$24,7,FALSE)+'BMP P Tracking Table'!$AS385*VLOOKUP('BMP P Tracking Table'!$Q385,'Loading Rates'!$B$1:$L$24,8,FALSE)+'BMP P Tracking Table'!$AT385*VLOOKUP('BMP P Tracking Table'!$Q385,'Loading Rates'!$B$1:$L$24,9,FALSE),'BMP P Tracking Table'!$AU385*VLOOKUP('BMP P Tracking Table'!$Q385,'Loading Rates'!$B$1:$L$24,10,FALSE))),"")</f>
        <v/>
      </c>
      <c r="AZ385" s="101" t="str">
        <f>IFERROR(IF('BMP P Tracking Table'!$AL385="Yes",MIN(2,IF('BMP P Tracking Table'!$AP385="Total Pervious",(-(3630*'BMP P Tracking Table'!$AO385+20.691*'BMP P Tracking Table'!$AU385)+SQRT((3630*'BMP P Tracking Table'!$AO385+20.691*'BMP P Tracking Table'!$AU385)^2-(4*(996.798*'BMP P Tracking Table'!$AU385)*-'BMP P Tracking Table'!$AW385)))/(2*(996.798*'BMP P Tracking Table'!$AU385)),IF(SUM('BMP P Tracking Table'!$AQ385:$AT385)=0,'BMP P Tracking Table'!$AU385/(-3630*'BMP P Tracking Table'!$AO385),(-(3630*'BMP P Tracking Table'!$AO385+20.691*'BMP P Tracking Table'!$AT385-216.711*'BMP P Tracking Table'!$AS385-83.853*'BMP P Tracking Table'!$AR385-42.834*'BMP P Tracking Table'!$AQ385)+SQRT((3630*'BMP P Tracking Table'!$AO385+20.691*'BMP P Tracking Table'!$AT385-216.711*'BMP P Tracking Table'!$AS385-83.853*'BMP P Tracking Table'!$AR385-42.834*'BMP P Tracking Table'!$AQ385)^2-(4*(149.919*'BMP P Tracking Table'!$AQ385+236.676*'BMP P Tracking Table'!$AR385+726*'BMP P Tracking Table'!$AS385+996.798*'BMP P Tracking Table'!$AT385)*-'BMP P Tracking Table'!$AW385)))/(2*(149.919*'BMP P Tracking Table'!$AQ385+236.676*'BMP P Tracking Table'!$AR385+726*'BMP P Tracking Table'!$AS385+996.798*'BMP P Tracking Table'!$AT385))))),MIN(2,IF('BMP P Tracking Table'!$AP385="Total Pervious",(-(3630*'BMP P Tracking Table'!$U385+20.691*'BMP P Tracking Table'!$AA385)+SQRT((3630*'BMP P Tracking Table'!$U385+20.691*'BMP P Tracking Table'!$AA385)^2-(4*(996.798*'BMP P Tracking Table'!$AA385)*-'BMP P Tracking Table'!$AW385)))/(2*(996.798*'BMP P Tracking Table'!$AA385)),IF(SUM('BMP P Tracking Table'!$W385:$Z385)=0,'BMP P Tracking Table'!$AW385/(-3630*'BMP P Tracking Table'!$U385),(-(3630*'BMP P Tracking Table'!$U385+20.691*'BMP P Tracking Table'!$Z385-216.711*'BMP P Tracking Table'!$Y385-83.853*'BMP P Tracking Table'!$X385-42.834*'BMP P Tracking Table'!$W385)+SQRT((3630*'BMP P Tracking Table'!$U385+20.691*'BMP P Tracking Table'!$Z385-216.711*'BMP P Tracking Table'!$Y385-83.853*'BMP P Tracking Table'!$X385-42.834*'BMP P Tracking Table'!$W385)^2-(4*(149.919*'BMP P Tracking Table'!$W385+236.676*'BMP P Tracking Table'!$X385+726*'BMP P Tracking Table'!$Y385+996.798*'BMP P Tracking Table'!$Z385)*-'BMP P Tracking Table'!$AW385)))/(2*(149.919*'BMP P Tracking Table'!$W385+236.676*'BMP P Tracking Table'!$X385+726*'BMP P Tracking Table'!$Y385+996.798*'BMP P Tracking Table'!$Z385)))))),"")</f>
        <v/>
      </c>
      <c r="BA385" s="101" t="str">
        <f>IFERROR((VLOOKUP(CONCATENATE('BMP P Tracking Table'!$AV385," ",'BMP P Tracking Table'!$AX385),'Performance Curves'!$C$1:$L$45,MATCH('BMP P Tracking Table'!$AZ385,'Performance Curves'!$E$1:$L$1,1)+2,FALSE)-VLOOKUP(CONCATENATE('BMP P Tracking Table'!$AV385," ",'BMP P Tracking Table'!$AX385),'Performance Curves'!$C$1:$L$45,MATCH('BMP P Tracking Table'!$AZ385,'Performance Curves'!$E$1:$L$1,1)+1,FALSE)),"")</f>
        <v/>
      </c>
      <c r="BB385" s="101" t="str">
        <f>IFERROR(('BMP P Tracking Table'!$AZ385-INDEX('Performance Curves'!$E$1:$L$1,1,MATCH('BMP P Tracking Table'!$AZ385,'Performance Curves'!$E$1:$L$1,1)))/(INDEX('Performance Curves'!$E$1:$L$1,1,MATCH('BMP P Tracking Table'!$AZ385,'Performance Curves'!$E$1:$L$1,1)+1)-INDEX('Performance Curves'!$E$1:$L$1,1,MATCH('BMP P Tracking Table'!$AZ385,'Performance Curves'!$E$1:$L$1,1))),"")</f>
        <v/>
      </c>
      <c r="BC385" s="102" t="str">
        <f>IFERROR(IF('BMP P Tracking Table'!$AZ385=2,VLOOKUP(CONCATENATE('BMP P Tracking Table'!$AV385," ",'BMP P Tracking Table'!$AX385),'Performance Curves'!$C$1:$L$44,MATCH('BMP P Tracking Table'!$AZ385,'Performance Curves'!$E$1:$L$1,1)+1,FALSE),'BMP P Tracking Table'!$BA385*'BMP P Tracking Table'!$BB385+VLOOKUP(CONCATENATE('BMP P Tracking Table'!$AV385," ",'BMP P Tracking Table'!$AX385),'Performance Curves'!$C$1:$L$44,MATCH('BMP P Tracking Table'!$AZ385,'Performance Curves'!$E$1:$L$1,1)+1,FALSE)),"")</f>
        <v/>
      </c>
      <c r="BD385" s="101" t="str">
        <f>IFERROR('BMP P Tracking Table'!$BC385*'BMP P Tracking Table'!$AY385,"")</f>
        <v/>
      </c>
      <c r="BE385" s="96"/>
      <c r="BF385" s="37">
        <f t="shared" si="23"/>
        <v>0</v>
      </c>
    </row>
    <row r="386" spans="1:58" x14ac:dyDescent="0.3">
      <c r="A386" s="64"/>
      <c r="B386" s="64"/>
      <c r="C386" s="64"/>
      <c r="D386" s="64"/>
      <c r="E386" s="93"/>
      <c r="F386" s="93"/>
      <c r="G386" s="64"/>
      <c r="H386" s="64"/>
      <c r="I386" s="64"/>
      <c r="J386" s="94"/>
      <c r="K386" s="64"/>
      <c r="L386" s="64"/>
      <c r="M386" s="64"/>
      <c r="N386" s="64"/>
      <c r="O386" s="64"/>
      <c r="P386" s="64"/>
      <c r="Q386" s="64" t="str">
        <f>IFERROR(VLOOKUP('BMP P Tracking Table'!$P386,Dropdowns!$C$2:$E$15,3,FALSE),"")</f>
        <v/>
      </c>
      <c r="R386" s="64" t="str">
        <f>IFERROR(VLOOKUP('BMP P Tracking Table'!$Q386,Dropdowns!$P$3:$Q$23,2,FALSE),"")</f>
        <v/>
      </c>
      <c r="S386" s="64"/>
      <c r="T386" s="64"/>
      <c r="U386" s="64"/>
      <c r="V386" s="64"/>
      <c r="W386" s="64"/>
      <c r="X386" s="64"/>
      <c r="Y386" s="64"/>
      <c r="Z386" s="64"/>
      <c r="AA386" s="64"/>
      <c r="AB386" s="95"/>
      <c r="AC386" s="64"/>
      <c r="AD386" s="101" t="str">
        <f>IFERROR('BMP P Tracking Table'!$U386*VLOOKUP('BMP P Tracking Table'!$Q386,'Loading Rates'!$B$1:$L$24,4,FALSE)+IF('BMP P Tracking Table'!$V386="By HSG",'BMP P Tracking Table'!$W386*VLOOKUP('BMP P Tracking Table'!$Q386,'Loading Rates'!$B$1:$L$24,6,FALSE)+'BMP P Tracking Table'!$X386*VLOOKUP('BMP P Tracking Table'!$Q386,'Loading Rates'!$B$1:$L$24,7,FALSE)+'BMP P Tracking Table'!$Y386*VLOOKUP('BMP P Tracking Table'!$Q386,'Loading Rates'!$B$1:$L$24,8,FALSE)+'BMP P Tracking Table'!$Z386*VLOOKUP('BMP P Tracking Table'!$Q386,'Loading Rates'!$B$1:$L$24,9,FALSE),'BMP P Tracking Table'!$AA386*VLOOKUP('BMP P Tracking Table'!$Q386,'Loading Rates'!$B$1:$L$24,10,FALSE)),"")</f>
        <v/>
      </c>
      <c r="AE386" s="101" t="str">
        <f>IFERROR(MIN(2,IF('BMP P Tracking Table'!$V386="Total Pervious",(-(3630*'BMP P Tracking Table'!$U386+20.691*'BMP P Tracking Table'!$AA386)+SQRT((3630*'BMP P Tracking Table'!$U386+20.691*'BMP P Tracking Table'!$AA386)^2-(4*(996.798*'BMP P Tracking Table'!$AA386)*-'BMP P Tracking Table'!$AB386)))/(2*(996.798*'BMP P Tracking Table'!$AA386)),IF(SUM('BMP P Tracking Table'!$W386:$Z386)=0,'BMP P Tracking Table'!$AB386/(-3630*'BMP P Tracking Table'!$U386),(-(3630*'BMP P Tracking Table'!$U386+20.691*'BMP P Tracking Table'!$Z386-216.711*'BMP P Tracking Table'!$Y386-83.853*'BMP P Tracking Table'!$X386-42.834*'BMP P Tracking Table'!$W386)+SQRT((3630*'BMP P Tracking Table'!$U386+20.691*'BMP P Tracking Table'!$Z386-216.711*'BMP P Tracking Table'!$Y386-83.853*'BMP P Tracking Table'!$X386-42.834*'BMP P Tracking Table'!$W386)^2-(4*(149.919*'BMP P Tracking Table'!$W386+236.676*'BMP P Tracking Table'!$X386+726*'BMP P Tracking Table'!$Y386+996.798*'BMP P Tracking Table'!$Z386)*-'BMP P Tracking Table'!$AB386)))/(2*(149.919*'BMP P Tracking Table'!$W386+236.676*'BMP P Tracking Table'!$X386+726*'BMP P Tracking Table'!$Y386+996.798*'BMP P Tracking Table'!$Z386))))),"")</f>
        <v/>
      </c>
      <c r="AF386" s="101" t="str">
        <f>IFERROR((VLOOKUP(CONCATENATE('BMP P Tracking Table'!$T386," ",'BMP P Tracking Table'!$AC386),'Performance Curves'!$C$1:$L$45,MATCH('BMP P Tracking Table'!$AE386,'Performance Curves'!$E$1:$L$1,1)+2,FALSE)-VLOOKUP(CONCATENATE('BMP P Tracking Table'!$T386," ",'BMP P Tracking Table'!$AC386),'Performance Curves'!$C$1:$L$45,MATCH('BMP P Tracking Table'!$AE386,'Performance Curves'!$E$1:$L$1,1)+1,FALSE)),"")</f>
        <v/>
      </c>
      <c r="AG386" s="101" t="str">
        <f>IFERROR(('BMP P Tracking Table'!$AE386-INDEX('Performance Curves'!$E$1:$L$1,1,MATCH('BMP P Tracking Table'!$AE386,'Performance Curves'!$E$1:$L$1,1)))/(INDEX('Performance Curves'!$E$1:$L$1,1,MATCH('BMP P Tracking Table'!$AE386,'Performance Curves'!$E$1:$L$1,1)+1)-INDEX('Performance Curves'!$E$1:$L$1,1,MATCH('BMP P Tracking Table'!$AE386,'Performance Curves'!$E$1:$L$1,1))),"")</f>
        <v/>
      </c>
      <c r="AH386" s="102" t="str">
        <f>IFERROR(IF('BMP P Tracking Table'!$AE386=2,VLOOKUP(CONCATENATE('BMP P Tracking Table'!$T386," ",'BMP P Tracking Table'!$AC386),'Performance Curves'!$C$1:$L$45,MATCH('BMP P Tracking Table'!$AE386,'Performance Curves'!$E$1:$L$1,1)+1,FALSE),'BMP P Tracking Table'!$AF386*'BMP P Tracking Table'!$AG386+VLOOKUP(CONCATENATE('BMP P Tracking Table'!$T386," ",'BMP P Tracking Table'!$AC386),'Performance Curves'!$C$1:$L$45,MATCH('BMP P Tracking Table'!$AE386,'Performance Curves'!$E$1:$L$1,1)+1,FALSE)),"")</f>
        <v/>
      </c>
      <c r="AI386" s="101" t="str">
        <f>IFERROR('BMP P Tracking Table'!$AH386*'BMP P Tracking Table'!$AD386,"")</f>
        <v/>
      </c>
      <c r="AJ386" s="64"/>
      <c r="AK386" s="96"/>
      <c r="AL386" s="96"/>
      <c r="AM386" s="63"/>
      <c r="AN386" s="99" t="str">
        <f t="shared" si="22"/>
        <v/>
      </c>
      <c r="AO386" s="96"/>
      <c r="AP386" s="96"/>
      <c r="AQ386" s="96"/>
      <c r="AR386" s="96"/>
      <c r="AS386" s="96"/>
      <c r="AT386" s="96"/>
      <c r="AU386" s="96"/>
      <c r="AV386" s="64"/>
      <c r="AW386" s="97"/>
      <c r="AX386" s="97"/>
      <c r="AY386" s="101" t="str">
        <f>IF('BMP P Tracking Table'!$AK386="Yes",IF('BMP P Tracking Table'!$AL386="No",'BMP P Tracking Table'!$U386*VLOOKUP('BMP P Tracking Table'!$Q386,'Loading Rates'!$B$1:$L$24,4,FALSE)+IF('BMP P Tracking Table'!$V386="By HSG",'BMP P Tracking Table'!$W386*VLOOKUP('BMP P Tracking Table'!$Q386,'Loading Rates'!$B$1:$L$24,6,FALSE)+'BMP P Tracking Table'!$X386*VLOOKUP('BMP P Tracking Table'!$Q386,'Loading Rates'!$B$1:$L$24,7,FALSE)+'BMP P Tracking Table'!$Y386*VLOOKUP('BMP P Tracking Table'!$Q386,'Loading Rates'!$B$1:$L$24,8,FALSE)+'BMP P Tracking Table'!$Z386*VLOOKUP('BMP P Tracking Table'!$Q386,'Loading Rates'!$B$1:$L$24,9,FALSE),'BMP P Tracking Table'!$AA386*VLOOKUP('BMP P Tracking Table'!$Q386,'Loading Rates'!$B$1:$L$24,10,FALSE)),'BMP P Tracking Table'!$AO386*VLOOKUP('BMP P Tracking Table'!$Q386,'Loading Rates'!$B$1:$L$24,4,FALSE)+IF('BMP P Tracking Table'!$AP386="By HSG",'BMP P Tracking Table'!$AQ386*VLOOKUP('BMP P Tracking Table'!$Q386,'Loading Rates'!$B$1:$L$24,6,FALSE)+'BMP P Tracking Table'!$AR386*VLOOKUP('BMP P Tracking Table'!$Q386,'Loading Rates'!$B$1:$L$24,7,FALSE)+'BMP P Tracking Table'!$AS386*VLOOKUP('BMP P Tracking Table'!$Q386,'Loading Rates'!$B$1:$L$24,8,FALSE)+'BMP P Tracking Table'!$AT386*VLOOKUP('BMP P Tracking Table'!$Q386,'Loading Rates'!$B$1:$L$24,9,FALSE),'BMP P Tracking Table'!$AU386*VLOOKUP('BMP P Tracking Table'!$Q386,'Loading Rates'!$B$1:$L$24,10,FALSE))),"")</f>
        <v/>
      </c>
      <c r="AZ386" s="101" t="str">
        <f>IFERROR(IF('BMP P Tracking Table'!$AL386="Yes",MIN(2,IF('BMP P Tracking Table'!$AP386="Total Pervious",(-(3630*'BMP P Tracking Table'!$AO386+20.691*'BMP P Tracking Table'!$AU386)+SQRT((3630*'BMP P Tracking Table'!$AO386+20.691*'BMP P Tracking Table'!$AU386)^2-(4*(996.798*'BMP P Tracking Table'!$AU386)*-'BMP P Tracking Table'!$AW386)))/(2*(996.798*'BMP P Tracking Table'!$AU386)),IF(SUM('BMP P Tracking Table'!$AQ386:$AT386)=0,'BMP P Tracking Table'!$AU386/(-3630*'BMP P Tracking Table'!$AO386),(-(3630*'BMP P Tracking Table'!$AO386+20.691*'BMP P Tracking Table'!$AT386-216.711*'BMP P Tracking Table'!$AS386-83.853*'BMP P Tracking Table'!$AR386-42.834*'BMP P Tracking Table'!$AQ386)+SQRT((3630*'BMP P Tracking Table'!$AO386+20.691*'BMP P Tracking Table'!$AT386-216.711*'BMP P Tracking Table'!$AS386-83.853*'BMP P Tracking Table'!$AR386-42.834*'BMP P Tracking Table'!$AQ386)^2-(4*(149.919*'BMP P Tracking Table'!$AQ386+236.676*'BMP P Tracking Table'!$AR386+726*'BMP P Tracking Table'!$AS386+996.798*'BMP P Tracking Table'!$AT386)*-'BMP P Tracking Table'!$AW386)))/(2*(149.919*'BMP P Tracking Table'!$AQ386+236.676*'BMP P Tracking Table'!$AR386+726*'BMP P Tracking Table'!$AS386+996.798*'BMP P Tracking Table'!$AT386))))),MIN(2,IF('BMP P Tracking Table'!$AP386="Total Pervious",(-(3630*'BMP P Tracking Table'!$U386+20.691*'BMP P Tracking Table'!$AA386)+SQRT((3630*'BMP P Tracking Table'!$U386+20.691*'BMP P Tracking Table'!$AA386)^2-(4*(996.798*'BMP P Tracking Table'!$AA386)*-'BMP P Tracking Table'!$AW386)))/(2*(996.798*'BMP P Tracking Table'!$AA386)),IF(SUM('BMP P Tracking Table'!$W386:$Z386)=0,'BMP P Tracking Table'!$AW386/(-3630*'BMP P Tracking Table'!$U386),(-(3630*'BMP P Tracking Table'!$U386+20.691*'BMP P Tracking Table'!$Z386-216.711*'BMP P Tracking Table'!$Y386-83.853*'BMP P Tracking Table'!$X386-42.834*'BMP P Tracking Table'!$W386)+SQRT((3630*'BMP P Tracking Table'!$U386+20.691*'BMP P Tracking Table'!$Z386-216.711*'BMP P Tracking Table'!$Y386-83.853*'BMP P Tracking Table'!$X386-42.834*'BMP P Tracking Table'!$W386)^2-(4*(149.919*'BMP P Tracking Table'!$W386+236.676*'BMP P Tracking Table'!$X386+726*'BMP P Tracking Table'!$Y386+996.798*'BMP P Tracking Table'!$Z386)*-'BMP P Tracking Table'!$AW386)))/(2*(149.919*'BMP P Tracking Table'!$W386+236.676*'BMP P Tracking Table'!$X386+726*'BMP P Tracking Table'!$Y386+996.798*'BMP P Tracking Table'!$Z386)))))),"")</f>
        <v/>
      </c>
      <c r="BA386" s="101" t="str">
        <f>IFERROR((VLOOKUP(CONCATENATE('BMP P Tracking Table'!$AV386," ",'BMP P Tracking Table'!$AX386),'Performance Curves'!$C$1:$L$45,MATCH('BMP P Tracking Table'!$AZ386,'Performance Curves'!$E$1:$L$1,1)+2,FALSE)-VLOOKUP(CONCATENATE('BMP P Tracking Table'!$AV386," ",'BMP P Tracking Table'!$AX386),'Performance Curves'!$C$1:$L$45,MATCH('BMP P Tracking Table'!$AZ386,'Performance Curves'!$E$1:$L$1,1)+1,FALSE)),"")</f>
        <v/>
      </c>
      <c r="BB386" s="101" t="str">
        <f>IFERROR(('BMP P Tracking Table'!$AZ386-INDEX('Performance Curves'!$E$1:$L$1,1,MATCH('BMP P Tracking Table'!$AZ386,'Performance Curves'!$E$1:$L$1,1)))/(INDEX('Performance Curves'!$E$1:$L$1,1,MATCH('BMP P Tracking Table'!$AZ386,'Performance Curves'!$E$1:$L$1,1)+1)-INDEX('Performance Curves'!$E$1:$L$1,1,MATCH('BMP P Tracking Table'!$AZ386,'Performance Curves'!$E$1:$L$1,1))),"")</f>
        <v/>
      </c>
      <c r="BC386" s="102" t="str">
        <f>IFERROR(IF('BMP P Tracking Table'!$AZ386=2,VLOOKUP(CONCATENATE('BMP P Tracking Table'!$AV386," ",'BMP P Tracking Table'!$AX386),'Performance Curves'!$C$1:$L$44,MATCH('BMP P Tracking Table'!$AZ386,'Performance Curves'!$E$1:$L$1,1)+1,FALSE),'BMP P Tracking Table'!$BA386*'BMP P Tracking Table'!$BB386+VLOOKUP(CONCATENATE('BMP P Tracking Table'!$AV386," ",'BMP P Tracking Table'!$AX386),'Performance Curves'!$C$1:$L$44,MATCH('BMP P Tracking Table'!$AZ386,'Performance Curves'!$E$1:$L$1,1)+1,FALSE)),"")</f>
        <v/>
      </c>
      <c r="BD386" s="101" t="str">
        <f>IFERROR('BMP P Tracking Table'!$BC386*'BMP P Tracking Table'!$AY386,"")</f>
        <v/>
      </c>
      <c r="BE386" s="91"/>
      <c r="BF386" s="37">
        <f t="shared" si="23"/>
        <v>0</v>
      </c>
    </row>
    <row r="387" spans="1:58" x14ac:dyDescent="0.3">
      <c r="A387" s="64"/>
      <c r="B387" s="64"/>
      <c r="C387" s="64"/>
      <c r="D387" s="64"/>
      <c r="E387" s="93"/>
      <c r="F387" s="93"/>
      <c r="G387" s="64"/>
      <c r="H387" s="64"/>
      <c r="I387" s="64"/>
      <c r="J387" s="94"/>
      <c r="K387" s="64"/>
      <c r="L387" s="64"/>
      <c r="M387" s="64"/>
      <c r="N387" s="64"/>
      <c r="O387" s="64"/>
      <c r="P387" s="64"/>
      <c r="Q387" s="64" t="str">
        <f>IFERROR(VLOOKUP('BMP P Tracking Table'!$P387,Dropdowns!$C$2:$E$15,3,FALSE),"")</f>
        <v/>
      </c>
      <c r="R387" s="64" t="str">
        <f>IFERROR(VLOOKUP('BMP P Tracking Table'!$Q387,Dropdowns!$P$3:$Q$23,2,FALSE),"")</f>
        <v/>
      </c>
      <c r="S387" s="64"/>
      <c r="T387" s="64"/>
      <c r="U387" s="64"/>
      <c r="V387" s="64"/>
      <c r="W387" s="64"/>
      <c r="X387" s="64"/>
      <c r="Y387" s="64"/>
      <c r="Z387" s="64"/>
      <c r="AA387" s="64"/>
      <c r="AB387" s="95"/>
      <c r="AC387" s="64"/>
      <c r="AD387" s="101" t="str">
        <f>IFERROR('BMP P Tracking Table'!$U387*VLOOKUP('BMP P Tracking Table'!$Q387,'Loading Rates'!$B$1:$L$24,4,FALSE)+IF('BMP P Tracking Table'!$V387="By HSG",'BMP P Tracking Table'!$W387*VLOOKUP('BMP P Tracking Table'!$Q387,'Loading Rates'!$B$1:$L$24,6,FALSE)+'BMP P Tracking Table'!$X387*VLOOKUP('BMP P Tracking Table'!$Q387,'Loading Rates'!$B$1:$L$24,7,FALSE)+'BMP P Tracking Table'!$Y387*VLOOKUP('BMP P Tracking Table'!$Q387,'Loading Rates'!$B$1:$L$24,8,FALSE)+'BMP P Tracking Table'!$Z387*VLOOKUP('BMP P Tracking Table'!$Q387,'Loading Rates'!$B$1:$L$24,9,FALSE),'BMP P Tracking Table'!$AA387*VLOOKUP('BMP P Tracking Table'!$Q387,'Loading Rates'!$B$1:$L$24,10,FALSE)),"")</f>
        <v/>
      </c>
      <c r="AE387" s="101" t="str">
        <f>IFERROR(MIN(2,IF('BMP P Tracking Table'!$V387="Total Pervious",(-(3630*'BMP P Tracking Table'!$U387+20.691*'BMP P Tracking Table'!$AA387)+SQRT((3630*'BMP P Tracking Table'!$U387+20.691*'BMP P Tracking Table'!$AA387)^2-(4*(996.798*'BMP P Tracking Table'!$AA387)*-'BMP P Tracking Table'!$AB387)))/(2*(996.798*'BMP P Tracking Table'!$AA387)),IF(SUM('BMP P Tracking Table'!$W387:$Z387)=0,'BMP P Tracking Table'!$AB387/(-3630*'BMP P Tracking Table'!$U387),(-(3630*'BMP P Tracking Table'!$U387+20.691*'BMP P Tracking Table'!$Z387-216.711*'BMP P Tracking Table'!$Y387-83.853*'BMP P Tracking Table'!$X387-42.834*'BMP P Tracking Table'!$W387)+SQRT((3630*'BMP P Tracking Table'!$U387+20.691*'BMP P Tracking Table'!$Z387-216.711*'BMP P Tracking Table'!$Y387-83.853*'BMP P Tracking Table'!$X387-42.834*'BMP P Tracking Table'!$W387)^2-(4*(149.919*'BMP P Tracking Table'!$W387+236.676*'BMP P Tracking Table'!$X387+726*'BMP P Tracking Table'!$Y387+996.798*'BMP P Tracking Table'!$Z387)*-'BMP P Tracking Table'!$AB387)))/(2*(149.919*'BMP P Tracking Table'!$W387+236.676*'BMP P Tracking Table'!$X387+726*'BMP P Tracking Table'!$Y387+996.798*'BMP P Tracking Table'!$Z387))))),"")</f>
        <v/>
      </c>
      <c r="AF387" s="101" t="str">
        <f>IFERROR((VLOOKUP(CONCATENATE('BMP P Tracking Table'!$T387," ",'BMP P Tracking Table'!$AC387),'Performance Curves'!$C$1:$L$45,MATCH('BMP P Tracking Table'!$AE387,'Performance Curves'!$E$1:$L$1,1)+2,FALSE)-VLOOKUP(CONCATENATE('BMP P Tracking Table'!$T387," ",'BMP P Tracking Table'!$AC387),'Performance Curves'!$C$1:$L$45,MATCH('BMP P Tracking Table'!$AE387,'Performance Curves'!$E$1:$L$1,1)+1,FALSE)),"")</f>
        <v/>
      </c>
      <c r="AG387" s="101" t="str">
        <f>IFERROR(('BMP P Tracking Table'!$AE387-INDEX('Performance Curves'!$E$1:$L$1,1,MATCH('BMP P Tracking Table'!$AE387,'Performance Curves'!$E$1:$L$1,1)))/(INDEX('Performance Curves'!$E$1:$L$1,1,MATCH('BMP P Tracking Table'!$AE387,'Performance Curves'!$E$1:$L$1,1)+1)-INDEX('Performance Curves'!$E$1:$L$1,1,MATCH('BMP P Tracking Table'!$AE387,'Performance Curves'!$E$1:$L$1,1))),"")</f>
        <v/>
      </c>
      <c r="AH387" s="102" t="str">
        <f>IFERROR(IF('BMP P Tracking Table'!$AE387=2,VLOOKUP(CONCATENATE('BMP P Tracking Table'!$T387," ",'BMP P Tracking Table'!$AC387),'Performance Curves'!$C$1:$L$45,MATCH('BMP P Tracking Table'!$AE387,'Performance Curves'!$E$1:$L$1,1)+1,FALSE),'BMP P Tracking Table'!$AF387*'BMP P Tracking Table'!$AG387+VLOOKUP(CONCATENATE('BMP P Tracking Table'!$T387," ",'BMP P Tracking Table'!$AC387),'Performance Curves'!$C$1:$L$45,MATCH('BMP P Tracking Table'!$AE387,'Performance Curves'!$E$1:$L$1,1)+1,FALSE)),"")</f>
        <v/>
      </c>
      <c r="AI387" s="101" t="str">
        <f>IFERROR('BMP P Tracking Table'!$AH387*'BMP P Tracking Table'!$AD387,"")</f>
        <v/>
      </c>
      <c r="AJ387" s="64"/>
      <c r="AK387" s="96"/>
      <c r="AL387" s="96"/>
      <c r="AM387" s="63"/>
      <c r="AN387" s="99" t="str">
        <f t="shared" si="22"/>
        <v/>
      </c>
      <c r="AO387" s="96"/>
      <c r="AP387" s="96"/>
      <c r="AQ387" s="96"/>
      <c r="AR387" s="96"/>
      <c r="AS387" s="96"/>
      <c r="AT387" s="96"/>
      <c r="AU387" s="96"/>
      <c r="AV387" s="64"/>
      <c r="AW387" s="97"/>
      <c r="AX387" s="97"/>
      <c r="AY387" s="101" t="str">
        <f>IF('BMP P Tracking Table'!$AK387="Yes",IF('BMP P Tracking Table'!$AL387="No",'BMP P Tracking Table'!$U387*VLOOKUP('BMP P Tracking Table'!$Q387,'Loading Rates'!$B$1:$L$24,4,FALSE)+IF('BMP P Tracking Table'!$V387="By HSG",'BMP P Tracking Table'!$W387*VLOOKUP('BMP P Tracking Table'!$Q387,'Loading Rates'!$B$1:$L$24,6,FALSE)+'BMP P Tracking Table'!$X387*VLOOKUP('BMP P Tracking Table'!$Q387,'Loading Rates'!$B$1:$L$24,7,FALSE)+'BMP P Tracking Table'!$Y387*VLOOKUP('BMP P Tracking Table'!$Q387,'Loading Rates'!$B$1:$L$24,8,FALSE)+'BMP P Tracking Table'!$Z387*VLOOKUP('BMP P Tracking Table'!$Q387,'Loading Rates'!$B$1:$L$24,9,FALSE),'BMP P Tracking Table'!$AA387*VLOOKUP('BMP P Tracking Table'!$Q387,'Loading Rates'!$B$1:$L$24,10,FALSE)),'BMP P Tracking Table'!$AO387*VLOOKUP('BMP P Tracking Table'!$Q387,'Loading Rates'!$B$1:$L$24,4,FALSE)+IF('BMP P Tracking Table'!$AP387="By HSG",'BMP P Tracking Table'!$AQ387*VLOOKUP('BMP P Tracking Table'!$Q387,'Loading Rates'!$B$1:$L$24,6,FALSE)+'BMP P Tracking Table'!$AR387*VLOOKUP('BMP P Tracking Table'!$Q387,'Loading Rates'!$B$1:$L$24,7,FALSE)+'BMP P Tracking Table'!$AS387*VLOOKUP('BMP P Tracking Table'!$Q387,'Loading Rates'!$B$1:$L$24,8,FALSE)+'BMP P Tracking Table'!$AT387*VLOOKUP('BMP P Tracking Table'!$Q387,'Loading Rates'!$B$1:$L$24,9,FALSE),'BMP P Tracking Table'!$AU387*VLOOKUP('BMP P Tracking Table'!$Q387,'Loading Rates'!$B$1:$L$24,10,FALSE))),"")</f>
        <v/>
      </c>
      <c r="AZ387" s="101" t="str">
        <f>IFERROR(IF('BMP P Tracking Table'!$AL387="Yes",MIN(2,IF('BMP P Tracking Table'!$AP387="Total Pervious",(-(3630*'BMP P Tracking Table'!$AO387+20.691*'BMP P Tracking Table'!$AU387)+SQRT((3630*'BMP P Tracking Table'!$AO387+20.691*'BMP P Tracking Table'!$AU387)^2-(4*(996.798*'BMP P Tracking Table'!$AU387)*-'BMP P Tracking Table'!$AW387)))/(2*(996.798*'BMP P Tracking Table'!$AU387)),IF(SUM('BMP P Tracking Table'!$AQ387:$AT387)=0,'BMP P Tracking Table'!$AU387/(-3630*'BMP P Tracking Table'!$AO387),(-(3630*'BMP P Tracking Table'!$AO387+20.691*'BMP P Tracking Table'!$AT387-216.711*'BMP P Tracking Table'!$AS387-83.853*'BMP P Tracking Table'!$AR387-42.834*'BMP P Tracking Table'!$AQ387)+SQRT((3630*'BMP P Tracking Table'!$AO387+20.691*'BMP P Tracking Table'!$AT387-216.711*'BMP P Tracking Table'!$AS387-83.853*'BMP P Tracking Table'!$AR387-42.834*'BMP P Tracking Table'!$AQ387)^2-(4*(149.919*'BMP P Tracking Table'!$AQ387+236.676*'BMP P Tracking Table'!$AR387+726*'BMP P Tracking Table'!$AS387+996.798*'BMP P Tracking Table'!$AT387)*-'BMP P Tracking Table'!$AW387)))/(2*(149.919*'BMP P Tracking Table'!$AQ387+236.676*'BMP P Tracking Table'!$AR387+726*'BMP P Tracking Table'!$AS387+996.798*'BMP P Tracking Table'!$AT387))))),MIN(2,IF('BMP P Tracking Table'!$AP387="Total Pervious",(-(3630*'BMP P Tracking Table'!$U387+20.691*'BMP P Tracking Table'!$AA387)+SQRT((3630*'BMP P Tracking Table'!$U387+20.691*'BMP P Tracking Table'!$AA387)^2-(4*(996.798*'BMP P Tracking Table'!$AA387)*-'BMP P Tracking Table'!$AW387)))/(2*(996.798*'BMP P Tracking Table'!$AA387)),IF(SUM('BMP P Tracking Table'!$W387:$Z387)=0,'BMP P Tracking Table'!$AW387/(-3630*'BMP P Tracking Table'!$U387),(-(3630*'BMP P Tracking Table'!$U387+20.691*'BMP P Tracking Table'!$Z387-216.711*'BMP P Tracking Table'!$Y387-83.853*'BMP P Tracking Table'!$X387-42.834*'BMP P Tracking Table'!$W387)+SQRT((3630*'BMP P Tracking Table'!$U387+20.691*'BMP P Tracking Table'!$Z387-216.711*'BMP P Tracking Table'!$Y387-83.853*'BMP P Tracking Table'!$X387-42.834*'BMP P Tracking Table'!$W387)^2-(4*(149.919*'BMP P Tracking Table'!$W387+236.676*'BMP P Tracking Table'!$X387+726*'BMP P Tracking Table'!$Y387+996.798*'BMP P Tracking Table'!$Z387)*-'BMP P Tracking Table'!$AW387)))/(2*(149.919*'BMP P Tracking Table'!$W387+236.676*'BMP P Tracking Table'!$X387+726*'BMP P Tracking Table'!$Y387+996.798*'BMP P Tracking Table'!$Z387)))))),"")</f>
        <v/>
      </c>
      <c r="BA387" s="101" t="str">
        <f>IFERROR((VLOOKUP(CONCATENATE('BMP P Tracking Table'!$AV387," ",'BMP P Tracking Table'!$AX387),'Performance Curves'!$C$1:$L$45,MATCH('BMP P Tracking Table'!$AZ387,'Performance Curves'!$E$1:$L$1,1)+2,FALSE)-VLOOKUP(CONCATENATE('BMP P Tracking Table'!$AV387," ",'BMP P Tracking Table'!$AX387),'Performance Curves'!$C$1:$L$45,MATCH('BMP P Tracking Table'!$AZ387,'Performance Curves'!$E$1:$L$1,1)+1,FALSE)),"")</f>
        <v/>
      </c>
      <c r="BB387" s="101" t="str">
        <f>IFERROR(('BMP P Tracking Table'!$AZ387-INDEX('Performance Curves'!$E$1:$L$1,1,MATCH('BMP P Tracking Table'!$AZ387,'Performance Curves'!$E$1:$L$1,1)))/(INDEX('Performance Curves'!$E$1:$L$1,1,MATCH('BMP P Tracking Table'!$AZ387,'Performance Curves'!$E$1:$L$1,1)+1)-INDEX('Performance Curves'!$E$1:$L$1,1,MATCH('BMP P Tracking Table'!$AZ387,'Performance Curves'!$E$1:$L$1,1))),"")</f>
        <v/>
      </c>
      <c r="BC387" s="102" t="str">
        <f>IFERROR(IF('BMP P Tracking Table'!$AZ387=2,VLOOKUP(CONCATENATE('BMP P Tracking Table'!$AV387," ",'BMP P Tracking Table'!$AX387),'Performance Curves'!$C$1:$L$44,MATCH('BMP P Tracking Table'!$AZ387,'Performance Curves'!$E$1:$L$1,1)+1,FALSE),'BMP P Tracking Table'!$BA387*'BMP P Tracking Table'!$BB387+VLOOKUP(CONCATENATE('BMP P Tracking Table'!$AV387," ",'BMP P Tracking Table'!$AX387),'Performance Curves'!$C$1:$L$44,MATCH('BMP P Tracking Table'!$AZ387,'Performance Curves'!$E$1:$L$1,1)+1,FALSE)),"")</f>
        <v/>
      </c>
      <c r="BD387" s="101" t="str">
        <f>IFERROR('BMP P Tracking Table'!$BC387*'BMP P Tracking Table'!$AY387,"")</f>
        <v/>
      </c>
      <c r="BE387" s="96"/>
      <c r="BF387" s="37">
        <f t="shared" si="23"/>
        <v>0</v>
      </c>
    </row>
    <row r="388" spans="1:58" x14ac:dyDescent="0.3">
      <c r="A388" s="64"/>
      <c r="B388" s="64"/>
      <c r="C388" s="64"/>
      <c r="D388" s="64"/>
      <c r="E388" s="93"/>
      <c r="F388" s="93"/>
      <c r="G388" s="64"/>
      <c r="H388" s="64"/>
      <c r="I388" s="64"/>
      <c r="J388" s="94"/>
      <c r="K388" s="64"/>
      <c r="L388" s="64"/>
      <c r="M388" s="64"/>
      <c r="N388" s="64"/>
      <c r="O388" s="64"/>
      <c r="P388" s="64"/>
      <c r="Q388" s="64" t="str">
        <f>IFERROR(VLOOKUP('BMP P Tracking Table'!$P388,Dropdowns!$C$2:$E$15,3,FALSE),"")</f>
        <v/>
      </c>
      <c r="R388" s="64" t="str">
        <f>IFERROR(VLOOKUP('BMP P Tracking Table'!$Q388,Dropdowns!$P$3:$Q$23,2,FALSE),"")</f>
        <v/>
      </c>
      <c r="S388" s="64"/>
      <c r="T388" s="64"/>
      <c r="U388" s="64"/>
      <c r="V388" s="64"/>
      <c r="W388" s="64"/>
      <c r="X388" s="64"/>
      <c r="Y388" s="64"/>
      <c r="Z388" s="64"/>
      <c r="AA388" s="64"/>
      <c r="AB388" s="95"/>
      <c r="AC388" s="64"/>
      <c r="AD388" s="101" t="str">
        <f>IFERROR('BMP P Tracking Table'!$U388*VLOOKUP('BMP P Tracking Table'!$Q388,'Loading Rates'!$B$1:$L$24,4,FALSE)+IF('BMP P Tracking Table'!$V388="By HSG",'BMP P Tracking Table'!$W388*VLOOKUP('BMP P Tracking Table'!$Q388,'Loading Rates'!$B$1:$L$24,6,FALSE)+'BMP P Tracking Table'!$X388*VLOOKUP('BMP P Tracking Table'!$Q388,'Loading Rates'!$B$1:$L$24,7,FALSE)+'BMP P Tracking Table'!$Y388*VLOOKUP('BMP P Tracking Table'!$Q388,'Loading Rates'!$B$1:$L$24,8,FALSE)+'BMP P Tracking Table'!$Z388*VLOOKUP('BMP P Tracking Table'!$Q388,'Loading Rates'!$B$1:$L$24,9,FALSE),'BMP P Tracking Table'!$AA388*VLOOKUP('BMP P Tracking Table'!$Q388,'Loading Rates'!$B$1:$L$24,10,FALSE)),"")</f>
        <v/>
      </c>
      <c r="AE388" s="101" t="str">
        <f>IFERROR(MIN(2,IF('BMP P Tracking Table'!$V388="Total Pervious",(-(3630*'BMP P Tracking Table'!$U388+20.691*'BMP P Tracking Table'!$AA388)+SQRT((3630*'BMP P Tracking Table'!$U388+20.691*'BMP P Tracking Table'!$AA388)^2-(4*(996.798*'BMP P Tracking Table'!$AA388)*-'BMP P Tracking Table'!$AB388)))/(2*(996.798*'BMP P Tracking Table'!$AA388)),IF(SUM('BMP P Tracking Table'!$W388:$Z388)=0,'BMP P Tracking Table'!$AB388/(-3630*'BMP P Tracking Table'!$U388),(-(3630*'BMP P Tracking Table'!$U388+20.691*'BMP P Tracking Table'!$Z388-216.711*'BMP P Tracking Table'!$Y388-83.853*'BMP P Tracking Table'!$X388-42.834*'BMP P Tracking Table'!$W388)+SQRT((3630*'BMP P Tracking Table'!$U388+20.691*'BMP P Tracking Table'!$Z388-216.711*'BMP P Tracking Table'!$Y388-83.853*'BMP P Tracking Table'!$X388-42.834*'BMP P Tracking Table'!$W388)^2-(4*(149.919*'BMP P Tracking Table'!$W388+236.676*'BMP P Tracking Table'!$X388+726*'BMP P Tracking Table'!$Y388+996.798*'BMP P Tracking Table'!$Z388)*-'BMP P Tracking Table'!$AB388)))/(2*(149.919*'BMP P Tracking Table'!$W388+236.676*'BMP P Tracking Table'!$X388+726*'BMP P Tracking Table'!$Y388+996.798*'BMP P Tracking Table'!$Z388))))),"")</f>
        <v/>
      </c>
      <c r="AF388" s="101" t="str">
        <f>IFERROR((VLOOKUP(CONCATENATE('BMP P Tracking Table'!$T388," ",'BMP P Tracking Table'!$AC388),'Performance Curves'!$C$1:$L$45,MATCH('BMP P Tracking Table'!$AE388,'Performance Curves'!$E$1:$L$1,1)+2,FALSE)-VLOOKUP(CONCATENATE('BMP P Tracking Table'!$T388," ",'BMP P Tracking Table'!$AC388),'Performance Curves'!$C$1:$L$45,MATCH('BMP P Tracking Table'!$AE388,'Performance Curves'!$E$1:$L$1,1)+1,FALSE)),"")</f>
        <v/>
      </c>
      <c r="AG388" s="101" t="str">
        <f>IFERROR(('BMP P Tracking Table'!$AE388-INDEX('Performance Curves'!$E$1:$L$1,1,MATCH('BMP P Tracking Table'!$AE388,'Performance Curves'!$E$1:$L$1,1)))/(INDEX('Performance Curves'!$E$1:$L$1,1,MATCH('BMP P Tracking Table'!$AE388,'Performance Curves'!$E$1:$L$1,1)+1)-INDEX('Performance Curves'!$E$1:$L$1,1,MATCH('BMP P Tracking Table'!$AE388,'Performance Curves'!$E$1:$L$1,1))),"")</f>
        <v/>
      </c>
      <c r="AH388" s="102" t="str">
        <f>IFERROR(IF('BMP P Tracking Table'!$AE388=2,VLOOKUP(CONCATENATE('BMP P Tracking Table'!$T388," ",'BMP P Tracking Table'!$AC388),'Performance Curves'!$C$1:$L$45,MATCH('BMP P Tracking Table'!$AE388,'Performance Curves'!$E$1:$L$1,1)+1,FALSE),'BMP P Tracking Table'!$AF388*'BMP P Tracking Table'!$AG388+VLOOKUP(CONCATENATE('BMP P Tracking Table'!$T388," ",'BMP P Tracking Table'!$AC388),'Performance Curves'!$C$1:$L$45,MATCH('BMP P Tracking Table'!$AE388,'Performance Curves'!$E$1:$L$1,1)+1,FALSE)),"")</f>
        <v/>
      </c>
      <c r="AI388" s="101" t="str">
        <f>IFERROR('BMP P Tracking Table'!$AH388*'BMP P Tracking Table'!$AD388,"")</f>
        <v/>
      </c>
      <c r="AJ388" s="64"/>
      <c r="AK388" s="96"/>
      <c r="AL388" s="96"/>
      <c r="AM388" s="63"/>
      <c r="AN388" s="99" t="str">
        <f t="shared" si="22"/>
        <v/>
      </c>
      <c r="AO388" s="96"/>
      <c r="AP388" s="96"/>
      <c r="AQ388" s="96"/>
      <c r="AR388" s="96"/>
      <c r="AS388" s="96"/>
      <c r="AT388" s="96"/>
      <c r="AU388" s="96"/>
      <c r="AV388" s="64"/>
      <c r="AW388" s="97"/>
      <c r="AX388" s="97"/>
      <c r="AY388" s="101" t="str">
        <f>IF('BMP P Tracking Table'!$AK388="Yes",IF('BMP P Tracking Table'!$AL388="No",'BMP P Tracking Table'!$U388*VLOOKUP('BMP P Tracking Table'!$Q388,'Loading Rates'!$B$1:$L$24,4,FALSE)+IF('BMP P Tracking Table'!$V388="By HSG",'BMP P Tracking Table'!$W388*VLOOKUP('BMP P Tracking Table'!$Q388,'Loading Rates'!$B$1:$L$24,6,FALSE)+'BMP P Tracking Table'!$X388*VLOOKUP('BMP P Tracking Table'!$Q388,'Loading Rates'!$B$1:$L$24,7,FALSE)+'BMP P Tracking Table'!$Y388*VLOOKUP('BMP P Tracking Table'!$Q388,'Loading Rates'!$B$1:$L$24,8,FALSE)+'BMP P Tracking Table'!$Z388*VLOOKUP('BMP P Tracking Table'!$Q388,'Loading Rates'!$B$1:$L$24,9,FALSE),'BMP P Tracking Table'!$AA388*VLOOKUP('BMP P Tracking Table'!$Q388,'Loading Rates'!$B$1:$L$24,10,FALSE)),'BMP P Tracking Table'!$AO388*VLOOKUP('BMP P Tracking Table'!$Q388,'Loading Rates'!$B$1:$L$24,4,FALSE)+IF('BMP P Tracking Table'!$AP388="By HSG",'BMP P Tracking Table'!$AQ388*VLOOKUP('BMP P Tracking Table'!$Q388,'Loading Rates'!$B$1:$L$24,6,FALSE)+'BMP P Tracking Table'!$AR388*VLOOKUP('BMP P Tracking Table'!$Q388,'Loading Rates'!$B$1:$L$24,7,FALSE)+'BMP P Tracking Table'!$AS388*VLOOKUP('BMP P Tracking Table'!$Q388,'Loading Rates'!$B$1:$L$24,8,FALSE)+'BMP P Tracking Table'!$AT388*VLOOKUP('BMP P Tracking Table'!$Q388,'Loading Rates'!$B$1:$L$24,9,FALSE),'BMP P Tracking Table'!$AU388*VLOOKUP('BMP P Tracking Table'!$Q388,'Loading Rates'!$B$1:$L$24,10,FALSE))),"")</f>
        <v/>
      </c>
      <c r="AZ388" s="101" t="str">
        <f>IFERROR(IF('BMP P Tracking Table'!$AL388="Yes",MIN(2,IF('BMP P Tracking Table'!$AP388="Total Pervious",(-(3630*'BMP P Tracking Table'!$AO388+20.691*'BMP P Tracking Table'!$AU388)+SQRT((3630*'BMP P Tracking Table'!$AO388+20.691*'BMP P Tracking Table'!$AU388)^2-(4*(996.798*'BMP P Tracking Table'!$AU388)*-'BMP P Tracking Table'!$AW388)))/(2*(996.798*'BMP P Tracking Table'!$AU388)),IF(SUM('BMP P Tracking Table'!$AQ388:$AT388)=0,'BMP P Tracking Table'!$AU388/(-3630*'BMP P Tracking Table'!$AO388),(-(3630*'BMP P Tracking Table'!$AO388+20.691*'BMP P Tracking Table'!$AT388-216.711*'BMP P Tracking Table'!$AS388-83.853*'BMP P Tracking Table'!$AR388-42.834*'BMP P Tracking Table'!$AQ388)+SQRT((3630*'BMP P Tracking Table'!$AO388+20.691*'BMP P Tracking Table'!$AT388-216.711*'BMP P Tracking Table'!$AS388-83.853*'BMP P Tracking Table'!$AR388-42.834*'BMP P Tracking Table'!$AQ388)^2-(4*(149.919*'BMP P Tracking Table'!$AQ388+236.676*'BMP P Tracking Table'!$AR388+726*'BMP P Tracking Table'!$AS388+996.798*'BMP P Tracking Table'!$AT388)*-'BMP P Tracking Table'!$AW388)))/(2*(149.919*'BMP P Tracking Table'!$AQ388+236.676*'BMP P Tracking Table'!$AR388+726*'BMP P Tracking Table'!$AS388+996.798*'BMP P Tracking Table'!$AT388))))),MIN(2,IF('BMP P Tracking Table'!$AP388="Total Pervious",(-(3630*'BMP P Tracking Table'!$U388+20.691*'BMP P Tracking Table'!$AA388)+SQRT((3630*'BMP P Tracking Table'!$U388+20.691*'BMP P Tracking Table'!$AA388)^2-(4*(996.798*'BMP P Tracking Table'!$AA388)*-'BMP P Tracking Table'!$AW388)))/(2*(996.798*'BMP P Tracking Table'!$AA388)),IF(SUM('BMP P Tracking Table'!$W388:$Z388)=0,'BMP P Tracking Table'!$AW388/(-3630*'BMP P Tracking Table'!$U388),(-(3630*'BMP P Tracking Table'!$U388+20.691*'BMP P Tracking Table'!$Z388-216.711*'BMP P Tracking Table'!$Y388-83.853*'BMP P Tracking Table'!$X388-42.834*'BMP P Tracking Table'!$W388)+SQRT((3630*'BMP P Tracking Table'!$U388+20.691*'BMP P Tracking Table'!$Z388-216.711*'BMP P Tracking Table'!$Y388-83.853*'BMP P Tracking Table'!$X388-42.834*'BMP P Tracking Table'!$W388)^2-(4*(149.919*'BMP P Tracking Table'!$W388+236.676*'BMP P Tracking Table'!$X388+726*'BMP P Tracking Table'!$Y388+996.798*'BMP P Tracking Table'!$Z388)*-'BMP P Tracking Table'!$AW388)))/(2*(149.919*'BMP P Tracking Table'!$W388+236.676*'BMP P Tracking Table'!$X388+726*'BMP P Tracking Table'!$Y388+996.798*'BMP P Tracking Table'!$Z388)))))),"")</f>
        <v/>
      </c>
      <c r="BA388" s="101" t="str">
        <f>IFERROR((VLOOKUP(CONCATENATE('BMP P Tracking Table'!$AV388," ",'BMP P Tracking Table'!$AX388),'Performance Curves'!$C$1:$L$45,MATCH('BMP P Tracking Table'!$AZ388,'Performance Curves'!$E$1:$L$1,1)+2,FALSE)-VLOOKUP(CONCATENATE('BMP P Tracking Table'!$AV388," ",'BMP P Tracking Table'!$AX388),'Performance Curves'!$C$1:$L$45,MATCH('BMP P Tracking Table'!$AZ388,'Performance Curves'!$E$1:$L$1,1)+1,FALSE)),"")</f>
        <v/>
      </c>
      <c r="BB388" s="101" t="str">
        <f>IFERROR(('BMP P Tracking Table'!$AZ388-INDEX('Performance Curves'!$E$1:$L$1,1,MATCH('BMP P Tracking Table'!$AZ388,'Performance Curves'!$E$1:$L$1,1)))/(INDEX('Performance Curves'!$E$1:$L$1,1,MATCH('BMP P Tracking Table'!$AZ388,'Performance Curves'!$E$1:$L$1,1)+1)-INDEX('Performance Curves'!$E$1:$L$1,1,MATCH('BMP P Tracking Table'!$AZ388,'Performance Curves'!$E$1:$L$1,1))),"")</f>
        <v/>
      </c>
      <c r="BC388" s="102" t="str">
        <f>IFERROR(IF('BMP P Tracking Table'!$AZ388=2,VLOOKUP(CONCATENATE('BMP P Tracking Table'!$AV388," ",'BMP P Tracking Table'!$AX388),'Performance Curves'!$C$1:$L$44,MATCH('BMP P Tracking Table'!$AZ388,'Performance Curves'!$E$1:$L$1,1)+1,FALSE),'BMP P Tracking Table'!$BA388*'BMP P Tracking Table'!$BB388+VLOOKUP(CONCATENATE('BMP P Tracking Table'!$AV388," ",'BMP P Tracking Table'!$AX388),'Performance Curves'!$C$1:$L$44,MATCH('BMP P Tracking Table'!$AZ388,'Performance Curves'!$E$1:$L$1,1)+1,FALSE)),"")</f>
        <v/>
      </c>
      <c r="BD388" s="101" t="str">
        <f>IFERROR('BMP P Tracking Table'!$BC388*'BMP P Tracking Table'!$AY388,"")</f>
        <v/>
      </c>
      <c r="BE388" s="96"/>
      <c r="BF388" s="37">
        <f t="shared" si="23"/>
        <v>0</v>
      </c>
    </row>
    <row r="389" spans="1:58" x14ac:dyDescent="0.3">
      <c r="A389" s="64"/>
      <c r="B389" s="64"/>
      <c r="C389" s="64"/>
      <c r="D389" s="64"/>
      <c r="E389" s="93"/>
      <c r="F389" s="93"/>
      <c r="G389" s="64"/>
      <c r="H389" s="64"/>
      <c r="I389" s="64"/>
      <c r="J389" s="94"/>
      <c r="K389" s="64"/>
      <c r="L389" s="64"/>
      <c r="M389" s="64"/>
      <c r="N389" s="64"/>
      <c r="O389" s="64"/>
      <c r="P389" s="64"/>
      <c r="Q389" s="64" t="str">
        <f>IFERROR(VLOOKUP('BMP P Tracking Table'!$P389,Dropdowns!$C$2:$E$15,3,FALSE),"")</f>
        <v/>
      </c>
      <c r="R389" s="64" t="str">
        <f>IFERROR(VLOOKUP('BMP P Tracking Table'!$Q389,Dropdowns!$P$3:$Q$23,2,FALSE),"")</f>
        <v/>
      </c>
      <c r="S389" s="64"/>
      <c r="T389" s="64"/>
      <c r="U389" s="64"/>
      <c r="V389" s="64"/>
      <c r="W389" s="64"/>
      <c r="X389" s="64"/>
      <c r="Y389" s="64"/>
      <c r="Z389" s="64"/>
      <c r="AA389" s="64"/>
      <c r="AB389" s="95"/>
      <c r="AC389" s="64"/>
      <c r="AD389" s="101" t="str">
        <f>IFERROR('BMP P Tracking Table'!$U389*VLOOKUP('BMP P Tracking Table'!$Q389,'Loading Rates'!$B$1:$L$24,4,FALSE)+IF('BMP P Tracking Table'!$V389="By HSG",'BMP P Tracking Table'!$W389*VLOOKUP('BMP P Tracking Table'!$Q389,'Loading Rates'!$B$1:$L$24,6,FALSE)+'BMP P Tracking Table'!$X389*VLOOKUP('BMP P Tracking Table'!$Q389,'Loading Rates'!$B$1:$L$24,7,FALSE)+'BMP P Tracking Table'!$Y389*VLOOKUP('BMP P Tracking Table'!$Q389,'Loading Rates'!$B$1:$L$24,8,FALSE)+'BMP P Tracking Table'!$Z389*VLOOKUP('BMP P Tracking Table'!$Q389,'Loading Rates'!$B$1:$L$24,9,FALSE),'BMP P Tracking Table'!$AA389*VLOOKUP('BMP P Tracking Table'!$Q389,'Loading Rates'!$B$1:$L$24,10,FALSE)),"")</f>
        <v/>
      </c>
      <c r="AE389" s="101" t="str">
        <f>IFERROR(MIN(2,IF('BMP P Tracking Table'!$V389="Total Pervious",(-(3630*'BMP P Tracking Table'!$U389+20.691*'BMP P Tracking Table'!$AA389)+SQRT((3630*'BMP P Tracking Table'!$U389+20.691*'BMP P Tracking Table'!$AA389)^2-(4*(996.798*'BMP P Tracking Table'!$AA389)*-'BMP P Tracking Table'!$AB389)))/(2*(996.798*'BMP P Tracking Table'!$AA389)),IF(SUM('BMP P Tracking Table'!$W389:$Z389)=0,'BMP P Tracking Table'!$AB389/(-3630*'BMP P Tracking Table'!$U389),(-(3630*'BMP P Tracking Table'!$U389+20.691*'BMP P Tracking Table'!$Z389-216.711*'BMP P Tracking Table'!$Y389-83.853*'BMP P Tracking Table'!$X389-42.834*'BMP P Tracking Table'!$W389)+SQRT((3630*'BMP P Tracking Table'!$U389+20.691*'BMP P Tracking Table'!$Z389-216.711*'BMP P Tracking Table'!$Y389-83.853*'BMP P Tracking Table'!$X389-42.834*'BMP P Tracking Table'!$W389)^2-(4*(149.919*'BMP P Tracking Table'!$W389+236.676*'BMP P Tracking Table'!$X389+726*'BMP P Tracking Table'!$Y389+996.798*'BMP P Tracking Table'!$Z389)*-'BMP P Tracking Table'!$AB389)))/(2*(149.919*'BMP P Tracking Table'!$W389+236.676*'BMP P Tracking Table'!$X389+726*'BMP P Tracking Table'!$Y389+996.798*'BMP P Tracking Table'!$Z389))))),"")</f>
        <v/>
      </c>
      <c r="AF389" s="101" t="str">
        <f>IFERROR((VLOOKUP(CONCATENATE('BMP P Tracking Table'!$T389," ",'BMP P Tracking Table'!$AC389),'Performance Curves'!$C$1:$L$45,MATCH('BMP P Tracking Table'!$AE389,'Performance Curves'!$E$1:$L$1,1)+2,FALSE)-VLOOKUP(CONCATENATE('BMP P Tracking Table'!$T389," ",'BMP P Tracking Table'!$AC389),'Performance Curves'!$C$1:$L$45,MATCH('BMP P Tracking Table'!$AE389,'Performance Curves'!$E$1:$L$1,1)+1,FALSE)),"")</f>
        <v/>
      </c>
      <c r="AG389" s="101" t="str">
        <f>IFERROR(('BMP P Tracking Table'!$AE389-INDEX('Performance Curves'!$E$1:$L$1,1,MATCH('BMP P Tracking Table'!$AE389,'Performance Curves'!$E$1:$L$1,1)))/(INDEX('Performance Curves'!$E$1:$L$1,1,MATCH('BMP P Tracking Table'!$AE389,'Performance Curves'!$E$1:$L$1,1)+1)-INDEX('Performance Curves'!$E$1:$L$1,1,MATCH('BMP P Tracking Table'!$AE389,'Performance Curves'!$E$1:$L$1,1))),"")</f>
        <v/>
      </c>
      <c r="AH389" s="102" t="str">
        <f>IFERROR(IF('BMP P Tracking Table'!$AE389=2,VLOOKUP(CONCATENATE('BMP P Tracking Table'!$T389," ",'BMP P Tracking Table'!$AC389),'Performance Curves'!$C$1:$L$45,MATCH('BMP P Tracking Table'!$AE389,'Performance Curves'!$E$1:$L$1,1)+1,FALSE),'BMP P Tracking Table'!$AF389*'BMP P Tracking Table'!$AG389+VLOOKUP(CONCATENATE('BMP P Tracking Table'!$T389," ",'BMP P Tracking Table'!$AC389),'Performance Curves'!$C$1:$L$45,MATCH('BMP P Tracking Table'!$AE389,'Performance Curves'!$E$1:$L$1,1)+1,FALSE)),"")</f>
        <v/>
      </c>
      <c r="AI389" s="101" t="str">
        <f>IFERROR('BMP P Tracking Table'!$AH389*'BMP P Tracking Table'!$AD389,"")</f>
        <v/>
      </c>
      <c r="AJ389" s="64"/>
      <c r="AK389" s="96"/>
      <c r="AL389" s="96"/>
      <c r="AM389" s="63"/>
      <c r="AN389" s="99" t="str">
        <f t="shared" si="22"/>
        <v/>
      </c>
      <c r="AO389" s="96"/>
      <c r="AP389" s="96"/>
      <c r="AQ389" s="96"/>
      <c r="AR389" s="96"/>
      <c r="AS389" s="96"/>
      <c r="AT389" s="96"/>
      <c r="AU389" s="96"/>
      <c r="AV389" s="64"/>
      <c r="AW389" s="97"/>
      <c r="AX389" s="97"/>
      <c r="AY389" s="101" t="str">
        <f>IF('BMP P Tracking Table'!$AK389="Yes",IF('BMP P Tracking Table'!$AL389="No",'BMP P Tracking Table'!$U389*VLOOKUP('BMP P Tracking Table'!$Q389,'Loading Rates'!$B$1:$L$24,4,FALSE)+IF('BMP P Tracking Table'!$V389="By HSG",'BMP P Tracking Table'!$W389*VLOOKUP('BMP P Tracking Table'!$Q389,'Loading Rates'!$B$1:$L$24,6,FALSE)+'BMP P Tracking Table'!$X389*VLOOKUP('BMP P Tracking Table'!$Q389,'Loading Rates'!$B$1:$L$24,7,FALSE)+'BMP P Tracking Table'!$Y389*VLOOKUP('BMP P Tracking Table'!$Q389,'Loading Rates'!$B$1:$L$24,8,FALSE)+'BMP P Tracking Table'!$Z389*VLOOKUP('BMP P Tracking Table'!$Q389,'Loading Rates'!$B$1:$L$24,9,FALSE),'BMP P Tracking Table'!$AA389*VLOOKUP('BMP P Tracking Table'!$Q389,'Loading Rates'!$B$1:$L$24,10,FALSE)),'BMP P Tracking Table'!$AO389*VLOOKUP('BMP P Tracking Table'!$Q389,'Loading Rates'!$B$1:$L$24,4,FALSE)+IF('BMP P Tracking Table'!$AP389="By HSG",'BMP P Tracking Table'!$AQ389*VLOOKUP('BMP P Tracking Table'!$Q389,'Loading Rates'!$B$1:$L$24,6,FALSE)+'BMP P Tracking Table'!$AR389*VLOOKUP('BMP P Tracking Table'!$Q389,'Loading Rates'!$B$1:$L$24,7,FALSE)+'BMP P Tracking Table'!$AS389*VLOOKUP('BMP P Tracking Table'!$Q389,'Loading Rates'!$B$1:$L$24,8,FALSE)+'BMP P Tracking Table'!$AT389*VLOOKUP('BMP P Tracking Table'!$Q389,'Loading Rates'!$B$1:$L$24,9,FALSE),'BMP P Tracking Table'!$AU389*VLOOKUP('BMP P Tracking Table'!$Q389,'Loading Rates'!$B$1:$L$24,10,FALSE))),"")</f>
        <v/>
      </c>
      <c r="AZ389" s="101" t="str">
        <f>IFERROR(IF('BMP P Tracking Table'!$AL389="Yes",MIN(2,IF('BMP P Tracking Table'!$AP389="Total Pervious",(-(3630*'BMP P Tracking Table'!$AO389+20.691*'BMP P Tracking Table'!$AU389)+SQRT((3630*'BMP P Tracking Table'!$AO389+20.691*'BMP P Tracking Table'!$AU389)^2-(4*(996.798*'BMP P Tracking Table'!$AU389)*-'BMP P Tracking Table'!$AW389)))/(2*(996.798*'BMP P Tracking Table'!$AU389)),IF(SUM('BMP P Tracking Table'!$AQ389:$AT389)=0,'BMP P Tracking Table'!$AU389/(-3630*'BMP P Tracking Table'!$AO389),(-(3630*'BMP P Tracking Table'!$AO389+20.691*'BMP P Tracking Table'!$AT389-216.711*'BMP P Tracking Table'!$AS389-83.853*'BMP P Tracking Table'!$AR389-42.834*'BMP P Tracking Table'!$AQ389)+SQRT((3630*'BMP P Tracking Table'!$AO389+20.691*'BMP P Tracking Table'!$AT389-216.711*'BMP P Tracking Table'!$AS389-83.853*'BMP P Tracking Table'!$AR389-42.834*'BMP P Tracking Table'!$AQ389)^2-(4*(149.919*'BMP P Tracking Table'!$AQ389+236.676*'BMP P Tracking Table'!$AR389+726*'BMP P Tracking Table'!$AS389+996.798*'BMP P Tracking Table'!$AT389)*-'BMP P Tracking Table'!$AW389)))/(2*(149.919*'BMP P Tracking Table'!$AQ389+236.676*'BMP P Tracking Table'!$AR389+726*'BMP P Tracking Table'!$AS389+996.798*'BMP P Tracking Table'!$AT389))))),MIN(2,IF('BMP P Tracking Table'!$AP389="Total Pervious",(-(3630*'BMP P Tracking Table'!$U389+20.691*'BMP P Tracking Table'!$AA389)+SQRT((3630*'BMP P Tracking Table'!$U389+20.691*'BMP P Tracking Table'!$AA389)^2-(4*(996.798*'BMP P Tracking Table'!$AA389)*-'BMP P Tracking Table'!$AW389)))/(2*(996.798*'BMP P Tracking Table'!$AA389)),IF(SUM('BMP P Tracking Table'!$W389:$Z389)=0,'BMP P Tracking Table'!$AW389/(-3630*'BMP P Tracking Table'!$U389),(-(3630*'BMP P Tracking Table'!$U389+20.691*'BMP P Tracking Table'!$Z389-216.711*'BMP P Tracking Table'!$Y389-83.853*'BMP P Tracking Table'!$X389-42.834*'BMP P Tracking Table'!$W389)+SQRT((3630*'BMP P Tracking Table'!$U389+20.691*'BMP P Tracking Table'!$Z389-216.711*'BMP P Tracking Table'!$Y389-83.853*'BMP P Tracking Table'!$X389-42.834*'BMP P Tracking Table'!$W389)^2-(4*(149.919*'BMP P Tracking Table'!$W389+236.676*'BMP P Tracking Table'!$X389+726*'BMP P Tracking Table'!$Y389+996.798*'BMP P Tracking Table'!$Z389)*-'BMP P Tracking Table'!$AW389)))/(2*(149.919*'BMP P Tracking Table'!$W389+236.676*'BMP P Tracking Table'!$X389+726*'BMP P Tracking Table'!$Y389+996.798*'BMP P Tracking Table'!$Z389)))))),"")</f>
        <v/>
      </c>
      <c r="BA389" s="101" t="str">
        <f>IFERROR((VLOOKUP(CONCATENATE('BMP P Tracking Table'!$AV389," ",'BMP P Tracking Table'!$AX389),'Performance Curves'!$C$1:$L$45,MATCH('BMP P Tracking Table'!$AZ389,'Performance Curves'!$E$1:$L$1,1)+2,FALSE)-VLOOKUP(CONCATENATE('BMP P Tracking Table'!$AV389," ",'BMP P Tracking Table'!$AX389),'Performance Curves'!$C$1:$L$45,MATCH('BMP P Tracking Table'!$AZ389,'Performance Curves'!$E$1:$L$1,1)+1,FALSE)),"")</f>
        <v/>
      </c>
      <c r="BB389" s="101" t="str">
        <f>IFERROR(('BMP P Tracking Table'!$AZ389-INDEX('Performance Curves'!$E$1:$L$1,1,MATCH('BMP P Tracking Table'!$AZ389,'Performance Curves'!$E$1:$L$1,1)))/(INDEX('Performance Curves'!$E$1:$L$1,1,MATCH('BMP P Tracking Table'!$AZ389,'Performance Curves'!$E$1:$L$1,1)+1)-INDEX('Performance Curves'!$E$1:$L$1,1,MATCH('BMP P Tracking Table'!$AZ389,'Performance Curves'!$E$1:$L$1,1))),"")</f>
        <v/>
      </c>
      <c r="BC389" s="102" t="str">
        <f>IFERROR(IF('BMP P Tracking Table'!$AZ389=2,VLOOKUP(CONCATENATE('BMP P Tracking Table'!$AV389," ",'BMP P Tracking Table'!$AX389),'Performance Curves'!$C$1:$L$44,MATCH('BMP P Tracking Table'!$AZ389,'Performance Curves'!$E$1:$L$1,1)+1,FALSE),'BMP P Tracking Table'!$BA389*'BMP P Tracking Table'!$BB389+VLOOKUP(CONCATENATE('BMP P Tracking Table'!$AV389," ",'BMP P Tracking Table'!$AX389),'Performance Curves'!$C$1:$L$44,MATCH('BMP P Tracking Table'!$AZ389,'Performance Curves'!$E$1:$L$1,1)+1,FALSE)),"")</f>
        <v/>
      </c>
      <c r="BD389" s="101" t="str">
        <f>IFERROR('BMP P Tracking Table'!$BC389*'BMP P Tracking Table'!$AY389,"")</f>
        <v/>
      </c>
      <c r="BE389" s="96"/>
      <c r="BF389" s="37">
        <f t="shared" si="23"/>
        <v>0</v>
      </c>
    </row>
    <row r="390" spans="1:58" x14ac:dyDescent="0.3">
      <c r="A390" s="64"/>
      <c r="B390" s="64"/>
      <c r="C390" s="64"/>
      <c r="D390" s="64"/>
      <c r="E390" s="93"/>
      <c r="F390" s="93"/>
      <c r="G390" s="64"/>
      <c r="H390" s="64"/>
      <c r="I390" s="64"/>
      <c r="J390" s="94"/>
      <c r="K390" s="64"/>
      <c r="L390" s="64"/>
      <c r="M390" s="64"/>
      <c r="N390" s="64"/>
      <c r="O390" s="64"/>
      <c r="P390" s="64"/>
      <c r="Q390" s="64" t="str">
        <f>IFERROR(VLOOKUP('BMP P Tracking Table'!$P390,Dropdowns!$C$2:$E$15,3,FALSE),"")</f>
        <v/>
      </c>
      <c r="R390" s="64" t="str">
        <f>IFERROR(VLOOKUP('BMP P Tracking Table'!$Q390,Dropdowns!$P$3:$Q$23,2,FALSE),"")</f>
        <v/>
      </c>
      <c r="S390" s="64"/>
      <c r="T390" s="64"/>
      <c r="U390" s="64"/>
      <c r="V390" s="64"/>
      <c r="W390" s="64"/>
      <c r="X390" s="64"/>
      <c r="Y390" s="64"/>
      <c r="Z390" s="64"/>
      <c r="AA390" s="64"/>
      <c r="AB390" s="95"/>
      <c r="AC390" s="64"/>
      <c r="AD390" s="101" t="str">
        <f>IFERROR('BMP P Tracking Table'!$U390*VLOOKUP('BMP P Tracking Table'!$Q390,'Loading Rates'!$B$1:$L$24,4,FALSE)+IF('BMP P Tracking Table'!$V390="By HSG",'BMP P Tracking Table'!$W390*VLOOKUP('BMP P Tracking Table'!$Q390,'Loading Rates'!$B$1:$L$24,6,FALSE)+'BMP P Tracking Table'!$X390*VLOOKUP('BMP P Tracking Table'!$Q390,'Loading Rates'!$B$1:$L$24,7,FALSE)+'BMP P Tracking Table'!$Y390*VLOOKUP('BMP P Tracking Table'!$Q390,'Loading Rates'!$B$1:$L$24,8,FALSE)+'BMP P Tracking Table'!$Z390*VLOOKUP('BMP P Tracking Table'!$Q390,'Loading Rates'!$B$1:$L$24,9,FALSE),'BMP P Tracking Table'!$AA390*VLOOKUP('BMP P Tracking Table'!$Q390,'Loading Rates'!$B$1:$L$24,10,FALSE)),"")</f>
        <v/>
      </c>
      <c r="AE390" s="101" t="str">
        <f>IFERROR(MIN(2,IF('BMP P Tracking Table'!$V390="Total Pervious",(-(3630*'BMP P Tracking Table'!$U390+20.691*'BMP P Tracking Table'!$AA390)+SQRT((3630*'BMP P Tracking Table'!$U390+20.691*'BMP P Tracking Table'!$AA390)^2-(4*(996.798*'BMP P Tracking Table'!$AA390)*-'BMP P Tracking Table'!$AB390)))/(2*(996.798*'BMP P Tracking Table'!$AA390)),IF(SUM('BMP P Tracking Table'!$W390:$Z390)=0,'BMP P Tracking Table'!$AB390/(-3630*'BMP P Tracking Table'!$U390),(-(3630*'BMP P Tracking Table'!$U390+20.691*'BMP P Tracking Table'!$Z390-216.711*'BMP P Tracking Table'!$Y390-83.853*'BMP P Tracking Table'!$X390-42.834*'BMP P Tracking Table'!$W390)+SQRT((3630*'BMP P Tracking Table'!$U390+20.691*'BMP P Tracking Table'!$Z390-216.711*'BMP P Tracking Table'!$Y390-83.853*'BMP P Tracking Table'!$X390-42.834*'BMP P Tracking Table'!$W390)^2-(4*(149.919*'BMP P Tracking Table'!$W390+236.676*'BMP P Tracking Table'!$X390+726*'BMP P Tracking Table'!$Y390+996.798*'BMP P Tracking Table'!$Z390)*-'BMP P Tracking Table'!$AB390)))/(2*(149.919*'BMP P Tracking Table'!$W390+236.676*'BMP P Tracking Table'!$X390+726*'BMP P Tracking Table'!$Y390+996.798*'BMP P Tracking Table'!$Z390))))),"")</f>
        <v/>
      </c>
      <c r="AF390" s="101" t="str">
        <f>IFERROR((VLOOKUP(CONCATENATE('BMP P Tracking Table'!$T390," ",'BMP P Tracking Table'!$AC390),'Performance Curves'!$C$1:$L$45,MATCH('BMP P Tracking Table'!$AE390,'Performance Curves'!$E$1:$L$1,1)+2,FALSE)-VLOOKUP(CONCATENATE('BMP P Tracking Table'!$T390," ",'BMP P Tracking Table'!$AC390),'Performance Curves'!$C$1:$L$45,MATCH('BMP P Tracking Table'!$AE390,'Performance Curves'!$E$1:$L$1,1)+1,FALSE)),"")</f>
        <v/>
      </c>
      <c r="AG390" s="101" t="str">
        <f>IFERROR(('BMP P Tracking Table'!$AE390-INDEX('Performance Curves'!$E$1:$L$1,1,MATCH('BMP P Tracking Table'!$AE390,'Performance Curves'!$E$1:$L$1,1)))/(INDEX('Performance Curves'!$E$1:$L$1,1,MATCH('BMP P Tracking Table'!$AE390,'Performance Curves'!$E$1:$L$1,1)+1)-INDEX('Performance Curves'!$E$1:$L$1,1,MATCH('BMP P Tracking Table'!$AE390,'Performance Curves'!$E$1:$L$1,1))),"")</f>
        <v/>
      </c>
      <c r="AH390" s="102" t="str">
        <f>IFERROR(IF('BMP P Tracking Table'!$AE390=2,VLOOKUP(CONCATENATE('BMP P Tracking Table'!$T390," ",'BMP P Tracking Table'!$AC390),'Performance Curves'!$C$1:$L$45,MATCH('BMP P Tracking Table'!$AE390,'Performance Curves'!$E$1:$L$1,1)+1,FALSE),'BMP P Tracking Table'!$AF390*'BMP P Tracking Table'!$AG390+VLOOKUP(CONCATENATE('BMP P Tracking Table'!$T390," ",'BMP P Tracking Table'!$AC390),'Performance Curves'!$C$1:$L$45,MATCH('BMP P Tracking Table'!$AE390,'Performance Curves'!$E$1:$L$1,1)+1,FALSE)),"")</f>
        <v/>
      </c>
      <c r="AI390" s="101" t="str">
        <f>IFERROR('BMP P Tracking Table'!$AH390*'BMP P Tracking Table'!$AD390,"")</f>
        <v/>
      </c>
      <c r="AJ390" s="64"/>
      <c r="AK390" s="96"/>
      <c r="AL390" s="96"/>
      <c r="AM390" s="63"/>
      <c r="AN390" s="99" t="str">
        <f t="shared" si="22"/>
        <v/>
      </c>
      <c r="AO390" s="96"/>
      <c r="AP390" s="96"/>
      <c r="AQ390" s="96"/>
      <c r="AR390" s="96"/>
      <c r="AS390" s="96"/>
      <c r="AT390" s="96"/>
      <c r="AU390" s="96"/>
      <c r="AV390" s="64"/>
      <c r="AW390" s="97"/>
      <c r="AX390" s="97"/>
      <c r="AY390" s="101" t="str">
        <f>IF('BMP P Tracking Table'!$AK390="Yes",IF('BMP P Tracking Table'!$AL390="No",'BMP P Tracking Table'!$U390*VLOOKUP('BMP P Tracking Table'!$Q390,'Loading Rates'!$B$1:$L$24,4,FALSE)+IF('BMP P Tracking Table'!$V390="By HSG",'BMP P Tracking Table'!$W390*VLOOKUP('BMP P Tracking Table'!$Q390,'Loading Rates'!$B$1:$L$24,6,FALSE)+'BMP P Tracking Table'!$X390*VLOOKUP('BMP P Tracking Table'!$Q390,'Loading Rates'!$B$1:$L$24,7,FALSE)+'BMP P Tracking Table'!$Y390*VLOOKUP('BMP P Tracking Table'!$Q390,'Loading Rates'!$B$1:$L$24,8,FALSE)+'BMP P Tracking Table'!$Z390*VLOOKUP('BMP P Tracking Table'!$Q390,'Loading Rates'!$B$1:$L$24,9,FALSE),'BMP P Tracking Table'!$AA390*VLOOKUP('BMP P Tracking Table'!$Q390,'Loading Rates'!$B$1:$L$24,10,FALSE)),'BMP P Tracking Table'!$AO390*VLOOKUP('BMP P Tracking Table'!$Q390,'Loading Rates'!$B$1:$L$24,4,FALSE)+IF('BMP P Tracking Table'!$AP390="By HSG",'BMP P Tracking Table'!$AQ390*VLOOKUP('BMP P Tracking Table'!$Q390,'Loading Rates'!$B$1:$L$24,6,FALSE)+'BMP P Tracking Table'!$AR390*VLOOKUP('BMP P Tracking Table'!$Q390,'Loading Rates'!$B$1:$L$24,7,FALSE)+'BMP P Tracking Table'!$AS390*VLOOKUP('BMP P Tracking Table'!$Q390,'Loading Rates'!$B$1:$L$24,8,FALSE)+'BMP P Tracking Table'!$AT390*VLOOKUP('BMP P Tracking Table'!$Q390,'Loading Rates'!$B$1:$L$24,9,FALSE),'BMP P Tracking Table'!$AU390*VLOOKUP('BMP P Tracking Table'!$Q390,'Loading Rates'!$B$1:$L$24,10,FALSE))),"")</f>
        <v/>
      </c>
      <c r="AZ390" s="101" t="str">
        <f>IFERROR(IF('BMP P Tracking Table'!$AL390="Yes",MIN(2,IF('BMP P Tracking Table'!$AP390="Total Pervious",(-(3630*'BMP P Tracking Table'!$AO390+20.691*'BMP P Tracking Table'!$AU390)+SQRT((3630*'BMP P Tracking Table'!$AO390+20.691*'BMP P Tracking Table'!$AU390)^2-(4*(996.798*'BMP P Tracking Table'!$AU390)*-'BMP P Tracking Table'!$AW390)))/(2*(996.798*'BMP P Tracking Table'!$AU390)),IF(SUM('BMP P Tracking Table'!$AQ390:$AT390)=0,'BMP P Tracking Table'!$AU390/(-3630*'BMP P Tracking Table'!$AO390),(-(3630*'BMP P Tracking Table'!$AO390+20.691*'BMP P Tracking Table'!$AT390-216.711*'BMP P Tracking Table'!$AS390-83.853*'BMP P Tracking Table'!$AR390-42.834*'BMP P Tracking Table'!$AQ390)+SQRT((3630*'BMP P Tracking Table'!$AO390+20.691*'BMP P Tracking Table'!$AT390-216.711*'BMP P Tracking Table'!$AS390-83.853*'BMP P Tracking Table'!$AR390-42.834*'BMP P Tracking Table'!$AQ390)^2-(4*(149.919*'BMP P Tracking Table'!$AQ390+236.676*'BMP P Tracking Table'!$AR390+726*'BMP P Tracking Table'!$AS390+996.798*'BMP P Tracking Table'!$AT390)*-'BMP P Tracking Table'!$AW390)))/(2*(149.919*'BMP P Tracking Table'!$AQ390+236.676*'BMP P Tracking Table'!$AR390+726*'BMP P Tracking Table'!$AS390+996.798*'BMP P Tracking Table'!$AT390))))),MIN(2,IF('BMP P Tracking Table'!$AP390="Total Pervious",(-(3630*'BMP P Tracking Table'!$U390+20.691*'BMP P Tracking Table'!$AA390)+SQRT((3630*'BMP P Tracking Table'!$U390+20.691*'BMP P Tracking Table'!$AA390)^2-(4*(996.798*'BMP P Tracking Table'!$AA390)*-'BMP P Tracking Table'!$AW390)))/(2*(996.798*'BMP P Tracking Table'!$AA390)),IF(SUM('BMP P Tracking Table'!$W390:$Z390)=0,'BMP P Tracking Table'!$AW390/(-3630*'BMP P Tracking Table'!$U390),(-(3630*'BMP P Tracking Table'!$U390+20.691*'BMP P Tracking Table'!$Z390-216.711*'BMP P Tracking Table'!$Y390-83.853*'BMP P Tracking Table'!$X390-42.834*'BMP P Tracking Table'!$W390)+SQRT((3630*'BMP P Tracking Table'!$U390+20.691*'BMP P Tracking Table'!$Z390-216.711*'BMP P Tracking Table'!$Y390-83.853*'BMP P Tracking Table'!$X390-42.834*'BMP P Tracking Table'!$W390)^2-(4*(149.919*'BMP P Tracking Table'!$W390+236.676*'BMP P Tracking Table'!$X390+726*'BMP P Tracking Table'!$Y390+996.798*'BMP P Tracking Table'!$Z390)*-'BMP P Tracking Table'!$AW390)))/(2*(149.919*'BMP P Tracking Table'!$W390+236.676*'BMP P Tracking Table'!$X390+726*'BMP P Tracking Table'!$Y390+996.798*'BMP P Tracking Table'!$Z390)))))),"")</f>
        <v/>
      </c>
      <c r="BA390" s="101" t="str">
        <f>IFERROR((VLOOKUP(CONCATENATE('BMP P Tracking Table'!$AV390," ",'BMP P Tracking Table'!$AX390),'Performance Curves'!$C$1:$L$45,MATCH('BMP P Tracking Table'!$AZ390,'Performance Curves'!$E$1:$L$1,1)+2,FALSE)-VLOOKUP(CONCATENATE('BMP P Tracking Table'!$AV390," ",'BMP P Tracking Table'!$AX390),'Performance Curves'!$C$1:$L$45,MATCH('BMP P Tracking Table'!$AZ390,'Performance Curves'!$E$1:$L$1,1)+1,FALSE)),"")</f>
        <v/>
      </c>
      <c r="BB390" s="101" t="str">
        <f>IFERROR(('BMP P Tracking Table'!$AZ390-INDEX('Performance Curves'!$E$1:$L$1,1,MATCH('BMP P Tracking Table'!$AZ390,'Performance Curves'!$E$1:$L$1,1)))/(INDEX('Performance Curves'!$E$1:$L$1,1,MATCH('BMP P Tracking Table'!$AZ390,'Performance Curves'!$E$1:$L$1,1)+1)-INDEX('Performance Curves'!$E$1:$L$1,1,MATCH('BMP P Tracking Table'!$AZ390,'Performance Curves'!$E$1:$L$1,1))),"")</f>
        <v/>
      </c>
      <c r="BC390" s="102" t="str">
        <f>IFERROR(IF('BMP P Tracking Table'!$AZ390=2,VLOOKUP(CONCATENATE('BMP P Tracking Table'!$AV390," ",'BMP P Tracking Table'!$AX390),'Performance Curves'!$C$1:$L$44,MATCH('BMP P Tracking Table'!$AZ390,'Performance Curves'!$E$1:$L$1,1)+1,FALSE),'BMP P Tracking Table'!$BA390*'BMP P Tracking Table'!$BB390+VLOOKUP(CONCATENATE('BMP P Tracking Table'!$AV390," ",'BMP P Tracking Table'!$AX390),'Performance Curves'!$C$1:$L$44,MATCH('BMP P Tracking Table'!$AZ390,'Performance Curves'!$E$1:$L$1,1)+1,FALSE)),"")</f>
        <v/>
      </c>
      <c r="BD390" s="101" t="str">
        <f>IFERROR('BMP P Tracking Table'!$BC390*'BMP P Tracking Table'!$AY390,"")</f>
        <v/>
      </c>
      <c r="BE390" s="96"/>
      <c r="BF390" s="37">
        <f t="shared" si="23"/>
        <v>0</v>
      </c>
    </row>
    <row r="391" spans="1:58" x14ac:dyDescent="0.3">
      <c r="A391" s="64"/>
      <c r="B391" s="64"/>
      <c r="C391" s="64"/>
      <c r="D391" s="64"/>
      <c r="E391" s="93"/>
      <c r="F391" s="93"/>
      <c r="G391" s="64"/>
      <c r="H391" s="64"/>
      <c r="I391" s="64"/>
      <c r="J391" s="94"/>
      <c r="K391" s="64"/>
      <c r="L391" s="64"/>
      <c r="M391" s="64"/>
      <c r="N391" s="64"/>
      <c r="O391" s="64"/>
      <c r="P391" s="64"/>
      <c r="Q391" s="64" t="str">
        <f>IFERROR(VLOOKUP('BMP P Tracking Table'!$P391,Dropdowns!$C$2:$E$15,3,FALSE),"")</f>
        <v/>
      </c>
      <c r="R391" s="64" t="str">
        <f>IFERROR(VLOOKUP('BMP P Tracking Table'!$Q391,Dropdowns!$P$3:$Q$23,2,FALSE),"")</f>
        <v/>
      </c>
      <c r="S391" s="64"/>
      <c r="T391" s="64"/>
      <c r="U391" s="64"/>
      <c r="V391" s="64"/>
      <c r="W391" s="64"/>
      <c r="X391" s="64"/>
      <c r="Y391" s="64"/>
      <c r="Z391" s="64"/>
      <c r="AA391" s="64"/>
      <c r="AB391" s="95"/>
      <c r="AC391" s="64"/>
      <c r="AD391" s="101" t="str">
        <f>IFERROR('BMP P Tracking Table'!$U391*VLOOKUP('BMP P Tracking Table'!$Q391,'Loading Rates'!$B$1:$L$24,4,FALSE)+IF('BMP P Tracking Table'!$V391="By HSG",'BMP P Tracking Table'!$W391*VLOOKUP('BMP P Tracking Table'!$Q391,'Loading Rates'!$B$1:$L$24,6,FALSE)+'BMP P Tracking Table'!$X391*VLOOKUP('BMP P Tracking Table'!$Q391,'Loading Rates'!$B$1:$L$24,7,FALSE)+'BMP P Tracking Table'!$Y391*VLOOKUP('BMP P Tracking Table'!$Q391,'Loading Rates'!$B$1:$L$24,8,FALSE)+'BMP P Tracking Table'!$Z391*VLOOKUP('BMP P Tracking Table'!$Q391,'Loading Rates'!$B$1:$L$24,9,FALSE),'BMP P Tracking Table'!$AA391*VLOOKUP('BMP P Tracking Table'!$Q391,'Loading Rates'!$B$1:$L$24,10,FALSE)),"")</f>
        <v/>
      </c>
      <c r="AE391" s="101" t="str">
        <f>IFERROR(MIN(2,IF('BMP P Tracking Table'!$V391="Total Pervious",(-(3630*'BMP P Tracking Table'!$U391+20.691*'BMP P Tracking Table'!$AA391)+SQRT((3630*'BMP P Tracking Table'!$U391+20.691*'BMP P Tracking Table'!$AA391)^2-(4*(996.798*'BMP P Tracking Table'!$AA391)*-'BMP P Tracking Table'!$AB391)))/(2*(996.798*'BMP P Tracking Table'!$AA391)),IF(SUM('BMP P Tracking Table'!$W391:$Z391)=0,'BMP P Tracking Table'!$AB391/(-3630*'BMP P Tracking Table'!$U391),(-(3630*'BMP P Tracking Table'!$U391+20.691*'BMP P Tracking Table'!$Z391-216.711*'BMP P Tracking Table'!$Y391-83.853*'BMP P Tracking Table'!$X391-42.834*'BMP P Tracking Table'!$W391)+SQRT((3630*'BMP P Tracking Table'!$U391+20.691*'BMP P Tracking Table'!$Z391-216.711*'BMP P Tracking Table'!$Y391-83.853*'BMP P Tracking Table'!$X391-42.834*'BMP P Tracking Table'!$W391)^2-(4*(149.919*'BMP P Tracking Table'!$W391+236.676*'BMP P Tracking Table'!$X391+726*'BMP P Tracking Table'!$Y391+996.798*'BMP P Tracking Table'!$Z391)*-'BMP P Tracking Table'!$AB391)))/(2*(149.919*'BMP P Tracking Table'!$W391+236.676*'BMP P Tracking Table'!$X391+726*'BMP P Tracking Table'!$Y391+996.798*'BMP P Tracking Table'!$Z391))))),"")</f>
        <v/>
      </c>
      <c r="AF391" s="101" t="str">
        <f>IFERROR((VLOOKUP(CONCATENATE('BMP P Tracking Table'!$T391," ",'BMP P Tracking Table'!$AC391),'Performance Curves'!$C$1:$L$45,MATCH('BMP P Tracking Table'!$AE391,'Performance Curves'!$E$1:$L$1,1)+2,FALSE)-VLOOKUP(CONCATENATE('BMP P Tracking Table'!$T391," ",'BMP P Tracking Table'!$AC391),'Performance Curves'!$C$1:$L$45,MATCH('BMP P Tracking Table'!$AE391,'Performance Curves'!$E$1:$L$1,1)+1,FALSE)),"")</f>
        <v/>
      </c>
      <c r="AG391" s="101" t="str">
        <f>IFERROR(('BMP P Tracking Table'!$AE391-INDEX('Performance Curves'!$E$1:$L$1,1,MATCH('BMP P Tracking Table'!$AE391,'Performance Curves'!$E$1:$L$1,1)))/(INDEX('Performance Curves'!$E$1:$L$1,1,MATCH('BMP P Tracking Table'!$AE391,'Performance Curves'!$E$1:$L$1,1)+1)-INDEX('Performance Curves'!$E$1:$L$1,1,MATCH('BMP P Tracking Table'!$AE391,'Performance Curves'!$E$1:$L$1,1))),"")</f>
        <v/>
      </c>
      <c r="AH391" s="102" t="str">
        <f>IFERROR(IF('BMP P Tracking Table'!$AE391=2,VLOOKUP(CONCATENATE('BMP P Tracking Table'!$T391," ",'BMP P Tracking Table'!$AC391),'Performance Curves'!$C$1:$L$45,MATCH('BMP P Tracking Table'!$AE391,'Performance Curves'!$E$1:$L$1,1)+1,FALSE),'BMP P Tracking Table'!$AF391*'BMP P Tracking Table'!$AG391+VLOOKUP(CONCATENATE('BMP P Tracking Table'!$T391," ",'BMP P Tracking Table'!$AC391),'Performance Curves'!$C$1:$L$45,MATCH('BMP P Tracking Table'!$AE391,'Performance Curves'!$E$1:$L$1,1)+1,FALSE)),"")</f>
        <v/>
      </c>
      <c r="AI391" s="101" t="str">
        <f>IFERROR('BMP P Tracking Table'!$AH391*'BMP P Tracking Table'!$AD391,"")</f>
        <v/>
      </c>
      <c r="AJ391" s="64"/>
      <c r="AK391" s="96"/>
      <c r="AL391" s="96"/>
      <c r="AM391" s="63"/>
      <c r="AN391" s="99" t="str">
        <f t="shared" si="22"/>
        <v/>
      </c>
      <c r="AO391" s="96"/>
      <c r="AP391" s="96"/>
      <c r="AQ391" s="96"/>
      <c r="AR391" s="96"/>
      <c r="AS391" s="96"/>
      <c r="AT391" s="96"/>
      <c r="AU391" s="96"/>
      <c r="AV391" s="64"/>
      <c r="AW391" s="97"/>
      <c r="AX391" s="97"/>
      <c r="AY391" s="101" t="str">
        <f>IF('BMP P Tracking Table'!$AK391="Yes",IF('BMP P Tracking Table'!$AL391="No",'BMP P Tracking Table'!$U391*VLOOKUP('BMP P Tracking Table'!$Q391,'Loading Rates'!$B$1:$L$24,4,FALSE)+IF('BMP P Tracking Table'!$V391="By HSG",'BMP P Tracking Table'!$W391*VLOOKUP('BMP P Tracking Table'!$Q391,'Loading Rates'!$B$1:$L$24,6,FALSE)+'BMP P Tracking Table'!$X391*VLOOKUP('BMP P Tracking Table'!$Q391,'Loading Rates'!$B$1:$L$24,7,FALSE)+'BMP P Tracking Table'!$Y391*VLOOKUP('BMP P Tracking Table'!$Q391,'Loading Rates'!$B$1:$L$24,8,FALSE)+'BMP P Tracking Table'!$Z391*VLOOKUP('BMP P Tracking Table'!$Q391,'Loading Rates'!$B$1:$L$24,9,FALSE),'BMP P Tracking Table'!$AA391*VLOOKUP('BMP P Tracking Table'!$Q391,'Loading Rates'!$B$1:$L$24,10,FALSE)),'BMP P Tracking Table'!$AO391*VLOOKUP('BMP P Tracking Table'!$Q391,'Loading Rates'!$B$1:$L$24,4,FALSE)+IF('BMP P Tracking Table'!$AP391="By HSG",'BMP P Tracking Table'!$AQ391*VLOOKUP('BMP P Tracking Table'!$Q391,'Loading Rates'!$B$1:$L$24,6,FALSE)+'BMP P Tracking Table'!$AR391*VLOOKUP('BMP P Tracking Table'!$Q391,'Loading Rates'!$B$1:$L$24,7,FALSE)+'BMP P Tracking Table'!$AS391*VLOOKUP('BMP P Tracking Table'!$Q391,'Loading Rates'!$B$1:$L$24,8,FALSE)+'BMP P Tracking Table'!$AT391*VLOOKUP('BMP P Tracking Table'!$Q391,'Loading Rates'!$B$1:$L$24,9,FALSE),'BMP P Tracking Table'!$AU391*VLOOKUP('BMP P Tracking Table'!$Q391,'Loading Rates'!$B$1:$L$24,10,FALSE))),"")</f>
        <v/>
      </c>
      <c r="AZ391" s="101" t="str">
        <f>IFERROR(IF('BMP P Tracking Table'!$AL391="Yes",MIN(2,IF('BMP P Tracking Table'!$AP391="Total Pervious",(-(3630*'BMP P Tracking Table'!$AO391+20.691*'BMP P Tracking Table'!$AU391)+SQRT((3630*'BMP P Tracking Table'!$AO391+20.691*'BMP P Tracking Table'!$AU391)^2-(4*(996.798*'BMP P Tracking Table'!$AU391)*-'BMP P Tracking Table'!$AW391)))/(2*(996.798*'BMP P Tracking Table'!$AU391)),IF(SUM('BMP P Tracking Table'!$AQ391:$AT391)=0,'BMP P Tracking Table'!$AU391/(-3630*'BMP P Tracking Table'!$AO391),(-(3630*'BMP P Tracking Table'!$AO391+20.691*'BMP P Tracking Table'!$AT391-216.711*'BMP P Tracking Table'!$AS391-83.853*'BMP P Tracking Table'!$AR391-42.834*'BMP P Tracking Table'!$AQ391)+SQRT((3630*'BMP P Tracking Table'!$AO391+20.691*'BMP P Tracking Table'!$AT391-216.711*'BMP P Tracking Table'!$AS391-83.853*'BMP P Tracking Table'!$AR391-42.834*'BMP P Tracking Table'!$AQ391)^2-(4*(149.919*'BMP P Tracking Table'!$AQ391+236.676*'BMP P Tracking Table'!$AR391+726*'BMP P Tracking Table'!$AS391+996.798*'BMP P Tracking Table'!$AT391)*-'BMP P Tracking Table'!$AW391)))/(2*(149.919*'BMP P Tracking Table'!$AQ391+236.676*'BMP P Tracking Table'!$AR391+726*'BMP P Tracking Table'!$AS391+996.798*'BMP P Tracking Table'!$AT391))))),MIN(2,IF('BMP P Tracking Table'!$AP391="Total Pervious",(-(3630*'BMP P Tracking Table'!$U391+20.691*'BMP P Tracking Table'!$AA391)+SQRT((3630*'BMP P Tracking Table'!$U391+20.691*'BMP P Tracking Table'!$AA391)^2-(4*(996.798*'BMP P Tracking Table'!$AA391)*-'BMP P Tracking Table'!$AW391)))/(2*(996.798*'BMP P Tracking Table'!$AA391)),IF(SUM('BMP P Tracking Table'!$W391:$Z391)=0,'BMP P Tracking Table'!$AW391/(-3630*'BMP P Tracking Table'!$U391),(-(3630*'BMP P Tracking Table'!$U391+20.691*'BMP P Tracking Table'!$Z391-216.711*'BMP P Tracking Table'!$Y391-83.853*'BMP P Tracking Table'!$X391-42.834*'BMP P Tracking Table'!$W391)+SQRT((3630*'BMP P Tracking Table'!$U391+20.691*'BMP P Tracking Table'!$Z391-216.711*'BMP P Tracking Table'!$Y391-83.853*'BMP P Tracking Table'!$X391-42.834*'BMP P Tracking Table'!$W391)^2-(4*(149.919*'BMP P Tracking Table'!$W391+236.676*'BMP P Tracking Table'!$X391+726*'BMP P Tracking Table'!$Y391+996.798*'BMP P Tracking Table'!$Z391)*-'BMP P Tracking Table'!$AW391)))/(2*(149.919*'BMP P Tracking Table'!$W391+236.676*'BMP P Tracking Table'!$X391+726*'BMP P Tracking Table'!$Y391+996.798*'BMP P Tracking Table'!$Z391)))))),"")</f>
        <v/>
      </c>
      <c r="BA391" s="101" t="str">
        <f>IFERROR((VLOOKUP(CONCATENATE('BMP P Tracking Table'!$AV391," ",'BMP P Tracking Table'!$AX391),'Performance Curves'!$C$1:$L$45,MATCH('BMP P Tracking Table'!$AZ391,'Performance Curves'!$E$1:$L$1,1)+2,FALSE)-VLOOKUP(CONCATENATE('BMP P Tracking Table'!$AV391," ",'BMP P Tracking Table'!$AX391),'Performance Curves'!$C$1:$L$45,MATCH('BMP P Tracking Table'!$AZ391,'Performance Curves'!$E$1:$L$1,1)+1,FALSE)),"")</f>
        <v/>
      </c>
      <c r="BB391" s="101" t="str">
        <f>IFERROR(('BMP P Tracking Table'!$AZ391-INDEX('Performance Curves'!$E$1:$L$1,1,MATCH('BMP P Tracking Table'!$AZ391,'Performance Curves'!$E$1:$L$1,1)))/(INDEX('Performance Curves'!$E$1:$L$1,1,MATCH('BMP P Tracking Table'!$AZ391,'Performance Curves'!$E$1:$L$1,1)+1)-INDEX('Performance Curves'!$E$1:$L$1,1,MATCH('BMP P Tracking Table'!$AZ391,'Performance Curves'!$E$1:$L$1,1))),"")</f>
        <v/>
      </c>
      <c r="BC391" s="102" t="str">
        <f>IFERROR(IF('BMP P Tracking Table'!$AZ391=2,VLOOKUP(CONCATENATE('BMP P Tracking Table'!$AV391," ",'BMP P Tracking Table'!$AX391),'Performance Curves'!$C$1:$L$44,MATCH('BMP P Tracking Table'!$AZ391,'Performance Curves'!$E$1:$L$1,1)+1,FALSE),'BMP P Tracking Table'!$BA391*'BMP P Tracking Table'!$BB391+VLOOKUP(CONCATENATE('BMP P Tracking Table'!$AV391," ",'BMP P Tracking Table'!$AX391),'Performance Curves'!$C$1:$L$44,MATCH('BMP P Tracking Table'!$AZ391,'Performance Curves'!$E$1:$L$1,1)+1,FALSE)),"")</f>
        <v/>
      </c>
      <c r="BD391" s="101" t="str">
        <f>IFERROR('BMP P Tracking Table'!$BC391*'BMP P Tracking Table'!$AY391,"")</f>
        <v/>
      </c>
      <c r="BE391" s="96"/>
      <c r="BF391" s="37">
        <f t="shared" si="23"/>
        <v>0</v>
      </c>
    </row>
    <row r="392" spans="1:58" x14ac:dyDescent="0.3">
      <c r="A392" s="64"/>
      <c r="B392" s="64"/>
      <c r="C392" s="64"/>
      <c r="D392" s="64"/>
      <c r="E392" s="93"/>
      <c r="F392" s="93"/>
      <c r="G392" s="64"/>
      <c r="H392" s="64"/>
      <c r="I392" s="64"/>
      <c r="J392" s="94"/>
      <c r="K392" s="64"/>
      <c r="L392" s="64"/>
      <c r="M392" s="64"/>
      <c r="N392" s="64"/>
      <c r="O392" s="64"/>
      <c r="P392" s="64"/>
      <c r="Q392" s="64" t="str">
        <f>IFERROR(VLOOKUP('BMP P Tracking Table'!$P392,Dropdowns!$C$2:$E$15,3,FALSE),"")</f>
        <v/>
      </c>
      <c r="R392" s="64" t="str">
        <f>IFERROR(VLOOKUP('BMP P Tracking Table'!$Q392,Dropdowns!$P$3:$Q$23,2,FALSE),"")</f>
        <v/>
      </c>
      <c r="S392" s="64"/>
      <c r="T392" s="64"/>
      <c r="U392" s="64"/>
      <c r="V392" s="64"/>
      <c r="W392" s="64"/>
      <c r="X392" s="64"/>
      <c r="Y392" s="64"/>
      <c r="Z392" s="64"/>
      <c r="AA392" s="64"/>
      <c r="AB392" s="95"/>
      <c r="AC392" s="64"/>
      <c r="AD392" s="101" t="str">
        <f>IFERROR('BMP P Tracking Table'!$U392*VLOOKUP('BMP P Tracking Table'!$Q392,'Loading Rates'!$B$1:$L$24,4,FALSE)+IF('BMP P Tracking Table'!$V392="By HSG",'BMP P Tracking Table'!$W392*VLOOKUP('BMP P Tracking Table'!$Q392,'Loading Rates'!$B$1:$L$24,6,FALSE)+'BMP P Tracking Table'!$X392*VLOOKUP('BMP P Tracking Table'!$Q392,'Loading Rates'!$B$1:$L$24,7,FALSE)+'BMP P Tracking Table'!$Y392*VLOOKUP('BMP P Tracking Table'!$Q392,'Loading Rates'!$B$1:$L$24,8,FALSE)+'BMP P Tracking Table'!$Z392*VLOOKUP('BMP P Tracking Table'!$Q392,'Loading Rates'!$B$1:$L$24,9,FALSE),'BMP P Tracking Table'!$AA392*VLOOKUP('BMP P Tracking Table'!$Q392,'Loading Rates'!$B$1:$L$24,10,FALSE)),"")</f>
        <v/>
      </c>
      <c r="AE392" s="101" t="str">
        <f>IFERROR(MIN(2,IF('BMP P Tracking Table'!$V392="Total Pervious",(-(3630*'BMP P Tracking Table'!$U392+20.691*'BMP P Tracking Table'!$AA392)+SQRT((3630*'BMP P Tracking Table'!$U392+20.691*'BMP P Tracking Table'!$AA392)^2-(4*(996.798*'BMP P Tracking Table'!$AA392)*-'BMP P Tracking Table'!$AB392)))/(2*(996.798*'BMP P Tracking Table'!$AA392)),IF(SUM('BMP P Tracking Table'!$W392:$Z392)=0,'BMP P Tracking Table'!$AB392/(-3630*'BMP P Tracking Table'!$U392),(-(3630*'BMP P Tracking Table'!$U392+20.691*'BMP P Tracking Table'!$Z392-216.711*'BMP P Tracking Table'!$Y392-83.853*'BMP P Tracking Table'!$X392-42.834*'BMP P Tracking Table'!$W392)+SQRT((3630*'BMP P Tracking Table'!$U392+20.691*'BMP P Tracking Table'!$Z392-216.711*'BMP P Tracking Table'!$Y392-83.853*'BMP P Tracking Table'!$X392-42.834*'BMP P Tracking Table'!$W392)^2-(4*(149.919*'BMP P Tracking Table'!$W392+236.676*'BMP P Tracking Table'!$X392+726*'BMP P Tracking Table'!$Y392+996.798*'BMP P Tracking Table'!$Z392)*-'BMP P Tracking Table'!$AB392)))/(2*(149.919*'BMP P Tracking Table'!$W392+236.676*'BMP P Tracking Table'!$X392+726*'BMP P Tracking Table'!$Y392+996.798*'BMP P Tracking Table'!$Z392))))),"")</f>
        <v/>
      </c>
      <c r="AF392" s="101" t="str">
        <f>IFERROR((VLOOKUP(CONCATENATE('BMP P Tracking Table'!$T392," ",'BMP P Tracking Table'!$AC392),'Performance Curves'!$C$1:$L$45,MATCH('BMP P Tracking Table'!$AE392,'Performance Curves'!$E$1:$L$1,1)+2,FALSE)-VLOOKUP(CONCATENATE('BMP P Tracking Table'!$T392," ",'BMP P Tracking Table'!$AC392),'Performance Curves'!$C$1:$L$45,MATCH('BMP P Tracking Table'!$AE392,'Performance Curves'!$E$1:$L$1,1)+1,FALSE)),"")</f>
        <v/>
      </c>
      <c r="AG392" s="101" t="str">
        <f>IFERROR(('BMP P Tracking Table'!$AE392-INDEX('Performance Curves'!$E$1:$L$1,1,MATCH('BMP P Tracking Table'!$AE392,'Performance Curves'!$E$1:$L$1,1)))/(INDEX('Performance Curves'!$E$1:$L$1,1,MATCH('BMP P Tracking Table'!$AE392,'Performance Curves'!$E$1:$L$1,1)+1)-INDEX('Performance Curves'!$E$1:$L$1,1,MATCH('BMP P Tracking Table'!$AE392,'Performance Curves'!$E$1:$L$1,1))),"")</f>
        <v/>
      </c>
      <c r="AH392" s="102" t="str">
        <f>IFERROR(IF('BMP P Tracking Table'!$AE392=2,VLOOKUP(CONCATENATE('BMP P Tracking Table'!$T392," ",'BMP P Tracking Table'!$AC392),'Performance Curves'!$C$1:$L$45,MATCH('BMP P Tracking Table'!$AE392,'Performance Curves'!$E$1:$L$1,1)+1,FALSE),'BMP P Tracking Table'!$AF392*'BMP P Tracking Table'!$AG392+VLOOKUP(CONCATENATE('BMP P Tracking Table'!$T392," ",'BMP P Tracking Table'!$AC392),'Performance Curves'!$C$1:$L$45,MATCH('BMP P Tracking Table'!$AE392,'Performance Curves'!$E$1:$L$1,1)+1,FALSE)),"")</f>
        <v/>
      </c>
      <c r="AI392" s="101" t="str">
        <f>IFERROR('BMP P Tracking Table'!$AH392*'BMP P Tracking Table'!$AD392,"")</f>
        <v/>
      </c>
      <c r="AJ392" s="64"/>
      <c r="AK392" s="96"/>
      <c r="AL392" s="96"/>
      <c r="AM392" s="63"/>
      <c r="AN392" s="99" t="str">
        <f t="shared" si="22"/>
        <v/>
      </c>
      <c r="AO392" s="96"/>
      <c r="AP392" s="96"/>
      <c r="AQ392" s="96"/>
      <c r="AR392" s="96"/>
      <c r="AS392" s="96"/>
      <c r="AT392" s="96"/>
      <c r="AU392" s="96"/>
      <c r="AV392" s="64"/>
      <c r="AW392" s="97"/>
      <c r="AX392" s="97"/>
      <c r="AY392" s="101" t="str">
        <f>IF('BMP P Tracking Table'!$AK392="Yes",IF('BMP P Tracking Table'!$AL392="No",'BMP P Tracking Table'!$U392*VLOOKUP('BMP P Tracking Table'!$Q392,'Loading Rates'!$B$1:$L$24,4,FALSE)+IF('BMP P Tracking Table'!$V392="By HSG",'BMP P Tracking Table'!$W392*VLOOKUP('BMP P Tracking Table'!$Q392,'Loading Rates'!$B$1:$L$24,6,FALSE)+'BMP P Tracking Table'!$X392*VLOOKUP('BMP P Tracking Table'!$Q392,'Loading Rates'!$B$1:$L$24,7,FALSE)+'BMP P Tracking Table'!$Y392*VLOOKUP('BMP P Tracking Table'!$Q392,'Loading Rates'!$B$1:$L$24,8,FALSE)+'BMP P Tracking Table'!$Z392*VLOOKUP('BMP P Tracking Table'!$Q392,'Loading Rates'!$B$1:$L$24,9,FALSE),'BMP P Tracking Table'!$AA392*VLOOKUP('BMP P Tracking Table'!$Q392,'Loading Rates'!$B$1:$L$24,10,FALSE)),'BMP P Tracking Table'!$AO392*VLOOKUP('BMP P Tracking Table'!$Q392,'Loading Rates'!$B$1:$L$24,4,FALSE)+IF('BMP P Tracking Table'!$AP392="By HSG",'BMP P Tracking Table'!$AQ392*VLOOKUP('BMP P Tracking Table'!$Q392,'Loading Rates'!$B$1:$L$24,6,FALSE)+'BMP P Tracking Table'!$AR392*VLOOKUP('BMP P Tracking Table'!$Q392,'Loading Rates'!$B$1:$L$24,7,FALSE)+'BMP P Tracking Table'!$AS392*VLOOKUP('BMP P Tracking Table'!$Q392,'Loading Rates'!$B$1:$L$24,8,FALSE)+'BMP P Tracking Table'!$AT392*VLOOKUP('BMP P Tracking Table'!$Q392,'Loading Rates'!$B$1:$L$24,9,FALSE),'BMP P Tracking Table'!$AU392*VLOOKUP('BMP P Tracking Table'!$Q392,'Loading Rates'!$B$1:$L$24,10,FALSE))),"")</f>
        <v/>
      </c>
      <c r="AZ392" s="101" t="str">
        <f>IFERROR(IF('BMP P Tracking Table'!$AL392="Yes",MIN(2,IF('BMP P Tracking Table'!$AP392="Total Pervious",(-(3630*'BMP P Tracking Table'!$AO392+20.691*'BMP P Tracking Table'!$AU392)+SQRT((3630*'BMP P Tracking Table'!$AO392+20.691*'BMP P Tracking Table'!$AU392)^2-(4*(996.798*'BMP P Tracking Table'!$AU392)*-'BMP P Tracking Table'!$AW392)))/(2*(996.798*'BMP P Tracking Table'!$AU392)),IF(SUM('BMP P Tracking Table'!$AQ392:$AT392)=0,'BMP P Tracking Table'!$AU392/(-3630*'BMP P Tracking Table'!$AO392),(-(3630*'BMP P Tracking Table'!$AO392+20.691*'BMP P Tracking Table'!$AT392-216.711*'BMP P Tracking Table'!$AS392-83.853*'BMP P Tracking Table'!$AR392-42.834*'BMP P Tracking Table'!$AQ392)+SQRT((3630*'BMP P Tracking Table'!$AO392+20.691*'BMP P Tracking Table'!$AT392-216.711*'BMP P Tracking Table'!$AS392-83.853*'BMP P Tracking Table'!$AR392-42.834*'BMP P Tracking Table'!$AQ392)^2-(4*(149.919*'BMP P Tracking Table'!$AQ392+236.676*'BMP P Tracking Table'!$AR392+726*'BMP P Tracking Table'!$AS392+996.798*'BMP P Tracking Table'!$AT392)*-'BMP P Tracking Table'!$AW392)))/(2*(149.919*'BMP P Tracking Table'!$AQ392+236.676*'BMP P Tracking Table'!$AR392+726*'BMP P Tracking Table'!$AS392+996.798*'BMP P Tracking Table'!$AT392))))),MIN(2,IF('BMP P Tracking Table'!$AP392="Total Pervious",(-(3630*'BMP P Tracking Table'!$U392+20.691*'BMP P Tracking Table'!$AA392)+SQRT((3630*'BMP P Tracking Table'!$U392+20.691*'BMP P Tracking Table'!$AA392)^2-(4*(996.798*'BMP P Tracking Table'!$AA392)*-'BMP P Tracking Table'!$AW392)))/(2*(996.798*'BMP P Tracking Table'!$AA392)),IF(SUM('BMP P Tracking Table'!$W392:$Z392)=0,'BMP P Tracking Table'!$AW392/(-3630*'BMP P Tracking Table'!$U392),(-(3630*'BMP P Tracking Table'!$U392+20.691*'BMP P Tracking Table'!$Z392-216.711*'BMP P Tracking Table'!$Y392-83.853*'BMP P Tracking Table'!$X392-42.834*'BMP P Tracking Table'!$W392)+SQRT((3630*'BMP P Tracking Table'!$U392+20.691*'BMP P Tracking Table'!$Z392-216.711*'BMP P Tracking Table'!$Y392-83.853*'BMP P Tracking Table'!$X392-42.834*'BMP P Tracking Table'!$W392)^2-(4*(149.919*'BMP P Tracking Table'!$W392+236.676*'BMP P Tracking Table'!$X392+726*'BMP P Tracking Table'!$Y392+996.798*'BMP P Tracking Table'!$Z392)*-'BMP P Tracking Table'!$AW392)))/(2*(149.919*'BMP P Tracking Table'!$W392+236.676*'BMP P Tracking Table'!$X392+726*'BMP P Tracking Table'!$Y392+996.798*'BMP P Tracking Table'!$Z392)))))),"")</f>
        <v/>
      </c>
      <c r="BA392" s="101" t="str">
        <f>IFERROR((VLOOKUP(CONCATENATE('BMP P Tracking Table'!$AV392," ",'BMP P Tracking Table'!$AX392),'Performance Curves'!$C$1:$L$45,MATCH('BMP P Tracking Table'!$AZ392,'Performance Curves'!$E$1:$L$1,1)+2,FALSE)-VLOOKUP(CONCATENATE('BMP P Tracking Table'!$AV392," ",'BMP P Tracking Table'!$AX392),'Performance Curves'!$C$1:$L$45,MATCH('BMP P Tracking Table'!$AZ392,'Performance Curves'!$E$1:$L$1,1)+1,FALSE)),"")</f>
        <v/>
      </c>
      <c r="BB392" s="101" t="str">
        <f>IFERROR(('BMP P Tracking Table'!$AZ392-INDEX('Performance Curves'!$E$1:$L$1,1,MATCH('BMP P Tracking Table'!$AZ392,'Performance Curves'!$E$1:$L$1,1)))/(INDEX('Performance Curves'!$E$1:$L$1,1,MATCH('BMP P Tracking Table'!$AZ392,'Performance Curves'!$E$1:$L$1,1)+1)-INDEX('Performance Curves'!$E$1:$L$1,1,MATCH('BMP P Tracking Table'!$AZ392,'Performance Curves'!$E$1:$L$1,1))),"")</f>
        <v/>
      </c>
      <c r="BC392" s="102" t="str">
        <f>IFERROR(IF('BMP P Tracking Table'!$AZ392=2,VLOOKUP(CONCATENATE('BMP P Tracking Table'!$AV392," ",'BMP P Tracking Table'!$AX392),'Performance Curves'!$C$1:$L$44,MATCH('BMP P Tracking Table'!$AZ392,'Performance Curves'!$E$1:$L$1,1)+1,FALSE),'BMP P Tracking Table'!$BA392*'BMP P Tracking Table'!$BB392+VLOOKUP(CONCATENATE('BMP P Tracking Table'!$AV392," ",'BMP P Tracking Table'!$AX392),'Performance Curves'!$C$1:$L$44,MATCH('BMP P Tracking Table'!$AZ392,'Performance Curves'!$E$1:$L$1,1)+1,FALSE)),"")</f>
        <v/>
      </c>
      <c r="BD392" s="101" t="str">
        <f>IFERROR('BMP P Tracking Table'!$BC392*'BMP P Tracking Table'!$AY392,"")</f>
        <v/>
      </c>
      <c r="BE392" s="96"/>
      <c r="BF392" s="37">
        <f t="shared" si="23"/>
        <v>0</v>
      </c>
    </row>
    <row r="393" spans="1:58" x14ac:dyDescent="0.3">
      <c r="A393" s="64"/>
      <c r="B393" s="64"/>
      <c r="C393" s="64"/>
      <c r="D393" s="64"/>
      <c r="E393" s="93"/>
      <c r="F393" s="93"/>
      <c r="G393" s="64"/>
      <c r="H393" s="64"/>
      <c r="I393" s="64"/>
      <c r="J393" s="94"/>
      <c r="K393" s="64"/>
      <c r="L393" s="64"/>
      <c r="M393" s="64"/>
      <c r="N393" s="64"/>
      <c r="O393" s="64"/>
      <c r="P393" s="64"/>
      <c r="Q393" s="64" t="str">
        <f>IFERROR(VLOOKUP('BMP P Tracking Table'!$P393,Dropdowns!$C$2:$E$15,3,FALSE),"")</f>
        <v/>
      </c>
      <c r="R393" s="64" t="str">
        <f>IFERROR(VLOOKUP('BMP P Tracking Table'!$Q393,Dropdowns!$P$3:$Q$23,2,FALSE),"")</f>
        <v/>
      </c>
      <c r="S393" s="64"/>
      <c r="T393" s="64"/>
      <c r="U393" s="64"/>
      <c r="V393" s="64"/>
      <c r="W393" s="64"/>
      <c r="X393" s="64"/>
      <c r="Y393" s="64"/>
      <c r="Z393" s="64"/>
      <c r="AA393" s="64"/>
      <c r="AB393" s="95"/>
      <c r="AC393" s="64"/>
      <c r="AD393" s="101" t="str">
        <f>IFERROR('BMP P Tracking Table'!$U393*VLOOKUP('BMP P Tracking Table'!$Q393,'Loading Rates'!$B$1:$L$24,4,FALSE)+IF('BMP P Tracking Table'!$V393="By HSG",'BMP P Tracking Table'!$W393*VLOOKUP('BMP P Tracking Table'!$Q393,'Loading Rates'!$B$1:$L$24,6,FALSE)+'BMP P Tracking Table'!$X393*VLOOKUP('BMP P Tracking Table'!$Q393,'Loading Rates'!$B$1:$L$24,7,FALSE)+'BMP P Tracking Table'!$Y393*VLOOKUP('BMP P Tracking Table'!$Q393,'Loading Rates'!$B$1:$L$24,8,FALSE)+'BMP P Tracking Table'!$Z393*VLOOKUP('BMP P Tracking Table'!$Q393,'Loading Rates'!$B$1:$L$24,9,FALSE),'BMP P Tracking Table'!$AA393*VLOOKUP('BMP P Tracking Table'!$Q393,'Loading Rates'!$B$1:$L$24,10,FALSE)),"")</f>
        <v/>
      </c>
      <c r="AE393" s="101" t="str">
        <f>IFERROR(MIN(2,IF('BMP P Tracking Table'!$V393="Total Pervious",(-(3630*'BMP P Tracking Table'!$U393+20.691*'BMP P Tracking Table'!$AA393)+SQRT((3630*'BMP P Tracking Table'!$U393+20.691*'BMP P Tracking Table'!$AA393)^2-(4*(996.798*'BMP P Tracking Table'!$AA393)*-'BMP P Tracking Table'!$AB393)))/(2*(996.798*'BMP P Tracking Table'!$AA393)),IF(SUM('BMP P Tracking Table'!$W393:$Z393)=0,'BMP P Tracking Table'!$AB393/(-3630*'BMP P Tracking Table'!$U393),(-(3630*'BMP P Tracking Table'!$U393+20.691*'BMP P Tracking Table'!$Z393-216.711*'BMP P Tracking Table'!$Y393-83.853*'BMP P Tracking Table'!$X393-42.834*'BMP P Tracking Table'!$W393)+SQRT((3630*'BMP P Tracking Table'!$U393+20.691*'BMP P Tracking Table'!$Z393-216.711*'BMP P Tracking Table'!$Y393-83.853*'BMP P Tracking Table'!$X393-42.834*'BMP P Tracking Table'!$W393)^2-(4*(149.919*'BMP P Tracking Table'!$W393+236.676*'BMP P Tracking Table'!$X393+726*'BMP P Tracking Table'!$Y393+996.798*'BMP P Tracking Table'!$Z393)*-'BMP P Tracking Table'!$AB393)))/(2*(149.919*'BMP P Tracking Table'!$W393+236.676*'BMP P Tracking Table'!$X393+726*'BMP P Tracking Table'!$Y393+996.798*'BMP P Tracking Table'!$Z393))))),"")</f>
        <v/>
      </c>
      <c r="AF393" s="101" t="str">
        <f>IFERROR((VLOOKUP(CONCATENATE('BMP P Tracking Table'!$T393," ",'BMP P Tracking Table'!$AC393),'Performance Curves'!$C$1:$L$45,MATCH('BMP P Tracking Table'!$AE393,'Performance Curves'!$E$1:$L$1,1)+2,FALSE)-VLOOKUP(CONCATENATE('BMP P Tracking Table'!$T393," ",'BMP P Tracking Table'!$AC393),'Performance Curves'!$C$1:$L$45,MATCH('BMP P Tracking Table'!$AE393,'Performance Curves'!$E$1:$L$1,1)+1,FALSE)),"")</f>
        <v/>
      </c>
      <c r="AG393" s="101" t="str">
        <f>IFERROR(('BMP P Tracking Table'!$AE393-INDEX('Performance Curves'!$E$1:$L$1,1,MATCH('BMP P Tracking Table'!$AE393,'Performance Curves'!$E$1:$L$1,1)))/(INDEX('Performance Curves'!$E$1:$L$1,1,MATCH('BMP P Tracking Table'!$AE393,'Performance Curves'!$E$1:$L$1,1)+1)-INDEX('Performance Curves'!$E$1:$L$1,1,MATCH('BMP P Tracking Table'!$AE393,'Performance Curves'!$E$1:$L$1,1))),"")</f>
        <v/>
      </c>
      <c r="AH393" s="102" t="str">
        <f>IFERROR(IF('BMP P Tracking Table'!$AE393=2,VLOOKUP(CONCATENATE('BMP P Tracking Table'!$T393," ",'BMP P Tracking Table'!$AC393),'Performance Curves'!$C$1:$L$45,MATCH('BMP P Tracking Table'!$AE393,'Performance Curves'!$E$1:$L$1,1)+1,FALSE),'BMP P Tracking Table'!$AF393*'BMP P Tracking Table'!$AG393+VLOOKUP(CONCATENATE('BMP P Tracking Table'!$T393," ",'BMP P Tracking Table'!$AC393),'Performance Curves'!$C$1:$L$45,MATCH('BMP P Tracking Table'!$AE393,'Performance Curves'!$E$1:$L$1,1)+1,FALSE)),"")</f>
        <v/>
      </c>
      <c r="AI393" s="101" t="str">
        <f>IFERROR('BMP P Tracking Table'!$AH393*'BMP P Tracking Table'!$AD393,"")</f>
        <v/>
      </c>
      <c r="AJ393" s="64"/>
      <c r="AK393" s="96"/>
      <c r="AL393" s="96"/>
      <c r="AM393" s="63"/>
      <c r="AN393" s="99" t="str">
        <f t="shared" si="22"/>
        <v/>
      </c>
      <c r="AO393" s="96"/>
      <c r="AP393" s="96"/>
      <c r="AQ393" s="96"/>
      <c r="AR393" s="96"/>
      <c r="AS393" s="96"/>
      <c r="AT393" s="96"/>
      <c r="AU393" s="96"/>
      <c r="AV393" s="64"/>
      <c r="AW393" s="97"/>
      <c r="AX393" s="97"/>
      <c r="AY393" s="101" t="str">
        <f>IF('BMP P Tracking Table'!$AK393="Yes",IF('BMP P Tracking Table'!$AL393="No",'BMP P Tracking Table'!$U393*VLOOKUP('BMP P Tracking Table'!$Q393,'Loading Rates'!$B$1:$L$24,4,FALSE)+IF('BMP P Tracking Table'!$V393="By HSG",'BMP P Tracking Table'!$W393*VLOOKUP('BMP P Tracking Table'!$Q393,'Loading Rates'!$B$1:$L$24,6,FALSE)+'BMP P Tracking Table'!$X393*VLOOKUP('BMP P Tracking Table'!$Q393,'Loading Rates'!$B$1:$L$24,7,FALSE)+'BMP P Tracking Table'!$Y393*VLOOKUP('BMP P Tracking Table'!$Q393,'Loading Rates'!$B$1:$L$24,8,FALSE)+'BMP P Tracking Table'!$Z393*VLOOKUP('BMP P Tracking Table'!$Q393,'Loading Rates'!$B$1:$L$24,9,FALSE),'BMP P Tracking Table'!$AA393*VLOOKUP('BMP P Tracking Table'!$Q393,'Loading Rates'!$B$1:$L$24,10,FALSE)),'BMP P Tracking Table'!$AO393*VLOOKUP('BMP P Tracking Table'!$Q393,'Loading Rates'!$B$1:$L$24,4,FALSE)+IF('BMP P Tracking Table'!$AP393="By HSG",'BMP P Tracking Table'!$AQ393*VLOOKUP('BMP P Tracking Table'!$Q393,'Loading Rates'!$B$1:$L$24,6,FALSE)+'BMP P Tracking Table'!$AR393*VLOOKUP('BMP P Tracking Table'!$Q393,'Loading Rates'!$B$1:$L$24,7,FALSE)+'BMP P Tracking Table'!$AS393*VLOOKUP('BMP P Tracking Table'!$Q393,'Loading Rates'!$B$1:$L$24,8,FALSE)+'BMP P Tracking Table'!$AT393*VLOOKUP('BMP P Tracking Table'!$Q393,'Loading Rates'!$B$1:$L$24,9,FALSE),'BMP P Tracking Table'!$AU393*VLOOKUP('BMP P Tracking Table'!$Q393,'Loading Rates'!$B$1:$L$24,10,FALSE))),"")</f>
        <v/>
      </c>
      <c r="AZ393" s="101" t="str">
        <f>IFERROR(IF('BMP P Tracking Table'!$AL393="Yes",MIN(2,IF('BMP P Tracking Table'!$AP393="Total Pervious",(-(3630*'BMP P Tracking Table'!$AO393+20.691*'BMP P Tracking Table'!$AU393)+SQRT((3630*'BMP P Tracking Table'!$AO393+20.691*'BMP P Tracking Table'!$AU393)^2-(4*(996.798*'BMP P Tracking Table'!$AU393)*-'BMP P Tracking Table'!$AW393)))/(2*(996.798*'BMP P Tracking Table'!$AU393)),IF(SUM('BMP P Tracking Table'!$AQ393:$AT393)=0,'BMP P Tracking Table'!$AU393/(-3630*'BMP P Tracking Table'!$AO393),(-(3630*'BMP P Tracking Table'!$AO393+20.691*'BMP P Tracking Table'!$AT393-216.711*'BMP P Tracking Table'!$AS393-83.853*'BMP P Tracking Table'!$AR393-42.834*'BMP P Tracking Table'!$AQ393)+SQRT((3630*'BMP P Tracking Table'!$AO393+20.691*'BMP P Tracking Table'!$AT393-216.711*'BMP P Tracking Table'!$AS393-83.853*'BMP P Tracking Table'!$AR393-42.834*'BMP P Tracking Table'!$AQ393)^2-(4*(149.919*'BMP P Tracking Table'!$AQ393+236.676*'BMP P Tracking Table'!$AR393+726*'BMP P Tracking Table'!$AS393+996.798*'BMP P Tracking Table'!$AT393)*-'BMP P Tracking Table'!$AW393)))/(2*(149.919*'BMP P Tracking Table'!$AQ393+236.676*'BMP P Tracking Table'!$AR393+726*'BMP P Tracking Table'!$AS393+996.798*'BMP P Tracking Table'!$AT393))))),MIN(2,IF('BMP P Tracking Table'!$AP393="Total Pervious",(-(3630*'BMP P Tracking Table'!$U393+20.691*'BMP P Tracking Table'!$AA393)+SQRT((3630*'BMP P Tracking Table'!$U393+20.691*'BMP P Tracking Table'!$AA393)^2-(4*(996.798*'BMP P Tracking Table'!$AA393)*-'BMP P Tracking Table'!$AW393)))/(2*(996.798*'BMP P Tracking Table'!$AA393)),IF(SUM('BMP P Tracking Table'!$W393:$Z393)=0,'BMP P Tracking Table'!$AW393/(-3630*'BMP P Tracking Table'!$U393),(-(3630*'BMP P Tracking Table'!$U393+20.691*'BMP P Tracking Table'!$Z393-216.711*'BMP P Tracking Table'!$Y393-83.853*'BMP P Tracking Table'!$X393-42.834*'BMP P Tracking Table'!$W393)+SQRT((3630*'BMP P Tracking Table'!$U393+20.691*'BMP P Tracking Table'!$Z393-216.711*'BMP P Tracking Table'!$Y393-83.853*'BMP P Tracking Table'!$X393-42.834*'BMP P Tracking Table'!$W393)^2-(4*(149.919*'BMP P Tracking Table'!$W393+236.676*'BMP P Tracking Table'!$X393+726*'BMP P Tracking Table'!$Y393+996.798*'BMP P Tracking Table'!$Z393)*-'BMP P Tracking Table'!$AW393)))/(2*(149.919*'BMP P Tracking Table'!$W393+236.676*'BMP P Tracking Table'!$X393+726*'BMP P Tracking Table'!$Y393+996.798*'BMP P Tracking Table'!$Z393)))))),"")</f>
        <v/>
      </c>
      <c r="BA393" s="101" t="str">
        <f>IFERROR((VLOOKUP(CONCATENATE('BMP P Tracking Table'!$AV393," ",'BMP P Tracking Table'!$AX393),'Performance Curves'!$C$1:$L$45,MATCH('BMP P Tracking Table'!$AZ393,'Performance Curves'!$E$1:$L$1,1)+2,FALSE)-VLOOKUP(CONCATENATE('BMP P Tracking Table'!$AV393," ",'BMP P Tracking Table'!$AX393),'Performance Curves'!$C$1:$L$45,MATCH('BMP P Tracking Table'!$AZ393,'Performance Curves'!$E$1:$L$1,1)+1,FALSE)),"")</f>
        <v/>
      </c>
      <c r="BB393" s="101" t="str">
        <f>IFERROR(('BMP P Tracking Table'!$AZ393-INDEX('Performance Curves'!$E$1:$L$1,1,MATCH('BMP P Tracking Table'!$AZ393,'Performance Curves'!$E$1:$L$1,1)))/(INDEX('Performance Curves'!$E$1:$L$1,1,MATCH('BMP P Tracking Table'!$AZ393,'Performance Curves'!$E$1:$L$1,1)+1)-INDEX('Performance Curves'!$E$1:$L$1,1,MATCH('BMP P Tracking Table'!$AZ393,'Performance Curves'!$E$1:$L$1,1))),"")</f>
        <v/>
      </c>
      <c r="BC393" s="102" t="str">
        <f>IFERROR(IF('BMP P Tracking Table'!$AZ393=2,VLOOKUP(CONCATENATE('BMP P Tracking Table'!$AV393," ",'BMP P Tracking Table'!$AX393),'Performance Curves'!$C$1:$L$44,MATCH('BMP P Tracking Table'!$AZ393,'Performance Curves'!$E$1:$L$1,1)+1,FALSE),'BMP P Tracking Table'!$BA393*'BMP P Tracking Table'!$BB393+VLOOKUP(CONCATENATE('BMP P Tracking Table'!$AV393," ",'BMP P Tracking Table'!$AX393),'Performance Curves'!$C$1:$L$44,MATCH('BMP P Tracking Table'!$AZ393,'Performance Curves'!$E$1:$L$1,1)+1,FALSE)),"")</f>
        <v/>
      </c>
      <c r="BD393" s="101" t="str">
        <f>IFERROR('BMP P Tracking Table'!$BC393*'BMP P Tracking Table'!$AY393,"")</f>
        <v/>
      </c>
      <c r="BE393" s="96"/>
      <c r="BF393" s="37">
        <f t="shared" si="23"/>
        <v>0</v>
      </c>
    </row>
    <row r="394" spans="1:58" x14ac:dyDescent="0.3">
      <c r="A394" s="64"/>
      <c r="B394" s="64"/>
      <c r="C394" s="64"/>
      <c r="D394" s="64"/>
      <c r="E394" s="93"/>
      <c r="F394" s="93"/>
      <c r="G394" s="64"/>
      <c r="H394" s="64"/>
      <c r="I394" s="64"/>
      <c r="J394" s="94"/>
      <c r="K394" s="64"/>
      <c r="L394" s="64"/>
      <c r="M394" s="64"/>
      <c r="N394" s="64"/>
      <c r="O394" s="64"/>
      <c r="P394" s="64"/>
      <c r="Q394" s="64" t="str">
        <f>IFERROR(VLOOKUP('BMP P Tracking Table'!$P394,Dropdowns!$C$2:$E$15,3,FALSE),"")</f>
        <v/>
      </c>
      <c r="R394" s="64" t="str">
        <f>IFERROR(VLOOKUP('BMP P Tracking Table'!$Q394,Dropdowns!$P$3:$Q$23,2,FALSE),"")</f>
        <v/>
      </c>
      <c r="S394" s="64"/>
      <c r="T394" s="64"/>
      <c r="U394" s="64"/>
      <c r="V394" s="64"/>
      <c r="W394" s="64"/>
      <c r="X394" s="64"/>
      <c r="Y394" s="64"/>
      <c r="Z394" s="64"/>
      <c r="AA394" s="64"/>
      <c r="AB394" s="95"/>
      <c r="AC394" s="64"/>
      <c r="AD394" s="101" t="str">
        <f>IFERROR('BMP P Tracking Table'!$U394*VLOOKUP('BMP P Tracking Table'!$Q394,'Loading Rates'!$B$1:$L$24,4,FALSE)+IF('BMP P Tracking Table'!$V394="By HSG",'BMP P Tracking Table'!$W394*VLOOKUP('BMP P Tracking Table'!$Q394,'Loading Rates'!$B$1:$L$24,6,FALSE)+'BMP P Tracking Table'!$X394*VLOOKUP('BMP P Tracking Table'!$Q394,'Loading Rates'!$B$1:$L$24,7,FALSE)+'BMP P Tracking Table'!$Y394*VLOOKUP('BMP P Tracking Table'!$Q394,'Loading Rates'!$B$1:$L$24,8,FALSE)+'BMP P Tracking Table'!$Z394*VLOOKUP('BMP P Tracking Table'!$Q394,'Loading Rates'!$B$1:$L$24,9,FALSE),'BMP P Tracking Table'!$AA394*VLOOKUP('BMP P Tracking Table'!$Q394,'Loading Rates'!$B$1:$L$24,10,FALSE)),"")</f>
        <v/>
      </c>
      <c r="AE394" s="101" t="str">
        <f>IFERROR(MIN(2,IF('BMP P Tracking Table'!$V394="Total Pervious",(-(3630*'BMP P Tracking Table'!$U394+20.691*'BMP P Tracking Table'!$AA394)+SQRT((3630*'BMP P Tracking Table'!$U394+20.691*'BMP P Tracking Table'!$AA394)^2-(4*(996.798*'BMP P Tracking Table'!$AA394)*-'BMP P Tracking Table'!$AB394)))/(2*(996.798*'BMP P Tracking Table'!$AA394)),IF(SUM('BMP P Tracking Table'!$W394:$Z394)=0,'BMP P Tracking Table'!$AB394/(-3630*'BMP P Tracking Table'!$U394),(-(3630*'BMP P Tracking Table'!$U394+20.691*'BMP P Tracking Table'!$Z394-216.711*'BMP P Tracking Table'!$Y394-83.853*'BMP P Tracking Table'!$X394-42.834*'BMP P Tracking Table'!$W394)+SQRT((3630*'BMP P Tracking Table'!$U394+20.691*'BMP P Tracking Table'!$Z394-216.711*'BMP P Tracking Table'!$Y394-83.853*'BMP P Tracking Table'!$X394-42.834*'BMP P Tracking Table'!$W394)^2-(4*(149.919*'BMP P Tracking Table'!$W394+236.676*'BMP P Tracking Table'!$X394+726*'BMP P Tracking Table'!$Y394+996.798*'BMP P Tracking Table'!$Z394)*-'BMP P Tracking Table'!$AB394)))/(2*(149.919*'BMP P Tracking Table'!$W394+236.676*'BMP P Tracking Table'!$X394+726*'BMP P Tracking Table'!$Y394+996.798*'BMP P Tracking Table'!$Z394))))),"")</f>
        <v/>
      </c>
      <c r="AF394" s="101" t="str">
        <f>IFERROR((VLOOKUP(CONCATENATE('BMP P Tracking Table'!$T394," ",'BMP P Tracking Table'!$AC394),'Performance Curves'!$C$1:$L$45,MATCH('BMP P Tracking Table'!$AE394,'Performance Curves'!$E$1:$L$1,1)+2,FALSE)-VLOOKUP(CONCATENATE('BMP P Tracking Table'!$T394," ",'BMP P Tracking Table'!$AC394),'Performance Curves'!$C$1:$L$45,MATCH('BMP P Tracking Table'!$AE394,'Performance Curves'!$E$1:$L$1,1)+1,FALSE)),"")</f>
        <v/>
      </c>
      <c r="AG394" s="101" t="str">
        <f>IFERROR(('BMP P Tracking Table'!$AE394-INDEX('Performance Curves'!$E$1:$L$1,1,MATCH('BMP P Tracking Table'!$AE394,'Performance Curves'!$E$1:$L$1,1)))/(INDEX('Performance Curves'!$E$1:$L$1,1,MATCH('BMP P Tracking Table'!$AE394,'Performance Curves'!$E$1:$L$1,1)+1)-INDEX('Performance Curves'!$E$1:$L$1,1,MATCH('BMP P Tracking Table'!$AE394,'Performance Curves'!$E$1:$L$1,1))),"")</f>
        <v/>
      </c>
      <c r="AH394" s="102" t="str">
        <f>IFERROR(IF('BMP P Tracking Table'!$AE394=2,VLOOKUP(CONCATENATE('BMP P Tracking Table'!$T394," ",'BMP P Tracking Table'!$AC394),'Performance Curves'!$C$1:$L$45,MATCH('BMP P Tracking Table'!$AE394,'Performance Curves'!$E$1:$L$1,1)+1,FALSE),'BMP P Tracking Table'!$AF394*'BMP P Tracking Table'!$AG394+VLOOKUP(CONCATENATE('BMP P Tracking Table'!$T394," ",'BMP P Tracking Table'!$AC394),'Performance Curves'!$C$1:$L$45,MATCH('BMP P Tracking Table'!$AE394,'Performance Curves'!$E$1:$L$1,1)+1,FALSE)),"")</f>
        <v/>
      </c>
      <c r="AI394" s="101" t="str">
        <f>IFERROR('BMP P Tracking Table'!$AH394*'BMP P Tracking Table'!$AD394,"")</f>
        <v/>
      </c>
      <c r="AJ394" s="64"/>
      <c r="AK394" s="96"/>
      <c r="AL394" s="96"/>
      <c r="AM394" s="63"/>
      <c r="AN394" s="99" t="str">
        <f t="shared" si="22"/>
        <v/>
      </c>
      <c r="AO394" s="96"/>
      <c r="AP394" s="96"/>
      <c r="AQ394" s="96"/>
      <c r="AR394" s="96"/>
      <c r="AS394" s="96"/>
      <c r="AT394" s="96"/>
      <c r="AU394" s="96"/>
      <c r="AV394" s="64"/>
      <c r="AW394" s="97"/>
      <c r="AX394" s="97"/>
      <c r="AY394" s="101" t="str">
        <f>IF('BMP P Tracking Table'!$AK394="Yes",IF('BMP P Tracking Table'!$AL394="No",'BMP P Tracking Table'!$U394*VLOOKUP('BMP P Tracking Table'!$Q394,'Loading Rates'!$B$1:$L$24,4,FALSE)+IF('BMP P Tracking Table'!$V394="By HSG",'BMP P Tracking Table'!$W394*VLOOKUP('BMP P Tracking Table'!$Q394,'Loading Rates'!$B$1:$L$24,6,FALSE)+'BMP P Tracking Table'!$X394*VLOOKUP('BMP P Tracking Table'!$Q394,'Loading Rates'!$B$1:$L$24,7,FALSE)+'BMP P Tracking Table'!$Y394*VLOOKUP('BMP P Tracking Table'!$Q394,'Loading Rates'!$B$1:$L$24,8,FALSE)+'BMP P Tracking Table'!$Z394*VLOOKUP('BMP P Tracking Table'!$Q394,'Loading Rates'!$B$1:$L$24,9,FALSE),'BMP P Tracking Table'!$AA394*VLOOKUP('BMP P Tracking Table'!$Q394,'Loading Rates'!$B$1:$L$24,10,FALSE)),'BMP P Tracking Table'!$AO394*VLOOKUP('BMP P Tracking Table'!$Q394,'Loading Rates'!$B$1:$L$24,4,FALSE)+IF('BMP P Tracking Table'!$AP394="By HSG",'BMP P Tracking Table'!$AQ394*VLOOKUP('BMP P Tracking Table'!$Q394,'Loading Rates'!$B$1:$L$24,6,FALSE)+'BMP P Tracking Table'!$AR394*VLOOKUP('BMP P Tracking Table'!$Q394,'Loading Rates'!$B$1:$L$24,7,FALSE)+'BMP P Tracking Table'!$AS394*VLOOKUP('BMP P Tracking Table'!$Q394,'Loading Rates'!$B$1:$L$24,8,FALSE)+'BMP P Tracking Table'!$AT394*VLOOKUP('BMP P Tracking Table'!$Q394,'Loading Rates'!$B$1:$L$24,9,FALSE),'BMP P Tracking Table'!$AU394*VLOOKUP('BMP P Tracking Table'!$Q394,'Loading Rates'!$B$1:$L$24,10,FALSE))),"")</f>
        <v/>
      </c>
      <c r="AZ394" s="101" t="str">
        <f>IFERROR(IF('BMP P Tracking Table'!$AL394="Yes",MIN(2,IF('BMP P Tracking Table'!$AP394="Total Pervious",(-(3630*'BMP P Tracking Table'!$AO394+20.691*'BMP P Tracking Table'!$AU394)+SQRT((3630*'BMP P Tracking Table'!$AO394+20.691*'BMP P Tracking Table'!$AU394)^2-(4*(996.798*'BMP P Tracking Table'!$AU394)*-'BMP P Tracking Table'!$AW394)))/(2*(996.798*'BMP P Tracking Table'!$AU394)),IF(SUM('BMP P Tracking Table'!$AQ394:$AT394)=0,'BMP P Tracking Table'!$AU394/(-3630*'BMP P Tracking Table'!$AO394),(-(3630*'BMP P Tracking Table'!$AO394+20.691*'BMP P Tracking Table'!$AT394-216.711*'BMP P Tracking Table'!$AS394-83.853*'BMP P Tracking Table'!$AR394-42.834*'BMP P Tracking Table'!$AQ394)+SQRT((3630*'BMP P Tracking Table'!$AO394+20.691*'BMP P Tracking Table'!$AT394-216.711*'BMP P Tracking Table'!$AS394-83.853*'BMP P Tracking Table'!$AR394-42.834*'BMP P Tracking Table'!$AQ394)^2-(4*(149.919*'BMP P Tracking Table'!$AQ394+236.676*'BMP P Tracking Table'!$AR394+726*'BMP P Tracking Table'!$AS394+996.798*'BMP P Tracking Table'!$AT394)*-'BMP P Tracking Table'!$AW394)))/(2*(149.919*'BMP P Tracking Table'!$AQ394+236.676*'BMP P Tracking Table'!$AR394+726*'BMP P Tracking Table'!$AS394+996.798*'BMP P Tracking Table'!$AT394))))),MIN(2,IF('BMP P Tracking Table'!$AP394="Total Pervious",(-(3630*'BMP P Tracking Table'!$U394+20.691*'BMP P Tracking Table'!$AA394)+SQRT((3630*'BMP P Tracking Table'!$U394+20.691*'BMP P Tracking Table'!$AA394)^2-(4*(996.798*'BMP P Tracking Table'!$AA394)*-'BMP P Tracking Table'!$AW394)))/(2*(996.798*'BMP P Tracking Table'!$AA394)),IF(SUM('BMP P Tracking Table'!$W394:$Z394)=0,'BMP P Tracking Table'!$AW394/(-3630*'BMP P Tracking Table'!$U394),(-(3630*'BMP P Tracking Table'!$U394+20.691*'BMP P Tracking Table'!$Z394-216.711*'BMP P Tracking Table'!$Y394-83.853*'BMP P Tracking Table'!$X394-42.834*'BMP P Tracking Table'!$W394)+SQRT((3630*'BMP P Tracking Table'!$U394+20.691*'BMP P Tracking Table'!$Z394-216.711*'BMP P Tracking Table'!$Y394-83.853*'BMP P Tracking Table'!$X394-42.834*'BMP P Tracking Table'!$W394)^2-(4*(149.919*'BMP P Tracking Table'!$W394+236.676*'BMP P Tracking Table'!$X394+726*'BMP P Tracking Table'!$Y394+996.798*'BMP P Tracking Table'!$Z394)*-'BMP P Tracking Table'!$AW394)))/(2*(149.919*'BMP P Tracking Table'!$W394+236.676*'BMP P Tracking Table'!$X394+726*'BMP P Tracking Table'!$Y394+996.798*'BMP P Tracking Table'!$Z394)))))),"")</f>
        <v/>
      </c>
      <c r="BA394" s="101" t="str">
        <f>IFERROR((VLOOKUP(CONCATENATE('BMP P Tracking Table'!$AV394," ",'BMP P Tracking Table'!$AX394),'Performance Curves'!$C$1:$L$45,MATCH('BMP P Tracking Table'!$AZ394,'Performance Curves'!$E$1:$L$1,1)+2,FALSE)-VLOOKUP(CONCATENATE('BMP P Tracking Table'!$AV394," ",'BMP P Tracking Table'!$AX394),'Performance Curves'!$C$1:$L$45,MATCH('BMP P Tracking Table'!$AZ394,'Performance Curves'!$E$1:$L$1,1)+1,FALSE)),"")</f>
        <v/>
      </c>
      <c r="BB394" s="101" t="str">
        <f>IFERROR(('BMP P Tracking Table'!$AZ394-INDEX('Performance Curves'!$E$1:$L$1,1,MATCH('BMP P Tracking Table'!$AZ394,'Performance Curves'!$E$1:$L$1,1)))/(INDEX('Performance Curves'!$E$1:$L$1,1,MATCH('BMP P Tracking Table'!$AZ394,'Performance Curves'!$E$1:$L$1,1)+1)-INDEX('Performance Curves'!$E$1:$L$1,1,MATCH('BMP P Tracking Table'!$AZ394,'Performance Curves'!$E$1:$L$1,1))),"")</f>
        <v/>
      </c>
      <c r="BC394" s="102" t="str">
        <f>IFERROR(IF('BMP P Tracking Table'!$AZ394=2,VLOOKUP(CONCATENATE('BMP P Tracking Table'!$AV394," ",'BMP P Tracking Table'!$AX394),'Performance Curves'!$C$1:$L$44,MATCH('BMP P Tracking Table'!$AZ394,'Performance Curves'!$E$1:$L$1,1)+1,FALSE),'BMP P Tracking Table'!$BA394*'BMP P Tracking Table'!$BB394+VLOOKUP(CONCATENATE('BMP P Tracking Table'!$AV394," ",'BMP P Tracking Table'!$AX394),'Performance Curves'!$C$1:$L$44,MATCH('BMP P Tracking Table'!$AZ394,'Performance Curves'!$E$1:$L$1,1)+1,FALSE)),"")</f>
        <v/>
      </c>
      <c r="BD394" s="101" t="str">
        <f>IFERROR('BMP P Tracking Table'!$BC394*'BMP P Tracking Table'!$AY394,"")</f>
        <v/>
      </c>
      <c r="BE394" s="96"/>
      <c r="BF394" s="37">
        <f t="shared" si="23"/>
        <v>0</v>
      </c>
    </row>
    <row r="395" spans="1:58" x14ac:dyDescent="0.3">
      <c r="A395" s="64"/>
      <c r="B395" s="64"/>
      <c r="C395" s="64"/>
      <c r="D395" s="64"/>
      <c r="E395" s="93"/>
      <c r="F395" s="93"/>
      <c r="G395" s="64"/>
      <c r="H395" s="64"/>
      <c r="I395" s="64"/>
      <c r="J395" s="94"/>
      <c r="K395" s="64"/>
      <c r="L395" s="64"/>
      <c r="M395" s="64"/>
      <c r="N395" s="64"/>
      <c r="O395" s="64"/>
      <c r="P395" s="64"/>
      <c r="Q395" s="64" t="str">
        <f>IFERROR(VLOOKUP('BMP P Tracking Table'!$P395,Dropdowns!$C$2:$E$15,3,FALSE),"")</f>
        <v/>
      </c>
      <c r="R395" s="64" t="str">
        <f>IFERROR(VLOOKUP('BMP P Tracking Table'!$Q395,Dropdowns!$P$3:$Q$23,2,FALSE),"")</f>
        <v/>
      </c>
      <c r="S395" s="64"/>
      <c r="T395" s="64"/>
      <c r="U395" s="64"/>
      <c r="V395" s="64"/>
      <c r="W395" s="64"/>
      <c r="X395" s="64"/>
      <c r="Y395" s="64"/>
      <c r="Z395" s="64"/>
      <c r="AA395" s="64"/>
      <c r="AB395" s="95"/>
      <c r="AC395" s="64"/>
      <c r="AD395" s="101" t="str">
        <f>IFERROR('BMP P Tracking Table'!$U395*VLOOKUP('BMP P Tracking Table'!$Q395,'Loading Rates'!$B$1:$L$24,4,FALSE)+IF('BMP P Tracking Table'!$V395="By HSG",'BMP P Tracking Table'!$W395*VLOOKUP('BMP P Tracking Table'!$Q395,'Loading Rates'!$B$1:$L$24,6,FALSE)+'BMP P Tracking Table'!$X395*VLOOKUP('BMP P Tracking Table'!$Q395,'Loading Rates'!$B$1:$L$24,7,FALSE)+'BMP P Tracking Table'!$Y395*VLOOKUP('BMP P Tracking Table'!$Q395,'Loading Rates'!$B$1:$L$24,8,FALSE)+'BMP P Tracking Table'!$Z395*VLOOKUP('BMP P Tracking Table'!$Q395,'Loading Rates'!$B$1:$L$24,9,FALSE),'BMP P Tracking Table'!$AA395*VLOOKUP('BMP P Tracking Table'!$Q395,'Loading Rates'!$B$1:$L$24,10,FALSE)),"")</f>
        <v/>
      </c>
      <c r="AE395" s="101" t="str">
        <f>IFERROR(MIN(2,IF('BMP P Tracking Table'!$V395="Total Pervious",(-(3630*'BMP P Tracking Table'!$U395+20.691*'BMP P Tracking Table'!$AA395)+SQRT((3630*'BMP P Tracking Table'!$U395+20.691*'BMP P Tracking Table'!$AA395)^2-(4*(996.798*'BMP P Tracking Table'!$AA395)*-'BMP P Tracking Table'!$AB395)))/(2*(996.798*'BMP P Tracking Table'!$AA395)),IF(SUM('BMP P Tracking Table'!$W395:$Z395)=0,'BMP P Tracking Table'!$AB395/(-3630*'BMP P Tracking Table'!$U395),(-(3630*'BMP P Tracking Table'!$U395+20.691*'BMP P Tracking Table'!$Z395-216.711*'BMP P Tracking Table'!$Y395-83.853*'BMP P Tracking Table'!$X395-42.834*'BMP P Tracking Table'!$W395)+SQRT((3630*'BMP P Tracking Table'!$U395+20.691*'BMP P Tracking Table'!$Z395-216.711*'BMP P Tracking Table'!$Y395-83.853*'BMP P Tracking Table'!$X395-42.834*'BMP P Tracking Table'!$W395)^2-(4*(149.919*'BMP P Tracking Table'!$W395+236.676*'BMP P Tracking Table'!$X395+726*'BMP P Tracking Table'!$Y395+996.798*'BMP P Tracking Table'!$Z395)*-'BMP P Tracking Table'!$AB395)))/(2*(149.919*'BMP P Tracking Table'!$W395+236.676*'BMP P Tracking Table'!$X395+726*'BMP P Tracking Table'!$Y395+996.798*'BMP P Tracking Table'!$Z395))))),"")</f>
        <v/>
      </c>
      <c r="AF395" s="101" t="str">
        <f>IFERROR((VLOOKUP(CONCATENATE('BMP P Tracking Table'!$T395," ",'BMP P Tracking Table'!$AC395),'Performance Curves'!$C$1:$L$45,MATCH('BMP P Tracking Table'!$AE395,'Performance Curves'!$E$1:$L$1,1)+2,FALSE)-VLOOKUP(CONCATENATE('BMP P Tracking Table'!$T395," ",'BMP P Tracking Table'!$AC395),'Performance Curves'!$C$1:$L$45,MATCH('BMP P Tracking Table'!$AE395,'Performance Curves'!$E$1:$L$1,1)+1,FALSE)),"")</f>
        <v/>
      </c>
      <c r="AG395" s="101" t="str">
        <f>IFERROR(('BMP P Tracking Table'!$AE395-INDEX('Performance Curves'!$E$1:$L$1,1,MATCH('BMP P Tracking Table'!$AE395,'Performance Curves'!$E$1:$L$1,1)))/(INDEX('Performance Curves'!$E$1:$L$1,1,MATCH('BMP P Tracking Table'!$AE395,'Performance Curves'!$E$1:$L$1,1)+1)-INDEX('Performance Curves'!$E$1:$L$1,1,MATCH('BMP P Tracking Table'!$AE395,'Performance Curves'!$E$1:$L$1,1))),"")</f>
        <v/>
      </c>
      <c r="AH395" s="102" t="str">
        <f>IFERROR(IF('BMP P Tracking Table'!$AE395=2,VLOOKUP(CONCATENATE('BMP P Tracking Table'!$T395," ",'BMP P Tracking Table'!$AC395),'Performance Curves'!$C$1:$L$45,MATCH('BMP P Tracking Table'!$AE395,'Performance Curves'!$E$1:$L$1,1)+1,FALSE),'BMP P Tracking Table'!$AF395*'BMP P Tracking Table'!$AG395+VLOOKUP(CONCATENATE('BMP P Tracking Table'!$T395," ",'BMP P Tracking Table'!$AC395),'Performance Curves'!$C$1:$L$45,MATCH('BMP P Tracking Table'!$AE395,'Performance Curves'!$E$1:$L$1,1)+1,FALSE)),"")</f>
        <v/>
      </c>
      <c r="AI395" s="101" t="str">
        <f>IFERROR('BMP P Tracking Table'!$AH395*'BMP P Tracking Table'!$AD395,"")</f>
        <v/>
      </c>
      <c r="AJ395" s="64"/>
      <c r="AK395" s="96"/>
      <c r="AL395" s="96"/>
      <c r="AM395" s="63"/>
      <c r="AN395" s="99" t="str">
        <f t="shared" si="22"/>
        <v/>
      </c>
      <c r="AO395" s="96"/>
      <c r="AP395" s="96"/>
      <c r="AQ395" s="96"/>
      <c r="AR395" s="96"/>
      <c r="AS395" s="96"/>
      <c r="AT395" s="96"/>
      <c r="AU395" s="96"/>
      <c r="AV395" s="64"/>
      <c r="AW395" s="97"/>
      <c r="AX395" s="97"/>
      <c r="AY395" s="101" t="str">
        <f>IF('BMP P Tracking Table'!$AK395="Yes",IF('BMP P Tracking Table'!$AL395="No",'BMP P Tracking Table'!$U395*VLOOKUP('BMP P Tracking Table'!$Q395,'Loading Rates'!$B$1:$L$24,4,FALSE)+IF('BMP P Tracking Table'!$V395="By HSG",'BMP P Tracking Table'!$W395*VLOOKUP('BMP P Tracking Table'!$Q395,'Loading Rates'!$B$1:$L$24,6,FALSE)+'BMP P Tracking Table'!$X395*VLOOKUP('BMP P Tracking Table'!$Q395,'Loading Rates'!$B$1:$L$24,7,FALSE)+'BMP P Tracking Table'!$Y395*VLOOKUP('BMP P Tracking Table'!$Q395,'Loading Rates'!$B$1:$L$24,8,FALSE)+'BMP P Tracking Table'!$Z395*VLOOKUP('BMP P Tracking Table'!$Q395,'Loading Rates'!$B$1:$L$24,9,FALSE),'BMP P Tracking Table'!$AA395*VLOOKUP('BMP P Tracking Table'!$Q395,'Loading Rates'!$B$1:$L$24,10,FALSE)),'BMP P Tracking Table'!$AO395*VLOOKUP('BMP P Tracking Table'!$Q395,'Loading Rates'!$B$1:$L$24,4,FALSE)+IF('BMP P Tracking Table'!$AP395="By HSG",'BMP P Tracking Table'!$AQ395*VLOOKUP('BMP P Tracking Table'!$Q395,'Loading Rates'!$B$1:$L$24,6,FALSE)+'BMP P Tracking Table'!$AR395*VLOOKUP('BMP P Tracking Table'!$Q395,'Loading Rates'!$B$1:$L$24,7,FALSE)+'BMP P Tracking Table'!$AS395*VLOOKUP('BMP P Tracking Table'!$Q395,'Loading Rates'!$B$1:$L$24,8,FALSE)+'BMP P Tracking Table'!$AT395*VLOOKUP('BMP P Tracking Table'!$Q395,'Loading Rates'!$B$1:$L$24,9,FALSE),'BMP P Tracking Table'!$AU395*VLOOKUP('BMP P Tracking Table'!$Q395,'Loading Rates'!$B$1:$L$24,10,FALSE))),"")</f>
        <v/>
      </c>
      <c r="AZ395" s="101" t="str">
        <f>IFERROR(IF('BMP P Tracking Table'!$AL395="Yes",MIN(2,IF('BMP P Tracking Table'!$AP395="Total Pervious",(-(3630*'BMP P Tracking Table'!$AO395+20.691*'BMP P Tracking Table'!$AU395)+SQRT((3630*'BMP P Tracking Table'!$AO395+20.691*'BMP P Tracking Table'!$AU395)^2-(4*(996.798*'BMP P Tracking Table'!$AU395)*-'BMP P Tracking Table'!$AW395)))/(2*(996.798*'BMP P Tracking Table'!$AU395)),IF(SUM('BMP P Tracking Table'!$AQ395:$AT395)=0,'BMP P Tracking Table'!$AU395/(-3630*'BMP P Tracking Table'!$AO395),(-(3630*'BMP P Tracking Table'!$AO395+20.691*'BMP P Tracking Table'!$AT395-216.711*'BMP P Tracking Table'!$AS395-83.853*'BMP P Tracking Table'!$AR395-42.834*'BMP P Tracking Table'!$AQ395)+SQRT((3630*'BMP P Tracking Table'!$AO395+20.691*'BMP P Tracking Table'!$AT395-216.711*'BMP P Tracking Table'!$AS395-83.853*'BMP P Tracking Table'!$AR395-42.834*'BMP P Tracking Table'!$AQ395)^2-(4*(149.919*'BMP P Tracking Table'!$AQ395+236.676*'BMP P Tracking Table'!$AR395+726*'BMP P Tracking Table'!$AS395+996.798*'BMP P Tracking Table'!$AT395)*-'BMP P Tracking Table'!$AW395)))/(2*(149.919*'BMP P Tracking Table'!$AQ395+236.676*'BMP P Tracking Table'!$AR395+726*'BMP P Tracking Table'!$AS395+996.798*'BMP P Tracking Table'!$AT395))))),MIN(2,IF('BMP P Tracking Table'!$AP395="Total Pervious",(-(3630*'BMP P Tracking Table'!$U395+20.691*'BMP P Tracking Table'!$AA395)+SQRT((3630*'BMP P Tracking Table'!$U395+20.691*'BMP P Tracking Table'!$AA395)^2-(4*(996.798*'BMP P Tracking Table'!$AA395)*-'BMP P Tracking Table'!$AW395)))/(2*(996.798*'BMP P Tracking Table'!$AA395)),IF(SUM('BMP P Tracking Table'!$W395:$Z395)=0,'BMP P Tracking Table'!$AW395/(-3630*'BMP P Tracking Table'!$U395),(-(3630*'BMP P Tracking Table'!$U395+20.691*'BMP P Tracking Table'!$Z395-216.711*'BMP P Tracking Table'!$Y395-83.853*'BMP P Tracking Table'!$X395-42.834*'BMP P Tracking Table'!$W395)+SQRT((3630*'BMP P Tracking Table'!$U395+20.691*'BMP P Tracking Table'!$Z395-216.711*'BMP P Tracking Table'!$Y395-83.853*'BMP P Tracking Table'!$X395-42.834*'BMP P Tracking Table'!$W395)^2-(4*(149.919*'BMP P Tracking Table'!$W395+236.676*'BMP P Tracking Table'!$X395+726*'BMP P Tracking Table'!$Y395+996.798*'BMP P Tracking Table'!$Z395)*-'BMP P Tracking Table'!$AW395)))/(2*(149.919*'BMP P Tracking Table'!$W395+236.676*'BMP P Tracking Table'!$X395+726*'BMP P Tracking Table'!$Y395+996.798*'BMP P Tracking Table'!$Z395)))))),"")</f>
        <v/>
      </c>
      <c r="BA395" s="101" t="str">
        <f>IFERROR((VLOOKUP(CONCATENATE('BMP P Tracking Table'!$AV395," ",'BMP P Tracking Table'!$AX395),'Performance Curves'!$C$1:$L$45,MATCH('BMP P Tracking Table'!$AZ395,'Performance Curves'!$E$1:$L$1,1)+2,FALSE)-VLOOKUP(CONCATENATE('BMP P Tracking Table'!$AV395," ",'BMP P Tracking Table'!$AX395),'Performance Curves'!$C$1:$L$45,MATCH('BMP P Tracking Table'!$AZ395,'Performance Curves'!$E$1:$L$1,1)+1,FALSE)),"")</f>
        <v/>
      </c>
      <c r="BB395" s="101" t="str">
        <f>IFERROR(('BMP P Tracking Table'!$AZ395-INDEX('Performance Curves'!$E$1:$L$1,1,MATCH('BMP P Tracking Table'!$AZ395,'Performance Curves'!$E$1:$L$1,1)))/(INDEX('Performance Curves'!$E$1:$L$1,1,MATCH('BMP P Tracking Table'!$AZ395,'Performance Curves'!$E$1:$L$1,1)+1)-INDEX('Performance Curves'!$E$1:$L$1,1,MATCH('BMP P Tracking Table'!$AZ395,'Performance Curves'!$E$1:$L$1,1))),"")</f>
        <v/>
      </c>
      <c r="BC395" s="102" t="str">
        <f>IFERROR(IF('BMP P Tracking Table'!$AZ395=2,VLOOKUP(CONCATENATE('BMP P Tracking Table'!$AV395," ",'BMP P Tracking Table'!$AX395),'Performance Curves'!$C$1:$L$44,MATCH('BMP P Tracking Table'!$AZ395,'Performance Curves'!$E$1:$L$1,1)+1,FALSE),'BMP P Tracking Table'!$BA395*'BMP P Tracking Table'!$BB395+VLOOKUP(CONCATENATE('BMP P Tracking Table'!$AV395," ",'BMP P Tracking Table'!$AX395),'Performance Curves'!$C$1:$L$44,MATCH('BMP P Tracking Table'!$AZ395,'Performance Curves'!$E$1:$L$1,1)+1,FALSE)),"")</f>
        <v/>
      </c>
      <c r="BD395" s="101" t="str">
        <f>IFERROR('BMP P Tracking Table'!$BC395*'BMP P Tracking Table'!$AY395,"")</f>
        <v/>
      </c>
      <c r="BE395" s="96"/>
      <c r="BF395" s="37">
        <f t="shared" si="23"/>
        <v>0</v>
      </c>
    </row>
    <row r="396" spans="1:58" x14ac:dyDescent="0.3">
      <c r="A396" s="64"/>
      <c r="B396" s="64"/>
      <c r="C396" s="64"/>
      <c r="D396" s="64"/>
      <c r="E396" s="93"/>
      <c r="F396" s="93"/>
      <c r="G396" s="64"/>
      <c r="H396" s="64"/>
      <c r="I396" s="64"/>
      <c r="J396" s="94"/>
      <c r="K396" s="64"/>
      <c r="L396" s="64"/>
      <c r="M396" s="64"/>
      <c r="N396" s="64"/>
      <c r="O396" s="64"/>
      <c r="P396" s="64"/>
      <c r="Q396" s="64" t="str">
        <f>IFERROR(VLOOKUP('BMP P Tracking Table'!$P396,Dropdowns!$C$2:$E$15,3,FALSE),"")</f>
        <v/>
      </c>
      <c r="R396" s="64" t="str">
        <f>IFERROR(VLOOKUP('BMP P Tracking Table'!$Q396,Dropdowns!$P$3:$Q$23,2,FALSE),"")</f>
        <v/>
      </c>
      <c r="S396" s="64"/>
      <c r="T396" s="64"/>
      <c r="U396" s="64"/>
      <c r="V396" s="64"/>
      <c r="W396" s="64"/>
      <c r="X396" s="64"/>
      <c r="Y396" s="64"/>
      <c r="Z396" s="64"/>
      <c r="AA396" s="64"/>
      <c r="AB396" s="95"/>
      <c r="AC396" s="64"/>
      <c r="AD396" s="101" t="str">
        <f>IFERROR('BMP P Tracking Table'!$U396*VLOOKUP('BMP P Tracking Table'!$Q396,'Loading Rates'!$B$1:$L$24,4,FALSE)+IF('BMP P Tracking Table'!$V396="By HSG",'BMP P Tracking Table'!$W396*VLOOKUP('BMP P Tracking Table'!$Q396,'Loading Rates'!$B$1:$L$24,6,FALSE)+'BMP P Tracking Table'!$X396*VLOOKUP('BMP P Tracking Table'!$Q396,'Loading Rates'!$B$1:$L$24,7,FALSE)+'BMP P Tracking Table'!$Y396*VLOOKUP('BMP P Tracking Table'!$Q396,'Loading Rates'!$B$1:$L$24,8,FALSE)+'BMP P Tracking Table'!$Z396*VLOOKUP('BMP P Tracking Table'!$Q396,'Loading Rates'!$B$1:$L$24,9,FALSE),'BMP P Tracking Table'!$AA396*VLOOKUP('BMP P Tracking Table'!$Q396,'Loading Rates'!$B$1:$L$24,10,FALSE)),"")</f>
        <v/>
      </c>
      <c r="AE396" s="101" t="str">
        <f>IFERROR(MIN(2,IF('BMP P Tracking Table'!$V396="Total Pervious",(-(3630*'BMP P Tracking Table'!$U396+20.691*'BMP P Tracking Table'!$AA396)+SQRT((3630*'BMP P Tracking Table'!$U396+20.691*'BMP P Tracking Table'!$AA396)^2-(4*(996.798*'BMP P Tracking Table'!$AA396)*-'BMP P Tracking Table'!$AB396)))/(2*(996.798*'BMP P Tracking Table'!$AA396)),IF(SUM('BMP P Tracking Table'!$W396:$Z396)=0,'BMP P Tracking Table'!$AB396/(-3630*'BMP P Tracking Table'!$U396),(-(3630*'BMP P Tracking Table'!$U396+20.691*'BMP P Tracking Table'!$Z396-216.711*'BMP P Tracking Table'!$Y396-83.853*'BMP P Tracking Table'!$X396-42.834*'BMP P Tracking Table'!$W396)+SQRT((3630*'BMP P Tracking Table'!$U396+20.691*'BMP P Tracking Table'!$Z396-216.711*'BMP P Tracking Table'!$Y396-83.853*'BMP P Tracking Table'!$X396-42.834*'BMP P Tracking Table'!$W396)^2-(4*(149.919*'BMP P Tracking Table'!$W396+236.676*'BMP P Tracking Table'!$X396+726*'BMP P Tracking Table'!$Y396+996.798*'BMP P Tracking Table'!$Z396)*-'BMP P Tracking Table'!$AB396)))/(2*(149.919*'BMP P Tracking Table'!$W396+236.676*'BMP P Tracking Table'!$X396+726*'BMP P Tracking Table'!$Y396+996.798*'BMP P Tracking Table'!$Z396))))),"")</f>
        <v/>
      </c>
      <c r="AF396" s="101" t="str">
        <f>IFERROR((VLOOKUP(CONCATENATE('BMP P Tracking Table'!$T396," ",'BMP P Tracking Table'!$AC396),'Performance Curves'!$C$1:$L$45,MATCH('BMP P Tracking Table'!$AE396,'Performance Curves'!$E$1:$L$1,1)+2,FALSE)-VLOOKUP(CONCATENATE('BMP P Tracking Table'!$T396," ",'BMP P Tracking Table'!$AC396),'Performance Curves'!$C$1:$L$45,MATCH('BMP P Tracking Table'!$AE396,'Performance Curves'!$E$1:$L$1,1)+1,FALSE)),"")</f>
        <v/>
      </c>
      <c r="AG396" s="101" t="str">
        <f>IFERROR(('BMP P Tracking Table'!$AE396-INDEX('Performance Curves'!$E$1:$L$1,1,MATCH('BMP P Tracking Table'!$AE396,'Performance Curves'!$E$1:$L$1,1)))/(INDEX('Performance Curves'!$E$1:$L$1,1,MATCH('BMP P Tracking Table'!$AE396,'Performance Curves'!$E$1:$L$1,1)+1)-INDEX('Performance Curves'!$E$1:$L$1,1,MATCH('BMP P Tracking Table'!$AE396,'Performance Curves'!$E$1:$L$1,1))),"")</f>
        <v/>
      </c>
      <c r="AH396" s="102" t="str">
        <f>IFERROR(IF('BMP P Tracking Table'!$AE396=2,VLOOKUP(CONCATENATE('BMP P Tracking Table'!$T396," ",'BMP P Tracking Table'!$AC396),'Performance Curves'!$C$1:$L$45,MATCH('BMP P Tracking Table'!$AE396,'Performance Curves'!$E$1:$L$1,1)+1,FALSE),'BMP P Tracking Table'!$AF396*'BMP P Tracking Table'!$AG396+VLOOKUP(CONCATENATE('BMP P Tracking Table'!$T396," ",'BMP P Tracking Table'!$AC396),'Performance Curves'!$C$1:$L$45,MATCH('BMP P Tracking Table'!$AE396,'Performance Curves'!$E$1:$L$1,1)+1,FALSE)),"")</f>
        <v/>
      </c>
      <c r="AI396" s="101" t="str">
        <f>IFERROR('BMP P Tracking Table'!$AH396*'BMP P Tracking Table'!$AD396,"")</f>
        <v/>
      </c>
      <c r="AJ396" s="64"/>
      <c r="AK396" s="96"/>
      <c r="AL396" s="96"/>
      <c r="AM396" s="63"/>
      <c r="AN396" s="99" t="str">
        <f t="shared" si="22"/>
        <v/>
      </c>
      <c r="AO396" s="96"/>
      <c r="AP396" s="96"/>
      <c r="AQ396" s="96"/>
      <c r="AR396" s="96"/>
      <c r="AS396" s="96"/>
      <c r="AT396" s="96"/>
      <c r="AU396" s="96"/>
      <c r="AV396" s="64"/>
      <c r="AW396" s="97"/>
      <c r="AX396" s="97"/>
      <c r="AY396" s="101" t="str">
        <f>IF('BMP P Tracking Table'!$AK396="Yes",IF('BMP P Tracking Table'!$AL396="No",'BMP P Tracking Table'!$U396*VLOOKUP('BMP P Tracking Table'!$Q396,'Loading Rates'!$B$1:$L$24,4,FALSE)+IF('BMP P Tracking Table'!$V396="By HSG",'BMP P Tracking Table'!$W396*VLOOKUP('BMP P Tracking Table'!$Q396,'Loading Rates'!$B$1:$L$24,6,FALSE)+'BMP P Tracking Table'!$X396*VLOOKUP('BMP P Tracking Table'!$Q396,'Loading Rates'!$B$1:$L$24,7,FALSE)+'BMP P Tracking Table'!$Y396*VLOOKUP('BMP P Tracking Table'!$Q396,'Loading Rates'!$B$1:$L$24,8,FALSE)+'BMP P Tracking Table'!$Z396*VLOOKUP('BMP P Tracking Table'!$Q396,'Loading Rates'!$B$1:$L$24,9,FALSE),'BMP P Tracking Table'!$AA396*VLOOKUP('BMP P Tracking Table'!$Q396,'Loading Rates'!$B$1:$L$24,10,FALSE)),'BMP P Tracking Table'!$AO396*VLOOKUP('BMP P Tracking Table'!$Q396,'Loading Rates'!$B$1:$L$24,4,FALSE)+IF('BMP P Tracking Table'!$AP396="By HSG",'BMP P Tracking Table'!$AQ396*VLOOKUP('BMP P Tracking Table'!$Q396,'Loading Rates'!$B$1:$L$24,6,FALSE)+'BMP P Tracking Table'!$AR396*VLOOKUP('BMP P Tracking Table'!$Q396,'Loading Rates'!$B$1:$L$24,7,FALSE)+'BMP P Tracking Table'!$AS396*VLOOKUP('BMP P Tracking Table'!$Q396,'Loading Rates'!$B$1:$L$24,8,FALSE)+'BMP P Tracking Table'!$AT396*VLOOKUP('BMP P Tracking Table'!$Q396,'Loading Rates'!$B$1:$L$24,9,FALSE),'BMP P Tracking Table'!$AU396*VLOOKUP('BMP P Tracking Table'!$Q396,'Loading Rates'!$B$1:$L$24,10,FALSE))),"")</f>
        <v/>
      </c>
      <c r="AZ396" s="101" t="str">
        <f>IFERROR(IF('BMP P Tracking Table'!$AL396="Yes",MIN(2,IF('BMP P Tracking Table'!$AP396="Total Pervious",(-(3630*'BMP P Tracking Table'!$AO396+20.691*'BMP P Tracking Table'!$AU396)+SQRT((3630*'BMP P Tracking Table'!$AO396+20.691*'BMP P Tracking Table'!$AU396)^2-(4*(996.798*'BMP P Tracking Table'!$AU396)*-'BMP P Tracking Table'!$AW396)))/(2*(996.798*'BMP P Tracking Table'!$AU396)),IF(SUM('BMP P Tracking Table'!$AQ396:$AT396)=0,'BMP P Tracking Table'!$AU396/(-3630*'BMP P Tracking Table'!$AO396),(-(3630*'BMP P Tracking Table'!$AO396+20.691*'BMP P Tracking Table'!$AT396-216.711*'BMP P Tracking Table'!$AS396-83.853*'BMP P Tracking Table'!$AR396-42.834*'BMP P Tracking Table'!$AQ396)+SQRT((3630*'BMP P Tracking Table'!$AO396+20.691*'BMP P Tracking Table'!$AT396-216.711*'BMP P Tracking Table'!$AS396-83.853*'BMP P Tracking Table'!$AR396-42.834*'BMP P Tracking Table'!$AQ396)^2-(4*(149.919*'BMP P Tracking Table'!$AQ396+236.676*'BMP P Tracking Table'!$AR396+726*'BMP P Tracking Table'!$AS396+996.798*'BMP P Tracking Table'!$AT396)*-'BMP P Tracking Table'!$AW396)))/(2*(149.919*'BMP P Tracking Table'!$AQ396+236.676*'BMP P Tracking Table'!$AR396+726*'BMP P Tracking Table'!$AS396+996.798*'BMP P Tracking Table'!$AT396))))),MIN(2,IF('BMP P Tracking Table'!$AP396="Total Pervious",(-(3630*'BMP P Tracking Table'!$U396+20.691*'BMP P Tracking Table'!$AA396)+SQRT((3630*'BMP P Tracking Table'!$U396+20.691*'BMP P Tracking Table'!$AA396)^2-(4*(996.798*'BMP P Tracking Table'!$AA396)*-'BMP P Tracking Table'!$AW396)))/(2*(996.798*'BMP P Tracking Table'!$AA396)),IF(SUM('BMP P Tracking Table'!$W396:$Z396)=0,'BMP P Tracking Table'!$AW396/(-3630*'BMP P Tracking Table'!$U396),(-(3630*'BMP P Tracking Table'!$U396+20.691*'BMP P Tracking Table'!$Z396-216.711*'BMP P Tracking Table'!$Y396-83.853*'BMP P Tracking Table'!$X396-42.834*'BMP P Tracking Table'!$W396)+SQRT((3630*'BMP P Tracking Table'!$U396+20.691*'BMP P Tracking Table'!$Z396-216.711*'BMP P Tracking Table'!$Y396-83.853*'BMP P Tracking Table'!$X396-42.834*'BMP P Tracking Table'!$W396)^2-(4*(149.919*'BMP P Tracking Table'!$W396+236.676*'BMP P Tracking Table'!$X396+726*'BMP P Tracking Table'!$Y396+996.798*'BMP P Tracking Table'!$Z396)*-'BMP P Tracking Table'!$AW396)))/(2*(149.919*'BMP P Tracking Table'!$W396+236.676*'BMP P Tracking Table'!$X396+726*'BMP P Tracking Table'!$Y396+996.798*'BMP P Tracking Table'!$Z396)))))),"")</f>
        <v/>
      </c>
      <c r="BA396" s="101" t="str">
        <f>IFERROR((VLOOKUP(CONCATENATE('BMP P Tracking Table'!$AV396," ",'BMP P Tracking Table'!$AX396),'Performance Curves'!$C$1:$L$45,MATCH('BMP P Tracking Table'!$AZ396,'Performance Curves'!$E$1:$L$1,1)+2,FALSE)-VLOOKUP(CONCATENATE('BMP P Tracking Table'!$AV396," ",'BMP P Tracking Table'!$AX396),'Performance Curves'!$C$1:$L$45,MATCH('BMP P Tracking Table'!$AZ396,'Performance Curves'!$E$1:$L$1,1)+1,FALSE)),"")</f>
        <v/>
      </c>
      <c r="BB396" s="101" t="str">
        <f>IFERROR(('BMP P Tracking Table'!$AZ396-INDEX('Performance Curves'!$E$1:$L$1,1,MATCH('BMP P Tracking Table'!$AZ396,'Performance Curves'!$E$1:$L$1,1)))/(INDEX('Performance Curves'!$E$1:$L$1,1,MATCH('BMP P Tracking Table'!$AZ396,'Performance Curves'!$E$1:$L$1,1)+1)-INDEX('Performance Curves'!$E$1:$L$1,1,MATCH('BMP P Tracking Table'!$AZ396,'Performance Curves'!$E$1:$L$1,1))),"")</f>
        <v/>
      </c>
      <c r="BC396" s="102" t="str">
        <f>IFERROR(IF('BMP P Tracking Table'!$AZ396=2,VLOOKUP(CONCATENATE('BMP P Tracking Table'!$AV396," ",'BMP P Tracking Table'!$AX396),'Performance Curves'!$C$1:$L$44,MATCH('BMP P Tracking Table'!$AZ396,'Performance Curves'!$E$1:$L$1,1)+1,FALSE),'BMP P Tracking Table'!$BA396*'BMP P Tracking Table'!$BB396+VLOOKUP(CONCATENATE('BMP P Tracking Table'!$AV396," ",'BMP P Tracking Table'!$AX396),'Performance Curves'!$C$1:$L$44,MATCH('BMP P Tracking Table'!$AZ396,'Performance Curves'!$E$1:$L$1,1)+1,FALSE)),"")</f>
        <v/>
      </c>
      <c r="BD396" s="101" t="str">
        <f>IFERROR('BMP P Tracking Table'!$BC396*'BMP P Tracking Table'!$AY396,"")</f>
        <v/>
      </c>
      <c r="BE396" s="96"/>
      <c r="BF396" s="37">
        <f t="shared" si="23"/>
        <v>0</v>
      </c>
    </row>
    <row r="397" spans="1:58" x14ac:dyDescent="0.3">
      <c r="A397" s="64"/>
      <c r="B397" s="64"/>
      <c r="C397" s="64"/>
      <c r="D397" s="64"/>
      <c r="E397" s="93"/>
      <c r="F397" s="93"/>
      <c r="G397" s="64"/>
      <c r="H397" s="64"/>
      <c r="I397" s="64"/>
      <c r="J397" s="94"/>
      <c r="K397" s="64"/>
      <c r="L397" s="64"/>
      <c r="M397" s="64"/>
      <c r="N397" s="64"/>
      <c r="O397" s="64"/>
      <c r="P397" s="64"/>
      <c r="Q397" s="64" t="str">
        <f>IFERROR(VLOOKUP('BMP P Tracking Table'!$P397,Dropdowns!$C$2:$E$15,3,FALSE),"")</f>
        <v/>
      </c>
      <c r="R397" s="64" t="str">
        <f>IFERROR(VLOOKUP('BMP P Tracking Table'!$Q397,Dropdowns!$P$3:$Q$23,2,FALSE),"")</f>
        <v/>
      </c>
      <c r="S397" s="64"/>
      <c r="T397" s="64"/>
      <c r="U397" s="64"/>
      <c r="V397" s="64"/>
      <c r="W397" s="64"/>
      <c r="X397" s="64"/>
      <c r="Y397" s="64"/>
      <c r="Z397" s="64"/>
      <c r="AA397" s="64"/>
      <c r="AB397" s="95"/>
      <c r="AC397" s="64"/>
      <c r="AD397" s="101" t="str">
        <f>IFERROR('BMP P Tracking Table'!$U397*VLOOKUP('BMP P Tracking Table'!$Q397,'Loading Rates'!$B$1:$L$24,4,FALSE)+IF('BMP P Tracking Table'!$V397="By HSG",'BMP P Tracking Table'!$W397*VLOOKUP('BMP P Tracking Table'!$Q397,'Loading Rates'!$B$1:$L$24,6,FALSE)+'BMP P Tracking Table'!$X397*VLOOKUP('BMP P Tracking Table'!$Q397,'Loading Rates'!$B$1:$L$24,7,FALSE)+'BMP P Tracking Table'!$Y397*VLOOKUP('BMP P Tracking Table'!$Q397,'Loading Rates'!$B$1:$L$24,8,FALSE)+'BMP P Tracking Table'!$Z397*VLOOKUP('BMP P Tracking Table'!$Q397,'Loading Rates'!$B$1:$L$24,9,FALSE),'BMP P Tracking Table'!$AA397*VLOOKUP('BMP P Tracking Table'!$Q397,'Loading Rates'!$B$1:$L$24,10,FALSE)),"")</f>
        <v/>
      </c>
      <c r="AE397" s="101" t="str">
        <f>IFERROR(MIN(2,IF('BMP P Tracking Table'!$V397="Total Pervious",(-(3630*'BMP P Tracking Table'!$U397+20.691*'BMP P Tracking Table'!$AA397)+SQRT((3630*'BMP P Tracking Table'!$U397+20.691*'BMP P Tracking Table'!$AA397)^2-(4*(996.798*'BMP P Tracking Table'!$AA397)*-'BMP P Tracking Table'!$AB397)))/(2*(996.798*'BMP P Tracking Table'!$AA397)),IF(SUM('BMP P Tracking Table'!$W397:$Z397)=0,'BMP P Tracking Table'!$AB397/(-3630*'BMP P Tracking Table'!$U397),(-(3630*'BMP P Tracking Table'!$U397+20.691*'BMP P Tracking Table'!$Z397-216.711*'BMP P Tracking Table'!$Y397-83.853*'BMP P Tracking Table'!$X397-42.834*'BMP P Tracking Table'!$W397)+SQRT((3630*'BMP P Tracking Table'!$U397+20.691*'BMP P Tracking Table'!$Z397-216.711*'BMP P Tracking Table'!$Y397-83.853*'BMP P Tracking Table'!$X397-42.834*'BMP P Tracking Table'!$W397)^2-(4*(149.919*'BMP P Tracking Table'!$W397+236.676*'BMP P Tracking Table'!$X397+726*'BMP P Tracking Table'!$Y397+996.798*'BMP P Tracking Table'!$Z397)*-'BMP P Tracking Table'!$AB397)))/(2*(149.919*'BMP P Tracking Table'!$W397+236.676*'BMP P Tracking Table'!$X397+726*'BMP P Tracking Table'!$Y397+996.798*'BMP P Tracking Table'!$Z397))))),"")</f>
        <v/>
      </c>
      <c r="AF397" s="101" t="str">
        <f>IFERROR((VLOOKUP(CONCATENATE('BMP P Tracking Table'!$T397," ",'BMP P Tracking Table'!$AC397),'Performance Curves'!$C$1:$L$45,MATCH('BMP P Tracking Table'!$AE397,'Performance Curves'!$E$1:$L$1,1)+2,FALSE)-VLOOKUP(CONCATENATE('BMP P Tracking Table'!$T397," ",'BMP P Tracking Table'!$AC397),'Performance Curves'!$C$1:$L$45,MATCH('BMP P Tracking Table'!$AE397,'Performance Curves'!$E$1:$L$1,1)+1,FALSE)),"")</f>
        <v/>
      </c>
      <c r="AG397" s="101" t="str">
        <f>IFERROR(('BMP P Tracking Table'!$AE397-INDEX('Performance Curves'!$E$1:$L$1,1,MATCH('BMP P Tracking Table'!$AE397,'Performance Curves'!$E$1:$L$1,1)))/(INDEX('Performance Curves'!$E$1:$L$1,1,MATCH('BMP P Tracking Table'!$AE397,'Performance Curves'!$E$1:$L$1,1)+1)-INDEX('Performance Curves'!$E$1:$L$1,1,MATCH('BMP P Tracking Table'!$AE397,'Performance Curves'!$E$1:$L$1,1))),"")</f>
        <v/>
      </c>
      <c r="AH397" s="102" t="str">
        <f>IFERROR(IF('BMP P Tracking Table'!$AE397=2,VLOOKUP(CONCATENATE('BMP P Tracking Table'!$T397," ",'BMP P Tracking Table'!$AC397),'Performance Curves'!$C$1:$L$45,MATCH('BMP P Tracking Table'!$AE397,'Performance Curves'!$E$1:$L$1,1)+1,FALSE),'BMP P Tracking Table'!$AF397*'BMP P Tracking Table'!$AG397+VLOOKUP(CONCATENATE('BMP P Tracking Table'!$T397," ",'BMP P Tracking Table'!$AC397),'Performance Curves'!$C$1:$L$45,MATCH('BMP P Tracking Table'!$AE397,'Performance Curves'!$E$1:$L$1,1)+1,FALSE)),"")</f>
        <v/>
      </c>
      <c r="AI397" s="101" t="str">
        <f>IFERROR('BMP P Tracking Table'!$AH397*'BMP P Tracking Table'!$AD397,"")</f>
        <v/>
      </c>
      <c r="AJ397" s="64"/>
      <c r="AK397" s="96"/>
      <c r="AL397" s="96"/>
      <c r="AM397" s="63"/>
      <c r="AN397" s="99" t="str">
        <f t="shared" si="22"/>
        <v/>
      </c>
      <c r="AO397" s="96"/>
      <c r="AP397" s="96"/>
      <c r="AQ397" s="96"/>
      <c r="AR397" s="96"/>
      <c r="AS397" s="96"/>
      <c r="AT397" s="96"/>
      <c r="AU397" s="96"/>
      <c r="AV397" s="64"/>
      <c r="AW397" s="97"/>
      <c r="AX397" s="97"/>
      <c r="AY397" s="101" t="str">
        <f>IF('BMP P Tracking Table'!$AK397="Yes",IF('BMP P Tracking Table'!$AL397="No",'BMP P Tracking Table'!$U397*VLOOKUP('BMP P Tracking Table'!$Q397,'Loading Rates'!$B$1:$L$24,4,FALSE)+IF('BMP P Tracking Table'!$V397="By HSG",'BMP P Tracking Table'!$W397*VLOOKUP('BMP P Tracking Table'!$Q397,'Loading Rates'!$B$1:$L$24,6,FALSE)+'BMP P Tracking Table'!$X397*VLOOKUP('BMP P Tracking Table'!$Q397,'Loading Rates'!$B$1:$L$24,7,FALSE)+'BMP P Tracking Table'!$Y397*VLOOKUP('BMP P Tracking Table'!$Q397,'Loading Rates'!$B$1:$L$24,8,FALSE)+'BMP P Tracking Table'!$Z397*VLOOKUP('BMP P Tracking Table'!$Q397,'Loading Rates'!$B$1:$L$24,9,FALSE),'BMP P Tracking Table'!$AA397*VLOOKUP('BMP P Tracking Table'!$Q397,'Loading Rates'!$B$1:$L$24,10,FALSE)),'BMP P Tracking Table'!$AO397*VLOOKUP('BMP P Tracking Table'!$Q397,'Loading Rates'!$B$1:$L$24,4,FALSE)+IF('BMP P Tracking Table'!$AP397="By HSG",'BMP P Tracking Table'!$AQ397*VLOOKUP('BMP P Tracking Table'!$Q397,'Loading Rates'!$B$1:$L$24,6,FALSE)+'BMP P Tracking Table'!$AR397*VLOOKUP('BMP P Tracking Table'!$Q397,'Loading Rates'!$B$1:$L$24,7,FALSE)+'BMP P Tracking Table'!$AS397*VLOOKUP('BMP P Tracking Table'!$Q397,'Loading Rates'!$B$1:$L$24,8,FALSE)+'BMP P Tracking Table'!$AT397*VLOOKUP('BMP P Tracking Table'!$Q397,'Loading Rates'!$B$1:$L$24,9,FALSE),'BMP P Tracking Table'!$AU397*VLOOKUP('BMP P Tracking Table'!$Q397,'Loading Rates'!$B$1:$L$24,10,FALSE))),"")</f>
        <v/>
      </c>
      <c r="AZ397" s="101" t="str">
        <f>IFERROR(IF('BMP P Tracking Table'!$AL397="Yes",MIN(2,IF('BMP P Tracking Table'!$AP397="Total Pervious",(-(3630*'BMP P Tracking Table'!$AO397+20.691*'BMP P Tracking Table'!$AU397)+SQRT((3630*'BMP P Tracking Table'!$AO397+20.691*'BMP P Tracking Table'!$AU397)^2-(4*(996.798*'BMP P Tracking Table'!$AU397)*-'BMP P Tracking Table'!$AW397)))/(2*(996.798*'BMP P Tracking Table'!$AU397)),IF(SUM('BMP P Tracking Table'!$AQ397:$AT397)=0,'BMP P Tracking Table'!$AU397/(-3630*'BMP P Tracking Table'!$AO397),(-(3630*'BMP P Tracking Table'!$AO397+20.691*'BMP P Tracking Table'!$AT397-216.711*'BMP P Tracking Table'!$AS397-83.853*'BMP P Tracking Table'!$AR397-42.834*'BMP P Tracking Table'!$AQ397)+SQRT((3630*'BMP P Tracking Table'!$AO397+20.691*'BMP P Tracking Table'!$AT397-216.711*'BMP P Tracking Table'!$AS397-83.853*'BMP P Tracking Table'!$AR397-42.834*'BMP P Tracking Table'!$AQ397)^2-(4*(149.919*'BMP P Tracking Table'!$AQ397+236.676*'BMP P Tracking Table'!$AR397+726*'BMP P Tracking Table'!$AS397+996.798*'BMP P Tracking Table'!$AT397)*-'BMP P Tracking Table'!$AW397)))/(2*(149.919*'BMP P Tracking Table'!$AQ397+236.676*'BMP P Tracking Table'!$AR397+726*'BMP P Tracking Table'!$AS397+996.798*'BMP P Tracking Table'!$AT397))))),MIN(2,IF('BMP P Tracking Table'!$AP397="Total Pervious",(-(3630*'BMP P Tracking Table'!$U397+20.691*'BMP P Tracking Table'!$AA397)+SQRT((3630*'BMP P Tracking Table'!$U397+20.691*'BMP P Tracking Table'!$AA397)^2-(4*(996.798*'BMP P Tracking Table'!$AA397)*-'BMP P Tracking Table'!$AW397)))/(2*(996.798*'BMP P Tracking Table'!$AA397)),IF(SUM('BMP P Tracking Table'!$W397:$Z397)=0,'BMP P Tracking Table'!$AW397/(-3630*'BMP P Tracking Table'!$U397),(-(3630*'BMP P Tracking Table'!$U397+20.691*'BMP P Tracking Table'!$Z397-216.711*'BMP P Tracking Table'!$Y397-83.853*'BMP P Tracking Table'!$X397-42.834*'BMP P Tracking Table'!$W397)+SQRT((3630*'BMP P Tracking Table'!$U397+20.691*'BMP P Tracking Table'!$Z397-216.711*'BMP P Tracking Table'!$Y397-83.853*'BMP P Tracking Table'!$X397-42.834*'BMP P Tracking Table'!$W397)^2-(4*(149.919*'BMP P Tracking Table'!$W397+236.676*'BMP P Tracking Table'!$X397+726*'BMP P Tracking Table'!$Y397+996.798*'BMP P Tracking Table'!$Z397)*-'BMP P Tracking Table'!$AW397)))/(2*(149.919*'BMP P Tracking Table'!$W397+236.676*'BMP P Tracking Table'!$X397+726*'BMP P Tracking Table'!$Y397+996.798*'BMP P Tracking Table'!$Z397)))))),"")</f>
        <v/>
      </c>
      <c r="BA397" s="101" t="str">
        <f>IFERROR((VLOOKUP(CONCATENATE('BMP P Tracking Table'!$AV397," ",'BMP P Tracking Table'!$AX397),'Performance Curves'!$C$1:$L$45,MATCH('BMP P Tracking Table'!$AZ397,'Performance Curves'!$E$1:$L$1,1)+2,FALSE)-VLOOKUP(CONCATENATE('BMP P Tracking Table'!$AV397," ",'BMP P Tracking Table'!$AX397),'Performance Curves'!$C$1:$L$45,MATCH('BMP P Tracking Table'!$AZ397,'Performance Curves'!$E$1:$L$1,1)+1,FALSE)),"")</f>
        <v/>
      </c>
      <c r="BB397" s="101" t="str">
        <f>IFERROR(('BMP P Tracking Table'!$AZ397-INDEX('Performance Curves'!$E$1:$L$1,1,MATCH('BMP P Tracking Table'!$AZ397,'Performance Curves'!$E$1:$L$1,1)))/(INDEX('Performance Curves'!$E$1:$L$1,1,MATCH('BMP P Tracking Table'!$AZ397,'Performance Curves'!$E$1:$L$1,1)+1)-INDEX('Performance Curves'!$E$1:$L$1,1,MATCH('BMP P Tracking Table'!$AZ397,'Performance Curves'!$E$1:$L$1,1))),"")</f>
        <v/>
      </c>
      <c r="BC397" s="102" t="str">
        <f>IFERROR(IF('BMP P Tracking Table'!$AZ397=2,VLOOKUP(CONCATENATE('BMP P Tracking Table'!$AV397," ",'BMP P Tracking Table'!$AX397),'Performance Curves'!$C$1:$L$44,MATCH('BMP P Tracking Table'!$AZ397,'Performance Curves'!$E$1:$L$1,1)+1,FALSE),'BMP P Tracking Table'!$BA397*'BMP P Tracking Table'!$BB397+VLOOKUP(CONCATENATE('BMP P Tracking Table'!$AV397," ",'BMP P Tracking Table'!$AX397),'Performance Curves'!$C$1:$L$44,MATCH('BMP P Tracking Table'!$AZ397,'Performance Curves'!$E$1:$L$1,1)+1,FALSE)),"")</f>
        <v/>
      </c>
      <c r="BD397" s="101" t="str">
        <f>IFERROR('BMP P Tracking Table'!$BC397*'BMP P Tracking Table'!$AY397,"")</f>
        <v/>
      </c>
      <c r="BE397" s="96"/>
      <c r="BF397" s="37">
        <f t="shared" si="23"/>
        <v>0</v>
      </c>
    </row>
    <row r="398" spans="1:58" x14ac:dyDescent="0.3">
      <c r="A398" s="64"/>
      <c r="B398" s="64"/>
      <c r="C398" s="64"/>
      <c r="D398" s="64"/>
      <c r="E398" s="93"/>
      <c r="F398" s="93"/>
      <c r="G398" s="64"/>
      <c r="H398" s="64"/>
      <c r="I398" s="64"/>
      <c r="J398" s="94"/>
      <c r="K398" s="64"/>
      <c r="L398" s="64"/>
      <c r="M398" s="64"/>
      <c r="N398" s="64"/>
      <c r="O398" s="64"/>
      <c r="P398" s="64"/>
      <c r="Q398" s="64" t="str">
        <f>IFERROR(VLOOKUP('BMP P Tracking Table'!$P398,Dropdowns!$C$2:$E$15,3,FALSE),"")</f>
        <v/>
      </c>
      <c r="R398" s="64" t="str">
        <f>IFERROR(VLOOKUP('BMP P Tracking Table'!$Q398,Dropdowns!$P$3:$Q$23,2,FALSE),"")</f>
        <v/>
      </c>
      <c r="S398" s="64"/>
      <c r="T398" s="64"/>
      <c r="U398" s="64"/>
      <c r="V398" s="64"/>
      <c r="W398" s="64"/>
      <c r="X398" s="64"/>
      <c r="Y398" s="64"/>
      <c r="Z398" s="64"/>
      <c r="AA398" s="64"/>
      <c r="AB398" s="95"/>
      <c r="AC398" s="64"/>
      <c r="AD398" s="101" t="str">
        <f>IFERROR('BMP P Tracking Table'!$U398*VLOOKUP('BMP P Tracking Table'!$Q398,'Loading Rates'!$B$1:$L$24,4,FALSE)+IF('BMP P Tracking Table'!$V398="By HSG",'BMP P Tracking Table'!$W398*VLOOKUP('BMP P Tracking Table'!$Q398,'Loading Rates'!$B$1:$L$24,6,FALSE)+'BMP P Tracking Table'!$X398*VLOOKUP('BMP P Tracking Table'!$Q398,'Loading Rates'!$B$1:$L$24,7,FALSE)+'BMP P Tracking Table'!$Y398*VLOOKUP('BMP P Tracking Table'!$Q398,'Loading Rates'!$B$1:$L$24,8,FALSE)+'BMP P Tracking Table'!$Z398*VLOOKUP('BMP P Tracking Table'!$Q398,'Loading Rates'!$B$1:$L$24,9,FALSE),'BMP P Tracking Table'!$AA398*VLOOKUP('BMP P Tracking Table'!$Q398,'Loading Rates'!$B$1:$L$24,10,FALSE)),"")</f>
        <v/>
      </c>
      <c r="AE398" s="101" t="str">
        <f>IFERROR(MIN(2,IF('BMP P Tracking Table'!$V398="Total Pervious",(-(3630*'BMP P Tracking Table'!$U398+20.691*'BMP P Tracking Table'!$AA398)+SQRT((3630*'BMP P Tracking Table'!$U398+20.691*'BMP P Tracking Table'!$AA398)^2-(4*(996.798*'BMP P Tracking Table'!$AA398)*-'BMP P Tracking Table'!$AB398)))/(2*(996.798*'BMP P Tracking Table'!$AA398)),IF(SUM('BMP P Tracking Table'!$W398:$Z398)=0,'BMP P Tracking Table'!$AB398/(-3630*'BMP P Tracking Table'!$U398),(-(3630*'BMP P Tracking Table'!$U398+20.691*'BMP P Tracking Table'!$Z398-216.711*'BMP P Tracking Table'!$Y398-83.853*'BMP P Tracking Table'!$X398-42.834*'BMP P Tracking Table'!$W398)+SQRT((3630*'BMP P Tracking Table'!$U398+20.691*'BMP P Tracking Table'!$Z398-216.711*'BMP P Tracking Table'!$Y398-83.853*'BMP P Tracking Table'!$X398-42.834*'BMP P Tracking Table'!$W398)^2-(4*(149.919*'BMP P Tracking Table'!$W398+236.676*'BMP P Tracking Table'!$X398+726*'BMP P Tracking Table'!$Y398+996.798*'BMP P Tracking Table'!$Z398)*-'BMP P Tracking Table'!$AB398)))/(2*(149.919*'BMP P Tracking Table'!$W398+236.676*'BMP P Tracking Table'!$X398+726*'BMP P Tracking Table'!$Y398+996.798*'BMP P Tracking Table'!$Z398))))),"")</f>
        <v/>
      </c>
      <c r="AF398" s="101" t="str">
        <f>IFERROR((VLOOKUP(CONCATENATE('BMP P Tracking Table'!$T398," ",'BMP P Tracking Table'!$AC398),'Performance Curves'!$C$1:$L$45,MATCH('BMP P Tracking Table'!$AE398,'Performance Curves'!$E$1:$L$1,1)+2,FALSE)-VLOOKUP(CONCATENATE('BMP P Tracking Table'!$T398," ",'BMP P Tracking Table'!$AC398),'Performance Curves'!$C$1:$L$45,MATCH('BMP P Tracking Table'!$AE398,'Performance Curves'!$E$1:$L$1,1)+1,FALSE)),"")</f>
        <v/>
      </c>
      <c r="AG398" s="101" t="str">
        <f>IFERROR(('BMP P Tracking Table'!$AE398-INDEX('Performance Curves'!$E$1:$L$1,1,MATCH('BMP P Tracking Table'!$AE398,'Performance Curves'!$E$1:$L$1,1)))/(INDEX('Performance Curves'!$E$1:$L$1,1,MATCH('BMP P Tracking Table'!$AE398,'Performance Curves'!$E$1:$L$1,1)+1)-INDEX('Performance Curves'!$E$1:$L$1,1,MATCH('BMP P Tracking Table'!$AE398,'Performance Curves'!$E$1:$L$1,1))),"")</f>
        <v/>
      </c>
      <c r="AH398" s="102" t="str">
        <f>IFERROR(IF('BMP P Tracking Table'!$AE398=2,VLOOKUP(CONCATENATE('BMP P Tracking Table'!$T398," ",'BMP P Tracking Table'!$AC398),'Performance Curves'!$C$1:$L$45,MATCH('BMP P Tracking Table'!$AE398,'Performance Curves'!$E$1:$L$1,1)+1,FALSE),'BMP P Tracking Table'!$AF398*'BMP P Tracking Table'!$AG398+VLOOKUP(CONCATENATE('BMP P Tracking Table'!$T398," ",'BMP P Tracking Table'!$AC398),'Performance Curves'!$C$1:$L$45,MATCH('BMP P Tracking Table'!$AE398,'Performance Curves'!$E$1:$L$1,1)+1,FALSE)),"")</f>
        <v/>
      </c>
      <c r="AI398" s="101" t="str">
        <f>IFERROR('BMP P Tracking Table'!$AH398*'BMP P Tracking Table'!$AD398,"")</f>
        <v/>
      </c>
      <c r="AJ398" s="64"/>
      <c r="AK398" s="96"/>
      <c r="AL398" s="96"/>
      <c r="AM398" s="63"/>
      <c r="AN398" s="99" t="str">
        <f t="shared" si="22"/>
        <v/>
      </c>
      <c r="AO398" s="96"/>
      <c r="AP398" s="96"/>
      <c r="AQ398" s="96"/>
      <c r="AR398" s="96"/>
      <c r="AS398" s="96"/>
      <c r="AT398" s="96"/>
      <c r="AU398" s="96"/>
      <c r="AV398" s="64"/>
      <c r="AW398" s="97"/>
      <c r="AX398" s="97"/>
      <c r="AY398" s="101" t="str">
        <f>IF('BMP P Tracking Table'!$AK398="Yes",IF('BMP P Tracking Table'!$AL398="No",'BMP P Tracking Table'!$U398*VLOOKUP('BMP P Tracking Table'!$Q398,'Loading Rates'!$B$1:$L$24,4,FALSE)+IF('BMP P Tracking Table'!$V398="By HSG",'BMP P Tracking Table'!$W398*VLOOKUP('BMP P Tracking Table'!$Q398,'Loading Rates'!$B$1:$L$24,6,FALSE)+'BMP P Tracking Table'!$X398*VLOOKUP('BMP P Tracking Table'!$Q398,'Loading Rates'!$B$1:$L$24,7,FALSE)+'BMP P Tracking Table'!$Y398*VLOOKUP('BMP P Tracking Table'!$Q398,'Loading Rates'!$B$1:$L$24,8,FALSE)+'BMP P Tracking Table'!$Z398*VLOOKUP('BMP P Tracking Table'!$Q398,'Loading Rates'!$B$1:$L$24,9,FALSE),'BMP P Tracking Table'!$AA398*VLOOKUP('BMP P Tracking Table'!$Q398,'Loading Rates'!$B$1:$L$24,10,FALSE)),'BMP P Tracking Table'!$AO398*VLOOKUP('BMP P Tracking Table'!$Q398,'Loading Rates'!$B$1:$L$24,4,FALSE)+IF('BMP P Tracking Table'!$AP398="By HSG",'BMP P Tracking Table'!$AQ398*VLOOKUP('BMP P Tracking Table'!$Q398,'Loading Rates'!$B$1:$L$24,6,FALSE)+'BMP P Tracking Table'!$AR398*VLOOKUP('BMP P Tracking Table'!$Q398,'Loading Rates'!$B$1:$L$24,7,FALSE)+'BMP P Tracking Table'!$AS398*VLOOKUP('BMP P Tracking Table'!$Q398,'Loading Rates'!$B$1:$L$24,8,FALSE)+'BMP P Tracking Table'!$AT398*VLOOKUP('BMP P Tracking Table'!$Q398,'Loading Rates'!$B$1:$L$24,9,FALSE),'BMP P Tracking Table'!$AU398*VLOOKUP('BMP P Tracking Table'!$Q398,'Loading Rates'!$B$1:$L$24,10,FALSE))),"")</f>
        <v/>
      </c>
      <c r="AZ398" s="101" t="str">
        <f>IFERROR(IF('BMP P Tracking Table'!$AL398="Yes",MIN(2,IF('BMP P Tracking Table'!$AP398="Total Pervious",(-(3630*'BMP P Tracking Table'!$AO398+20.691*'BMP P Tracking Table'!$AU398)+SQRT((3630*'BMP P Tracking Table'!$AO398+20.691*'BMP P Tracking Table'!$AU398)^2-(4*(996.798*'BMP P Tracking Table'!$AU398)*-'BMP P Tracking Table'!$AW398)))/(2*(996.798*'BMP P Tracking Table'!$AU398)),IF(SUM('BMP P Tracking Table'!$AQ398:$AT398)=0,'BMP P Tracking Table'!$AU398/(-3630*'BMP P Tracking Table'!$AO398),(-(3630*'BMP P Tracking Table'!$AO398+20.691*'BMP P Tracking Table'!$AT398-216.711*'BMP P Tracking Table'!$AS398-83.853*'BMP P Tracking Table'!$AR398-42.834*'BMP P Tracking Table'!$AQ398)+SQRT((3630*'BMP P Tracking Table'!$AO398+20.691*'BMP P Tracking Table'!$AT398-216.711*'BMP P Tracking Table'!$AS398-83.853*'BMP P Tracking Table'!$AR398-42.834*'BMP P Tracking Table'!$AQ398)^2-(4*(149.919*'BMP P Tracking Table'!$AQ398+236.676*'BMP P Tracking Table'!$AR398+726*'BMP P Tracking Table'!$AS398+996.798*'BMP P Tracking Table'!$AT398)*-'BMP P Tracking Table'!$AW398)))/(2*(149.919*'BMP P Tracking Table'!$AQ398+236.676*'BMP P Tracking Table'!$AR398+726*'BMP P Tracking Table'!$AS398+996.798*'BMP P Tracking Table'!$AT398))))),MIN(2,IF('BMP P Tracking Table'!$AP398="Total Pervious",(-(3630*'BMP P Tracking Table'!$U398+20.691*'BMP P Tracking Table'!$AA398)+SQRT((3630*'BMP P Tracking Table'!$U398+20.691*'BMP P Tracking Table'!$AA398)^2-(4*(996.798*'BMP P Tracking Table'!$AA398)*-'BMP P Tracking Table'!$AW398)))/(2*(996.798*'BMP P Tracking Table'!$AA398)),IF(SUM('BMP P Tracking Table'!$W398:$Z398)=0,'BMP P Tracking Table'!$AW398/(-3630*'BMP P Tracking Table'!$U398),(-(3630*'BMP P Tracking Table'!$U398+20.691*'BMP P Tracking Table'!$Z398-216.711*'BMP P Tracking Table'!$Y398-83.853*'BMP P Tracking Table'!$X398-42.834*'BMP P Tracking Table'!$W398)+SQRT((3630*'BMP P Tracking Table'!$U398+20.691*'BMP P Tracking Table'!$Z398-216.711*'BMP P Tracking Table'!$Y398-83.853*'BMP P Tracking Table'!$X398-42.834*'BMP P Tracking Table'!$W398)^2-(4*(149.919*'BMP P Tracking Table'!$W398+236.676*'BMP P Tracking Table'!$X398+726*'BMP P Tracking Table'!$Y398+996.798*'BMP P Tracking Table'!$Z398)*-'BMP P Tracking Table'!$AW398)))/(2*(149.919*'BMP P Tracking Table'!$W398+236.676*'BMP P Tracking Table'!$X398+726*'BMP P Tracking Table'!$Y398+996.798*'BMP P Tracking Table'!$Z398)))))),"")</f>
        <v/>
      </c>
      <c r="BA398" s="101" t="str">
        <f>IFERROR((VLOOKUP(CONCATENATE('BMP P Tracking Table'!$AV398," ",'BMP P Tracking Table'!$AX398),'Performance Curves'!$C$1:$L$45,MATCH('BMP P Tracking Table'!$AZ398,'Performance Curves'!$E$1:$L$1,1)+2,FALSE)-VLOOKUP(CONCATENATE('BMP P Tracking Table'!$AV398," ",'BMP P Tracking Table'!$AX398),'Performance Curves'!$C$1:$L$45,MATCH('BMP P Tracking Table'!$AZ398,'Performance Curves'!$E$1:$L$1,1)+1,FALSE)),"")</f>
        <v/>
      </c>
      <c r="BB398" s="101" t="str">
        <f>IFERROR(('BMP P Tracking Table'!$AZ398-INDEX('Performance Curves'!$E$1:$L$1,1,MATCH('BMP P Tracking Table'!$AZ398,'Performance Curves'!$E$1:$L$1,1)))/(INDEX('Performance Curves'!$E$1:$L$1,1,MATCH('BMP P Tracking Table'!$AZ398,'Performance Curves'!$E$1:$L$1,1)+1)-INDEX('Performance Curves'!$E$1:$L$1,1,MATCH('BMP P Tracking Table'!$AZ398,'Performance Curves'!$E$1:$L$1,1))),"")</f>
        <v/>
      </c>
      <c r="BC398" s="102" t="str">
        <f>IFERROR(IF('BMP P Tracking Table'!$AZ398=2,VLOOKUP(CONCATENATE('BMP P Tracking Table'!$AV398," ",'BMP P Tracking Table'!$AX398),'Performance Curves'!$C$1:$L$44,MATCH('BMP P Tracking Table'!$AZ398,'Performance Curves'!$E$1:$L$1,1)+1,FALSE),'BMP P Tracking Table'!$BA398*'BMP P Tracking Table'!$BB398+VLOOKUP(CONCATENATE('BMP P Tracking Table'!$AV398," ",'BMP P Tracking Table'!$AX398),'Performance Curves'!$C$1:$L$44,MATCH('BMP P Tracking Table'!$AZ398,'Performance Curves'!$E$1:$L$1,1)+1,FALSE)),"")</f>
        <v/>
      </c>
      <c r="BD398" s="101" t="str">
        <f>IFERROR('BMP P Tracking Table'!$BC398*'BMP P Tracking Table'!$AY398,"")</f>
        <v/>
      </c>
      <c r="BE398" s="96"/>
      <c r="BF398" s="37">
        <f t="shared" si="23"/>
        <v>0</v>
      </c>
    </row>
    <row r="399" spans="1:58" x14ac:dyDescent="0.3">
      <c r="A399" s="64"/>
      <c r="B399" s="64"/>
      <c r="C399" s="64"/>
      <c r="D399" s="64"/>
      <c r="E399" s="93"/>
      <c r="F399" s="93"/>
      <c r="G399" s="64"/>
      <c r="H399" s="64"/>
      <c r="I399" s="64"/>
      <c r="J399" s="94"/>
      <c r="K399" s="64"/>
      <c r="L399" s="64"/>
      <c r="M399" s="64"/>
      <c r="N399" s="64"/>
      <c r="O399" s="64"/>
      <c r="P399" s="64"/>
      <c r="Q399" s="64" t="str">
        <f>IFERROR(VLOOKUP('BMP P Tracking Table'!$P399,Dropdowns!$C$2:$E$15,3,FALSE),"")</f>
        <v/>
      </c>
      <c r="R399" s="64" t="str">
        <f>IFERROR(VLOOKUP('BMP P Tracking Table'!$Q399,Dropdowns!$P$3:$Q$23,2,FALSE),"")</f>
        <v/>
      </c>
      <c r="S399" s="64"/>
      <c r="T399" s="64"/>
      <c r="U399" s="64"/>
      <c r="V399" s="64"/>
      <c r="W399" s="64"/>
      <c r="X399" s="64"/>
      <c r="Y399" s="64"/>
      <c r="Z399" s="64"/>
      <c r="AA399" s="64"/>
      <c r="AB399" s="95"/>
      <c r="AC399" s="64"/>
      <c r="AD399" s="101" t="str">
        <f>IFERROR('BMP P Tracking Table'!$U399*VLOOKUP('BMP P Tracking Table'!$Q399,'Loading Rates'!$B$1:$L$24,4,FALSE)+IF('BMP P Tracking Table'!$V399="By HSG",'BMP P Tracking Table'!$W399*VLOOKUP('BMP P Tracking Table'!$Q399,'Loading Rates'!$B$1:$L$24,6,FALSE)+'BMP P Tracking Table'!$X399*VLOOKUP('BMP P Tracking Table'!$Q399,'Loading Rates'!$B$1:$L$24,7,FALSE)+'BMP P Tracking Table'!$Y399*VLOOKUP('BMP P Tracking Table'!$Q399,'Loading Rates'!$B$1:$L$24,8,FALSE)+'BMP P Tracking Table'!$Z399*VLOOKUP('BMP P Tracking Table'!$Q399,'Loading Rates'!$B$1:$L$24,9,FALSE),'BMP P Tracking Table'!$AA399*VLOOKUP('BMP P Tracking Table'!$Q399,'Loading Rates'!$B$1:$L$24,10,FALSE)),"")</f>
        <v/>
      </c>
      <c r="AE399" s="101" t="str">
        <f>IFERROR(MIN(2,IF('BMP P Tracking Table'!$V399="Total Pervious",(-(3630*'BMP P Tracking Table'!$U399+20.691*'BMP P Tracking Table'!$AA399)+SQRT((3630*'BMP P Tracking Table'!$U399+20.691*'BMP P Tracking Table'!$AA399)^2-(4*(996.798*'BMP P Tracking Table'!$AA399)*-'BMP P Tracking Table'!$AB399)))/(2*(996.798*'BMP P Tracking Table'!$AA399)),IF(SUM('BMP P Tracking Table'!$W399:$Z399)=0,'BMP P Tracking Table'!$AB399/(-3630*'BMP P Tracking Table'!$U399),(-(3630*'BMP P Tracking Table'!$U399+20.691*'BMP P Tracking Table'!$Z399-216.711*'BMP P Tracking Table'!$Y399-83.853*'BMP P Tracking Table'!$X399-42.834*'BMP P Tracking Table'!$W399)+SQRT((3630*'BMP P Tracking Table'!$U399+20.691*'BMP P Tracking Table'!$Z399-216.711*'BMP P Tracking Table'!$Y399-83.853*'BMP P Tracking Table'!$X399-42.834*'BMP P Tracking Table'!$W399)^2-(4*(149.919*'BMP P Tracking Table'!$W399+236.676*'BMP P Tracking Table'!$X399+726*'BMP P Tracking Table'!$Y399+996.798*'BMP P Tracking Table'!$Z399)*-'BMP P Tracking Table'!$AB399)))/(2*(149.919*'BMP P Tracking Table'!$W399+236.676*'BMP P Tracking Table'!$X399+726*'BMP P Tracking Table'!$Y399+996.798*'BMP P Tracking Table'!$Z399))))),"")</f>
        <v/>
      </c>
      <c r="AF399" s="101" t="str">
        <f>IFERROR((VLOOKUP(CONCATENATE('BMP P Tracking Table'!$T399," ",'BMP P Tracking Table'!$AC399),'Performance Curves'!$C$1:$L$45,MATCH('BMP P Tracking Table'!$AE399,'Performance Curves'!$E$1:$L$1,1)+2,FALSE)-VLOOKUP(CONCATENATE('BMP P Tracking Table'!$T399," ",'BMP P Tracking Table'!$AC399),'Performance Curves'!$C$1:$L$45,MATCH('BMP P Tracking Table'!$AE399,'Performance Curves'!$E$1:$L$1,1)+1,FALSE)),"")</f>
        <v/>
      </c>
      <c r="AG399" s="101" t="str">
        <f>IFERROR(('BMP P Tracking Table'!$AE399-INDEX('Performance Curves'!$E$1:$L$1,1,MATCH('BMP P Tracking Table'!$AE399,'Performance Curves'!$E$1:$L$1,1)))/(INDEX('Performance Curves'!$E$1:$L$1,1,MATCH('BMP P Tracking Table'!$AE399,'Performance Curves'!$E$1:$L$1,1)+1)-INDEX('Performance Curves'!$E$1:$L$1,1,MATCH('BMP P Tracking Table'!$AE399,'Performance Curves'!$E$1:$L$1,1))),"")</f>
        <v/>
      </c>
      <c r="AH399" s="102" t="str">
        <f>IFERROR(IF('BMP P Tracking Table'!$AE399=2,VLOOKUP(CONCATENATE('BMP P Tracking Table'!$T399," ",'BMP P Tracking Table'!$AC399),'Performance Curves'!$C$1:$L$45,MATCH('BMP P Tracking Table'!$AE399,'Performance Curves'!$E$1:$L$1,1)+1,FALSE),'BMP P Tracking Table'!$AF399*'BMP P Tracking Table'!$AG399+VLOOKUP(CONCATENATE('BMP P Tracking Table'!$T399," ",'BMP P Tracking Table'!$AC399),'Performance Curves'!$C$1:$L$45,MATCH('BMP P Tracking Table'!$AE399,'Performance Curves'!$E$1:$L$1,1)+1,FALSE)),"")</f>
        <v/>
      </c>
      <c r="AI399" s="101" t="str">
        <f>IFERROR('BMP P Tracking Table'!$AH399*'BMP P Tracking Table'!$AD399,"")</f>
        <v/>
      </c>
      <c r="AJ399" s="64"/>
      <c r="AK399" s="96"/>
      <c r="AL399" s="96"/>
      <c r="AM399" s="63"/>
      <c r="AN399" s="99" t="str">
        <f t="shared" si="22"/>
        <v/>
      </c>
      <c r="AO399" s="96"/>
      <c r="AP399" s="96"/>
      <c r="AQ399" s="96"/>
      <c r="AR399" s="96"/>
      <c r="AS399" s="96"/>
      <c r="AT399" s="96"/>
      <c r="AU399" s="96"/>
      <c r="AV399" s="64"/>
      <c r="AW399" s="97"/>
      <c r="AX399" s="97"/>
      <c r="AY399" s="101" t="str">
        <f>IF('BMP P Tracking Table'!$AK399="Yes",IF('BMP P Tracking Table'!$AL399="No",'BMP P Tracking Table'!$U399*VLOOKUP('BMP P Tracking Table'!$Q399,'Loading Rates'!$B$1:$L$24,4,FALSE)+IF('BMP P Tracking Table'!$V399="By HSG",'BMP P Tracking Table'!$W399*VLOOKUP('BMP P Tracking Table'!$Q399,'Loading Rates'!$B$1:$L$24,6,FALSE)+'BMP P Tracking Table'!$X399*VLOOKUP('BMP P Tracking Table'!$Q399,'Loading Rates'!$B$1:$L$24,7,FALSE)+'BMP P Tracking Table'!$Y399*VLOOKUP('BMP P Tracking Table'!$Q399,'Loading Rates'!$B$1:$L$24,8,FALSE)+'BMP P Tracking Table'!$Z399*VLOOKUP('BMP P Tracking Table'!$Q399,'Loading Rates'!$B$1:$L$24,9,FALSE),'BMP P Tracking Table'!$AA399*VLOOKUP('BMP P Tracking Table'!$Q399,'Loading Rates'!$B$1:$L$24,10,FALSE)),'BMP P Tracking Table'!$AO399*VLOOKUP('BMP P Tracking Table'!$Q399,'Loading Rates'!$B$1:$L$24,4,FALSE)+IF('BMP P Tracking Table'!$AP399="By HSG",'BMP P Tracking Table'!$AQ399*VLOOKUP('BMP P Tracking Table'!$Q399,'Loading Rates'!$B$1:$L$24,6,FALSE)+'BMP P Tracking Table'!$AR399*VLOOKUP('BMP P Tracking Table'!$Q399,'Loading Rates'!$B$1:$L$24,7,FALSE)+'BMP P Tracking Table'!$AS399*VLOOKUP('BMP P Tracking Table'!$Q399,'Loading Rates'!$B$1:$L$24,8,FALSE)+'BMP P Tracking Table'!$AT399*VLOOKUP('BMP P Tracking Table'!$Q399,'Loading Rates'!$B$1:$L$24,9,FALSE),'BMP P Tracking Table'!$AU399*VLOOKUP('BMP P Tracking Table'!$Q399,'Loading Rates'!$B$1:$L$24,10,FALSE))),"")</f>
        <v/>
      </c>
      <c r="AZ399" s="101" t="str">
        <f>IFERROR(IF('BMP P Tracking Table'!$AL399="Yes",MIN(2,IF('BMP P Tracking Table'!$AP399="Total Pervious",(-(3630*'BMP P Tracking Table'!$AO399+20.691*'BMP P Tracking Table'!$AU399)+SQRT((3630*'BMP P Tracking Table'!$AO399+20.691*'BMP P Tracking Table'!$AU399)^2-(4*(996.798*'BMP P Tracking Table'!$AU399)*-'BMP P Tracking Table'!$AW399)))/(2*(996.798*'BMP P Tracking Table'!$AU399)),IF(SUM('BMP P Tracking Table'!$AQ399:$AT399)=0,'BMP P Tracking Table'!$AU399/(-3630*'BMP P Tracking Table'!$AO399),(-(3630*'BMP P Tracking Table'!$AO399+20.691*'BMP P Tracking Table'!$AT399-216.711*'BMP P Tracking Table'!$AS399-83.853*'BMP P Tracking Table'!$AR399-42.834*'BMP P Tracking Table'!$AQ399)+SQRT((3630*'BMP P Tracking Table'!$AO399+20.691*'BMP P Tracking Table'!$AT399-216.711*'BMP P Tracking Table'!$AS399-83.853*'BMP P Tracking Table'!$AR399-42.834*'BMP P Tracking Table'!$AQ399)^2-(4*(149.919*'BMP P Tracking Table'!$AQ399+236.676*'BMP P Tracking Table'!$AR399+726*'BMP P Tracking Table'!$AS399+996.798*'BMP P Tracking Table'!$AT399)*-'BMP P Tracking Table'!$AW399)))/(2*(149.919*'BMP P Tracking Table'!$AQ399+236.676*'BMP P Tracking Table'!$AR399+726*'BMP P Tracking Table'!$AS399+996.798*'BMP P Tracking Table'!$AT399))))),MIN(2,IF('BMP P Tracking Table'!$AP399="Total Pervious",(-(3630*'BMP P Tracking Table'!$U399+20.691*'BMP P Tracking Table'!$AA399)+SQRT((3630*'BMP P Tracking Table'!$U399+20.691*'BMP P Tracking Table'!$AA399)^2-(4*(996.798*'BMP P Tracking Table'!$AA399)*-'BMP P Tracking Table'!$AW399)))/(2*(996.798*'BMP P Tracking Table'!$AA399)),IF(SUM('BMP P Tracking Table'!$W399:$Z399)=0,'BMP P Tracking Table'!$AW399/(-3630*'BMP P Tracking Table'!$U399),(-(3630*'BMP P Tracking Table'!$U399+20.691*'BMP P Tracking Table'!$Z399-216.711*'BMP P Tracking Table'!$Y399-83.853*'BMP P Tracking Table'!$X399-42.834*'BMP P Tracking Table'!$W399)+SQRT((3630*'BMP P Tracking Table'!$U399+20.691*'BMP P Tracking Table'!$Z399-216.711*'BMP P Tracking Table'!$Y399-83.853*'BMP P Tracking Table'!$X399-42.834*'BMP P Tracking Table'!$W399)^2-(4*(149.919*'BMP P Tracking Table'!$W399+236.676*'BMP P Tracking Table'!$X399+726*'BMP P Tracking Table'!$Y399+996.798*'BMP P Tracking Table'!$Z399)*-'BMP P Tracking Table'!$AW399)))/(2*(149.919*'BMP P Tracking Table'!$W399+236.676*'BMP P Tracking Table'!$X399+726*'BMP P Tracking Table'!$Y399+996.798*'BMP P Tracking Table'!$Z399)))))),"")</f>
        <v/>
      </c>
      <c r="BA399" s="101" t="str">
        <f>IFERROR((VLOOKUP(CONCATENATE('BMP P Tracking Table'!$AV399," ",'BMP P Tracking Table'!$AX399),'Performance Curves'!$C$1:$L$45,MATCH('BMP P Tracking Table'!$AZ399,'Performance Curves'!$E$1:$L$1,1)+2,FALSE)-VLOOKUP(CONCATENATE('BMP P Tracking Table'!$AV399," ",'BMP P Tracking Table'!$AX399),'Performance Curves'!$C$1:$L$45,MATCH('BMP P Tracking Table'!$AZ399,'Performance Curves'!$E$1:$L$1,1)+1,FALSE)),"")</f>
        <v/>
      </c>
      <c r="BB399" s="101" t="str">
        <f>IFERROR(('BMP P Tracking Table'!$AZ399-INDEX('Performance Curves'!$E$1:$L$1,1,MATCH('BMP P Tracking Table'!$AZ399,'Performance Curves'!$E$1:$L$1,1)))/(INDEX('Performance Curves'!$E$1:$L$1,1,MATCH('BMP P Tracking Table'!$AZ399,'Performance Curves'!$E$1:$L$1,1)+1)-INDEX('Performance Curves'!$E$1:$L$1,1,MATCH('BMP P Tracking Table'!$AZ399,'Performance Curves'!$E$1:$L$1,1))),"")</f>
        <v/>
      </c>
      <c r="BC399" s="102" t="str">
        <f>IFERROR(IF('BMP P Tracking Table'!$AZ399=2,VLOOKUP(CONCATENATE('BMP P Tracking Table'!$AV399," ",'BMP P Tracking Table'!$AX399),'Performance Curves'!$C$1:$L$44,MATCH('BMP P Tracking Table'!$AZ399,'Performance Curves'!$E$1:$L$1,1)+1,FALSE),'BMP P Tracking Table'!$BA399*'BMP P Tracking Table'!$BB399+VLOOKUP(CONCATENATE('BMP P Tracking Table'!$AV399," ",'BMP P Tracking Table'!$AX399),'Performance Curves'!$C$1:$L$44,MATCH('BMP P Tracking Table'!$AZ399,'Performance Curves'!$E$1:$L$1,1)+1,FALSE)),"")</f>
        <v/>
      </c>
      <c r="BD399" s="101" t="str">
        <f>IFERROR('BMP P Tracking Table'!$BC399*'BMP P Tracking Table'!$AY399,"")</f>
        <v/>
      </c>
      <c r="BE399" s="96"/>
      <c r="BF399" s="37">
        <f t="shared" si="23"/>
        <v>0</v>
      </c>
    </row>
    <row r="400" spans="1:58" x14ac:dyDescent="0.3">
      <c r="A400" s="64"/>
      <c r="B400" s="64"/>
      <c r="C400" s="64"/>
      <c r="D400" s="64"/>
      <c r="E400" s="93"/>
      <c r="F400" s="93"/>
      <c r="G400" s="64"/>
      <c r="H400" s="64"/>
      <c r="I400" s="64"/>
      <c r="J400" s="94"/>
      <c r="K400" s="64"/>
      <c r="L400" s="64"/>
      <c r="M400" s="64"/>
      <c r="N400" s="64"/>
      <c r="O400" s="64"/>
      <c r="P400" s="64"/>
      <c r="Q400" s="64" t="str">
        <f>IFERROR(VLOOKUP('BMP P Tracking Table'!$P400,Dropdowns!$C$2:$E$15,3,FALSE),"")</f>
        <v/>
      </c>
      <c r="R400" s="64" t="str">
        <f>IFERROR(VLOOKUP('BMP P Tracking Table'!$Q400,Dropdowns!$P$3:$Q$23,2,FALSE),"")</f>
        <v/>
      </c>
      <c r="S400" s="64"/>
      <c r="T400" s="64"/>
      <c r="U400" s="64"/>
      <c r="V400" s="64"/>
      <c r="W400" s="64"/>
      <c r="X400" s="64"/>
      <c r="Y400" s="64"/>
      <c r="Z400" s="64"/>
      <c r="AA400" s="64"/>
      <c r="AB400" s="95"/>
      <c r="AC400" s="64"/>
      <c r="AD400" s="101" t="str">
        <f>IFERROR('BMP P Tracking Table'!$U400*VLOOKUP('BMP P Tracking Table'!$Q400,'Loading Rates'!$B$1:$L$24,4,FALSE)+IF('BMP P Tracking Table'!$V400="By HSG",'BMP P Tracking Table'!$W400*VLOOKUP('BMP P Tracking Table'!$Q400,'Loading Rates'!$B$1:$L$24,6,FALSE)+'BMP P Tracking Table'!$X400*VLOOKUP('BMP P Tracking Table'!$Q400,'Loading Rates'!$B$1:$L$24,7,FALSE)+'BMP P Tracking Table'!$Y400*VLOOKUP('BMP P Tracking Table'!$Q400,'Loading Rates'!$B$1:$L$24,8,FALSE)+'BMP P Tracking Table'!$Z400*VLOOKUP('BMP P Tracking Table'!$Q400,'Loading Rates'!$B$1:$L$24,9,FALSE),'BMP P Tracking Table'!$AA400*VLOOKUP('BMP P Tracking Table'!$Q400,'Loading Rates'!$B$1:$L$24,10,FALSE)),"")</f>
        <v/>
      </c>
      <c r="AE400" s="101" t="str">
        <f>IFERROR(MIN(2,IF('BMP P Tracking Table'!$V400="Total Pervious",(-(3630*'BMP P Tracking Table'!$U400+20.691*'BMP P Tracking Table'!$AA400)+SQRT((3630*'BMP P Tracking Table'!$U400+20.691*'BMP P Tracking Table'!$AA400)^2-(4*(996.798*'BMP P Tracking Table'!$AA400)*-'BMP P Tracking Table'!$AB400)))/(2*(996.798*'BMP P Tracking Table'!$AA400)),IF(SUM('BMP P Tracking Table'!$W400:$Z400)=0,'BMP P Tracking Table'!$AB400/(-3630*'BMP P Tracking Table'!$U400),(-(3630*'BMP P Tracking Table'!$U400+20.691*'BMP P Tracking Table'!$Z400-216.711*'BMP P Tracking Table'!$Y400-83.853*'BMP P Tracking Table'!$X400-42.834*'BMP P Tracking Table'!$W400)+SQRT((3630*'BMP P Tracking Table'!$U400+20.691*'BMP P Tracking Table'!$Z400-216.711*'BMP P Tracking Table'!$Y400-83.853*'BMP P Tracking Table'!$X400-42.834*'BMP P Tracking Table'!$W400)^2-(4*(149.919*'BMP P Tracking Table'!$W400+236.676*'BMP P Tracking Table'!$X400+726*'BMP P Tracking Table'!$Y400+996.798*'BMP P Tracking Table'!$Z400)*-'BMP P Tracking Table'!$AB400)))/(2*(149.919*'BMP P Tracking Table'!$W400+236.676*'BMP P Tracking Table'!$X400+726*'BMP P Tracking Table'!$Y400+996.798*'BMP P Tracking Table'!$Z400))))),"")</f>
        <v/>
      </c>
      <c r="AF400" s="101" t="str">
        <f>IFERROR((VLOOKUP(CONCATENATE('BMP P Tracking Table'!$T400," ",'BMP P Tracking Table'!$AC400),'Performance Curves'!$C$1:$L$45,MATCH('BMP P Tracking Table'!$AE400,'Performance Curves'!$E$1:$L$1,1)+2,FALSE)-VLOOKUP(CONCATENATE('BMP P Tracking Table'!$T400," ",'BMP P Tracking Table'!$AC400),'Performance Curves'!$C$1:$L$45,MATCH('BMP P Tracking Table'!$AE400,'Performance Curves'!$E$1:$L$1,1)+1,FALSE)),"")</f>
        <v/>
      </c>
      <c r="AG400" s="101" t="str">
        <f>IFERROR(('BMP P Tracking Table'!$AE400-INDEX('Performance Curves'!$E$1:$L$1,1,MATCH('BMP P Tracking Table'!$AE400,'Performance Curves'!$E$1:$L$1,1)))/(INDEX('Performance Curves'!$E$1:$L$1,1,MATCH('BMP P Tracking Table'!$AE400,'Performance Curves'!$E$1:$L$1,1)+1)-INDEX('Performance Curves'!$E$1:$L$1,1,MATCH('BMP P Tracking Table'!$AE400,'Performance Curves'!$E$1:$L$1,1))),"")</f>
        <v/>
      </c>
      <c r="AH400" s="102" t="str">
        <f>IFERROR(IF('BMP P Tracking Table'!$AE400=2,VLOOKUP(CONCATENATE('BMP P Tracking Table'!$T400," ",'BMP P Tracking Table'!$AC400),'Performance Curves'!$C$1:$L$45,MATCH('BMP P Tracking Table'!$AE400,'Performance Curves'!$E$1:$L$1,1)+1,FALSE),'BMP P Tracking Table'!$AF400*'BMP P Tracking Table'!$AG400+VLOOKUP(CONCATENATE('BMP P Tracking Table'!$T400," ",'BMP P Tracking Table'!$AC400),'Performance Curves'!$C$1:$L$45,MATCH('BMP P Tracking Table'!$AE400,'Performance Curves'!$E$1:$L$1,1)+1,FALSE)),"")</f>
        <v/>
      </c>
      <c r="AI400" s="101" t="str">
        <f>IFERROR('BMP P Tracking Table'!$AH400*'BMP P Tracking Table'!$AD400,"")</f>
        <v/>
      </c>
      <c r="AJ400" s="64"/>
      <c r="AK400" s="96"/>
      <c r="AL400" s="96"/>
      <c r="AM400" s="63"/>
      <c r="AN400" s="99" t="str">
        <f t="shared" si="22"/>
        <v/>
      </c>
      <c r="AO400" s="96"/>
      <c r="AP400" s="96"/>
      <c r="AQ400" s="96"/>
      <c r="AR400" s="96"/>
      <c r="AS400" s="96"/>
      <c r="AT400" s="96"/>
      <c r="AU400" s="96"/>
      <c r="AV400" s="64"/>
      <c r="AW400" s="97"/>
      <c r="AX400" s="97"/>
      <c r="AY400" s="101" t="str">
        <f>IF('BMP P Tracking Table'!$AK400="Yes",IF('BMP P Tracking Table'!$AL400="No",'BMP P Tracking Table'!$U400*VLOOKUP('BMP P Tracking Table'!$Q400,'Loading Rates'!$B$1:$L$24,4,FALSE)+IF('BMP P Tracking Table'!$V400="By HSG",'BMP P Tracking Table'!$W400*VLOOKUP('BMP P Tracking Table'!$Q400,'Loading Rates'!$B$1:$L$24,6,FALSE)+'BMP P Tracking Table'!$X400*VLOOKUP('BMP P Tracking Table'!$Q400,'Loading Rates'!$B$1:$L$24,7,FALSE)+'BMP P Tracking Table'!$Y400*VLOOKUP('BMP P Tracking Table'!$Q400,'Loading Rates'!$B$1:$L$24,8,FALSE)+'BMP P Tracking Table'!$Z400*VLOOKUP('BMP P Tracking Table'!$Q400,'Loading Rates'!$B$1:$L$24,9,FALSE),'BMP P Tracking Table'!$AA400*VLOOKUP('BMP P Tracking Table'!$Q400,'Loading Rates'!$B$1:$L$24,10,FALSE)),'BMP P Tracking Table'!$AO400*VLOOKUP('BMP P Tracking Table'!$Q400,'Loading Rates'!$B$1:$L$24,4,FALSE)+IF('BMP P Tracking Table'!$AP400="By HSG",'BMP P Tracking Table'!$AQ400*VLOOKUP('BMP P Tracking Table'!$Q400,'Loading Rates'!$B$1:$L$24,6,FALSE)+'BMP P Tracking Table'!$AR400*VLOOKUP('BMP P Tracking Table'!$Q400,'Loading Rates'!$B$1:$L$24,7,FALSE)+'BMP P Tracking Table'!$AS400*VLOOKUP('BMP P Tracking Table'!$Q400,'Loading Rates'!$B$1:$L$24,8,FALSE)+'BMP P Tracking Table'!$AT400*VLOOKUP('BMP P Tracking Table'!$Q400,'Loading Rates'!$B$1:$L$24,9,FALSE),'BMP P Tracking Table'!$AU400*VLOOKUP('BMP P Tracking Table'!$Q400,'Loading Rates'!$B$1:$L$24,10,FALSE))),"")</f>
        <v/>
      </c>
      <c r="AZ400" s="101" t="str">
        <f>IFERROR(IF('BMP P Tracking Table'!$AL400="Yes",MIN(2,IF('BMP P Tracking Table'!$AP400="Total Pervious",(-(3630*'BMP P Tracking Table'!$AO400+20.691*'BMP P Tracking Table'!$AU400)+SQRT((3630*'BMP P Tracking Table'!$AO400+20.691*'BMP P Tracking Table'!$AU400)^2-(4*(996.798*'BMP P Tracking Table'!$AU400)*-'BMP P Tracking Table'!$AW400)))/(2*(996.798*'BMP P Tracking Table'!$AU400)),IF(SUM('BMP P Tracking Table'!$AQ400:$AT400)=0,'BMP P Tracking Table'!$AU400/(-3630*'BMP P Tracking Table'!$AO400),(-(3630*'BMP P Tracking Table'!$AO400+20.691*'BMP P Tracking Table'!$AT400-216.711*'BMP P Tracking Table'!$AS400-83.853*'BMP P Tracking Table'!$AR400-42.834*'BMP P Tracking Table'!$AQ400)+SQRT((3630*'BMP P Tracking Table'!$AO400+20.691*'BMP P Tracking Table'!$AT400-216.711*'BMP P Tracking Table'!$AS400-83.853*'BMP P Tracking Table'!$AR400-42.834*'BMP P Tracking Table'!$AQ400)^2-(4*(149.919*'BMP P Tracking Table'!$AQ400+236.676*'BMP P Tracking Table'!$AR400+726*'BMP P Tracking Table'!$AS400+996.798*'BMP P Tracking Table'!$AT400)*-'BMP P Tracking Table'!$AW400)))/(2*(149.919*'BMP P Tracking Table'!$AQ400+236.676*'BMP P Tracking Table'!$AR400+726*'BMP P Tracking Table'!$AS400+996.798*'BMP P Tracking Table'!$AT400))))),MIN(2,IF('BMP P Tracking Table'!$AP400="Total Pervious",(-(3630*'BMP P Tracking Table'!$U400+20.691*'BMP P Tracking Table'!$AA400)+SQRT((3630*'BMP P Tracking Table'!$U400+20.691*'BMP P Tracking Table'!$AA400)^2-(4*(996.798*'BMP P Tracking Table'!$AA400)*-'BMP P Tracking Table'!$AW400)))/(2*(996.798*'BMP P Tracking Table'!$AA400)),IF(SUM('BMP P Tracking Table'!$W400:$Z400)=0,'BMP P Tracking Table'!$AW400/(-3630*'BMP P Tracking Table'!$U400),(-(3630*'BMP P Tracking Table'!$U400+20.691*'BMP P Tracking Table'!$Z400-216.711*'BMP P Tracking Table'!$Y400-83.853*'BMP P Tracking Table'!$X400-42.834*'BMP P Tracking Table'!$W400)+SQRT((3630*'BMP P Tracking Table'!$U400+20.691*'BMP P Tracking Table'!$Z400-216.711*'BMP P Tracking Table'!$Y400-83.853*'BMP P Tracking Table'!$X400-42.834*'BMP P Tracking Table'!$W400)^2-(4*(149.919*'BMP P Tracking Table'!$W400+236.676*'BMP P Tracking Table'!$X400+726*'BMP P Tracking Table'!$Y400+996.798*'BMP P Tracking Table'!$Z400)*-'BMP P Tracking Table'!$AW400)))/(2*(149.919*'BMP P Tracking Table'!$W400+236.676*'BMP P Tracking Table'!$X400+726*'BMP P Tracking Table'!$Y400+996.798*'BMP P Tracking Table'!$Z400)))))),"")</f>
        <v/>
      </c>
      <c r="BA400" s="101" t="str">
        <f>IFERROR((VLOOKUP(CONCATENATE('BMP P Tracking Table'!$AV400," ",'BMP P Tracking Table'!$AX400),'Performance Curves'!$C$1:$L$45,MATCH('BMP P Tracking Table'!$AZ400,'Performance Curves'!$E$1:$L$1,1)+2,FALSE)-VLOOKUP(CONCATENATE('BMP P Tracking Table'!$AV400," ",'BMP P Tracking Table'!$AX400),'Performance Curves'!$C$1:$L$45,MATCH('BMP P Tracking Table'!$AZ400,'Performance Curves'!$E$1:$L$1,1)+1,FALSE)),"")</f>
        <v/>
      </c>
      <c r="BB400" s="101" t="str">
        <f>IFERROR(('BMP P Tracking Table'!$AZ400-INDEX('Performance Curves'!$E$1:$L$1,1,MATCH('BMP P Tracking Table'!$AZ400,'Performance Curves'!$E$1:$L$1,1)))/(INDEX('Performance Curves'!$E$1:$L$1,1,MATCH('BMP P Tracking Table'!$AZ400,'Performance Curves'!$E$1:$L$1,1)+1)-INDEX('Performance Curves'!$E$1:$L$1,1,MATCH('BMP P Tracking Table'!$AZ400,'Performance Curves'!$E$1:$L$1,1))),"")</f>
        <v/>
      </c>
      <c r="BC400" s="102" t="str">
        <f>IFERROR(IF('BMP P Tracking Table'!$AZ400=2,VLOOKUP(CONCATENATE('BMP P Tracking Table'!$AV400," ",'BMP P Tracking Table'!$AX400),'Performance Curves'!$C$1:$L$44,MATCH('BMP P Tracking Table'!$AZ400,'Performance Curves'!$E$1:$L$1,1)+1,FALSE),'BMP P Tracking Table'!$BA400*'BMP P Tracking Table'!$BB400+VLOOKUP(CONCATENATE('BMP P Tracking Table'!$AV400," ",'BMP P Tracking Table'!$AX400),'Performance Curves'!$C$1:$L$44,MATCH('BMP P Tracking Table'!$AZ400,'Performance Curves'!$E$1:$L$1,1)+1,FALSE)),"")</f>
        <v/>
      </c>
      <c r="BD400" s="101" t="str">
        <f>IFERROR('BMP P Tracking Table'!$BC400*'BMP P Tracking Table'!$AY400,"")</f>
        <v/>
      </c>
      <c r="BE400" s="96"/>
      <c r="BF400" s="37">
        <f t="shared" si="23"/>
        <v>0</v>
      </c>
    </row>
    <row r="401" spans="1:58" x14ac:dyDescent="0.3">
      <c r="A401" s="64"/>
      <c r="B401" s="64"/>
      <c r="C401" s="64"/>
      <c r="D401" s="64"/>
      <c r="E401" s="93"/>
      <c r="F401" s="93"/>
      <c r="G401" s="64"/>
      <c r="H401" s="64"/>
      <c r="I401" s="64"/>
      <c r="J401" s="94"/>
      <c r="K401" s="64"/>
      <c r="L401" s="64"/>
      <c r="M401" s="64"/>
      <c r="N401" s="64"/>
      <c r="O401" s="64"/>
      <c r="P401" s="64"/>
      <c r="Q401" s="64" t="str">
        <f>IFERROR(VLOOKUP('BMP P Tracking Table'!$P401,Dropdowns!$C$2:$E$15,3,FALSE),"")</f>
        <v/>
      </c>
      <c r="R401" s="64" t="str">
        <f>IFERROR(VLOOKUP('BMP P Tracking Table'!$Q401,Dropdowns!$P$3:$Q$23,2,FALSE),"")</f>
        <v/>
      </c>
      <c r="S401" s="64"/>
      <c r="T401" s="64"/>
      <c r="U401" s="64"/>
      <c r="V401" s="64"/>
      <c r="W401" s="64"/>
      <c r="X401" s="64"/>
      <c r="Y401" s="64"/>
      <c r="Z401" s="64"/>
      <c r="AA401" s="64"/>
      <c r="AB401" s="95"/>
      <c r="AC401" s="64"/>
      <c r="AD401" s="101" t="str">
        <f>IFERROR('BMP P Tracking Table'!$U401*VLOOKUP('BMP P Tracking Table'!$Q401,'Loading Rates'!$B$1:$L$24,4,FALSE)+IF('BMP P Tracking Table'!$V401="By HSG",'BMP P Tracking Table'!$W401*VLOOKUP('BMP P Tracking Table'!$Q401,'Loading Rates'!$B$1:$L$24,6,FALSE)+'BMP P Tracking Table'!$X401*VLOOKUP('BMP P Tracking Table'!$Q401,'Loading Rates'!$B$1:$L$24,7,FALSE)+'BMP P Tracking Table'!$Y401*VLOOKUP('BMP P Tracking Table'!$Q401,'Loading Rates'!$B$1:$L$24,8,FALSE)+'BMP P Tracking Table'!$Z401*VLOOKUP('BMP P Tracking Table'!$Q401,'Loading Rates'!$B$1:$L$24,9,FALSE),'BMP P Tracking Table'!$AA401*VLOOKUP('BMP P Tracking Table'!$Q401,'Loading Rates'!$B$1:$L$24,10,FALSE)),"")</f>
        <v/>
      </c>
      <c r="AE401" s="101" t="str">
        <f>IFERROR(MIN(2,IF('BMP P Tracking Table'!$V401="Total Pervious",(-(3630*'BMP P Tracking Table'!$U401+20.691*'BMP P Tracking Table'!$AA401)+SQRT((3630*'BMP P Tracking Table'!$U401+20.691*'BMP P Tracking Table'!$AA401)^2-(4*(996.798*'BMP P Tracking Table'!$AA401)*-'BMP P Tracking Table'!$AB401)))/(2*(996.798*'BMP P Tracking Table'!$AA401)),IF(SUM('BMP P Tracking Table'!$W401:$Z401)=0,'BMP P Tracking Table'!$AB401/(-3630*'BMP P Tracking Table'!$U401),(-(3630*'BMP P Tracking Table'!$U401+20.691*'BMP P Tracking Table'!$Z401-216.711*'BMP P Tracking Table'!$Y401-83.853*'BMP P Tracking Table'!$X401-42.834*'BMP P Tracking Table'!$W401)+SQRT((3630*'BMP P Tracking Table'!$U401+20.691*'BMP P Tracking Table'!$Z401-216.711*'BMP P Tracking Table'!$Y401-83.853*'BMP P Tracking Table'!$X401-42.834*'BMP P Tracking Table'!$W401)^2-(4*(149.919*'BMP P Tracking Table'!$W401+236.676*'BMP P Tracking Table'!$X401+726*'BMP P Tracking Table'!$Y401+996.798*'BMP P Tracking Table'!$Z401)*-'BMP P Tracking Table'!$AB401)))/(2*(149.919*'BMP P Tracking Table'!$W401+236.676*'BMP P Tracking Table'!$X401+726*'BMP P Tracking Table'!$Y401+996.798*'BMP P Tracking Table'!$Z401))))),"")</f>
        <v/>
      </c>
      <c r="AF401" s="101" t="str">
        <f>IFERROR((VLOOKUP(CONCATENATE('BMP P Tracking Table'!$T401," ",'BMP P Tracking Table'!$AC401),'Performance Curves'!$C$1:$L$45,MATCH('BMP P Tracking Table'!$AE401,'Performance Curves'!$E$1:$L$1,1)+2,FALSE)-VLOOKUP(CONCATENATE('BMP P Tracking Table'!$T401," ",'BMP P Tracking Table'!$AC401),'Performance Curves'!$C$1:$L$45,MATCH('BMP P Tracking Table'!$AE401,'Performance Curves'!$E$1:$L$1,1)+1,FALSE)),"")</f>
        <v/>
      </c>
      <c r="AG401" s="101" t="str">
        <f>IFERROR(('BMP P Tracking Table'!$AE401-INDEX('Performance Curves'!$E$1:$L$1,1,MATCH('BMP P Tracking Table'!$AE401,'Performance Curves'!$E$1:$L$1,1)))/(INDEX('Performance Curves'!$E$1:$L$1,1,MATCH('BMP P Tracking Table'!$AE401,'Performance Curves'!$E$1:$L$1,1)+1)-INDEX('Performance Curves'!$E$1:$L$1,1,MATCH('BMP P Tracking Table'!$AE401,'Performance Curves'!$E$1:$L$1,1))),"")</f>
        <v/>
      </c>
      <c r="AH401" s="102" t="str">
        <f>IFERROR(IF('BMP P Tracking Table'!$AE401=2,VLOOKUP(CONCATENATE('BMP P Tracking Table'!$T401," ",'BMP P Tracking Table'!$AC401),'Performance Curves'!$C$1:$L$45,MATCH('BMP P Tracking Table'!$AE401,'Performance Curves'!$E$1:$L$1,1)+1,FALSE),'BMP P Tracking Table'!$AF401*'BMP P Tracking Table'!$AG401+VLOOKUP(CONCATENATE('BMP P Tracking Table'!$T401," ",'BMP P Tracking Table'!$AC401),'Performance Curves'!$C$1:$L$45,MATCH('BMP P Tracking Table'!$AE401,'Performance Curves'!$E$1:$L$1,1)+1,FALSE)),"")</f>
        <v/>
      </c>
      <c r="AI401" s="101" t="str">
        <f>IFERROR('BMP P Tracking Table'!$AH401*'BMP P Tracking Table'!$AD401,"")</f>
        <v/>
      </c>
      <c r="AJ401" s="64"/>
      <c r="AK401" s="96"/>
      <c r="AL401" s="96"/>
      <c r="AM401" s="63"/>
      <c r="AN401" s="99" t="str">
        <f t="shared" si="22"/>
        <v/>
      </c>
      <c r="AO401" s="96"/>
      <c r="AP401" s="96"/>
      <c r="AQ401" s="96"/>
      <c r="AR401" s="96"/>
      <c r="AS401" s="96"/>
      <c r="AT401" s="96"/>
      <c r="AU401" s="96"/>
      <c r="AV401" s="64"/>
      <c r="AW401" s="97"/>
      <c r="AX401" s="97"/>
      <c r="AY401" s="101" t="str">
        <f>IF('BMP P Tracking Table'!$AK401="Yes",IF('BMP P Tracking Table'!$AL401="No",'BMP P Tracking Table'!$U401*VLOOKUP('BMP P Tracking Table'!$Q401,'Loading Rates'!$B$1:$L$24,4,FALSE)+IF('BMP P Tracking Table'!$V401="By HSG",'BMP P Tracking Table'!$W401*VLOOKUP('BMP P Tracking Table'!$Q401,'Loading Rates'!$B$1:$L$24,6,FALSE)+'BMP P Tracking Table'!$X401*VLOOKUP('BMP P Tracking Table'!$Q401,'Loading Rates'!$B$1:$L$24,7,FALSE)+'BMP P Tracking Table'!$Y401*VLOOKUP('BMP P Tracking Table'!$Q401,'Loading Rates'!$B$1:$L$24,8,FALSE)+'BMP P Tracking Table'!$Z401*VLOOKUP('BMP P Tracking Table'!$Q401,'Loading Rates'!$B$1:$L$24,9,FALSE),'BMP P Tracking Table'!$AA401*VLOOKUP('BMP P Tracking Table'!$Q401,'Loading Rates'!$B$1:$L$24,10,FALSE)),'BMP P Tracking Table'!$AO401*VLOOKUP('BMP P Tracking Table'!$Q401,'Loading Rates'!$B$1:$L$24,4,FALSE)+IF('BMP P Tracking Table'!$AP401="By HSG",'BMP P Tracking Table'!$AQ401*VLOOKUP('BMP P Tracking Table'!$Q401,'Loading Rates'!$B$1:$L$24,6,FALSE)+'BMP P Tracking Table'!$AR401*VLOOKUP('BMP P Tracking Table'!$Q401,'Loading Rates'!$B$1:$L$24,7,FALSE)+'BMP P Tracking Table'!$AS401*VLOOKUP('BMP P Tracking Table'!$Q401,'Loading Rates'!$B$1:$L$24,8,FALSE)+'BMP P Tracking Table'!$AT401*VLOOKUP('BMP P Tracking Table'!$Q401,'Loading Rates'!$B$1:$L$24,9,FALSE),'BMP P Tracking Table'!$AU401*VLOOKUP('BMP P Tracking Table'!$Q401,'Loading Rates'!$B$1:$L$24,10,FALSE))),"")</f>
        <v/>
      </c>
      <c r="AZ401" s="101" t="str">
        <f>IFERROR(IF('BMP P Tracking Table'!$AL401="Yes",MIN(2,IF('BMP P Tracking Table'!$AP401="Total Pervious",(-(3630*'BMP P Tracking Table'!$AO401+20.691*'BMP P Tracking Table'!$AU401)+SQRT((3630*'BMP P Tracking Table'!$AO401+20.691*'BMP P Tracking Table'!$AU401)^2-(4*(996.798*'BMP P Tracking Table'!$AU401)*-'BMP P Tracking Table'!$AW401)))/(2*(996.798*'BMP P Tracking Table'!$AU401)),IF(SUM('BMP P Tracking Table'!$AQ401:$AT401)=0,'BMP P Tracking Table'!$AU401/(-3630*'BMP P Tracking Table'!$AO401),(-(3630*'BMP P Tracking Table'!$AO401+20.691*'BMP P Tracking Table'!$AT401-216.711*'BMP P Tracking Table'!$AS401-83.853*'BMP P Tracking Table'!$AR401-42.834*'BMP P Tracking Table'!$AQ401)+SQRT((3630*'BMP P Tracking Table'!$AO401+20.691*'BMP P Tracking Table'!$AT401-216.711*'BMP P Tracking Table'!$AS401-83.853*'BMP P Tracking Table'!$AR401-42.834*'BMP P Tracking Table'!$AQ401)^2-(4*(149.919*'BMP P Tracking Table'!$AQ401+236.676*'BMP P Tracking Table'!$AR401+726*'BMP P Tracking Table'!$AS401+996.798*'BMP P Tracking Table'!$AT401)*-'BMP P Tracking Table'!$AW401)))/(2*(149.919*'BMP P Tracking Table'!$AQ401+236.676*'BMP P Tracking Table'!$AR401+726*'BMP P Tracking Table'!$AS401+996.798*'BMP P Tracking Table'!$AT401))))),MIN(2,IF('BMP P Tracking Table'!$AP401="Total Pervious",(-(3630*'BMP P Tracking Table'!$U401+20.691*'BMP P Tracking Table'!$AA401)+SQRT((3630*'BMP P Tracking Table'!$U401+20.691*'BMP P Tracking Table'!$AA401)^2-(4*(996.798*'BMP P Tracking Table'!$AA401)*-'BMP P Tracking Table'!$AW401)))/(2*(996.798*'BMP P Tracking Table'!$AA401)),IF(SUM('BMP P Tracking Table'!$W401:$Z401)=0,'BMP P Tracking Table'!$AW401/(-3630*'BMP P Tracking Table'!$U401),(-(3630*'BMP P Tracking Table'!$U401+20.691*'BMP P Tracking Table'!$Z401-216.711*'BMP P Tracking Table'!$Y401-83.853*'BMP P Tracking Table'!$X401-42.834*'BMP P Tracking Table'!$W401)+SQRT((3630*'BMP P Tracking Table'!$U401+20.691*'BMP P Tracking Table'!$Z401-216.711*'BMP P Tracking Table'!$Y401-83.853*'BMP P Tracking Table'!$X401-42.834*'BMP P Tracking Table'!$W401)^2-(4*(149.919*'BMP P Tracking Table'!$W401+236.676*'BMP P Tracking Table'!$X401+726*'BMP P Tracking Table'!$Y401+996.798*'BMP P Tracking Table'!$Z401)*-'BMP P Tracking Table'!$AW401)))/(2*(149.919*'BMP P Tracking Table'!$W401+236.676*'BMP P Tracking Table'!$X401+726*'BMP P Tracking Table'!$Y401+996.798*'BMP P Tracking Table'!$Z401)))))),"")</f>
        <v/>
      </c>
      <c r="BA401" s="101" t="str">
        <f>IFERROR((VLOOKUP(CONCATENATE('BMP P Tracking Table'!$AV401," ",'BMP P Tracking Table'!$AX401),'Performance Curves'!$C$1:$L$45,MATCH('BMP P Tracking Table'!$AZ401,'Performance Curves'!$E$1:$L$1,1)+2,FALSE)-VLOOKUP(CONCATENATE('BMP P Tracking Table'!$AV401," ",'BMP P Tracking Table'!$AX401),'Performance Curves'!$C$1:$L$45,MATCH('BMP P Tracking Table'!$AZ401,'Performance Curves'!$E$1:$L$1,1)+1,FALSE)),"")</f>
        <v/>
      </c>
      <c r="BB401" s="101" t="str">
        <f>IFERROR(('BMP P Tracking Table'!$AZ401-INDEX('Performance Curves'!$E$1:$L$1,1,MATCH('BMP P Tracking Table'!$AZ401,'Performance Curves'!$E$1:$L$1,1)))/(INDEX('Performance Curves'!$E$1:$L$1,1,MATCH('BMP P Tracking Table'!$AZ401,'Performance Curves'!$E$1:$L$1,1)+1)-INDEX('Performance Curves'!$E$1:$L$1,1,MATCH('BMP P Tracking Table'!$AZ401,'Performance Curves'!$E$1:$L$1,1))),"")</f>
        <v/>
      </c>
      <c r="BC401" s="102" t="str">
        <f>IFERROR(IF('BMP P Tracking Table'!$AZ401=2,VLOOKUP(CONCATENATE('BMP P Tracking Table'!$AV401," ",'BMP P Tracking Table'!$AX401),'Performance Curves'!$C$1:$L$44,MATCH('BMP P Tracking Table'!$AZ401,'Performance Curves'!$E$1:$L$1,1)+1,FALSE),'BMP P Tracking Table'!$BA401*'BMP P Tracking Table'!$BB401+VLOOKUP(CONCATENATE('BMP P Tracking Table'!$AV401," ",'BMP P Tracking Table'!$AX401),'Performance Curves'!$C$1:$L$44,MATCH('BMP P Tracking Table'!$AZ401,'Performance Curves'!$E$1:$L$1,1)+1,FALSE)),"")</f>
        <v/>
      </c>
      <c r="BD401" s="101" t="str">
        <f>IFERROR('BMP P Tracking Table'!$BC401*'BMP P Tracking Table'!$AY401,"")</f>
        <v/>
      </c>
      <c r="BE401" s="91"/>
      <c r="BF401" s="37">
        <f t="shared" si="23"/>
        <v>0</v>
      </c>
    </row>
    <row r="402" spans="1:58" x14ac:dyDescent="0.3">
      <c r="A402" s="64"/>
      <c r="B402" s="64"/>
      <c r="C402" s="64"/>
      <c r="D402" s="64"/>
      <c r="E402" s="93"/>
      <c r="F402" s="93"/>
      <c r="G402" s="64"/>
      <c r="H402" s="64"/>
      <c r="I402" s="64"/>
      <c r="J402" s="94"/>
      <c r="K402" s="64"/>
      <c r="L402" s="64"/>
      <c r="M402" s="64"/>
      <c r="N402" s="64"/>
      <c r="O402" s="64"/>
      <c r="P402" s="64"/>
      <c r="Q402" s="64" t="str">
        <f>IFERROR(VLOOKUP('BMP P Tracking Table'!$P402,Dropdowns!$C$2:$E$15,3,FALSE),"")</f>
        <v/>
      </c>
      <c r="R402" s="64" t="str">
        <f>IFERROR(VLOOKUP('BMP P Tracking Table'!$Q402,Dropdowns!$P$3:$Q$23,2,FALSE),"")</f>
        <v/>
      </c>
      <c r="S402" s="64"/>
      <c r="T402" s="64"/>
      <c r="U402" s="64"/>
      <c r="V402" s="64"/>
      <c r="W402" s="64"/>
      <c r="X402" s="64"/>
      <c r="Y402" s="64"/>
      <c r="Z402" s="64"/>
      <c r="AA402" s="64"/>
      <c r="AB402" s="95"/>
      <c r="AC402" s="64"/>
      <c r="AD402" s="101" t="str">
        <f>IFERROR('BMP P Tracking Table'!$U402*VLOOKUP('BMP P Tracking Table'!$Q402,'Loading Rates'!$B$1:$L$24,4,FALSE)+IF('BMP P Tracking Table'!$V402="By HSG",'BMP P Tracking Table'!$W402*VLOOKUP('BMP P Tracking Table'!$Q402,'Loading Rates'!$B$1:$L$24,6,FALSE)+'BMP P Tracking Table'!$X402*VLOOKUP('BMP P Tracking Table'!$Q402,'Loading Rates'!$B$1:$L$24,7,FALSE)+'BMP P Tracking Table'!$Y402*VLOOKUP('BMP P Tracking Table'!$Q402,'Loading Rates'!$B$1:$L$24,8,FALSE)+'BMP P Tracking Table'!$Z402*VLOOKUP('BMP P Tracking Table'!$Q402,'Loading Rates'!$B$1:$L$24,9,FALSE),'BMP P Tracking Table'!$AA402*VLOOKUP('BMP P Tracking Table'!$Q402,'Loading Rates'!$B$1:$L$24,10,FALSE)),"")</f>
        <v/>
      </c>
      <c r="AE402" s="101" t="str">
        <f>IFERROR(MIN(2,IF('BMP P Tracking Table'!$V402="Total Pervious",(-(3630*'BMP P Tracking Table'!$U402+20.691*'BMP P Tracking Table'!$AA402)+SQRT((3630*'BMP P Tracking Table'!$U402+20.691*'BMP P Tracking Table'!$AA402)^2-(4*(996.798*'BMP P Tracking Table'!$AA402)*-'BMP P Tracking Table'!$AB402)))/(2*(996.798*'BMP P Tracking Table'!$AA402)),IF(SUM('BMP P Tracking Table'!$W402:$Z402)=0,'BMP P Tracking Table'!$AB402/(-3630*'BMP P Tracking Table'!$U402),(-(3630*'BMP P Tracking Table'!$U402+20.691*'BMP P Tracking Table'!$Z402-216.711*'BMP P Tracking Table'!$Y402-83.853*'BMP P Tracking Table'!$X402-42.834*'BMP P Tracking Table'!$W402)+SQRT((3630*'BMP P Tracking Table'!$U402+20.691*'BMP P Tracking Table'!$Z402-216.711*'BMP P Tracking Table'!$Y402-83.853*'BMP P Tracking Table'!$X402-42.834*'BMP P Tracking Table'!$W402)^2-(4*(149.919*'BMP P Tracking Table'!$W402+236.676*'BMP P Tracking Table'!$X402+726*'BMP P Tracking Table'!$Y402+996.798*'BMP P Tracking Table'!$Z402)*-'BMP P Tracking Table'!$AB402)))/(2*(149.919*'BMP P Tracking Table'!$W402+236.676*'BMP P Tracking Table'!$X402+726*'BMP P Tracking Table'!$Y402+996.798*'BMP P Tracking Table'!$Z402))))),"")</f>
        <v/>
      </c>
      <c r="AF402" s="101" t="str">
        <f>IFERROR((VLOOKUP(CONCATENATE('BMP P Tracking Table'!$T402," ",'BMP P Tracking Table'!$AC402),'Performance Curves'!$C$1:$L$45,MATCH('BMP P Tracking Table'!$AE402,'Performance Curves'!$E$1:$L$1,1)+2,FALSE)-VLOOKUP(CONCATENATE('BMP P Tracking Table'!$T402," ",'BMP P Tracking Table'!$AC402),'Performance Curves'!$C$1:$L$45,MATCH('BMP P Tracking Table'!$AE402,'Performance Curves'!$E$1:$L$1,1)+1,FALSE)),"")</f>
        <v/>
      </c>
      <c r="AG402" s="101" t="str">
        <f>IFERROR(('BMP P Tracking Table'!$AE402-INDEX('Performance Curves'!$E$1:$L$1,1,MATCH('BMP P Tracking Table'!$AE402,'Performance Curves'!$E$1:$L$1,1)))/(INDEX('Performance Curves'!$E$1:$L$1,1,MATCH('BMP P Tracking Table'!$AE402,'Performance Curves'!$E$1:$L$1,1)+1)-INDEX('Performance Curves'!$E$1:$L$1,1,MATCH('BMP P Tracking Table'!$AE402,'Performance Curves'!$E$1:$L$1,1))),"")</f>
        <v/>
      </c>
      <c r="AH402" s="102" t="str">
        <f>IFERROR(IF('BMP P Tracking Table'!$AE402=2,VLOOKUP(CONCATENATE('BMP P Tracking Table'!$T402," ",'BMP P Tracking Table'!$AC402),'Performance Curves'!$C$1:$L$45,MATCH('BMP P Tracking Table'!$AE402,'Performance Curves'!$E$1:$L$1,1)+1,FALSE),'BMP P Tracking Table'!$AF402*'BMP P Tracking Table'!$AG402+VLOOKUP(CONCATENATE('BMP P Tracking Table'!$T402," ",'BMP P Tracking Table'!$AC402),'Performance Curves'!$C$1:$L$45,MATCH('BMP P Tracking Table'!$AE402,'Performance Curves'!$E$1:$L$1,1)+1,FALSE)),"")</f>
        <v/>
      </c>
      <c r="AI402" s="101" t="str">
        <f>IFERROR('BMP P Tracking Table'!$AH402*'BMP P Tracking Table'!$AD402,"")</f>
        <v/>
      </c>
      <c r="AJ402" s="64"/>
      <c r="AK402" s="96"/>
      <c r="AL402" s="96"/>
      <c r="AM402" s="63"/>
      <c r="AN402" s="99" t="str">
        <f t="shared" si="22"/>
        <v/>
      </c>
      <c r="AO402" s="96"/>
      <c r="AP402" s="96"/>
      <c r="AQ402" s="96"/>
      <c r="AR402" s="96"/>
      <c r="AS402" s="96"/>
      <c r="AT402" s="96"/>
      <c r="AU402" s="96"/>
      <c r="AV402" s="64"/>
      <c r="AW402" s="97"/>
      <c r="AX402" s="97"/>
      <c r="AY402" s="101" t="str">
        <f>IF('BMP P Tracking Table'!$AK402="Yes",IF('BMP P Tracking Table'!$AL402="No",'BMP P Tracking Table'!$U402*VLOOKUP('BMP P Tracking Table'!$Q402,'Loading Rates'!$B$1:$L$24,4,FALSE)+IF('BMP P Tracking Table'!$V402="By HSG",'BMP P Tracking Table'!$W402*VLOOKUP('BMP P Tracking Table'!$Q402,'Loading Rates'!$B$1:$L$24,6,FALSE)+'BMP P Tracking Table'!$X402*VLOOKUP('BMP P Tracking Table'!$Q402,'Loading Rates'!$B$1:$L$24,7,FALSE)+'BMP P Tracking Table'!$Y402*VLOOKUP('BMP P Tracking Table'!$Q402,'Loading Rates'!$B$1:$L$24,8,FALSE)+'BMP P Tracking Table'!$Z402*VLOOKUP('BMP P Tracking Table'!$Q402,'Loading Rates'!$B$1:$L$24,9,FALSE),'BMP P Tracking Table'!$AA402*VLOOKUP('BMP P Tracking Table'!$Q402,'Loading Rates'!$B$1:$L$24,10,FALSE)),'BMP P Tracking Table'!$AO402*VLOOKUP('BMP P Tracking Table'!$Q402,'Loading Rates'!$B$1:$L$24,4,FALSE)+IF('BMP P Tracking Table'!$AP402="By HSG",'BMP P Tracking Table'!$AQ402*VLOOKUP('BMP P Tracking Table'!$Q402,'Loading Rates'!$B$1:$L$24,6,FALSE)+'BMP P Tracking Table'!$AR402*VLOOKUP('BMP P Tracking Table'!$Q402,'Loading Rates'!$B$1:$L$24,7,FALSE)+'BMP P Tracking Table'!$AS402*VLOOKUP('BMP P Tracking Table'!$Q402,'Loading Rates'!$B$1:$L$24,8,FALSE)+'BMP P Tracking Table'!$AT402*VLOOKUP('BMP P Tracking Table'!$Q402,'Loading Rates'!$B$1:$L$24,9,FALSE),'BMP P Tracking Table'!$AU402*VLOOKUP('BMP P Tracking Table'!$Q402,'Loading Rates'!$B$1:$L$24,10,FALSE))),"")</f>
        <v/>
      </c>
      <c r="AZ402" s="101" t="str">
        <f>IFERROR(IF('BMP P Tracking Table'!$AL402="Yes",MIN(2,IF('BMP P Tracking Table'!$AP402="Total Pervious",(-(3630*'BMP P Tracking Table'!$AO402+20.691*'BMP P Tracking Table'!$AU402)+SQRT((3630*'BMP P Tracking Table'!$AO402+20.691*'BMP P Tracking Table'!$AU402)^2-(4*(996.798*'BMP P Tracking Table'!$AU402)*-'BMP P Tracking Table'!$AW402)))/(2*(996.798*'BMP P Tracking Table'!$AU402)),IF(SUM('BMP P Tracking Table'!$AQ402:$AT402)=0,'BMP P Tracking Table'!$AU402/(-3630*'BMP P Tracking Table'!$AO402),(-(3630*'BMP P Tracking Table'!$AO402+20.691*'BMP P Tracking Table'!$AT402-216.711*'BMP P Tracking Table'!$AS402-83.853*'BMP P Tracking Table'!$AR402-42.834*'BMP P Tracking Table'!$AQ402)+SQRT((3630*'BMP P Tracking Table'!$AO402+20.691*'BMP P Tracking Table'!$AT402-216.711*'BMP P Tracking Table'!$AS402-83.853*'BMP P Tracking Table'!$AR402-42.834*'BMP P Tracking Table'!$AQ402)^2-(4*(149.919*'BMP P Tracking Table'!$AQ402+236.676*'BMP P Tracking Table'!$AR402+726*'BMP P Tracking Table'!$AS402+996.798*'BMP P Tracking Table'!$AT402)*-'BMP P Tracking Table'!$AW402)))/(2*(149.919*'BMP P Tracking Table'!$AQ402+236.676*'BMP P Tracking Table'!$AR402+726*'BMP P Tracking Table'!$AS402+996.798*'BMP P Tracking Table'!$AT402))))),MIN(2,IF('BMP P Tracking Table'!$AP402="Total Pervious",(-(3630*'BMP P Tracking Table'!$U402+20.691*'BMP P Tracking Table'!$AA402)+SQRT((3630*'BMP P Tracking Table'!$U402+20.691*'BMP P Tracking Table'!$AA402)^2-(4*(996.798*'BMP P Tracking Table'!$AA402)*-'BMP P Tracking Table'!$AW402)))/(2*(996.798*'BMP P Tracking Table'!$AA402)),IF(SUM('BMP P Tracking Table'!$W402:$Z402)=0,'BMP P Tracking Table'!$AW402/(-3630*'BMP P Tracking Table'!$U402),(-(3630*'BMP P Tracking Table'!$U402+20.691*'BMP P Tracking Table'!$Z402-216.711*'BMP P Tracking Table'!$Y402-83.853*'BMP P Tracking Table'!$X402-42.834*'BMP P Tracking Table'!$W402)+SQRT((3630*'BMP P Tracking Table'!$U402+20.691*'BMP P Tracking Table'!$Z402-216.711*'BMP P Tracking Table'!$Y402-83.853*'BMP P Tracking Table'!$X402-42.834*'BMP P Tracking Table'!$W402)^2-(4*(149.919*'BMP P Tracking Table'!$W402+236.676*'BMP P Tracking Table'!$X402+726*'BMP P Tracking Table'!$Y402+996.798*'BMP P Tracking Table'!$Z402)*-'BMP P Tracking Table'!$AW402)))/(2*(149.919*'BMP P Tracking Table'!$W402+236.676*'BMP P Tracking Table'!$X402+726*'BMP P Tracking Table'!$Y402+996.798*'BMP P Tracking Table'!$Z402)))))),"")</f>
        <v/>
      </c>
      <c r="BA402" s="101" t="str">
        <f>IFERROR((VLOOKUP(CONCATENATE('BMP P Tracking Table'!$AV402," ",'BMP P Tracking Table'!$AX402),'Performance Curves'!$C$1:$L$45,MATCH('BMP P Tracking Table'!$AZ402,'Performance Curves'!$E$1:$L$1,1)+2,FALSE)-VLOOKUP(CONCATENATE('BMP P Tracking Table'!$AV402," ",'BMP P Tracking Table'!$AX402),'Performance Curves'!$C$1:$L$45,MATCH('BMP P Tracking Table'!$AZ402,'Performance Curves'!$E$1:$L$1,1)+1,FALSE)),"")</f>
        <v/>
      </c>
      <c r="BB402" s="101" t="str">
        <f>IFERROR(('BMP P Tracking Table'!$AZ402-INDEX('Performance Curves'!$E$1:$L$1,1,MATCH('BMP P Tracking Table'!$AZ402,'Performance Curves'!$E$1:$L$1,1)))/(INDEX('Performance Curves'!$E$1:$L$1,1,MATCH('BMP P Tracking Table'!$AZ402,'Performance Curves'!$E$1:$L$1,1)+1)-INDEX('Performance Curves'!$E$1:$L$1,1,MATCH('BMP P Tracking Table'!$AZ402,'Performance Curves'!$E$1:$L$1,1))),"")</f>
        <v/>
      </c>
      <c r="BC402" s="102" t="str">
        <f>IFERROR(IF('BMP P Tracking Table'!$AZ402=2,VLOOKUP(CONCATENATE('BMP P Tracking Table'!$AV402," ",'BMP P Tracking Table'!$AX402),'Performance Curves'!$C$1:$L$44,MATCH('BMP P Tracking Table'!$AZ402,'Performance Curves'!$E$1:$L$1,1)+1,FALSE),'BMP P Tracking Table'!$BA402*'BMP P Tracking Table'!$BB402+VLOOKUP(CONCATENATE('BMP P Tracking Table'!$AV402," ",'BMP P Tracking Table'!$AX402),'Performance Curves'!$C$1:$L$44,MATCH('BMP P Tracking Table'!$AZ402,'Performance Curves'!$E$1:$L$1,1)+1,FALSE)),"")</f>
        <v/>
      </c>
      <c r="BD402" s="101" t="str">
        <f>IFERROR('BMP P Tracking Table'!$BC402*'BMP P Tracking Table'!$AY402,"")</f>
        <v/>
      </c>
      <c r="BE402" s="96"/>
      <c r="BF402" s="37">
        <f t="shared" si="23"/>
        <v>0</v>
      </c>
    </row>
    <row r="403" spans="1:58" x14ac:dyDescent="0.3">
      <c r="A403" s="64"/>
      <c r="B403" s="64"/>
      <c r="C403" s="64"/>
      <c r="D403" s="64"/>
      <c r="E403" s="93"/>
      <c r="F403" s="93"/>
      <c r="G403" s="64"/>
      <c r="H403" s="64"/>
      <c r="I403" s="64"/>
      <c r="J403" s="94"/>
      <c r="K403" s="64"/>
      <c r="L403" s="64"/>
      <c r="M403" s="64"/>
      <c r="N403" s="64"/>
      <c r="O403" s="64"/>
      <c r="P403" s="64"/>
      <c r="Q403" s="64" t="str">
        <f>IFERROR(VLOOKUP('BMP P Tracking Table'!$P403,Dropdowns!$C$2:$E$15,3,FALSE),"")</f>
        <v/>
      </c>
      <c r="R403" s="64" t="str">
        <f>IFERROR(VLOOKUP('BMP P Tracking Table'!$Q403,Dropdowns!$P$3:$Q$23,2,FALSE),"")</f>
        <v/>
      </c>
      <c r="S403" s="64"/>
      <c r="T403" s="64"/>
      <c r="U403" s="64"/>
      <c r="V403" s="64"/>
      <c r="W403" s="64"/>
      <c r="X403" s="64"/>
      <c r="Y403" s="64"/>
      <c r="Z403" s="64"/>
      <c r="AA403" s="64"/>
      <c r="AB403" s="95"/>
      <c r="AC403" s="64"/>
      <c r="AD403" s="101" t="str">
        <f>IFERROR('BMP P Tracking Table'!$U403*VLOOKUP('BMP P Tracking Table'!$Q403,'Loading Rates'!$B$1:$L$24,4,FALSE)+IF('BMP P Tracking Table'!$V403="By HSG",'BMP P Tracking Table'!$W403*VLOOKUP('BMP P Tracking Table'!$Q403,'Loading Rates'!$B$1:$L$24,6,FALSE)+'BMP P Tracking Table'!$X403*VLOOKUP('BMP P Tracking Table'!$Q403,'Loading Rates'!$B$1:$L$24,7,FALSE)+'BMP P Tracking Table'!$Y403*VLOOKUP('BMP P Tracking Table'!$Q403,'Loading Rates'!$B$1:$L$24,8,FALSE)+'BMP P Tracking Table'!$Z403*VLOOKUP('BMP P Tracking Table'!$Q403,'Loading Rates'!$B$1:$L$24,9,FALSE),'BMP P Tracking Table'!$AA403*VLOOKUP('BMP P Tracking Table'!$Q403,'Loading Rates'!$B$1:$L$24,10,FALSE)),"")</f>
        <v/>
      </c>
      <c r="AE403" s="101" t="str">
        <f>IFERROR(MIN(2,IF('BMP P Tracking Table'!$V403="Total Pervious",(-(3630*'BMP P Tracking Table'!$U403+20.691*'BMP P Tracking Table'!$AA403)+SQRT((3630*'BMP P Tracking Table'!$U403+20.691*'BMP P Tracking Table'!$AA403)^2-(4*(996.798*'BMP P Tracking Table'!$AA403)*-'BMP P Tracking Table'!$AB403)))/(2*(996.798*'BMP P Tracking Table'!$AA403)),IF(SUM('BMP P Tracking Table'!$W403:$Z403)=0,'BMP P Tracking Table'!$AB403/(-3630*'BMP P Tracking Table'!$U403),(-(3630*'BMP P Tracking Table'!$U403+20.691*'BMP P Tracking Table'!$Z403-216.711*'BMP P Tracking Table'!$Y403-83.853*'BMP P Tracking Table'!$X403-42.834*'BMP P Tracking Table'!$W403)+SQRT((3630*'BMP P Tracking Table'!$U403+20.691*'BMP P Tracking Table'!$Z403-216.711*'BMP P Tracking Table'!$Y403-83.853*'BMP P Tracking Table'!$X403-42.834*'BMP P Tracking Table'!$W403)^2-(4*(149.919*'BMP P Tracking Table'!$W403+236.676*'BMP P Tracking Table'!$X403+726*'BMP P Tracking Table'!$Y403+996.798*'BMP P Tracking Table'!$Z403)*-'BMP P Tracking Table'!$AB403)))/(2*(149.919*'BMP P Tracking Table'!$W403+236.676*'BMP P Tracking Table'!$X403+726*'BMP P Tracking Table'!$Y403+996.798*'BMP P Tracking Table'!$Z403))))),"")</f>
        <v/>
      </c>
      <c r="AF403" s="101" t="str">
        <f>IFERROR((VLOOKUP(CONCATENATE('BMP P Tracking Table'!$T403," ",'BMP P Tracking Table'!$AC403),'Performance Curves'!$C$1:$L$45,MATCH('BMP P Tracking Table'!$AE403,'Performance Curves'!$E$1:$L$1,1)+2,FALSE)-VLOOKUP(CONCATENATE('BMP P Tracking Table'!$T403," ",'BMP P Tracking Table'!$AC403),'Performance Curves'!$C$1:$L$45,MATCH('BMP P Tracking Table'!$AE403,'Performance Curves'!$E$1:$L$1,1)+1,FALSE)),"")</f>
        <v/>
      </c>
      <c r="AG403" s="101" t="str">
        <f>IFERROR(('BMP P Tracking Table'!$AE403-INDEX('Performance Curves'!$E$1:$L$1,1,MATCH('BMP P Tracking Table'!$AE403,'Performance Curves'!$E$1:$L$1,1)))/(INDEX('Performance Curves'!$E$1:$L$1,1,MATCH('BMP P Tracking Table'!$AE403,'Performance Curves'!$E$1:$L$1,1)+1)-INDEX('Performance Curves'!$E$1:$L$1,1,MATCH('BMP P Tracking Table'!$AE403,'Performance Curves'!$E$1:$L$1,1))),"")</f>
        <v/>
      </c>
      <c r="AH403" s="102" t="str">
        <f>IFERROR(IF('BMP P Tracking Table'!$AE403=2,VLOOKUP(CONCATENATE('BMP P Tracking Table'!$T403," ",'BMP P Tracking Table'!$AC403),'Performance Curves'!$C$1:$L$45,MATCH('BMP P Tracking Table'!$AE403,'Performance Curves'!$E$1:$L$1,1)+1,FALSE),'BMP P Tracking Table'!$AF403*'BMP P Tracking Table'!$AG403+VLOOKUP(CONCATENATE('BMP P Tracking Table'!$T403," ",'BMP P Tracking Table'!$AC403),'Performance Curves'!$C$1:$L$45,MATCH('BMP P Tracking Table'!$AE403,'Performance Curves'!$E$1:$L$1,1)+1,FALSE)),"")</f>
        <v/>
      </c>
      <c r="AI403" s="101" t="str">
        <f>IFERROR('BMP P Tracking Table'!$AH403*'BMP P Tracking Table'!$AD403,"")</f>
        <v/>
      </c>
      <c r="AJ403" s="64"/>
      <c r="AK403" s="96"/>
      <c r="AL403" s="96"/>
      <c r="AM403" s="63"/>
      <c r="AN403" s="99" t="str">
        <f t="shared" si="22"/>
        <v/>
      </c>
      <c r="AO403" s="96"/>
      <c r="AP403" s="96"/>
      <c r="AQ403" s="96"/>
      <c r="AR403" s="96"/>
      <c r="AS403" s="96"/>
      <c r="AT403" s="96"/>
      <c r="AU403" s="96"/>
      <c r="AV403" s="64"/>
      <c r="AW403" s="97"/>
      <c r="AX403" s="97"/>
      <c r="AY403" s="101" t="str">
        <f>IF('BMP P Tracking Table'!$AK403="Yes",IF('BMP P Tracking Table'!$AL403="No",'BMP P Tracking Table'!$U403*VLOOKUP('BMP P Tracking Table'!$Q403,'Loading Rates'!$B$1:$L$24,4,FALSE)+IF('BMP P Tracking Table'!$V403="By HSG",'BMP P Tracking Table'!$W403*VLOOKUP('BMP P Tracking Table'!$Q403,'Loading Rates'!$B$1:$L$24,6,FALSE)+'BMP P Tracking Table'!$X403*VLOOKUP('BMP P Tracking Table'!$Q403,'Loading Rates'!$B$1:$L$24,7,FALSE)+'BMP P Tracking Table'!$Y403*VLOOKUP('BMP P Tracking Table'!$Q403,'Loading Rates'!$B$1:$L$24,8,FALSE)+'BMP P Tracking Table'!$Z403*VLOOKUP('BMP P Tracking Table'!$Q403,'Loading Rates'!$B$1:$L$24,9,FALSE),'BMP P Tracking Table'!$AA403*VLOOKUP('BMP P Tracking Table'!$Q403,'Loading Rates'!$B$1:$L$24,10,FALSE)),'BMP P Tracking Table'!$AO403*VLOOKUP('BMP P Tracking Table'!$Q403,'Loading Rates'!$B$1:$L$24,4,FALSE)+IF('BMP P Tracking Table'!$AP403="By HSG",'BMP P Tracking Table'!$AQ403*VLOOKUP('BMP P Tracking Table'!$Q403,'Loading Rates'!$B$1:$L$24,6,FALSE)+'BMP P Tracking Table'!$AR403*VLOOKUP('BMP P Tracking Table'!$Q403,'Loading Rates'!$B$1:$L$24,7,FALSE)+'BMP P Tracking Table'!$AS403*VLOOKUP('BMP P Tracking Table'!$Q403,'Loading Rates'!$B$1:$L$24,8,FALSE)+'BMP P Tracking Table'!$AT403*VLOOKUP('BMP P Tracking Table'!$Q403,'Loading Rates'!$B$1:$L$24,9,FALSE),'BMP P Tracking Table'!$AU403*VLOOKUP('BMP P Tracking Table'!$Q403,'Loading Rates'!$B$1:$L$24,10,FALSE))),"")</f>
        <v/>
      </c>
      <c r="AZ403" s="101" t="str">
        <f>IFERROR(IF('BMP P Tracking Table'!$AL403="Yes",MIN(2,IF('BMP P Tracking Table'!$AP403="Total Pervious",(-(3630*'BMP P Tracking Table'!$AO403+20.691*'BMP P Tracking Table'!$AU403)+SQRT((3630*'BMP P Tracking Table'!$AO403+20.691*'BMP P Tracking Table'!$AU403)^2-(4*(996.798*'BMP P Tracking Table'!$AU403)*-'BMP P Tracking Table'!$AW403)))/(2*(996.798*'BMP P Tracking Table'!$AU403)),IF(SUM('BMP P Tracking Table'!$AQ403:$AT403)=0,'BMP P Tracking Table'!$AU403/(-3630*'BMP P Tracking Table'!$AO403),(-(3630*'BMP P Tracking Table'!$AO403+20.691*'BMP P Tracking Table'!$AT403-216.711*'BMP P Tracking Table'!$AS403-83.853*'BMP P Tracking Table'!$AR403-42.834*'BMP P Tracking Table'!$AQ403)+SQRT((3630*'BMP P Tracking Table'!$AO403+20.691*'BMP P Tracking Table'!$AT403-216.711*'BMP P Tracking Table'!$AS403-83.853*'BMP P Tracking Table'!$AR403-42.834*'BMP P Tracking Table'!$AQ403)^2-(4*(149.919*'BMP P Tracking Table'!$AQ403+236.676*'BMP P Tracking Table'!$AR403+726*'BMP P Tracking Table'!$AS403+996.798*'BMP P Tracking Table'!$AT403)*-'BMP P Tracking Table'!$AW403)))/(2*(149.919*'BMP P Tracking Table'!$AQ403+236.676*'BMP P Tracking Table'!$AR403+726*'BMP P Tracking Table'!$AS403+996.798*'BMP P Tracking Table'!$AT403))))),MIN(2,IF('BMP P Tracking Table'!$AP403="Total Pervious",(-(3630*'BMP P Tracking Table'!$U403+20.691*'BMP P Tracking Table'!$AA403)+SQRT((3630*'BMP P Tracking Table'!$U403+20.691*'BMP P Tracking Table'!$AA403)^2-(4*(996.798*'BMP P Tracking Table'!$AA403)*-'BMP P Tracking Table'!$AW403)))/(2*(996.798*'BMP P Tracking Table'!$AA403)),IF(SUM('BMP P Tracking Table'!$W403:$Z403)=0,'BMP P Tracking Table'!$AW403/(-3630*'BMP P Tracking Table'!$U403),(-(3630*'BMP P Tracking Table'!$U403+20.691*'BMP P Tracking Table'!$Z403-216.711*'BMP P Tracking Table'!$Y403-83.853*'BMP P Tracking Table'!$X403-42.834*'BMP P Tracking Table'!$W403)+SQRT((3630*'BMP P Tracking Table'!$U403+20.691*'BMP P Tracking Table'!$Z403-216.711*'BMP P Tracking Table'!$Y403-83.853*'BMP P Tracking Table'!$X403-42.834*'BMP P Tracking Table'!$W403)^2-(4*(149.919*'BMP P Tracking Table'!$W403+236.676*'BMP P Tracking Table'!$X403+726*'BMP P Tracking Table'!$Y403+996.798*'BMP P Tracking Table'!$Z403)*-'BMP P Tracking Table'!$AW403)))/(2*(149.919*'BMP P Tracking Table'!$W403+236.676*'BMP P Tracking Table'!$X403+726*'BMP P Tracking Table'!$Y403+996.798*'BMP P Tracking Table'!$Z403)))))),"")</f>
        <v/>
      </c>
      <c r="BA403" s="101" t="str">
        <f>IFERROR((VLOOKUP(CONCATENATE('BMP P Tracking Table'!$AV403," ",'BMP P Tracking Table'!$AX403),'Performance Curves'!$C$1:$L$45,MATCH('BMP P Tracking Table'!$AZ403,'Performance Curves'!$E$1:$L$1,1)+2,FALSE)-VLOOKUP(CONCATENATE('BMP P Tracking Table'!$AV403," ",'BMP P Tracking Table'!$AX403),'Performance Curves'!$C$1:$L$45,MATCH('BMP P Tracking Table'!$AZ403,'Performance Curves'!$E$1:$L$1,1)+1,FALSE)),"")</f>
        <v/>
      </c>
      <c r="BB403" s="101" t="str">
        <f>IFERROR(('BMP P Tracking Table'!$AZ403-INDEX('Performance Curves'!$E$1:$L$1,1,MATCH('BMP P Tracking Table'!$AZ403,'Performance Curves'!$E$1:$L$1,1)))/(INDEX('Performance Curves'!$E$1:$L$1,1,MATCH('BMP P Tracking Table'!$AZ403,'Performance Curves'!$E$1:$L$1,1)+1)-INDEX('Performance Curves'!$E$1:$L$1,1,MATCH('BMP P Tracking Table'!$AZ403,'Performance Curves'!$E$1:$L$1,1))),"")</f>
        <v/>
      </c>
      <c r="BC403" s="102" t="str">
        <f>IFERROR(IF('BMP P Tracking Table'!$AZ403=2,VLOOKUP(CONCATENATE('BMP P Tracking Table'!$AV403," ",'BMP P Tracking Table'!$AX403),'Performance Curves'!$C$1:$L$44,MATCH('BMP P Tracking Table'!$AZ403,'Performance Curves'!$E$1:$L$1,1)+1,FALSE),'BMP P Tracking Table'!$BA403*'BMP P Tracking Table'!$BB403+VLOOKUP(CONCATENATE('BMP P Tracking Table'!$AV403," ",'BMP P Tracking Table'!$AX403),'Performance Curves'!$C$1:$L$44,MATCH('BMP P Tracking Table'!$AZ403,'Performance Curves'!$E$1:$L$1,1)+1,FALSE)),"")</f>
        <v/>
      </c>
      <c r="BD403" s="101" t="str">
        <f>IFERROR('BMP P Tracking Table'!$BC403*'BMP P Tracking Table'!$AY403,"")</f>
        <v/>
      </c>
      <c r="BE403" s="96"/>
      <c r="BF403" s="37">
        <f t="shared" si="23"/>
        <v>0</v>
      </c>
    </row>
    <row r="404" spans="1:58" x14ac:dyDescent="0.3">
      <c r="A404" s="64"/>
      <c r="B404" s="64"/>
      <c r="C404" s="64"/>
      <c r="D404" s="64"/>
      <c r="E404" s="93"/>
      <c r="F404" s="93"/>
      <c r="G404" s="64"/>
      <c r="H404" s="64"/>
      <c r="I404" s="64"/>
      <c r="J404" s="94"/>
      <c r="K404" s="64"/>
      <c r="L404" s="64"/>
      <c r="M404" s="64"/>
      <c r="N404" s="64"/>
      <c r="O404" s="64"/>
      <c r="P404" s="64"/>
      <c r="Q404" s="64" t="str">
        <f>IFERROR(VLOOKUP('BMP P Tracking Table'!$P404,Dropdowns!$C$2:$E$15,3,FALSE),"")</f>
        <v/>
      </c>
      <c r="R404" s="64" t="str">
        <f>IFERROR(VLOOKUP('BMP P Tracking Table'!$Q404,Dropdowns!$P$3:$Q$23,2,FALSE),"")</f>
        <v/>
      </c>
      <c r="S404" s="64"/>
      <c r="T404" s="64"/>
      <c r="U404" s="64"/>
      <c r="V404" s="64"/>
      <c r="W404" s="64"/>
      <c r="X404" s="64"/>
      <c r="Y404" s="64"/>
      <c r="Z404" s="64"/>
      <c r="AA404" s="64"/>
      <c r="AB404" s="95"/>
      <c r="AC404" s="64"/>
      <c r="AD404" s="101" t="str">
        <f>IFERROR('BMP P Tracking Table'!$U404*VLOOKUP('BMP P Tracking Table'!$Q404,'Loading Rates'!$B$1:$L$24,4,FALSE)+IF('BMP P Tracking Table'!$V404="By HSG",'BMP P Tracking Table'!$W404*VLOOKUP('BMP P Tracking Table'!$Q404,'Loading Rates'!$B$1:$L$24,6,FALSE)+'BMP P Tracking Table'!$X404*VLOOKUP('BMP P Tracking Table'!$Q404,'Loading Rates'!$B$1:$L$24,7,FALSE)+'BMP P Tracking Table'!$Y404*VLOOKUP('BMP P Tracking Table'!$Q404,'Loading Rates'!$B$1:$L$24,8,FALSE)+'BMP P Tracking Table'!$Z404*VLOOKUP('BMP P Tracking Table'!$Q404,'Loading Rates'!$B$1:$L$24,9,FALSE),'BMP P Tracking Table'!$AA404*VLOOKUP('BMP P Tracking Table'!$Q404,'Loading Rates'!$B$1:$L$24,10,FALSE)),"")</f>
        <v/>
      </c>
      <c r="AE404" s="101" t="str">
        <f>IFERROR(MIN(2,IF('BMP P Tracking Table'!$V404="Total Pervious",(-(3630*'BMP P Tracking Table'!$U404+20.691*'BMP P Tracking Table'!$AA404)+SQRT((3630*'BMP P Tracking Table'!$U404+20.691*'BMP P Tracking Table'!$AA404)^2-(4*(996.798*'BMP P Tracking Table'!$AA404)*-'BMP P Tracking Table'!$AB404)))/(2*(996.798*'BMP P Tracking Table'!$AA404)),IF(SUM('BMP P Tracking Table'!$W404:$Z404)=0,'BMP P Tracking Table'!$AB404/(-3630*'BMP P Tracking Table'!$U404),(-(3630*'BMP P Tracking Table'!$U404+20.691*'BMP P Tracking Table'!$Z404-216.711*'BMP P Tracking Table'!$Y404-83.853*'BMP P Tracking Table'!$X404-42.834*'BMP P Tracking Table'!$W404)+SQRT((3630*'BMP P Tracking Table'!$U404+20.691*'BMP P Tracking Table'!$Z404-216.711*'BMP P Tracking Table'!$Y404-83.853*'BMP P Tracking Table'!$X404-42.834*'BMP P Tracking Table'!$W404)^2-(4*(149.919*'BMP P Tracking Table'!$W404+236.676*'BMP P Tracking Table'!$X404+726*'BMP P Tracking Table'!$Y404+996.798*'BMP P Tracking Table'!$Z404)*-'BMP P Tracking Table'!$AB404)))/(2*(149.919*'BMP P Tracking Table'!$W404+236.676*'BMP P Tracking Table'!$X404+726*'BMP P Tracking Table'!$Y404+996.798*'BMP P Tracking Table'!$Z404))))),"")</f>
        <v/>
      </c>
      <c r="AF404" s="101" t="str">
        <f>IFERROR((VLOOKUP(CONCATENATE('BMP P Tracking Table'!$T404," ",'BMP P Tracking Table'!$AC404),'Performance Curves'!$C$1:$L$45,MATCH('BMP P Tracking Table'!$AE404,'Performance Curves'!$E$1:$L$1,1)+2,FALSE)-VLOOKUP(CONCATENATE('BMP P Tracking Table'!$T404," ",'BMP P Tracking Table'!$AC404),'Performance Curves'!$C$1:$L$45,MATCH('BMP P Tracking Table'!$AE404,'Performance Curves'!$E$1:$L$1,1)+1,FALSE)),"")</f>
        <v/>
      </c>
      <c r="AG404" s="101" t="str">
        <f>IFERROR(('BMP P Tracking Table'!$AE404-INDEX('Performance Curves'!$E$1:$L$1,1,MATCH('BMP P Tracking Table'!$AE404,'Performance Curves'!$E$1:$L$1,1)))/(INDEX('Performance Curves'!$E$1:$L$1,1,MATCH('BMP P Tracking Table'!$AE404,'Performance Curves'!$E$1:$L$1,1)+1)-INDEX('Performance Curves'!$E$1:$L$1,1,MATCH('BMP P Tracking Table'!$AE404,'Performance Curves'!$E$1:$L$1,1))),"")</f>
        <v/>
      </c>
      <c r="AH404" s="102" t="str">
        <f>IFERROR(IF('BMP P Tracking Table'!$AE404=2,VLOOKUP(CONCATENATE('BMP P Tracking Table'!$T404," ",'BMP P Tracking Table'!$AC404),'Performance Curves'!$C$1:$L$45,MATCH('BMP P Tracking Table'!$AE404,'Performance Curves'!$E$1:$L$1,1)+1,FALSE),'BMP P Tracking Table'!$AF404*'BMP P Tracking Table'!$AG404+VLOOKUP(CONCATENATE('BMP P Tracking Table'!$T404," ",'BMP P Tracking Table'!$AC404),'Performance Curves'!$C$1:$L$45,MATCH('BMP P Tracking Table'!$AE404,'Performance Curves'!$E$1:$L$1,1)+1,FALSE)),"")</f>
        <v/>
      </c>
      <c r="AI404" s="101" t="str">
        <f>IFERROR('BMP P Tracking Table'!$AH404*'BMP P Tracking Table'!$AD404,"")</f>
        <v/>
      </c>
      <c r="AJ404" s="64"/>
      <c r="AK404" s="96"/>
      <c r="AL404" s="96"/>
      <c r="AM404" s="63"/>
      <c r="AN404" s="99" t="str">
        <f t="shared" si="22"/>
        <v/>
      </c>
      <c r="AO404" s="96"/>
      <c r="AP404" s="96"/>
      <c r="AQ404" s="96"/>
      <c r="AR404" s="96"/>
      <c r="AS404" s="96"/>
      <c r="AT404" s="96"/>
      <c r="AU404" s="96"/>
      <c r="AV404" s="64"/>
      <c r="AW404" s="97"/>
      <c r="AX404" s="97"/>
      <c r="AY404" s="101" t="str">
        <f>IF('BMP P Tracking Table'!$AK404="Yes",IF('BMP P Tracking Table'!$AL404="No",'BMP P Tracking Table'!$U404*VLOOKUP('BMP P Tracking Table'!$Q404,'Loading Rates'!$B$1:$L$24,4,FALSE)+IF('BMP P Tracking Table'!$V404="By HSG",'BMP P Tracking Table'!$W404*VLOOKUP('BMP P Tracking Table'!$Q404,'Loading Rates'!$B$1:$L$24,6,FALSE)+'BMP P Tracking Table'!$X404*VLOOKUP('BMP P Tracking Table'!$Q404,'Loading Rates'!$B$1:$L$24,7,FALSE)+'BMP P Tracking Table'!$Y404*VLOOKUP('BMP P Tracking Table'!$Q404,'Loading Rates'!$B$1:$L$24,8,FALSE)+'BMP P Tracking Table'!$Z404*VLOOKUP('BMP P Tracking Table'!$Q404,'Loading Rates'!$B$1:$L$24,9,FALSE),'BMP P Tracking Table'!$AA404*VLOOKUP('BMP P Tracking Table'!$Q404,'Loading Rates'!$B$1:$L$24,10,FALSE)),'BMP P Tracking Table'!$AO404*VLOOKUP('BMP P Tracking Table'!$Q404,'Loading Rates'!$B$1:$L$24,4,FALSE)+IF('BMP P Tracking Table'!$AP404="By HSG",'BMP P Tracking Table'!$AQ404*VLOOKUP('BMP P Tracking Table'!$Q404,'Loading Rates'!$B$1:$L$24,6,FALSE)+'BMP P Tracking Table'!$AR404*VLOOKUP('BMP P Tracking Table'!$Q404,'Loading Rates'!$B$1:$L$24,7,FALSE)+'BMP P Tracking Table'!$AS404*VLOOKUP('BMP P Tracking Table'!$Q404,'Loading Rates'!$B$1:$L$24,8,FALSE)+'BMP P Tracking Table'!$AT404*VLOOKUP('BMP P Tracking Table'!$Q404,'Loading Rates'!$B$1:$L$24,9,FALSE),'BMP P Tracking Table'!$AU404*VLOOKUP('BMP P Tracking Table'!$Q404,'Loading Rates'!$B$1:$L$24,10,FALSE))),"")</f>
        <v/>
      </c>
      <c r="AZ404" s="101" t="str">
        <f>IFERROR(IF('BMP P Tracking Table'!$AL404="Yes",MIN(2,IF('BMP P Tracking Table'!$AP404="Total Pervious",(-(3630*'BMP P Tracking Table'!$AO404+20.691*'BMP P Tracking Table'!$AU404)+SQRT((3630*'BMP P Tracking Table'!$AO404+20.691*'BMP P Tracking Table'!$AU404)^2-(4*(996.798*'BMP P Tracking Table'!$AU404)*-'BMP P Tracking Table'!$AW404)))/(2*(996.798*'BMP P Tracking Table'!$AU404)),IF(SUM('BMP P Tracking Table'!$AQ404:$AT404)=0,'BMP P Tracking Table'!$AU404/(-3630*'BMP P Tracking Table'!$AO404),(-(3630*'BMP P Tracking Table'!$AO404+20.691*'BMP P Tracking Table'!$AT404-216.711*'BMP P Tracking Table'!$AS404-83.853*'BMP P Tracking Table'!$AR404-42.834*'BMP P Tracking Table'!$AQ404)+SQRT((3630*'BMP P Tracking Table'!$AO404+20.691*'BMP P Tracking Table'!$AT404-216.711*'BMP P Tracking Table'!$AS404-83.853*'BMP P Tracking Table'!$AR404-42.834*'BMP P Tracking Table'!$AQ404)^2-(4*(149.919*'BMP P Tracking Table'!$AQ404+236.676*'BMP P Tracking Table'!$AR404+726*'BMP P Tracking Table'!$AS404+996.798*'BMP P Tracking Table'!$AT404)*-'BMP P Tracking Table'!$AW404)))/(2*(149.919*'BMP P Tracking Table'!$AQ404+236.676*'BMP P Tracking Table'!$AR404+726*'BMP P Tracking Table'!$AS404+996.798*'BMP P Tracking Table'!$AT404))))),MIN(2,IF('BMP P Tracking Table'!$AP404="Total Pervious",(-(3630*'BMP P Tracking Table'!$U404+20.691*'BMP P Tracking Table'!$AA404)+SQRT((3630*'BMP P Tracking Table'!$U404+20.691*'BMP P Tracking Table'!$AA404)^2-(4*(996.798*'BMP P Tracking Table'!$AA404)*-'BMP P Tracking Table'!$AW404)))/(2*(996.798*'BMP P Tracking Table'!$AA404)),IF(SUM('BMP P Tracking Table'!$W404:$Z404)=0,'BMP P Tracking Table'!$AW404/(-3630*'BMP P Tracking Table'!$U404),(-(3630*'BMP P Tracking Table'!$U404+20.691*'BMP P Tracking Table'!$Z404-216.711*'BMP P Tracking Table'!$Y404-83.853*'BMP P Tracking Table'!$X404-42.834*'BMP P Tracking Table'!$W404)+SQRT((3630*'BMP P Tracking Table'!$U404+20.691*'BMP P Tracking Table'!$Z404-216.711*'BMP P Tracking Table'!$Y404-83.853*'BMP P Tracking Table'!$X404-42.834*'BMP P Tracking Table'!$W404)^2-(4*(149.919*'BMP P Tracking Table'!$W404+236.676*'BMP P Tracking Table'!$X404+726*'BMP P Tracking Table'!$Y404+996.798*'BMP P Tracking Table'!$Z404)*-'BMP P Tracking Table'!$AW404)))/(2*(149.919*'BMP P Tracking Table'!$W404+236.676*'BMP P Tracking Table'!$X404+726*'BMP P Tracking Table'!$Y404+996.798*'BMP P Tracking Table'!$Z404)))))),"")</f>
        <v/>
      </c>
      <c r="BA404" s="101" t="str">
        <f>IFERROR((VLOOKUP(CONCATENATE('BMP P Tracking Table'!$AV404," ",'BMP P Tracking Table'!$AX404),'Performance Curves'!$C$1:$L$45,MATCH('BMP P Tracking Table'!$AZ404,'Performance Curves'!$E$1:$L$1,1)+2,FALSE)-VLOOKUP(CONCATENATE('BMP P Tracking Table'!$AV404," ",'BMP P Tracking Table'!$AX404),'Performance Curves'!$C$1:$L$45,MATCH('BMP P Tracking Table'!$AZ404,'Performance Curves'!$E$1:$L$1,1)+1,FALSE)),"")</f>
        <v/>
      </c>
      <c r="BB404" s="101" t="str">
        <f>IFERROR(('BMP P Tracking Table'!$AZ404-INDEX('Performance Curves'!$E$1:$L$1,1,MATCH('BMP P Tracking Table'!$AZ404,'Performance Curves'!$E$1:$L$1,1)))/(INDEX('Performance Curves'!$E$1:$L$1,1,MATCH('BMP P Tracking Table'!$AZ404,'Performance Curves'!$E$1:$L$1,1)+1)-INDEX('Performance Curves'!$E$1:$L$1,1,MATCH('BMP P Tracking Table'!$AZ404,'Performance Curves'!$E$1:$L$1,1))),"")</f>
        <v/>
      </c>
      <c r="BC404" s="102" t="str">
        <f>IFERROR(IF('BMP P Tracking Table'!$AZ404=2,VLOOKUP(CONCATENATE('BMP P Tracking Table'!$AV404," ",'BMP P Tracking Table'!$AX404),'Performance Curves'!$C$1:$L$44,MATCH('BMP P Tracking Table'!$AZ404,'Performance Curves'!$E$1:$L$1,1)+1,FALSE),'BMP P Tracking Table'!$BA404*'BMP P Tracking Table'!$BB404+VLOOKUP(CONCATENATE('BMP P Tracking Table'!$AV404," ",'BMP P Tracking Table'!$AX404),'Performance Curves'!$C$1:$L$44,MATCH('BMP P Tracking Table'!$AZ404,'Performance Curves'!$E$1:$L$1,1)+1,FALSE)),"")</f>
        <v/>
      </c>
      <c r="BD404" s="101" t="str">
        <f>IFERROR('BMP P Tracking Table'!$BC404*'BMP P Tracking Table'!$AY404,"")</f>
        <v/>
      </c>
      <c r="BE404" s="96"/>
      <c r="BF404" s="37">
        <f t="shared" si="23"/>
        <v>0</v>
      </c>
    </row>
    <row r="405" spans="1:58" x14ac:dyDescent="0.3">
      <c r="A405" s="64"/>
      <c r="B405" s="64"/>
      <c r="C405" s="64"/>
      <c r="D405" s="64"/>
      <c r="E405" s="93"/>
      <c r="F405" s="93"/>
      <c r="G405" s="64"/>
      <c r="H405" s="64"/>
      <c r="I405" s="64"/>
      <c r="J405" s="94"/>
      <c r="K405" s="64"/>
      <c r="L405" s="64"/>
      <c r="M405" s="64"/>
      <c r="N405" s="64"/>
      <c r="O405" s="64"/>
      <c r="P405" s="64"/>
      <c r="Q405" s="64" t="str">
        <f>IFERROR(VLOOKUP('BMP P Tracking Table'!$P405,Dropdowns!$C$2:$E$15,3,FALSE),"")</f>
        <v/>
      </c>
      <c r="R405" s="64" t="str">
        <f>IFERROR(VLOOKUP('BMP P Tracking Table'!$Q405,Dropdowns!$P$3:$Q$23,2,FALSE),"")</f>
        <v/>
      </c>
      <c r="S405" s="64"/>
      <c r="T405" s="64"/>
      <c r="U405" s="64"/>
      <c r="V405" s="64"/>
      <c r="W405" s="64"/>
      <c r="X405" s="64"/>
      <c r="Y405" s="64"/>
      <c r="Z405" s="64"/>
      <c r="AA405" s="64"/>
      <c r="AB405" s="95"/>
      <c r="AC405" s="64"/>
      <c r="AD405" s="101" t="str">
        <f>IFERROR('BMP P Tracking Table'!$U405*VLOOKUP('BMP P Tracking Table'!$Q405,'Loading Rates'!$B$1:$L$24,4,FALSE)+IF('BMP P Tracking Table'!$V405="By HSG",'BMP P Tracking Table'!$W405*VLOOKUP('BMP P Tracking Table'!$Q405,'Loading Rates'!$B$1:$L$24,6,FALSE)+'BMP P Tracking Table'!$X405*VLOOKUP('BMP P Tracking Table'!$Q405,'Loading Rates'!$B$1:$L$24,7,FALSE)+'BMP P Tracking Table'!$Y405*VLOOKUP('BMP P Tracking Table'!$Q405,'Loading Rates'!$B$1:$L$24,8,FALSE)+'BMP P Tracking Table'!$Z405*VLOOKUP('BMP P Tracking Table'!$Q405,'Loading Rates'!$B$1:$L$24,9,FALSE),'BMP P Tracking Table'!$AA405*VLOOKUP('BMP P Tracking Table'!$Q405,'Loading Rates'!$B$1:$L$24,10,FALSE)),"")</f>
        <v/>
      </c>
      <c r="AE405" s="101" t="str">
        <f>IFERROR(MIN(2,IF('BMP P Tracking Table'!$V405="Total Pervious",(-(3630*'BMP P Tracking Table'!$U405+20.691*'BMP P Tracking Table'!$AA405)+SQRT((3630*'BMP P Tracking Table'!$U405+20.691*'BMP P Tracking Table'!$AA405)^2-(4*(996.798*'BMP P Tracking Table'!$AA405)*-'BMP P Tracking Table'!$AB405)))/(2*(996.798*'BMP P Tracking Table'!$AA405)),IF(SUM('BMP P Tracking Table'!$W405:$Z405)=0,'BMP P Tracking Table'!$AB405/(-3630*'BMP P Tracking Table'!$U405),(-(3630*'BMP P Tracking Table'!$U405+20.691*'BMP P Tracking Table'!$Z405-216.711*'BMP P Tracking Table'!$Y405-83.853*'BMP P Tracking Table'!$X405-42.834*'BMP P Tracking Table'!$W405)+SQRT((3630*'BMP P Tracking Table'!$U405+20.691*'BMP P Tracking Table'!$Z405-216.711*'BMP P Tracking Table'!$Y405-83.853*'BMP P Tracking Table'!$X405-42.834*'BMP P Tracking Table'!$W405)^2-(4*(149.919*'BMP P Tracking Table'!$W405+236.676*'BMP P Tracking Table'!$X405+726*'BMP P Tracking Table'!$Y405+996.798*'BMP P Tracking Table'!$Z405)*-'BMP P Tracking Table'!$AB405)))/(2*(149.919*'BMP P Tracking Table'!$W405+236.676*'BMP P Tracking Table'!$X405+726*'BMP P Tracking Table'!$Y405+996.798*'BMP P Tracking Table'!$Z405))))),"")</f>
        <v/>
      </c>
      <c r="AF405" s="101" t="str">
        <f>IFERROR((VLOOKUP(CONCATENATE('BMP P Tracking Table'!$T405," ",'BMP P Tracking Table'!$AC405),'Performance Curves'!$C$1:$L$45,MATCH('BMP P Tracking Table'!$AE405,'Performance Curves'!$E$1:$L$1,1)+2,FALSE)-VLOOKUP(CONCATENATE('BMP P Tracking Table'!$T405," ",'BMP P Tracking Table'!$AC405),'Performance Curves'!$C$1:$L$45,MATCH('BMP P Tracking Table'!$AE405,'Performance Curves'!$E$1:$L$1,1)+1,FALSE)),"")</f>
        <v/>
      </c>
      <c r="AG405" s="101" t="str">
        <f>IFERROR(('BMP P Tracking Table'!$AE405-INDEX('Performance Curves'!$E$1:$L$1,1,MATCH('BMP P Tracking Table'!$AE405,'Performance Curves'!$E$1:$L$1,1)))/(INDEX('Performance Curves'!$E$1:$L$1,1,MATCH('BMP P Tracking Table'!$AE405,'Performance Curves'!$E$1:$L$1,1)+1)-INDEX('Performance Curves'!$E$1:$L$1,1,MATCH('BMP P Tracking Table'!$AE405,'Performance Curves'!$E$1:$L$1,1))),"")</f>
        <v/>
      </c>
      <c r="AH405" s="102" t="str">
        <f>IFERROR(IF('BMP P Tracking Table'!$AE405=2,VLOOKUP(CONCATENATE('BMP P Tracking Table'!$T405," ",'BMP P Tracking Table'!$AC405),'Performance Curves'!$C$1:$L$45,MATCH('BMP P Tracking Table'!$AE405,'Performance Curves'!$E$1:$L$1,1)+1,FALSE),'BMP P Tracking Table'!$AF405*'BMP P Tracking Table'!$AG405+VLOOKUP(CONCATENATE('BMP P Tracking Table'!$T405," ",'BMP P Tracking Table'!$AC405),'Performance Curves'!$C$1:$L$45,MATCH('BMP P Tracking Table'!$AE405,'Performance Curves'!$E$1:$L$1,1)+1,FALSE)),"")</f>
        <v/>
      </c>
      <c r="AI405" s="101" t="str">
        <f>IFERROR('BMP P Tracking Table'!$AH405*'BMP P Tracking Table'!$AD405,"")</f>
        <v/>
      </c>
      <c r="AJ405" s="64"/>
      <c r="AK405" s="96"/>
      <c r="AL405" s="96"/>
      <c r="AM405" s="63"/>
      <c r="AN405" s="99" t="str">
        <f t="shared" si="22"/>
        <v/>
      </c>
      <c r="AO405" s="96"/>
      <c r="AP405" s="96"/>
      <c r="AQ405" s="96"/>
      <c r="AR405" s="96"/>
      <c r="AS405" s="96"/>
      <c r="AT405" s="96"/>
      <c r="AU405" s="96"/>
      <c r="AV405" s="64"/>
      <c r="AW405" s="97"/>
      <c r="AX405" s="97"/>
      <c r="AY405" s="101" t="str">
        <f>IF('BMP P Tracking Table'!$AK405="Yes",IF('BMP P Tracking Table'!$AL405="No",'BMP P Tracking Table'!$U405*VLOOKUP('BMP P Tracking Table'!$Q405,'Loading Rates'!$B$1:$L$24,4,FALSE)+IF('BMP P Tracking Table'!$V405="By HSG",'BMP P Tracking Table'!$W405*VLOOKUP('BMP P Tracking Table'!$Q405,'Loading Rates'!$B$1:$L$24,6,FALSE)+'BMP P Tracking Table'!$X405*VLOOKUP('BMP P Tracking Table'!$Q405,'Loading Rates'!$B$1:$L$24,7,FALSE)+'BMP P Tracking Table'!$Y405*VLOOKUP('BMP P Tracking Table'!$Q405,'Loading Rates'!$B$1:$L$24,8,FALSE)+'BMP P Tracking Table'!$Z405*VLOOKUP('BMP P Tracking Table'!$Q405,'Loading Rates'!$B$1:$L$24,9,FALSE),'BMP P Tracking Table'!$AA405*VLOOKUP('BMP P Tracking Table'!$Q405,'Loading Rates'!$B$1:$L$24,10,FALSE)),'BMP P Tracking Table'!$AO405*VLOOKUP('BMP P Tracking Table'!$Q405,'Loading Rates'!$B$1:$L$24,4,FALSE)+IF('BMP P Tracking Table'!$AP405="By HSG",'BMP P Tracking Table'!$AQ405*VLOOKUP('BMP P Tracking Table'!$Q405,'Loading Rates'!$B$1:$L$24,6,FALSE)+'BMP P Tracking Table'!$AR405*VLOOKUP('BMP P Tracking Table'!$Q405,'Loading Rates'!$B$1:$L$24,7,FALSE)+'BMP P Tracking Table'!$AS405*VLOOKUP('BMP P Tracking Table'!$Q405,'Loading Rates'!$B$1:$L$24,8,FALSE)+'BMP P Tracking Table'!$AT405*VLOOKUP('BMP P Tracking Table'!$Q405,'Loading Rates'!$B$1:$L$24,9,FALSE),'BMP P Tracking Table'!$AU405*VLOOKUP('BMP P Tracking Table'!$Q405,'Loading Rates'!$B$1:$L$24,10,FALSE))),"")</f>
        <v/>
      </c>
      <c r="AZ405" s="101" t="str">
        <f>IFERROR(IF('BMP P Tracking Table'!$AL405="Yes",MIN(2,IF('BMP P Tracking Table'!$AP405="Total Pervious",(-(3630*'BMP P Tracking Table'!$AO405+20.691*'BMP P Tracking Table'!$AU405)+SQRT((3630*'BMP P Tracking Table'!$AO405+20.691*'BMP P Tracking Table'!$AU405)^2-(4*(996.798*'BMP P Tracking Table'!$AU405)*-'BMP P Tracking Table'!$AW405)))/(2*(996.798*'BMP P Tracking Table'!$AU405)),IF(SUM('BMP P Tracking Table'!$AQ405:$AT405)=0,'BMP P Tracking Table'!$AU405/(-3630*'BMP P Tracking Table'!$AO405),(-(3630*'BMP P Tracking Table'!$AO405+20.691*'BMP P Tracking Table'!$AT405-216.711*'BMP P Tracking Table'!$AS405-83.853*'BMP P Tracking Table'!$AR405-42.834*'BMP P Tracking Table'!$AQ405)+SQRT((3630*'BMP P Tracking Table'!$AO405+20.691*'BMP P Tracking Table'!$AT405-216.711*'BMP P Tracking Table'!$AS405-83.853*'BMP P Tracking Table'!$AR405-42.834*'BMP P Tracking Table'!$AQ405)^2-(4*(149.919*'BMP P Tracking Table'!$AQ405+236.676*'BMP P Tracking Table'!$AR405+726*'BMP P Tracking Table'!$AS405+996.798*'BMP P Tracking Table'!$AT405)*-'BMP P Tracking Table'!$AW405)))/(2*(149.919*'BMP P Tracking Table'!$AQ405+236.676*'BMP P Tracking Table'!$AR405+726*'BMP P Tracking Table'!$AS405+996.798*'BMP P Tracking Table'!$AT405))))),MIN(2,IF('BMP P Tracking Table'!$AP405="Total Pervious",(-(3630*'BMP P Tracking Table'!$U405+20.691*'BMP P Tracking Table'!$AA405)+SQRT((3630*'BMP P Tracking Table'!$U405+20.691*'BMP P Tracking Table'!$AA405)^2-(4*(996.798*'BMP P Tracking Table'!$AA405)*-'BMP P Tracking Table'!$AW405)))/(2*(996.798*'BMP P Tracking Table'!$AA405)),IF(SUM('BMP P Tracking Table'!$W405:$Z405)=0,'BMP P Tracking Table'!$AW405/(-3630*'BMP P Tracking Table'!$U405),(-(3630*'BMP P Tracking Table'!$U405+20.691*'BMP P Tracking Table'!$Z405-216.711*'BMP P Tracking Table'!$Y405-83.853*'BMP P Tracking Table'!$X405-42.834*'BMP P Tracking Table'!$W405)+SQRT((3630*'BMP P Tracking Table'!$U405+20.691*'BMP P Tracking Table'!$Z405-216.711*'BMP P Tracking Table'!$Y405-83.853*'BMP P Tracking Table'!$X405-42.834*'BMP P Tracking Table'!$W405)^2-(4*(149.919*'BMP P Tracking Table'!$W405+236.676*'BMP P Tracking Table'!$X405+726*'BMP P Tracking Table'!$Y405+996.798*'BMP P Tracking Table'!$Z405)*-'BMP P Tracking Table'!$AW405)))/(2*(149.919*'BMP P Tracking Table'!$W405+236.676*'BMP P Tracking Table'!$X405+726*'BMP P Tracking Table'!$Y405+996.798*'BMP P Tracking Table'!$Z405)))))),"")</f>
        <v/>
      </c>
      <c r="BA405" s="101" t="str">
        <f>IFERROR((VLOOKUP(CONCATENATE('BMP P Tracking Table'!$AV405," ",'BMP P Tracking Table'!$AX405),'Performance Curves'!$C$1:$L$45,MATCH('BMP P Tracking Table'!$AZ405,'Performance Curves'!$E$1:$L$1,1)+2,FALSE)-VLOOKUP(CONCATENATE('BMP P Tracking Table'!$AV405," ",'BMP P Tracking Table'!$AX405),'Performance Curves'!$C$1:$L$45,MATCH('BMP P Tracking Table'!$AZ405,'Performance Curves'!$E$1:$L$1,1)+1,FALSE)),"")</f>
        <v/>
      </c>
      <c r="BB405" s="101" t="str">
        <f>IFERROR(('BMP P Tracking Table'!$AZ405-INDEX('Performance Curves'!$E$1:$L$1,1,MATCH('BMP P Tracking Table'!$AZ405,'Performance Curves'!$E$1:$L$1,1)))/(INDEX('Performance Curves'!$E$1:$L$1,1,MATCH('BMP P Tracking Table'!$AZ405,'Performance Curves'!$E$1:$L$1,1)+1)-INDEX('Performance Curves'!$E$1:$L$1,1,MATCH('BMP P Tracking Table'!$AZ405,'Performance Curves'!$E$1:$L$1,1))),"")</f>
        <v/>
      </c>
      <c r="BC405" s="102" t="str">
        <f>IFERROR(IF('BMP P Tracking Table'!$AZ405=2,VLOOKUP(CONCATENATE('BMP P Tracking Table'!$AV405," ",'BMP P Tracking Table'!$AX405),'Performance Curves'!$C$1:$L$44,MATCH('BMP P Tracking Table'!$AZ405,'Performance Curves'!$E$1:$L$1,1)+1,FALSE),'BMP P Tracking Table'!$BA405*'BMP P Tracking Table'!$BB405+VLOOKUP(CONCATENATE('BMP P Tracking Table'!$AV405," ",'BMP P Tracking Table'!$AX405),'Performance Curves'!$C$1:$L$44,MATCH('BMP P Tracking Table'!$AZ405,'Performance Curves'!$E$1:$L$1,1)+1,FALSE)),"")</f>
        <v/>
      </c>
      <c r="BD405" s="101" t="str">
        <f>IFERROR('BMP P Tracking Table'!$BC405*'BMP P Tracking Table'!$AY405,"")</f>
        <v/>
      </c>
      <c r="BE405" s="96"/>
      <c r="BF405" s="37">
        <f t="shared" si="23"/>
        <v>0</v>
      </c>
    </row>
    <row r="406" spans="1:58" x14ac:dyDescent="0.3">
      <c r="A406" s="64"/>
      <c r="B406" s="64"/>
      <c r="C406" s="64"/>
      <c r="D406" s="64"/>
      <c r="E406" s="93"/>
      <c r="F406" s="93"/>
      <c r="G406" s="64"/>
      <c r="H406" s="64"/>
      <c r="I406" s="64"/>
      <c r="J406" s="94"/>
      <c r="K406" s="64"/>
      <c r="L406" s="64"/>
      <c r="M406" s="64"/>
      <c r="N406" s="64"/>
      <c r="O406" s="64"/>
      <c r="P406" s="64"/>
      <c r="Q406" s="64" t="str">
        <f>IFERROR(VLOOKUP('BMP P Tracking Table'!$P406,Dropdowns!$C$2:$E$15,3,FALSE),"")</f>
        <v/>
      </c>
      <c r="R406" s="64" t="str">
        <f>IFERROR(VLOOKUP('BMP P Tracking Table'!$Q406,Dropdowns!$P$3:$Q$23,2,FALSE),"")</f>
        <v/>
      </c>
      <c r="S406" s="64"/>
      <c r="T406" s="64"/>
      <c r="U406" s="64"/>
      <c r="V406" s="64"/>
      <c r="W406" s="64"/>
      <c r="X406" s="64"/>
      <c r="Y406" s="64"/>
      <c r="Z406" s="64"/>
      <c r="AA406" s="64"/>
      <c r="AB406" s="95"/>
      <c r="AC406" s="64"/>
      <c r="AD406" s="101" t="str">
        <f>IFERROR('BMP P Tracking Table'!$U406*VLOOKUP('BMP P Tracking Table'!$Q406,'Loading Rates'!$B$1:$L$24,4,FALSE)+IF('BMP P Tracking Table'!$V406="By HSG",'BMP P Tracking Table'!$W406*VLOOKUP('BMP P Tracking Table'!$Q406,'Loading Rates'!$B$1:$L$24,6,FALSE)+'BMP P Tracking Table'!$X406*VLOOKUP('BMP P Tracking Table'!$Q406,'Loading Rates'!$B$1:$L$24,7,FALSE)+'BMP P Tracking Table'!$Y406*VLOOKUP('BMP P Tracking Table'!$Q406,'Loading Rates'!$B$1:$L$24,8,FALSE)+'BMP P Tracking Table'!$Z406*VLOOKUP('BMP P Tracking Table'!$Q406,'Loading Rates'!$B$1:$L$24,9,FALSE),'BMP P Tracking Table'!$AA406*VLOOKUP('BMP P Tracking Table'!$Q406,'Loading Rates'!$B$1:$L$24,10,FALSE)),"")</f>
        <v/>
      </c>
      <c r="AE406" s="101" t="str">
        <f>IFERROR(MIN(2,IF('BMP P Tracking Table'!$V406="Total Pervious",(-(3630*'BMP P Tracking Table'!$U406+20.691*'BMP P Tracking Table'!$AA406)+SQRT((3630*'BMP P Tracking Table'!$U406+20.691*'BMP P Tracking Table'!$AA406)^2-(4*(996.798*'BMP P Tracking Table'!$AA406)*-'BMP P Tracking Table'!$AB406)))/(2*(996.798*'BMP P Tracking Table'!$AA406)),IF(SUM('BMP P Tracking Table'!$W406:$Z406)=0,'BMP P Tracking Table'!$AB406/(-3630*'BMP P Tracking Table'!$U406),(-(3630*'BMP P Tracking Table'!$U406+20.691*'BMP P Tracking Table'!$Z406-216.711*'BMP P Tracking Table'!$Y406-83.853*'BMP P Tracking Table'!$X406-42.834*'BMP P Tracking Table'!$W406)+SQRT((3630*'BMP P Tracking Table'!$U406+20.691*'BMP P Tracking Table'!$Z406-216.711*'BMP P Tracking Table'!$Y406-83.853*'BMP P Tracking Table'!$X406-42.834*'BMP P Tracking Table'!$W406)^2-(4*(149.919*'BMP P Tracking Table'!$W406+236.676*'BMP P Tracking Table'!$X406+726*'BMP P Tracking Table'!$Y406+996.798*'BMP P Tracking Table'!$Z406)*-'BMP P Tracking Table'!$AB406)))/(2*(149.919*'BMP P Tracking Table'!$W406+236.676*'BMP P Tracking Table'!$X406+726*'BMP P Tracking Table'!$Y406+996.798*'BMP P Tracking Table'!$Z406))))),"")</f>
        <v/>
      </c>
      <c r="AF406" s="101" t="str">
        <f>IFERROR((VLOOKUP(CONCATENATE('BMP P Tracking Table'!$T406," ",'BMP P Tracking Table'!$AC406),'Performance Curves'!$C$1:$L$45,MATCH('BMP P Tracking Table'!$AE406,'Performance Curves'!$E$1:$L$1,1)+2,FALSE)-VLOOKUP(CONCATENATE('BMP P Tracking Table'!$T406," ",'BMP P Tracking Table'!$AC406),'Performance Curves'!$C$1:$L$45,MATCH('BMP P Tracking Table'!$AE406,'Performance Curves'!$E$1:$L$1,1)+1,FALSE)),"")</f>
        <v/>
      </c>
      <c r="AG406" s="101" t="str">
        <f>IFERROR(('BMP P Tracking Table'!$AE406-INDEX('Performance Curves'!$E$1:$L$1,1,MATCH('BMP P Tracking Table'!$AE406,'Performance Curves'!$E$1:$L$1,1)))/(INDEX('Performance Curves'!$E$1:$L$1,1,MATCH('BMP P Tracking Table'!$AE406,'Performance Curves'!$E$1:$L$1,1)+1)-INDEX('Performance Curves'!$E$1:$L$1,1,MATCH('BMP P Tracking Table'!$AE406,'Performance Curves'!$E$1:$L$1,1))),"")</f>
        <v/>
      </c>
      <c r="AH406" s="102" t="str">
        <f>IFERROR(IF('BMP P Tracking Table'!$AE406=2,VLOOKUP(CONCATENATE('BMP P Tracking Table'!$T406," ",'BMP P Tracking Table'!$AC406),'Performance Curves'!$C$1:$L$45,MATCH('BMP P Tracking Table'!$AE406,'Performance Curves'!$E$1:$L$1,1)+1,FALSE),'BMP P Tracking Table'!$AF406*'BMP P Tracking Table'!$AG406+VLOOKUP(CONCATENATE('BMP P Tracking Table'!$T406," ",'BMP P Tracking Table'!$AC406),'Performance Curves'!$C$1:$L$45,MATCH('BMP P Tracking Table'!$AE406,'Performance Curves'!$E$1:$L$1,1)+1,FALSE)),"")</f>
        <v/>
      </c>
      <c r="AI406" s="101" t="str">
        <f>IFERROR('BMP P Tracking Table'!$AH406*'BMP P Tracking Table'!$AD406,"")</f>
        <v/>
      </c>
      <c r="AJ406" s="64"/>
      <c r="AK406" s="96"/>
      <c r="AL406" s="96"/>
      <c r="AM406" s="63"/>
      <c r="AN406" s="99" t="str">
        <f t="shared" si="22"/>
        <v/>
      </c>
      <c r="AO406" s="96"/>
      <c r="AP406" s="96"/>
      <c r="AQ406" s="96"/>
      <c r="AR406" s="96"/>
      <c r="AS406" s="96"/>
      <c r="AT406" s="96"/>
      <c r="AU406" s="96"/>
      <c r="AV406" s="64"/>
      <c r="AW406" s="97"/>
      <c r="AX406" s="97"/>
      <c r="AY406" s="101" t="str">
        <f>IF('BMP P Tracking Table'!$AK406="Yes",IF('BMP P Tracking Table'!$AL406="No",'BMP P Tracking Table'!$U406*VLOOKUP('BMP P Tracking Table'!$Q406,'Loading Rates'!$B$1:$L$24,4,FALSE)+IF('BMP P Tracking Table'!$V406="By HSG",'BMP P Tracking Table'!$W406*VLOOKUP('BMP P Tracking Table'!$Q406,'Loading Rates'!$B$1:$L$24,6,FALSE)+'BMP P Tracking Table'!$X406*VLOOKUP('BMP P Tracking Table'!$Q406,'Loading Rates'!$B$1:$L$24,7,FALSE)+'BMP P Tracking Table'!$Y406*VLOOKUP('BMP P Tracking Table'!$Q406,'Loading Rates'!$B$1:$L$24,8,FALSE)+'BMP P Tracking Table'!$Z406*VLOOKUP('BMP P Tracking Table'!$Q406,'Loading Rates'!$B$1:$L$24,9,FALSE),'BMP P Tracking Table'!$AA406*VLOOKUP('BMP P Tracking Table'!$Q406,'Loading Rates'!$B$1:$L$24,10,FALSE)),'BMP P Tracking Table'!$AO406*VLOOKUP('BMP P Tracking Table'!$Q406,'Loading Rates'!$B$1:$L$24,4,FALSE)+IF('BMP P Tracking Table'!$AP406="By HSG",'BMP P Tracking Table'!$AQ406*VLOOKUP('BMP P Tracking Table'!$Q406,'Loading Rates'!$B$1:$L$24,6,FALSE)+'BMP P Tracking Table'!$AR406*VLOOKUP('BMP P Tracking Table'!$Q406,'Loading Rates'!$B$1:$L$24,7,FALSE)+'BMP P Tracking Table'!$AS406*VLOOKUP('BMP P Tracking Table'!$Q406,'Loading Rates'!$B$1:$L$24,8,FALSE)+'BMP P Tracking Table'!$AT406*VLOOKUP('BMP P Tracking Table'!$Q406,'Loading Rates'!$B$1:$L$24,9,FALSE),'BMP P Tracking Table'!$AU406*VLOOKUP('BMP P Tracking Table'!$Q406,'Loading Rates'!$B$1:$L$24,10,FALSE))),"")</f>
        <v/>
      </c>
      <c r="AZ406" s="101" t="str">
        <f>IFERROR(IF('BMP P Tracking Table'!$AL406="Yes",MIN(2,IF('BMP P Tracking Table'!$AP406="Total Pervious",(-(3630*'BMP P Tracking Table'!$AO406+20.691*'BMP P Tracking Table'!$AU406)+SQRT((3630*'BMP P Tracking Table'!$AO406+20.691*'BMP P Tracking Table'!$AU406)^2-(4*(996.798*'BMP P Tracking Table'!$AU406)*-'BMP P Tracking Table'!$AW406)))/(2*(996.798*'BMP P Tracking Table'!$AU406)),IF(SUM('BMP P Tracking Table'!$AQ406:$AT406)=0,'BMP P Tracking Table'!$AU406/(-3630*'BMP P Tracking Table'!$AO406),(-(3630*'BMP P Tracking Table'!$AO406+20.691*'BMP P Tracking Table'!$AT406-216.711*'BMP P Tracking Table'!$AS406-83.853*'BMP P Tracking Table'!$AR406-42.834*'BMP P Tracking Table'!$AQ406)+SQRT((3630*'BMP P Tracking Table'!$AO406+20.691*'BMP P Tracking Table'!$AT406-216.711*'BMP P Tracking Table'!$AS406-83.853*'BMP P Tracking Table'!$AR406-42.834*'BMP P Tracking Table'!$AQ406)^2-(4*(149.919*'BMP P Tracking Table'!$AQ406+236.676*'BMP P Tracking Table'!$AR406+726*'BMP P Tracking Table'!$AS406+996.798*'BMP P Tracking Table'!$AT406)*-'BMP P Tracking Table'!$AW406)))/(2*(149.919*'BMP P Tracking Table'!$AQ406+236.676*'BMP P Tracking Table'!$AR406+726*'BMP P Tracking Table'!$AS406+996.798*'BMP P Tracking Table'!$AT406))))),MIN(2,IF('BMP P Tracking Table'!$AP406="Total Pervious",(-(3630*'BMP P Tracking Table'!$U406+20.691*'BMP P Tracking Table'!$AA406)+SQRT((3630*'BMP P Tracking Table'!$U406+20.691*'BMP P Tracking Table'!$AA406)^2-(4*(996.798*'BMP P Tracking Table'!$AA406)*-'BMP P Tracking Table'!$AW406)))/(2*(996.798*'BMP P Tracking Table'!$AA406)),IF(SUM('BMP P Tracking Table'!$W406:$Z406)=0,'BMP P Tracking Table'!$AW406/(-3630*'BMP P Tracking Table'!$U406),(-(3630*'BMP P Tracking Table'!$U406+20.691*'BMP P Tracking Table'!$Z406-216.711*'BMP P Tracking Table'!$Y406-83.853*'BMP P Tracking Table'!$X406-42.834*'BMP P Tracking Table'!$W406)+SQRT((3630*'BMP P Tracking Table'!$U406+20.691*'BMP P Tracking Table'!$Z406-216.711*'BMP P Tracking Table'!$Y406-83.853*'BMP P Tracking Table'!$X406-42.834*'BMP P Tracking Table'!$W406)^2-(4*(149.919*'BMP P Tracking Table'!$W406+236.676*'BMP P Tracking Table'!$X406+726*'BMP P Tracking Table'!$Y406+996.798*'BMP P Tracking Table'!$Z406)*-'BMP P Tracking Table'!$AW406)))/(2*(149.919*'BMP P Tracking Table'!$W406+236.676*'BMP P Tracking Table'!$X406+726*'BMP P Tracking Table'!$Y406+996.798*'BMP P Tracking Table'!$Z406)))))),"")</f>
        <v/>
      </c>
      <c r="BA406" s="101" t="str">
        <f>IFERROR((VLOOKUP(CONCATENATE('BMP P Tracking Table'!$AV406," ",'BMP P Tracking Table'!$AX406),'Performance Curves'!$C$1:$L$45,MATCH('BMP P Tracking Table'!$AZ406,'Performance Curves'!$E$1:$L$1,1)+2,FALSE)-VLOOKUP(CONCATENATE('BMP P Tracking Table'!$AV406," ",'BMP P Tracking Table'!$AX406),'Performance Curves'!$C$1:$L$45,MATCH('BMP P Tracking Table'!$AZ406,'Performance Curves'!$E$1:$L$1,1)+1,FALSE)),"")</f>
        <v/>
      </c>
      <c r="BB406" s="101" t="str">
        <f>IFERROR(('BMP P Tracking Table'!$AZ406-INDEX('Performance Curves'!$E$1:$L$1,1,MATCH('BMP P Tracking Table'!$AZ406,'Performance Curves'!$E$1:$L$1,1)))/(INDEX('Performance Curves'!$E$1:$L$1,1,MATCH('BMP P Tracking Table'!$AZ406,'Performance Curves'!$E$1:$L$1,1)+1)-INDEX('Performance Curves'!$E$1:$L$1,1,MATCH('BMP P Tracking Table'!$AZ406,'Performance Curves'!$E$1:$L$1,1))),"")</f>
        <v/>
      </c>
      <c r="BC406" s="102" t="str">
        <f>IFERROR(IF('BMP P Tracking Table'!$AZ406=2,VLOOKUP(CONCATENATE('BMP P Tracking Table'!$AV406," ",'BMP P Tracking Table'!$AX406),'Performance Curves'!$C$1:$L$44,MATCH('BMP P Tracking Table'!$AZ406,'Performance Curves'!$E$1:$L$1,1)+1,FALSE),'BMP P Tracking Table'!$BA406*'BMP P Tracking Table'!$BB406+VLOOKUP(CONCATENATE('BMP P Tracking Table'!$AV406," ",'BMP P Tracking Table'!$AX406),'Performance Curves'!$C$1:$L$44,MATCH('BMP P Tracking Table'!$AZ406,'Performance Curves'!$E$1:$L$1,1)+1,FALSE)),"")</f>
        <v/>
      </c>
      <c r="BD406" s="101" t="str">
        <f>IFERROR('BMP P Tracking Table'!$BC406*'BMP P Tracking Table'!$AY406,"")</f>
        <v/>
      </c>
      <c r="BE406" s="96"/>
      <c r="BF406" s="37">
        <f t="shared" si="23"/>
        <v>0</v>
      </c>
    </row>
    <row r="407" spans="1:58" x14ac:dyDescent="0.3">
      <c r="A407" s="64"/>
      <c r="B407" s="64"/>
      <c r="C407" s="64"/>
      <c r="D407" s="64"/>
      <c r="E407" s="93"/>
      <c r="F407" s="93"/>
      <c r="G407" s="64"/>
      <c r="H407" s="64"/>
      <c r="I407" s="64"/>
      <c r="J407" s="94"/>
      <c r="K407" s="64"/>
      <c r="L407" s="64"/>
      <c r="M407" s="64"/>
      <c r="N407" s="64"/>
      <c r="O407" s="64"/>
      <c r="P407" s="64"/>
      <c r="Q407" s="64" t="str">
        <f>IFERROR(VLOOKUP('BMP P Tracking Table'!$P407,Dropdowns!$C$2:$E$15,3,FALSE),"")</f>
        <v/>
      </c>
      <c r="R407" s="64" t="str">
        <f>IFERROR(VLOOKUP('BMP P Tracking Table'!$Q407,Dropdowns!$P$3:$Q$23,2,FALSE),"")</f>
        <v/>
      </c>
      <c r="S407" s="64"/>
      <c r="T407" s="64"/>
      <c r="U407" s="64"/>
      <c r="V407" s="64"/>
      <c r="W407" s="64"/>
      <c r="X407" s="64"/>
      <c r="Y407" s="64"/>
      <c r="Z407" s="64"/>
      <c r="AA407" s="64"/>
      <c r="AB407" s="95"/>
      <c r="AC407" s="64"/>
      <c r="AD407" s="101" t="str">
        <f>IFERROR('BMP P Tracking Table'!$U407*VLOOKUP('BMP P Tracking Table'!$Q407,'Loading Rates'!$B$1:$L$24,4,FALSE)+IF('BMP P Tracking Table'!$V407="By HSG",'BMP P Tracking Table'!$W407*VLOOKUP('BMP P Tracking Table'!$Q407,'Loading Rates'!$B$1:$L$24,6,FALSE)+'BMP P Tracking Table'!$X407*VLOOKUP('BMP P Tracking Table'!$Q407,'Loading Rates'!$B$1:$L$24,7,FALSE)+'BMP P Tracking Table'!$Y407*VLOOKUP('BMP P Tracking Table'!$Q407,'Loading Rates'!$B$1:$L$24,8,FALSE)+'BMP P Tracking Table'!$Z407*VLOOKUP('BMP P Tracking Table'!$Q407,'Loading Rates'!$B$1:$L$24,9,FALSE),'BMP P Tracking Table'!$AA407*VLOOKUP('BMP P Tracking Table'!$Q407,'Loading Rates'!$B$1:$L$24,10,FALSE)),"")</f>
        <v/>
      </c>
      <c r="AE407" s="101" t="str">
        <f>IFERROR(MIN(2,IF('BMP P Tracking Table'!$V407="Total Pervious",(-(3630*'BMP P Tracking Table'!$U407+20.691*'BMP P Tracking Table'!$AA407)+SQRT((3630*'BMP P Tracking Table'!$U407+20.691*'BMP P Tracking Table'!$AA407)^2-(4*(996.798*'BMP P Tracking Table'!$AA407)*-'BMP P Tracking Table'!$AB407)))/(2*(996.798*'BMP P Tracking Table'!$AA407)),IF(SUM('BMP P Tracking Table'!$W407:$Z407)=0,'BMP P Tracking Table'!$AB407/(-3630*'BMP P Tracking Table'!$U407),(-(3630*'BMP P Tracking Table'!$U407+20.691*'BMP P Tracking Table'!$Z407-216.711*'BMP P Tracking Table'!$Y407-83.853*'BMP P Tracking Table'!$X407-42.834*'BMP P Tracking Table'!$W407)+SQRT((3630*'BMP P Tracking Table'!$U407+20.691*'BMP P Tracking Table'!$Z407-216.711*'BMP P Tracking Table'!$Y407-83.853*'BMP P Tracking Table'!$X407-42.834*'BMP P Tracking Table'!$W407)^2-(4*(149.919*'BMP P Tracking Table'!$W407+236.676*'BMP P Tracking Table'!$X407+726*'BMP P Tracking Table'!$Y407+996.798*'BMP P Tracking Table'!$Z407)*-'BMP P Tracking Table'!$AB407)))/(2*(149.919*'BMP P Tracking Table'!$W407+236.676*'BMP P Tracking Table'!$X407+726*'BMP P Tracking Table'!$Y407+996.798*'BMP P Tracking Table'!$Z407))))),"")</f>
        <v/>
      </c>
      <c r="AF407" s="101" t="str">
        <f>IFERROR((VLOOKUP(CONCATENATE('BMP P Tracking Table'!$T407," ",'BMP P Tracking Table'!$AC407),'Performance Curves'!$C$1:$L$45,MATCH('BMP P Tracking Table'!$AE407,'Performance Curves'!$E$1:$L$1,1)+2,FALSE)-VLOOKUP(CONCATENATE('BMP P Tracking Table'!$T407," ",'BMP P Tracking Table'!$AC407),'Performance Curves'!$C$1:$L$45,MATCH('BMP P Tracking Table'!$AE407,'Performance Curves'!$E$1:$L$1,1)+1,FALSE)),"")</f>
        <v/>
      </c>
      <c r="AG407" s="101" t="str">
        <f>IFERROR(('BMP P Tracking Table'!$AE407-INDEX('Performance Curves'!$E$1:$L$1,1,MATCH('BMP P Tracking Table'!$AE407,'Performance Curves'!$E$1:$L$1,1)))/(INDEX('Performance Curves'!$E$1:$L$1,1,MATCH('BMP P Tracking Table'!$AE407,'Performance Curves'!$E$1:$L$1,1)+1)-INDEX('Performance Curves'!$E$1:$L$1,1,MATCH('BMP P Tracking Table'!$AE407,'Performance Curves'!$E$1:$L$1,1))),"")</f>
        <v/>
      </c>
      <c r="AH407" s="102" t="str">
        <f>IFERROR(IF('BMP P Tracking Table'!$AE407=2,VLOOKUP(CONCATENATE('BMP P Tracking Table'!$T407," ",'BMP P Tracking Table'!$AC407),'Performance Curves'!$C$1:$L$45,MATCH('BMP P Tracking Table'!$AE407,'Performance Curves'!$E$1:$L$1,1)+1,FALSE),'BMP P Tracking Table'!$AF407*'BMP P Tracking Table'!$AG407+VLOOKUP(CONCATENATE('BMP P Tracking Table'!$T407," ",'BMP P Tracking Table'!$AC407),'Performance Curves'!$C$1:$L$45,MATCH('BMP P Tracking Table'!$AE407,'Performance Curves'!$E$1:$L$1,1)+1,FALSE)),"")</f>
        <v/>
      </c>
      <c r="AI407" s="101" t="str">
        <f>IFERROR('BMP P Tracking Table'!$AH407*'BMP P Tracking Table'!$AD407,"")</f>
        <v/>
      </c>
      <c r="AJ407" s="64"/>
      <c r="AK407" s="96"/>
      <c r="AL407" s="96"/>
      <c r="AM407" s="63"/>
      <c r="AN407" s="99" t="str">
        <f t="shared" si="22"/>
        <v/>
      </c>
      <c r="AO407" s="96"/>
      <c r="AP407" s="96"/>
      <c r="AQ407" s="96"/>
      <c r="AR407" s="96"/>
      <c r="AS407" s="96"/>
      <c r="AT407" s="96"/>
      <c r="AU407" s="96"/>
      <c r="AV407" s="64"/>
      <c r="AW407" s="97"/>
      <c r="AX407" s="97"/>
      <c r="AY407" s="101" t="str">
        <f>IF('BMP P Tracking Table'!$AK407="Yes",IF('BMP P Tracking Table'!$AL407="No",'BMP P Tracking Table'!$U407*VLOOKUP('BMP P Tracking Table'!$Q407,'Loading Rates'!$B$1:$L$24,4,FALSE)+IF('BMP P Tracking Table'!$V407="By HSG",'BMP P Tracking Table'!$W407*VLOOKUP('BMP P Tracking Table'!$Q407,'Loading Rates'!$B$1:$L$24,6,FALSE)+'BMP P Tracking Table'!$X407*VLOOKUP('BMP P Tracking Table'!$Q407,'Loading Rates'!$B$1:$L$24,7,FALSE)+'BMP P Tracking Table'!$Y407*VLOOKUP('BMP P Tracking Table'!$Q407,'Loading Rates'!$B$1:$L$24,8,FALSE)+'BMP P Tracking Table'!$Z407*VLOOKUP('BMP P Tracking Table'!$Q407,'Loading Rates'!$B$1:$L$24,9,FALSE),'BMP P Tracking Table'!$AA407*VLOOKUP('BMP P Tracking Table'!$Q407,'Loading Rates'!$B$1:$L$24,10,FALSE)),'BMP P Tracking Table'!$AO407*VLOOKUP('BMP P Tracking Table'!$Q407,'Loading Rates'!$B$1:$L$24,4,FALSE)+IF('BMP P Tracking Table'!$AP407="By HSG",'BMP P Tracking Table'!$AQ407*VLOOKUP('BMP P Tracking Table'!$Q407,'Loading Rates'!$B$1:$L$24,6,FALSE)+'BMP P Tracking Table'!$AR407*VLOOKUP('BMP P Tracking Table'!$Q407,'Loading Rates'!$B$1:$L$24,7,FALSE)+'BMP P Tracking Table'!$AS407*VLOOKUP('BMP P Tracking Table'!$Q407,'Loading Rates'!$B$1:$L$24,8,FALSE)+'BMP P Tracking Table'!$AT407*VLOOKUP('BMP P Tracking Table'!$Q407,'Loading Rates'!$B$1:$L$24,9,FALSE),'BMP P Tracking Table'!$AU407*VLOOKUP('BMP P Tracking Table'!$Q407,'Loading Rates'!$B$1:$L$24,10,FALSE))),"")</f>
        <v/>
      </c>
      <c r="AZ407" s="101" t="str">
        <f>IFERROR(IF('BMP P Tracking Table'!$AL407="Yes",MIN(2,IF('BMP P Tracking Table'!$AP407="Total Pervious",(-(3630*'BMP P Tracking Table'!$AO407+20.691*'BMP P Tracking Table'!$AU407)+SQRT((3630*'BMP P Tracking Table'!$AO407+20.691*'BMP P Tracking Table'!$AU407)^2-(4*(996.798*'BMP P Tracking Table'!$AU407)*-'BMP P Tracking Table'!$AW407)))/(2*(996.798*'BMP P Tracking Table'!$AU407)),IF(SUM('BMP P Tracking Table'!$AQ407:$AT407)=0,'BMP P Tracking Table'!$AU407/(-3630*'BMP P Tracking Table'!$AO407),(-(3630*'BMP P Tracking Table'!$AO407+20.691*'BMP P Tracking Table'!$AT407-216.711*'BMP P Tracking Table'!$AS407-83.853*'BMP P Tracking Table'!$AR407-42.834*'BMP P Tracking Table'!$AQ407)+SQRT((3630*'BMP P Tracking Table'!$AO407+20.691*'BMP P Tracking Table'!$AT407-216.711*'BMP P Tracking Table'!$AS407-83.853*'BMP P Tracking Table'!$AR407-42.834*'BMP P Tracking Table'!$AQ407)^2-(4*(149.919*'BMP P Tracking Table'!$AQ407+236.676*'BMP P Tracking Table'!$AR407+726*'BMP P Tracking Table'!$AS407+996.798*'BMP P Tracking Table'!$AT407)*-'BMP P Tracking Table'!$AW407)))/(2*(149.919*'BMP P Tracking Table'!$AQ407+236.676*'BMP P Tracking Table'!$AR407+726*'BMP P Tracking Table'!$AS407+996.798*'BMP P Tracking Table'!$AT407))))),MIN(2,IF('BMP P Tracking Table'!$AP407="Total Pervious",(-(3630*'BMP P Tracking Table'!$U407+20.691*'BMP P Tracking Table'!$AA407)+SQRT((3630*'BMP P Tracking Table'!$U407+20.691*'BMP P Tracking Table'!$AA407)^2-(4*(996.798*'BMP P Tracking Table'!$AA407)*-'BMP P Tracking Table'!$AW407)))/(2*(996.798*'BMP P Tracking Table'!$AA407)),IF(SUM('BMP P Tracking Table'!$W407:$Z407)=0,'BMP P Tracking Table'!$AW407/(-3630*'BMP P Tracking Table'!$U407),(-(3630*'BMP P Tracking Table'!$U407+20.691*'BMP P Tracking Table'!$Z407-216.711*'BMP P Tracking Table'!$Y407-83.853*'BMP P Tracking Table'!$X407-42.834*'BMP P Tracking Table'!$W407)+SQRT((3630*'BMP P Tracking Table'!$U407+20.691*'BMP P Tracking Table'!$Z407-216.711*'BMP P Tracking Table'!$Y407-83.853*'BMP P Tracking Table'!$X407-42.834*'BMP P Tracking Table'!$W407)^2-(4*(149.919*'BMP P Tracking Table'!$W407+236.676*'BMP P Tracking Table'!$X407+726*'BMP P Tracking Table'!$Y407+996.798*'BMP P Tracking Table'!$Z407)*-'BMP P Tracking Table'!$AW407)))/(2*(149.919*'BMP P Tracking Table'!$W407+236.676*'BMP P Tracking Table'!$X407+726*'BMP P Tracking Table'!$Y407+996.798*'BMP P Tracking Table'!$Z407)))))),"")</f>
        <v/>
      </c>
      <c r="BA407" s="101" t="str">
        <f>IFERROR((VLOOKUP(CONCATENATE('BMP P Tracking Table'!$AV407," ",'BMP P Tracking Table'!$AX407),'Performance Curves'!$C$1:$L$45,MATCH('BMP P Tracking Table'!$AZ407,'Performance Curves'!$E$1:$L$1,1)+2,FALSE)-VLOOKUP(CONCATENATE('BMP P Tracking Table'!$AV407," ",'BMP P Tracking Table'!$AX407),'Performance Curves'!$C$1:$L$45,MATCH('BMP P Tracking Table'!$AZ407,'Performance Curves'!$E$1:$L$1,1)+1,FALSE)),"")</f>
        <v/>
      </c>
      <c r="BB407" s="101" t="str">
        <f>IFERROR(('BMP P Tracking Table'!$AZ407-INDEX('Performance Curves'!$E$1:$L$1,1,MATCH('BMP P Tracking Table'!$AZ407,'Performance Curves'!$E$1:$L$1,1)))/(INDEX('Performance Curves'!$E$1:$L$1,1,MATCH('BMP P Tracking Table'!$AZ407,'Performance Curves'!$E$1:$L$1,1)+1)-INDEX('Performance Curves'!$E$1:$L$1,1,MATCH('BMP P Tracking Table'!$AZ407,'Performance Curves'!$E$1:$L$1,1))),"")</f>
        <v/>
      </c>
      <c r="BC407" s="102" t="str">
        <f>IFERROR(IF('BMP P Tracking Table'!$AZ407=2,VLOOKUP(CONCATENATE('BMP P Tracking Table'!$AV407," ",'BMP P Tracking Table'!$AX407),'Performance Curves'!$C$1:$L$44,MATCH('BMP P Tracking Table'!$AZ407,'Performance Curves'!$E$1:$L$1,1)+1,FALSE),'BMP P Tracking Table'!$BA407*'BMP P Tracking Table'!$BB407+VLOOKUP(CONCATENATE('BMP P Tracking Table'!$AV407," ",'BMP P Tracking Table'!$AX407),'Performance Curves'!$C$1:$L$44,MATCH('BMP P Tracking Table'!$AZ407,'Performance Curves'!$E$1:$L$1,1)+1,FALSE)),"")</f>
        <v/>
      </c>
      <c r="BD407" s="101" t="str">
        <f>IFERROR('BMP P Tracking Table'!$BC407*'BMP P Tracking Table'!$AY407,"")</f>
        <v/>
      </c>
      <c r="BE407" s="96"/>
      <c r="BF407" s="37">
        <f t="shared" si="23"/>
        <v>0</v>
      </c>
    </row>
    <row r="408" spans="1:58" x14ac:dyDescent="0.3">
      <c r="A408" s="64"/>
      <c r="B408" s="64"/>
      <c r="C408" s="64"/>
      <c r="D408" s="64"/>
      <c r="E408" s="93"/>
      <c r="F408" s="93"/>
      <c r="G408" s="64"/>
      <c r="H408" s="64"/>
      <c r="I408" s="64"/>
      <c r="J408" s="94"/>
      <c r="K408" s="64"/>
      <c r="L408" s="64"/>
      <c r="M408" s="64"/>
      <c r="N408" s="64"/>
      <c r="O408" s="64"/>
      <c r="P408" s="64"/>
      <c r="Q408" s="64" t="str">
        <f>IFERROR(VLOOKUP('BMP P Tracking Table'!$P408,Dropdowns!$C$2:$E$15,3,FALSE),"")</f>
        <v/>
      </c>
      <c r="R408" s="64" t="str">
        <f>IFERROR(VLOOKUP('BMP P Tracking Table'!$Q408,Dropdowns!$P$3:$Q$23,2,FALSE),"")</f>
        <v/>
      </c>
      <c r="S408" s="64"/>
      <c r="T408" s="64"/>
      <c r="U408" s="64"/>
      <c r="V408" s="64"/>
      <c r="W408" s="64"/>
      <c r="X408" s="64"/>
      <c r="Y408" s="64"/>
      <c r="Z408" s="64"/>
      <c r="AA408" s="64"/>
      <c r="AB408" s="95"/>
      <c r="AC408" s="64"/>
      <c r="AD408" s="101" t="str">
        <f>IFERROR('BMP P Tracking Table'!$U408*VLOOKUP('BMP P Tracking Table'!$Q408,'Loading Rates'!$B$1:$L$24,4,FALSE)+IF('BMP P Tracking Table'!$V408="By HSG",'BMP P Tracking Table'!$W408*VLOOKUP('BMP P Tracking Table'!$Q408,'Loading Rates'!$B$1:$L$24,6,FALSE)+'BMP P Tracking Table'!$X408*VLOOKUP('BMP P Tracking Table'!$Q408,'Loading Rates'!$B$1:$L$24,7,FALSE)+'BMP P Tracking Table'!$Y408*VLOOKUP('BMP P Tracking Table'!$Q408,'Loading Rates'!$B$1:$L$24,8,FALSE)+'BMP P Tracking Table'!$Z408*VLOOKUP('BMP P Tracking Table'!$Q408,'Loading Rates'!$B$1:$L$24,9,FALSE),'BMP P Tracking Table'!$AA408*VLOOKUP('BMP P Tracking Table'!$Q408,'Loading Rates'!$B$1:$L$24,10,FALSE)),"")</f>
        <v/>
      </c>
      <c r="AE408" s="101" t="str">
        <f>IFERROR(MIN(2,IF('BMP P Tracking Table'!$V408="Total Pervious",(-(3630*'BMP P Tracking Table'!$U408+20.691*'BMP P Tracking Table'!$AA408)+SQRT((3630*'BMP P Tracking Table'!$U408+20.691*'BMP P Tracking Table'!$AA408)^2-(4*(996.798*'BMP P Tracking Table'!$AA408)*-'BMP P Tracking Table'!$AB408)))/(2*(996.798*'BMP P Tracking Table'!$AA408)),IF(SUM('BMP P Tracking Table'!$W408:$Z408)=0,'BMP P Tracking Table'!$AB408/(-3630*'BMP P Tracking Table'!$U408),(-(3630*'BMP P Tracking Table'!$U408+20.691*'BMP P Tracking Table'!$Z408-216.711*'BMP P Tracking Table'!$Y408-83.853*'BMP P Tracking Table'!$X408-42.834*'BMP P Tracking Table'!$W408)+SQRT((3630*'BMP P Tracking Table'!$U408+20.691*'BMP P Tracking Table'!$Z408-216.711*'BMP P Tracking Table'!$Y408-83.853*'BMP P Tracking Table'!$X408-42.834*'BMP P Tracking Table'!$W408)^2-(4*(149.919*'BMP P Tracking Table'!$W408+236.676*'BMP P Tracking Table'!$X408+726*'BMP P Tracking Table'!$Y408+996.798*'BMP P Tracking Table'!$Z408)*-'BMP P Tracking Table'!$AB408)))/(2*(149.919*'BMP P Tracking Table'!$W408+236.676*'BMP P Tracking Table'!$X408+726*'BMP P Tracking Table'!$Y408+996.798*'BMP P Tracking Table'!$Z408))))),"")</f>
        <v/>
      </c>
      <c r="AF408" s="101" t="str">
        <f>IFERROR((VLOOKUP(CONCATENATE('BMP P Tracking Table'!$T408," ",'BMP P Tracking Table'!$AC408),'Performance Curves'!$C$1:$L$45,MATCH('BMP P Tracking Table'!$AE408,'Performance Curves'!$E$1:$L$1,1)+2,FALSE)-VLOOKUP(CONCATENATE('BMP P Tracking Table'!$T408," ",'BMP P Tracking Table'!$AC408),'Performance Curves'!$C$1:$L$45,MATCH('BMP P Tracking Table'!$AE408,'Performance Curves'!$E$1:$L$1,1)+1,FALSE)),"")</f>
        <v/>
      </c>
      <c r="AG408" s="101" t="str">
        <f>IFERROR(('BMP P Tracking Table'!$AE408-INDEX('Performance Curves'!$E$1:$L$1,1,MATCH('BMP P Tracking Table'!$AE408,'Performance Curves'!$E$1:$L$1,1)))/(INDEX('Performance Curves'!$E$1:$L$1,1,MATCH('BMP P Tracking Table'!$AE408,'Performance Curves'!$E$1:$L$1,1)+1)-INDEX('Performance Curves'!$E$1:$L$1,1,MATCH('BMP P Tracking Table'!$AE408,'Performance Curves'!$E$1:$L$1,1))),"")</f>
        <v/>
      </c>
      <c r="AH408" s="102" t="str">
        <f>IFERROR(IF('BMP P Tracking Table'!$AE408=2,VLOOKUP(CONCATENATE('BMP P Tracking Table'!$T408," ",'BMP P Tracking Table'!$AC408),'Performance Curves'!$C$1:$L$45,MATCH('BMP P Tracking Table'!$AE408,'Performance Curves'!$E$1:$L$1,1)+1,FALSE),'BMP P Tracking Table'!$AF408*'BMP P Tracking Table'!$AG408+VLOOKUP(CONCATENATE('BMP P Tracking Table'!$T408," ",'BMP P Tracking Table'!$AC408),'Performance Curves'!$C$1:$L$45,MATCH('BMP P Tracking Table'!$AE408,'Performance Curves'!$E$1:$L$1,1)+1,FALSE)),"")</f>
        <v/>
      </c>
      <c r="AI408" s="101" t="str">
        <f>IFERROR('BMP P Tracking Table'!$AH408*'BMP P Tracking Table'!$AD408,"")</f>
        <v/>
      </c>
      <c r="AJ408" s="64"/>
      <c r="AK408" s="96"/>
      <c r="AL408" s="96"/>
      <c r="AM408" s="63"/>
      <c r="AN408" s="99" t="str">
        <f t="shared" si="22"/>
        <v/>
      </c>
      <c r="AO408" s="96"/>
      <c r="AP408" s="96"/>
      <c r="AQ408" s="96"/>
      <c r="AR408" s="96"/>
      <c r="AS408" s="96"/>
      <c r="AT408" s="96"/>
      <c r="AU408" s="96"/>
      <c r="AV408" s="64"/>
      <c r="AW408" s="97"/>
      <c r="AX408" s="97"/>
      <c r="AY408" s="101" t="str">
        <f>IF('BMP P Tracking Table'!$AK408="Yes",IF('BMP P Tracking Table'!$AL408="No",'BMP P Tracking Table'!$U408*VLOOKUP('BMP P Tracking Table'!$Q408,'Loading Rates'!$B$1:$L$24,4,FALSE)+IF('BMP P Tracking Table'!$V408="By HSG",'BMP P Tracking Table'!$W408*VLOOKUP('BMP P Tracking Table'!$Q408,'Loading Rates'!$B$1:$L$24,6,FALSE)+'BMP P Tracking Table'!$X408*VLOOKUP('BMP P Tracking Table'!$Q408,'Loading Rates'!$B$1:$L$24,7,FALSE)+'BMP P Tracking Table'!$Y408*VLOOKUP('BMP P Tracking Table'!$Q408,'Loading Rates'!$B$1:$L$24,8,FALSE)+'BMP P Tracking Table'!$Z408*VLOOKUP('BMP P Tracking Table'!$Q408,'Loading Rates'!$B$1:$L$24,9,FALSE),'BMP P Tracking Table'!$AA408*VLOOKUP('BMP P Tracking Table'!$Q408,'Loading Rates'!$B$1:$L$24,10,FALSE)),'BMP P Tracking Table'!$AO408*VLOOKUP('BMP P Tracking Table'!$Q408,'Loading Rates'!$B$1:$L$24,4,FALSE)+IF('BMP P Tracking Table'!$AP408="By HSG",'BMP P Tracking Table'!$AQ408*VLOOKUP('BMP P Tracking Table'!$Q408,'Loading Rates'!$B$1:$L$24,6,FALSE)+'BMP P Tracking Table'!$AR408*VLOOKUP('BMP P Tracking Table'!$Q408,'Loading Rates'!$B$1:$L$24,7,FALSE)+'BMP P Tracking Table'!$AS408*VLOOKUP('BMP P Tracking Table'!$Q408,'Loading Rates'!$B$1:$L$24,8,FALSE)+'BMP P Tracking Table'!$AT408*VLOOKUP('BMP P Tracking Table'!$Q408,'Loading Rates'!$B$1:$L$24,9,FALSE),'BMP P Tracking Table'!$AU408*VLOOKUP('BMP P Tracking Table'!$Q408,'Loading Rates'!$B$1:$L$24,10,FALSE))),"")</f>
        <v/>
      </c>
      <c r="AZ408" s="101" t="str">
        <f>IFERROR(IF('BMP P Tracking Table'!$AL408="Yes",MIN(2,IF('BMP P Tracking Table'!$AP408="Total Pervious",(-(3630*'BMP P Tracking Table'!$AO408+20.691*'BMP P Tracking Table'!$AU408)+SQRT((3630*'BMP P Tracking Table'!$AO408+20.691*'BMP P Tracking Table'!$AU408)^2-(4*(996.798*'BMP P Tracking Table'!$AU408)*-'BMP P Tracking Table'!$AW408)))/(2*(996.798*'BMP P Tracking Table'!$AU408)),IF(SUM('BMP P Tracking Table'!$AQ408:$AT408)=0,'BMP P Tracking Table'!$AU408/(-3630*'BMP P Tracking Table'!$AO408),(-(3630*'BMP P Tracking Table'!$AO408+20.691*'BMP P Tracking Table'!$AT408-216.711*'BMP P Tracking Table'!$AS408-83.853*'BMP P Tracking Table'!$AR408-42.834*'BMP P Tracking Table'!$AQ408)+SQRT((3630*'BMP P Tracking Table'!$AO408+20.691*'BMP P Tracking Table'!$AT408-216.711*'BMP P Tracking Table'!$AS408-83.853*'BMP P Tracking Table'!$AR408-42.834*'BMP P Tracking Table'!$AQ408)^2-(4*(149.919*'BMP P Tracking Table'!$AQ408+236.676*'BMP P Tracking Table'!$AR408+726*'BMP P Tracking Table'!$AS408+996.798*'BMP P Tracking Table'!$AT408)*-'BMP P Tracking Table'!$AW408)))/(2*(149.919*'BMP P Tracking Table'!$AQ408+236.676*'BMP P Tracking Table'!$AR408+726*'BMP P Tracking Table'!$AS408+996.798*'BMP P Tracking Table'!$AT408))))),MIN(2,IF('BMP P Tracking Table'!$AP408="Total Pervious",(-(3630*'BMP P Tracking Table'!$U408+20.691*'BMP P Tracking Table'!$AA408)+SQRT((3630*'BMP P Tracking Table'!$U408+20.691*'BMP P Tracking Table'!$AA408)^2-(4*(996.798*'BMP P Tracking Table'!$AA408)*-'BMP P Tracking Table'!$AW408)))/(2*(996.798*'BMP P Tracking Table'!$AA408)),IF(SUM('BMP P Tracking Table'!$W408:$Z408)=0,'BMP P Tracking Table'!$AW408/(-3630*'BMP P Tracking Table'!$U408),(-(3630*'BMP P Tracking Table'!$U408+20.691*'BMP P Tracking Table'!$Z408-216.711*'BMP P Tracking Table'!$Y408-83.853*'BMP P Tracking Table'!$X408-42.834*'BMP P Tracking Table'!$W408)+SQRT((3630*'BMP P Tracking Table'!$U408+20.691*'BMP P Tracking Table'!$Z408-216.711*'BMP P Tracking Table'!$Y408-83.853*'BMP P Tracking Table'!$X408-42.834*'BMP P Tracking Table'!$W408)^2-(4*(149.919*'BMP P Tracking Table'!$W408+236.676*'BMP P Tracking Table'!$X408+726*'BMP P Tracking Table'!$Y408+996.798*'BMP P Tracking Table'!$Z408)*-'BMP P Tracking Table'!$AW408)))/(2*(149.919*'BMP P Tracking Table'!$W408+236.676*'BMP P Tracking Table'!$X408+726*'BMP P Tracking Table'!$Y408+996.798*'BMP P Tracking Table'!$Z408)))))),"")</f>
        <v/>
      </c>
      <c r="BA408" s="101" t="str">
        <f>IFERROR((VLOOKUP(CONCATENATE('BMP P Tracking Table'!$AV408," ",'BMP P Tracking Table'!$AX408),'Performance Curves'!$C$1:$L$45,MATCH('BMP P Tracking Table'!$AZ408,'Performance Curves'!$E$1:$L$1,1)+2,FALSE)-VLOOKUP(CONCATENATE('BMP P Tracking Table'!$AV408," ",'BMP P Tracking Table'!$AX408),'Performance Curves'!$C$1:$L$45,MATCH('BMP P Tracking Table'!$AZ408,'Performance Curves'!$E$1:$L$1,1)+1,FALSE)),"")</f>
        <v/>
      </c>
      <c r="BB408" s="101" t="str">
        <f>IFERROR(('BMP P Tracking Table'!$AZ408-INDEX('Performance Curves'!$E$1:$L$1,1,MATCH('BMP P Tracking Table'!$AZ408,'Performance Curves'!$E$1:$L$1,1)))/(INDEX('Performance Curves'!$E$1:$L$1,1,MATCH('BMP P Tracking Table'!$AZ408,'Performance Curves'!$E$1:$L$1,1)+1)-INDEX('Performance Curves'!$E$1:$L$1,1,MATCH('BMP P Tracking Table'!$AZ408,'Performance Curves'!$E$1:$L$1,1))),"")</f>
        <v/>
      </c>
      <c r="BC408" s="102" t="str">
        <f>IFERROR(IF('BMP P Tracking Table'!$AZ408=2,VLOOKUP(CONCATENATE('BMP P Tracking Table'!$AV408," ",'BMP P Tracking Table'!$AX408),'Performance Curves'!$C$1:$L$44,MATCH('BMP P Tracking Table'!$AZ408,'Performance Curves'!$E$1:$L$1,1)+1,FALSE),'BMP P Tracking Table'!$BA408*'BMP P Tracking Table'!$BB408+VLOOKUP(CONCATENATE('BMP P Tracking Table'!$AV408," ",'BMP P Tracking Table'!$AX408),'Performance Curves'!$C$1:$L$44,MATCH('BMP P Tracking Table'!$AZ408,'Performance Curves'!$E$1:$L$1,1)+1,FALSE)),"")</f>
        <v/>
      </c>
      <c r="BD408" s="101" t="str">
        <f>IFERROR('BMP P Tracking Table'!$BC408*'BMP P Tracking Table'!$AY408,"")</f>
        <v/>
      </c>
      <c r="BE408" s="96"/>
      <c r="BF408" s="37">
        <f t="shared" si="23"/>
        <v>0</v>
      </c>
    </row>
    <row r="409" spans="1:58" x14ac:dyDescent="0.3">
      <c r="A409" s="64"/>
      <c r="B409" s="64"/>
      <c r="C409" s="64"/>
      <c r="D409" s="64"/>
      <c r="E409" s="93"/>
      <c r="F409" s="93"/>
      <c r="G409" s="64"/>
      <c r="H409" s="64"/>
      <c r="I409" s="64"/>
      <c r="J409" s="94"/>
      <c r="K409" s="64"/>
      <c r="L409" s="64"/>
      <c r="M409" s="64"/>
      <c r="N409" s="64"/>
      <c r="O409" s="64"/>
      <c r="P409" s="64"/>
      <c r="Q409" s="64" t="str">
        <f>IFERROR(VLOOKUP('BMP P Tracking Table'!$P409,Dropdowns!$C$2:$E$15,3,FALSE),"")</f>
        <v/>
      </c>
      <c r="R409" s="64" t="str">
        <f>IFERROR(VLOOKUP('BMP P Tracking Table'!$Q409,Dropdowns!$P$3:$Q$23,2,FALSE),"")</f>
        <v/>
      </c>
      <c r="S409" s="64"/>
      <c r="T409" s="64"/>
      <c r="U409" s="64"/>
      <c r="V409" s="64"/>
      <c r="W409" s="64"/>
      <c r="X409" s="64"/>
      <c r="Y409" s="64"/>
      <c r="Z409" s="64"/>
      <c r="AA409" s="64"/>
      <c r="AB409" s="95"/>
      <c r="AC409" s="64"/>
      <c r="AD409" s="101" t="str">
        <f>IFERROR('BMP P Tracking Table'!$U409*VLOOKUP('BMP P Tracking Table'!$Q409,'Loading Rates'!$B$1:$L$24,4,FALSE)+IF('BMP P Tracking Table'!$V409="By HSG",'BMP P Tracking Table'!$W409*VLOOKUP('BMP P Tracking Table'!$Q409,'Loading Rates'!$B$1:$L$24,6,FALSE)+'BMP P Tracking Table'!$X409*VLOOKUP('BMP P Tracking Table'!$Q409,'Loading Rates'!$B$1:$L$24,7,FALSE)+'BMP P Tracking Table'!$Y409*VLOOKUP('BMP P Tracking Table'!$Q409,'Loading Rates'!$B$1:$L$24,8,FALSE)+'BMP P Tracking Table'!$Z409*VLOOKUP('BMP P Tracking Table'!$Q409,'Loading Rates'!$B$1:$L$24,9,FALSE),'BMP P Tracking Table'!$AA409*VLOOKUP('BMP P Tracking Table'!$Q409,'Loading Rates'!$B$1:$L$24,10,FALSE)),"")</f>
        <v/>
      </c>
      <c r="AE409" s="101" t="str">
        <f>IFERROR(MIN(2,IF('BMP P Tracking Table'!$V409="Total Pervious",(-(3630*'BMP P Tracking Table'!$U409+20.691*'BMP P Tracking Table'!$AA409)+SQRT((3630*'BMP P Tracking Table'!$U409+20.691*'BMP P Tracking Table'!$AA409)^2-(4*(996.798*'BMP P Tracking Table'!$AA409)*-'BMP P Tracking Table'!$AB409)))/(2*(996.798*'BMP P Tracking Table'!$AA409)),IF(SUM('BMP P Tracking Table'!$W409:$Z409)=0,'BMP P Tracking Table'!$AB409/(-3630*'BMP P Tracking Table'!$U409),(-(3630*'BMP P Tracking Table'!$U409+20.691*'BMP P Tracking Table'!$Z409-216.711*'BMP P Tracking Table'!$Y409-83.853*'BMP P Tracking Table'!$X409-42.834*'BMP P Tracking Table'!$W409)+SQRT((3630*'BMP P Tracking Table'!$U409+20.691*'BMP P Tracking Table'!$Z409-216.711*'BMP P Tracking Table'!$Y409-83.853*'BMP P Tracking Table'!$X409-42.834*'BMP P Tracking Table'!$W409)^2-(4*(149.919*'BMP P Tracking Table'!$W409+236.676*'BMP P Tracking Table'!$X409+726*'BMP P Tracking Table'!$Y409+996.798*'BMP P Tracking Table'!$Z409)*-'BMP P Tracking Table'!$AB409)))/(2*(149.919*'BMP P Tracking Table'!$W409+236.676*'BMP P Tracking Table'!$X409+726*'BMP P Tracking Table'!$Y409+996.798*'BMP P Tracking Table'!$Z409))))),"")</f>
        <v/>
      </c>
      <c r="AF409" s="101" t="str">
        <f>IFERROR((VLOOKUP(CONCATENATE('BMP P Tracking Table'!$T409," ",'BMP P Tracking Table'!$AC409),'Performance Curves'!$C$1:$L$45,MATCH('BMP P Tracking Table'!$AE409,'Performance Curves'!$E$1:$L$1,1)+2,FALSE)-VLOOKUP(CONCATENATE('BMP P Tracking Table'!$T409," ",'BMP P Tracking Table'!$AC409),'Performance Curves'!$C$1:$L$45,MATCH('BMP P Tracking Table'!$AE409,'Performance Curves'!$E$1:$L$1,1)+1,FALSE)),"")</f>
        <v/>
      </c>
      <c r="AG409" s="101" t="str">
        <f>IFERROR(('BMP P Tracking Table'!$AE409-INDEX('Performance Curves'!$E$1:$L$1,1,MATCH('BMP P Tracking Table'!$AE409,'Performance Curves'!$E$1:$L$1,1)))/(INDEX('Performance Curves'!$E$1:$L$1,1,MATCH('BMP P Tracking Table'!$AE409,'Performance Curves'!$E$1:$L$1,1)+1)-INDEX('Performance Curves'!$E$1:$L$1,1,MATCH('BMP P Tracking Table'!$AE409,'Performance Curves'!$E$1:$L$1,1))),"")</f>
        <v/>
      </c>
      <c r="AH409" s="102" t="str">
        <f>IFERROR(IF('BMP P Tracking Table'!$AE409=2,VLOOKUP(CONCATENATE('BMP P Tracking Table'!$T409," ",'BMP P Tracking Table'!$AC409),'Performance Curves'!$C$1:$L$45,MATCH('BMP P Tracking Table'!$AE409,'Performance Curves'!$E$1:$L$1,1)+1,FALSE),'BMP P Tracking Table'!$AF409*'BMP P Tracking Table'!$AG409+VLOOKUP(CONCATENATE('BMP P Tracking Table'!$T409," ",'BMP P Tracking Table'!$AC409),'Performance Curves'!$C$1:$L$45,MATCH('BMP P Tracking Table'!$AE409,'Performance Curves'!$E$1:$L$1,1)+1,FALSE)),"")</f>
        <v/>
      </c>
      <c r="AI409" s="101" t="str">
        <f>IFERROR('BMP P Tracking Table'!$AH409*'BMP P Tracking Table'!$AD409,"")</f>
        <v/>
      </c>
      <c r="AJ409" s="64"/>
      <c r="AK409" s="96"/>
      <c r="AL409" s="96"/>
      <c r="AM409" s="63"/>
      <c r="AN409" s="99" t="str">
        <f t="shared" si="22"/>
        <v/>
      </c>
      <c r="AO409" s="96"/>
      <c r="AP409" s="96"/>
      <c r="AQ409" s="96"/>
      <c r="AR409" s="96"/>
      <c r="AS409" s="96"/>
      <c r="AT409" s="96"/>
      <c r="AU409" s="96"/>
      <c r="AV409" s="64"/>
      <c r="AW409" s="97"/>
      <c r="AX409" s="97"/>
      <c r="AY409" s="101" t="str">
        <f>IF('BMP P Tracking Table'!$AK409="Yes",IF('BMP P Tracking Table'!$AL409="No",'BMP P Tracking Table'!$U409*VLOOKUP('BMP P Tracking Table'!$Q409,'Loading Rates'!$B$1:$L$24,4,FALSE)+IF('BMP P Tracking Table'!$V409="By HSG",'BMP P Tracking Table'!$W409*VLOOKUP('BMP P Tracking Table'!$Q409,'Loading Rates'!$B$1:$L$24,6,FALSE)+'BMP P Tracking Table'!$X409*VLOOKUP('BMP P Tracking Table'!$Q409,'Loading Rates'!$B$1:$L$24,7,FALSE)+'BMP P Tracking Table'!$Y409*VLOOKUP('BMP P Tracking Table'!$Q409,'Loading Rates'!$B$1:$L$24,8,FALSE)+'BMP P Tracking Table'!$Z409*VLOOKUP('BMP P Tracking Table'!$Q409,'Loading Rates'!$B$1:$L$24,9,FALSE),'BMP P Tracking Table'!$AA409*VLOOKUP('BMP P Tracking Table'!$Q409,'Loading Rates'!$B$1:$L$24,10,FALSE)),'BMP P Tracking Table'!$AO409*VLOOKUP('BMP P Tracking Table'!$Q409,'Loading Rates'!$B$1:$L$24,4,FALSE)+IF('BMP P Tracking Table'!$AP409="By HSG",'BMP P Tracking Table'!$AQ409*VLOOKUP('BMP P Tracking Table'!$Q409,'Loading Rates'!$B$1:$L$24,6,FALSE)+'BMP P Tracking Table'!$AR409*VLOOKUP('BMP P Tracking Table'!$Q409,'Loading Rates'!$B$1:$L$24,7,FALSE)+'BMP P Tracking Table'!$AS409*VLOOKUP('BMP P Tracking Table'!$Q409,'Loading Rates'!$B$1:$L$24,8,FALSE)+'BMP P Tracking Table'!$AT409*VLOOKUP('BMP P Tracking Table'!$Q409,'Loading Rates'!$B$1:$L$24,9,FALSE),'BMP P Tracking Table'!$AU409*VLOOKUP('BMP P Tracking Table'!$Q409,'Loading Rates'!$B$1:$L$24,10,FALSE))),"")</f>
        <v/>
      </c>
      <c r="AZ409" s="101" t="str">
        <f>IFERROR(IF('BMP P Tracking Table'!$AL409="Yes",MIN(2,IF('BMP P Tracking Table'!$AP409="Total Pervious",(-(3630*'BMP P Tracking Table'!$AO409+20.691*'BMP P Tracking Table'!$AU409)+SQRT((3630*'BMP P Tracking Table'!$AO409+20.691*'BMP P Tracking Table'!$AU409)^2-(4*(996.798*'BMP P Tracking Table'!$AU409)*-'BMP P Tracking Table'!$AW409)))/(2*(996.798*'BMP P Tracking Table'!$AU409)),IF(SUM('BMP P Tracking Table'!$AQ409:$AT409)=0,'BMP P Tracking Table'!$AU409/(-3630*'BMP P Tracking Table'!$AO409),(-(3630*'BMP P Tracking Table'!$AO409+20.691*'BMP P Tracking Table'!$AT409-216.711*'BMP P Tracking Table'!$AS409-83.853*'BMP P Tracking Table'!$AR409-42.834*'BMP P Tracking Table'!$AQ409)+SQRT((3630*'BMP P Tracking Table'!$AO409+20.691*'BMP P Tracking Table'!$AT409-216.711*'BMP P Tracking Table'!$AS409-83.853*'BMP P Tracking Table'!$AR409-42.834*'BMP P Tracking Table'!$AQ409)^2-(4*(149.919*'BMP P Tracking Table'!$AQ409+236.676*'BMP P Tracking Table'!$AR409+726*'BMP P Tracking Table'!$AS409+996.798*'BMP P Tracking Table'!$AT409)*-'BMP P Tracking Table'!$AW409)))/(2*(149.919*'BMP P Tracking Table'!$AQ409+236.676*'BMP P Tracking Table'!$AR409+726*'BMP P Tracking Table'!$AS409+996.798*'BMP P Tracking Table'!$AT409))))),MIN(2,IF('BMP P Tracking Table'!$AP409="Total Pervious",(-(3630*'BMP P Tracking Table'!$U409+20.691*'BMP P Tracking Table'!$AA409)+SQRT((3630*'BMP P Tracking Table'!$U409+20.691*'BMP P Tracking Table'!$AA409)^2-(4*(996.798*'BMP P Tracking Table'!$AA409)*-'BMP P Tracking Table'!$AW409)))/(2*(996.798*'BMP P Tracking Table'!$AA409)),IF(SUM('BMP P Tracking Table'!$W409:$Z409)=0,'BMP P Tracking Table'!$AW409/(-3630*'BMP P Tracking Table'!$U409),(-(3630*'BMP P Tracking Table'!$U409+20.691*'BMP P Tracking Table'!$Z409-216.711*'BMP P Tracking Table'!$Y409-83.853*'BMP P Tracking Table'!$X409-42.834*'BMP P Tracking Table'!$W409)+SQRT((3630*'BMP P Tracking Table'!$U409+20.691*'BMP P Tracking Table'!$Z409-216.711*'BMP P Tracking Table'!$Y409-83.853*'BMP P Tracking Table'!$X409-42.834*'BMP P Tracking Table'!$W409)^2-(4*(149.919*'BMP P Tracking Table'!$W409+236.676*'BMP P Tracking Table'!$X409+726*'BMP P Tracking Table'!$Y409+996.798*'BMP P Tracking Table'!$Z409)*-'BMP P Tracking Table'!$AW409)))/(2*(149.919*'BMP P Tracking Table'!$W409+236.676*'BMP P Tracking Table'!$X409+726*'BMP P Tracking Table'!$Y409+996.798*'BMP P Tracking Table'!$Z409)))))),"")</f>
        <v/>
      </c>
      <c r="BA409" s="101" t="str">
        <f>IFERROR((VLOOKUP(CONCATENATE('BMP P Tracking Table'!$AV409," ",'BMP P Tracking Table'!$AX409),'Performance Curves'!$C$1:$L$45,MATCH('BMP P Tracking Table'!$AZ409,'Performance Curves'!$E$1:$L$1,1)+2,FALSE)-VLOOKUP(CONCATENATE('BMP P Tracking Table'!$AV409," ",'BMP P Tracking Table'!$AX409),'Performance Curves'!$C$1:$L$45,MATCH('BMP P Tracking Table'!$AZ409,'Performance Curves'!$E$1:$L$1,1)+1,FALSE)),"")</f>
        <v/>
      </c>
      <c r="BB409" s="101" t="str">
        <f>IFERROR(('BMP P Tracking Table'!$AZ409-INDEX('Performance Curves'!$E$1:$L$1,1,MATCH('BMP P Tracking Table'!$AZ409,'Performance Curves'!$E$1:$L$1,1)))/(INDEX('Performance Curves'!$E$1:$L$1,1,MATCH('BMP P Tracking Table'!$AZ409,'Performance Curves'!$E$1:$L$1,1)+1)-INDEX('Performance Curves'!$E$1:$L$1,1,MATCH('BMP P Tracking Table'!$AZ409,'Performance Curves'!$E$1:$L$1,1))),"")</f>
        <v/>
      </c>
      <c r="BC409" s="102" t="str">
        <f>IFERROR(IF('BMP P Tracking Table'!$AZ409=2,VLOOKUP(CONCATENATE('BMP P Tracking Table'!$AV409," ",'BMP P Tracking Table'!$AX409),'Performance Curves'!$C$1:$L$44,MATCH('BMP P Tracking Table'!$AZ409,'Performance Curves'!$E$1:$L$1,1)+1,FALSE),'BMP P Tracking Table'!$BA409*'BMP P Tracking Table'!$BB409+VLOOKUP(CONCATENATE('BMP P Tracking Table'!$AV409," ",'BMP P Tracking Table'!$AX409),'Performance Curves'!$C$1:$L$44,MATCH('BMP P Tracking Table'!$AZ409,'Performance Curves'!$E$1:$L$1,1)+1,FALSE)),"")</f>
        <v/>
      </c>
      <c r="BD409" s="101" t="str">
        <f>IFERROR('BMP P Tracking Table'!$BC409*'BMP P Tracking Table'!$AY409,"")</f>
        <v/>
      </c>
      <c r="BE409" s="96"/>
      <c r="BF409" s="37">
        <f t="shared" si="23"/>
        <v>0</v>
      </c>
    </row>
    <row r="410" spans="1:58" x14ac:dyDescent="0.3">
      <c r="A410" s="64"/>
      <c r="B410" s="64"/>
      <c r="C410" s="64"/>
      <c r="D410" s="64"/>
      <c r="E410" s="93"/>
      <c r="F410" s="93"/>
      <c r="G410" s="64"/>
      <c r="H410" s="64"/>
      <c r="I410" s="64"/>
      <c r="J410" s="94"/>
      <c r="K410" s="64"/>
      <c r="L410" s="64"/>
      <c r="M410" s="64"/>
      <c r="N410" s="64"/>
      <c r="O410" s="64"/>
      <c r="P410" s="64"/>
      <c r="Q410" s="64" t="str">
        <f>IFERROR(VLOOKUP('BMP P Tracking Table'!$P410,Dropdowns!$C$2:$E$15,3,FALSE),"")</f>
        <v/>
      </c>
      <c r="R410" s="64" t="str">
        <f>IFERROR(VLOOKUP('BMP P Tracking Table'!$Q410,Dropdowns!$P$3:$Q$23,2,FALSE),"")</f>
        <v/>
      </c>
      <c r="S410" s="64"/>
      <c r="T410" s="64"/>
      <c r="U410" s="64"/>
      <c r="V410" s="64"/>
      <c r="W410" s="64"/>
      <c r="X410" s="64"/>
      <c r="Y410" s="64"/>
      <c r="Z410" s="64"/>
      <c r="AA410" s="64"/>
      <c r="AB410" s="95"/>
      <c r="AC410" s="64"/>
      <c r="AD410" s="101" t="str">
        <f>IFERROR('BMP P Tracking Table'!$U410*VLOOKUP('BMP P Tracking Table'!$Q410,'Loading Rates'!$B$1:$L$24,4,FALSE)+IF('BMP P Tracking Table'!$V410="By HSG",'BMP P Tracking Table'!$W410*VLOOKUP('BMP P Tracking Table'!$Q410,'Loading Rates'!$B$1:$L$24,6,FALSE)+'BMP P Tracking Table'!$X410*VLOOKUP('BMP P Tracking Table'!$Q410,'Loading Rates'!$B$1:$L$24,7,FALSE)+'BMP P Tracking Table'!$Y410*VLOOKUP('BMP P Tracking Table'!$Q410,'Loading Rates'!$B$1:$L$24,8,FALSE)+'BMP P Tracking Table'!$Z410*VLOOKUP('BMP P Tracking Table'!$Q410,'Loading Rates'!$B$1:$L$24,9,FALSE),'BMP P Tracking Table'!$AA410*VLOOKUP('BMP P Tracking Table'!$Q410,'Loading Rates'!$B$1:$L$24,10,FALSE)),"")</f>
        <v/>
      </c>
      <c r="AE410" s="101" t="str">
        <f>IFERROR(MIN(2,IF('BMP P Tracking Table'!$V410="Total Pervious",(-(3630*'BMP P Tracking Table'!$U410+20.691*'BMP P Tracking Table'!$AA410)+SQRT((3630*'BMP P Tracking Table'!$U410+20.691*'BMP P Tracking Table'!$AA410)^2-(4*(996.798*'BMP P Tracking Table'!$AA410)*-'BMP P Tracking Table'!$AB410)))/(2*(996.798*'BMP P Tracking Table'!$AA410)),IF(SUM('BMP P Tracking Table'!$W410:$Z410)=0,'BMP P Tracking Table'!$AB410/(-3630*'BMP P Tracking Table'!$U410),(-(3630*'BMP P Tracking Table'!$U410+20.691*'BMP P Tracking Table'!$Z410-216.711*'BMP P Tracking Table'!$Y410-83.853*'BMP P Tracking Table'!$X410-42.834*'BMP P Tracking Table'!$W410)+SQRT((3630*'BMP P Tracking Table'!$U410+20.691*'BMP P Tracking Table'!$Z410-216.711*'BMP P Tracking Table'!$Y410-83.853*'BMP P Tracking Table'!$X410-42.834*'BMP P Tracking Table'!$W410)^2-(4*(149.919*'BMP P Tracking Table'!$W410+236.676*'BMP P Tracking Table'!$X410+726*'BMP P Tracking Table'!$Y410+996.798*'BMP P Tracking Table'!$Z410)*-'BMP P Tracking Table'!$AB410)))/(2*(149.919*'BMP P Tracking Table'!$W410+236.676*'BMP P Tracking Table'!$X410+726*'BMP P Tracking Table'!$Y410+996.798*'BMP P Tracking Table'!$Z410))))),"")</f>
        <v/>
      </c>
      <c r="AF410" s="101" t="str">
        <f>IFERROR((VLOOKUP(CONCATENATE('BMP P Tracking Table'!$T410," ",'BMP P Tracking Table'!$AC410),'Performance Curves'!$C$1:$L$45,MATCH('BMP P Tracking Table'!$AE410,'Performance Curves'!$E$1:$L$1,1)+2,FALSE)-VLOOKUP(CONCATENATE('BMP P Tracking Table'!$T410," ",'BMP P Tracking Table'!$AC410),'Performance Curves'!$C$1:$L$45,MATCH('BMP P Tracking Table'!$AE410,'Performance Curves'!$E$1:$L$1,1)+1,FALSE)),"")</f>
        <v/>
      </c>
      <c r="AG410" s="101" t="str">
        <f>IFERROR(('BMP P Tracking Table'!$AE410-INDEX('Performance Curves'!$E$1:$L$1,1,MATCH('BMP P Tracking Table'!$AE410,'Performance Curves'!$E$1:$L$1,1)))/(INDEX('Performance Curves'!$E$1:$L$1,1,MATCH('BMP P Tracking Table'!$AE410,'Performance Curves'!$E$1:$L$1,1)+1)-INDEX('Performance Curves'!$E$1:$L$1,1,MATCH('BMP P Tracking Table'!$AE410,'Performance Curves'!$E$1:$L$1,1))),"")</f>
        <v/>
      </c>
      <c r="AH410" s="102" t="str">
        <f>IFERROR(IF('BMP P Tracking Table'!$AE410=2,VLOOKUP(CONCATENATE('BMP P Tracking Table'!$T410," ",'BMP P Tracking Table'!$AC410),'Performance Curves'!$C$1:$L$45,MATCH('BMP P Tracking Table'!$AE410,'Performance Curves'!$E$1:$L$1,1)+1,FALSE),'BMP P Tracking Table'!$AF410*'BMP P Tracking Table'!$AG410+VLOOKUP(CONCATENATE('BMP P Tracking Table'!$T410," ",'BMP P Tracking Table'!$AC410),'Performance Curves'!$C$1:$L$45,MATCH('BMP P Tracking Table'!$AE410,'Performance Curves'!$E$1:$L$1,1)+1,FALSE)),"")</f>
        <v/>
      </c>
      <c r="AI410" s="101" t="str">
        <f>IFERROR('BMP P Tracking Table'!$AH410*'BMP P Tracking Table'!$AD410,"")</f>
        <v/>
      </c>
      <c r="AJ410" s="64"/>
      <c r="AK410" s="96"/>
      <c r="AL410" s="96"/>
      <c r="AM410" s="63"/>
      <c r="AN410" s="99" t="str">
        <f t="shared" ref="AN410:AN473" si="24">IF(AK410="Yes",IF(BF410&gt;0,IF(ISBLANK(AJ410),AI410,AJ410)-IF(ISBLANK(BE410),BD410,BE410),"Enter Info --&gt;"),IF(ISBLANK(AJ410),AI410,AJ410))</f>
        <v/>
      </c>
      <c r="AO410" s="96"/>
      <c r="AP410" s="96"/>
      <c r="AQ410" s="96"/>
      <c r="AR410" s="96"/>
      <c r="AS410" s="96"/>
      <c r="AT410" s="96"/>
      <c r="AU410" s="96"/>
      <c r="AV410" s="64"/>
      <c r="AW410" s="97"/>
      <c r="AX410" s="97"/>
      <c r="AY410" s="101" t="str">
        <f>IF('BMP P Tracking Table'!$AK410="Yes",IF('BMP P Tracking Table'!$AL410="No",'BMP P Tracking Table'!$U410*VLOOKUP('BMP P Tracking Table'!$Q410,'Loading Rates'!$B$1:$L$24,4,FALSE)+IF('BMP P Tracking Table'!$V410="By HSG",'BMP P Tracking Table'!$W410*VLOOKUP('BMP P Tracking Table'!$Q410,'Loading Rates'!$B$1:$L$24,6,FALSE)+'BMP P Tracking Table'!$X410*VLOOKUP('BMP P Tracking Table'!$Q410,'Loading Rates'!$B$1:$L$24,7,FALSE)+'BMP P Tracking Table'!$Y410*VLOOKUP('BMP P Tracking Table'!$Q410,'Loading Rates'!$B$1:$L$24,8,FALSE)+'BMP P Tracking Table'!$Z410*VLOOKUP('BMP P Tracking Table'!$Q410,'Loading Rates'!$B$1:$L$24,9,FALSE),'BMP P Tracking Table'!$AA410*VLOOKUP('BMP P Tracking Table'!$Q410,'Loading Rates'!$B$1:$L$24,10,FALSE)),'BMP P Tracking Table'!$AO410*VLOOKUP('BMP P Tracking Table'!$Q410,'Loading Rates'!$B$1:$L$24,4,FALSE)+IF('BMP P Tracking Table'!$AP410="By HSG",'BMP P Tracking Table'!$AQ410*VLOOKUP('BMP P Tracking Table'!$Q410,'Loading Rates'!$B$1:$L$24,6,FALSE)+'BMP P Tracking Table'!$AR410*VLOOKUP('BMP P Tracking Table'!$Q410,'Loading Rates'!$B$1:$L$24,7,FALSE)+'BMP P Tracking Table'!$AS410*VLOOKUP('BMP P Tracking Table'!$Q410,'Loading Rates'!$B$1:$L$24,8,FALSE)+'BMP P Tracking Table'!$AT410*VLOOKUP('BMP P Tracking Table'!$Q410,'Loading Rates'!$B$1:$L$24,9,FALSE),'BMP P Tracking Table'!$AU410*VLOOKUP('BMP P Tracking Table'!$Q410,'Loading Rates'!$B$1:$L$24,10,FALSE))),"")</f>
        <v/>
      </c>
      <c r="AZ410" s="101" t="str">
        <f>IFERROR(IF('BMP P Tracking Table'!$AL410="Yes",MIN(2,IF('BMP P Tracking Table'!$AP410="Total Pervious",(-(3630*'BMP P Tracking Table'!$AO410+20.691*'BMP P Tracking Table'!$AU410)+SQRT((3630*'BMP P Tracking Table'!$AO410+20.691*'BMP P Tracking Table'!$AU410)^2-(4*(996.798*'BMP P Tracking Table'!$AU410)*-'BMP P Tracking Table'!$AW410)))/(2*(996.798*'BMP P Tracking Table'!$AU410)),IF(SUM('BMP P Tracking Table'!$AQ410:$AT410)=0,'BMP P Tracking Table'!$AU410/(-3630*'BMP P Tracking Table'!$AO410),(-(3630*'BMP P Tracking Table'!$AO410+20.691*'BMP P Tracking Table'!$AT410-216.711*'BMP P Tracking Table'!$AS410-83.853*'BMP P Tracking Table'!$AR410-42.834*'BMP P Tracking Table'!$AQ410)+SQRT((3630*'BMP P Tracking Table'!$AO410+20.691*'BMP P Tracking Table'!$AT410-216.711*'BMP P Tracking Table'!$AS410-83.853*'BMP P Tracking Table'!$AR410-42.834*'BMP P Tracking Table'!$AQ410)^2-(4*(149.919*'BMP P Tracking Table'!$AQ410+236.676*'BMP P Tracking Table'!$AR410+726*'BMP P Tracking Table'!$AS410+996.798*'BMP P Tracking Table'!$AT410)*-'BMP P Tracking Table'!$AW410)))/(2*(149.919*'BMP P Tracking Table'!$AQ410+236.676*'BMP P Tracking Table'!$AR410+726*'BMP P Tracking Table'!$AS410+996.798*'BMP P Tracking Table'!$AT410))))),MIN(2,IF('BMP P Tracking Table'!$AP410="Total Pervious",(-(3630*'BMP P Tracking Table'!$U410+20.691*'BMP P Tracking Table'!$AA410)+SQRT((3630*'BMP P Tracking Table'!$U410+20.691*'BMP P Tracking Table'!$AA410)^2-(4*(996.798*'BMP P Tracking Table'!$AA410)*-'BMP P Tracking Table'!$AW410)))/(2*(996.798*'BMP P Tracking Table'!$AA410)),IF(SUM('BMP P Tracking Table'!$W410:$Z410)=0,'BMP P Tracking Table'!$AW410/(-3630*'BMP P Tracking Table'!$U410),(-(3630*'BMP P Tracking Table'!$U410+20.691*'BMP P Tracking Table'!$Z410-216.711*'BMP P Tracking Table'!$Y410-83.853*'BMP P Tracking Table'!$X410-42.834*'BMP P Tracking Table'!$W410)+SQRT((3630*'BMP P Tracking Table'!$U410+20.691*'BMP P Tracking Table'!$Z410-216.711*'BMP P Tracking Table'!$Y410-83.853*'BMP P Tracking Table'!$X410-42.834*'BMP P Tracking Table'!$W410)^2-(4*(149.919*'BMP P Tracking Table'!$W410+236.676*'BMP P Tracking Table'!$X410+726*'BMP P Tracking Table'!$Y410+996.798*'BMP P Tracking Table'!$Z410)*-'BMP P Tracking Table'!$AW410)))/(2*(149.919*'BMP P Tracking Table'!$W410+236.676*'BMP P Tracking Table'!$X410+726*'BMP P Tracking Table'!$Y410+996.798*'BMP P Tracking Table'!$Z410)))))),"")</f>
        <v/>
      </c>
      <c r="BA410" s="101" t="str">
        <f>IFERROR((VLOOKUP(CONCATENATE('BMP P Tracking Table'!$AV410," ",'BMP P Tracking Table'!$AX410),'Performance Curves'!$C$1:$L$45,MATCH('BMP P Tracking Table'!$AZ410,'Performance Curves'!$E$1:$L$1,1)+2,FALSE)-VLOOKUP(CONCATENATE('BMP P Tracking Table'!$AV410," ",'BMP P Tracking Table'!$AX410),'Performance Curves'!$C$1:$L$45,MATCH('BMP P Tracking Table'!$AZ410,'Performance Curves'!$E$1:$L$1,1)+1,FALSE)),"")</f>
        <v/>
      </c>
      <c r="BB410" s="101" t="str">
        <f>IFERROR(('BMP P Tracking Table'!$AZ410-INDEX('Performance Curves'!$E$1:$L$1,1,MATCH('BMP P Tracking Table'!$AZ410,'Performance Curves'!$E$1:$L$1,1)))/(INDEX('Performance Curves'!$E$1:$L$1,1,MATCH('BMP P Tracking Table'!$AZ410,'Performance Curves'!$E$1:$L$1,1)+1)-INDEX('Performance Curves'!$E$1:$L$1,1,MATCH('BMP P Tracking Table'!$AZ410,'Performance Curves'!$E$1:$L$1,1))),"")</f>
        <v/>
      </c>
      <c r="BC410" s="102" t="str">
        <f>IFERROR(IF('BMP P Tracking Table'!$AZ410=2,VLOOKUP(CONCATENATE('BMP P Tracking Table'!$AV410," ",'BMP P Tracking Table'!$AX410),'Performance Curves'!$C$1:$L$44,MATCH('BMP P Tracking Table'!$AZ410,'Performance Curves'!$E$1:$L$1,1)+1,FALSE),'BMP P Tracking Table'!$BA410*'BMP P Tracking Table'!$BB410+VLOOKUP(CONCATENATE('BMP P Tracking Table'!$AV410," ",'BMP P Tracking Table'!$AX410),'Performance Curves'!$C$1:$L$44,MATCH('BMP P Tracking Table'!$AZ410,'Performance Curves'!$E$1:$L$1,1)+1,FALSE)),"")</f>
        <v/>
      </c>
      <c r="BD410" s="101" t="str">
        <f>IFERROR('BMP P Tracking Table'!$BC410*'BMP P Tracking Table'!$AY410,"")</f>
        <v/>
      </c>
      <c r="BE410" s="96"/>
      <c r="BF410" s="37">
        <f t="shared" si="23"/>
        <v>0</v>
      </c>
    </row>
    <row r="411" spans="1:58" x14ac:dyDescent="0.3">
      <c r="A411" s="64"/>
      <c r="B411" s="64"/>
      <c r="C411" s="64"/>
      <c r="D411" s="64"/>
      <c r="E411" s="93"/>
      <c r="F411" s="93"/>
      <c r="G411" s="64"/>
      <c r="H411" s="64"/>
      <c r="I411" s="64"/>
      <c r="J411" s="94"/>
      <c r="K411" s="64"/>
      <c r="L411" s="64"/>
      <c r="M411" s="64"/>
      <c r="N411" s="64"/>
      <c r="O411" s="64"/>
      <c r="P411" s="64"/>
      <c r="Q411" s="64" t="str">
        <f>IFERROR(VLOOKUP('BMP P Tracking Table'!$P411,Dropdowns!$C$2:$E$15,3,FALSE),"")</f>
        <v/>
      </c>
      <c r="R411" s="64" t="str">
        <f>IFERROR(VLOOKUP('BMP P Tracking Table'!$Q411,Dropdowns!$P$3:$Q$23,2,FALSE),"")</f>
        <v/>
      </c>
      <c r="S411" s="64"/>
      <c r="T411" s="64"/>
      <c r="U411" s="64"/>
      <c r="V411" s="64"/>
      <c r="W411" s="64"/>
      <c r="X411" s="64"/>
      <c r="Y411" s="64"/>
      <c r="Z411" s="64"/>
      <c r="AA411" s="64"/>
      <c r="AB411" s="95"/>
      <c r="AC411" s="64"/>
      <c r="AD411" s="101" t="str">
        <f>IFERROR('BMP P Tracking Table'!$U411*VLOOKUP('BMP P Tracking Table'!$Q411,'Loading Rates'!$B$1:$L$24,4,FALSE)+IF('BMP P Tracking Table'!$V411="By HSG",'BMP P Tracking Table'!$W411*VLOOKUP('BMP P Tracking Table'!$Q411,'Loading Rates'!$B$1:$L$24,6,FALSE)+'BMP P Tracking Table'!$X411*VLOOKUP('BMP P Tracking Table'!$Q411,'Loading Rates'!$B$1:$L$24,7,FALSE)+'BMP P Tracking Table'!$Y411*VLOOKUP('BMP P Tracking Table'!$Q411,'Loading Rates'!$B$1:$L$24,8,FALSE)+'BMP P Tracking Table'!$Z411*VLOOKUP('BMP P Tracking Table'!$Q411,'Loading Rates'!$B$1:$L$24,9,FALSE),'BMP P Tracking Table'!$AA411*VLOOKUP('BMP P Tracking Table'!$Q411,'Loading Rates'!$B$1:$L$24,10,FALSE)),"")</f>
        <v/>
      </c>
      <c r="AE411" s="101" t="str">
        <f>IFERROR(MIN(2,IF('BMP P Tracking Table'!$V411="Total Pervious",(-(3630*'BMP P Tracking Table'!$U411+20.691*'BMP P Tracking Table'!$AA411)+SQRT((3630*'BMP P Tracking Table'!$U411+20.691*'BMP P Tracking Table'!$AA411)^2-(4*(996.798*'BMP P Tracking Table'!$AA411)*-'BMP P Tracking Table'!$AB411)))/(2*(996.798*'BMP P Tracking Table'!$AA411)),IF(SUM('BMP P Tracking Table'!$W411:$Z411)=0,'BMP P Tracking Table'!$AB411/(-3630*'BMP P Tracking Table'!$U411),(-(3630*'BMP P Tracking Table'!$U411+20.691*'BMP P Tracking Table'!$Z411-216.711*'BMP P Tracking Table'!$Y411-83.853*'BMP P Tracking Table'!$X411-42.834*'BMP P Tracking Table'!$W411)+SQRT((3630*'BMP P Tracking Table'!$U411+20.691*'BMP P Tracking Table'!$Z411-216.711*'BMP P Tracking Table'!$Y411-83.853*'BMP P Tracking Table'!$X411-42.834*'BMP P Tracking Table'!$W411)^2-(4*(149.919*'BMP P Tracking Table'!$W411+236.676*'BMP P Tracking Table'!$X411+726*'BMP P Tracking Table'!$Y411+996.798*'BMP P Tracking Table'!$Z411)*-'BMP P Tracking Table'!$AB411)))/(2*(149.919*'BMP P Tracking Table'!$W411+236.676*'BMP P Tracking Table'!$X411+726*'BMP P Tracking Table'!$Y411+996.798*'BMP P Tracking Table'!$Z411))))),"")</f>
        <v/>
      </c>
      <c r="AF411" s="101" t="str">
        <f>IFERROR((VLOOKUP(CONCATENATE('BMP P Tracking Table'!$T411," ",'BMP P Tracking Table'!$AC411),'Performance Curves'!$C$1:$L$45,MATCH('BMP P Tracking Table'!$AE411,'Performance Curves'!$E$1:$L$1,1)+2,FALSE)-VLOOKUP(CONCATENATE('BMP P Tracking Table'!$T411," ",'BMP P Tracking Table'!$AC411),'Performance Curves'!$C$1:$L$45,MATCH('BMP P Tracking Table'!$AE411,'Performance Curves'!$E$1:$L$1,1)+1,FALSE)),"")</f>
        <v/>
      </c>
      <c r="AG411" s="101" t="str">
        <f>IFERROR(('BMP P Tracking Table'!$AE411-INDEX('Performance Curves'!$E$1:$L$1,1,MATCH('BMP P Tracking Table'!$AE411,'Performance Curves'!$E$1:$L$1,1)))/(INDEX('Performance Curves'!$E$1:$L$1,1,MATCH('BMP P Tracking Table'!$AE411,'Performance Curves'!$E$1:$L$1,1)+1)-INDEX('Performance Curves'!$E$1:$L$1,1,MATCH('BMP P Tracking Table'!$AE411,'Performance Curves'!$E$1:$L$1,1))),"")</f>
        <v/>
      </c>
      <c r="AH411" s="102" t="str">
        <f>IFERROR(IF('BMP P Tracking Table'!$AE411=2,VLOOKUP(CONCATENATE('BMP P Tracking Table'!$T411," ",'BMP P Tracking Table'!$AC411),'Performance Curves'!$C$1:$L$45,MATCH('BMP P Tracking Table'!$AE411,'Performance Curves'!$E$1:$L$1,1)+1,FALSE),'BMP P Tracking Table'!$AF411*'BMP P Tracking Table'!$AG411+VLOOKUP(CONCATENATE('BMP P Tracking Table'!$T411," ",'BMP P Tracking Table'!$AC411),'Performance Curves'!$C$1:$L$45,MATCH('BMP P Tracking Table'!$AE411,'Performance Curves'!$E$1:$L$1,1)+1,FALSE)),"")</f>
        <v/>
      </c>
      <c r="AI411" s="101" t="str">
        <f>IFERROR('BMP P Tracking Table'!$AH411*'BMP P Tracking Table'!$AD411,"")</f>
        <v/>
      </c>
      <c r="AJ411" s="64"/>
      <c r="AK411" s="96"/>
      <c r="AL411" s="96"/>
      <c r="AM411" s="63"/>
      <c r="AN411" s="99" t="str">
        <f t="shared" si="24"/>
        <v/>
      </c>
      <c r="AO411" s="96"/>
      <c r="AP411" s="96"/>
      <c r="AQ411" s="96"/>
      <c r="AR411" s="96"/>
      <c r="AS411" s="96"/>
      <c r="AT411" s="96"/>
      <c r="AU411" s="96"/>
      <c r="AV411" s="64"/>
      <c r="AW411" s="97"/>
      <c r="AX411" s="97"/>
      <c r="AY411" s="101" t="str">
        <f>IF('BMP P Tracking Table'!$AK411="Yes",IF('BMP P Tracking Table'!$AL411="No",'BMP P Tracking Table'!$U411*VLOOKUP('BMP P Tracking Table'!$Q411,'Loading Rates'!$B$1:$L$24,4,FALSE)+IF('BMP P Tracking Table'!$V411="By HSG",'BMP P Tracking Table'!$W411*VLOOKUP('BMP P Tracking Table'!$Q411,'Loading Rates'!$B$1:$L$24,6,FALSE)+'BMP P Tracking Table'!$X411*VLOOKUP('BMP P Tracking Table'!$Q411,'Loading Rates'!$B$1:$L$24,7,FALSE)+'BMP P Tracking Table'!$Y411*VLOOKUP('BMP P Tracking Table'!$Q411,'Loading Rates'!$B$1:$L$24,8,FALSE)+'BMP P Tracking Table'!$Z411*VLOOKUP('BMP P Tracking Table'!$Q411,'Loading Rates'!$B$1:$L$24,9,FALSE),'BMP P Tracking Table'!$AA411*VLOOKUP('BMP P Tracking Table'!$Q411,'Loading Rates'!$B$1:$L$24,10,FALSE)),'BMP P Tracking Table'!$AO411*VLOOKUP('BMP P Tracking Table'!$Q411,'Loading Rates'!$B$1:$L$24,4,FALSE)+IF('BMP P Tracking Table'!$AP411="By HSG",'BMP P Tracking Table'!$AQ411*VLOOKUP('BMP P Tracking Table'!$Q411,'Loading Rates'!$B$1:$L$24,6,FALSE)+'BMP P Tracking Table'!$AR411*VLOOKUP('BMP P Tracking Table'!$Q411,'Loading Rates'!$B$1:$L$24,7,FALSE)+'BMP P Tracking Table'!$AS411*VLOOKUP('BMP P Tracking Table'!$Q411,'Loading Rates'!$B$1:$L$24,8,FALSE)+'BMP P Tracking Table'!$AT411*VLOOKUP('BMP P Tracking Table'!$Q411,'Loading Rates'!$B$1:$L$24,9,FALSE),'BMP P Tracking Table'!$AU411*VLOOKUP('BMP P Tracking Table'!$Q411,'Loading Rates'!$B$1:$L$24,10,FALSE))),"")</f>
        <v/>
      </c>
      <c r="AZ411" s="101" t="str">
        <f>IFERROR(IF('BMP P Tracking Table'!$AL411="Yes",MIN(2,IF('BMP P Tracking Table'!$AP411="Total Pervious",(-(3630*'BMP P Tracking Table'!$AO411+20.691*'BMP P Tracking Table'!$AU411)+SQRT((3630*'BMP P Tracking Table'!$AO411+20.691*'BMP P Tracking Table'!$AU411)^2-(4*(996.798*'BMP P Tracking Table'!$AU411)*-'BMP P Tracking Table'!$AW411)))/(2*(996.798*'BMP P Tracking Table'!$AU411)),IF(SUM('BMP P Tracking Table'!$AQ411:$AT411)=0,'BMP P Tracking Table'!$AU411/(-3630*'BMP P Tracking Table'!$AO411),(-(3630*'BMP P Tracking Table'!$AO411+20.691*'BMP P Tracking Table'!$AT411-216.711*'BMP P Tracking Table'!$AS411-83.853*'BMP P Tracking Table'!$AR411-42.834*'BMP P Tracking Table'!$AQ411)+SQRT((3630*'BMP P Tracking Table'!$AO411+20.691*'BMP P Tracking Table'!$AT411-216.711*'BMP P Tracking Table'!$AS411-83.853*'BMP P Tracking Table'!$AR411-42.834*'BMP P Tracking Table'!$AQ411)^2-(4*(149.919*'BMP P Tracking Table'!$AQ411+236.676*'BMP P Tracking Table'!$AR411+726*'BMP P Tracking Table'!$AS411+996.798*'BMP P Tracking Table'!$AT411)*-'BMP P Tracking Table'!$AW411)))/(2*(149.919*'BMP P Tracking Table'!$AQ411+236.676*'BMP P Tracking Table'!$AR411+726*'BMP P Tracking Table'!$AS411+996.798*'BMP P Tracking Table'!$AT411))))),MIN(2,IF('BMP P Tracking Table'!$AP411="Total Pervious",(-(3630*'BMP P Tracking Table'!$U411+20.691*'BMP P Tracking Table'!$AA411)+SQRT((3630*'BMP P Tracking Table'!$U411+20.691*'BMP P Tracking Table'!$AA411)^2-(4*(996.798*'BMP P Tracking Table'!$AA411)*-'BMP P Tracking Table'!$AW411)))/(2*(996.798*'BMP P Tracking Table'!$AA411)),IF(SUM('BMP P Tracking Table'!$W411:$Z411)=0,'BMP P Tracking Table'!$AW411/(-3630*'BMP P Tracking Table'!$U411),(-(3630*'BMP P Tracking Table'!$U411+20.691*'BMP P Tracking Table'!$Z411-216.711*'BMP P Tracking Table'!$Y411-83.853*'BMP P Tracking Table'!$X411-42.834*'BMP P Tracking Table'!$W411)+SQRT((3630*'BMP P Tracking Table'!$U411+20.691*'BMP P Tracking Table'!$Z411-216.711*'BMP P Tracking Table'!$Y411-83.853*'BMP P Tracking Table'!$X411-42.834*'BMP P Tracking Table'!$W411)^2-(4*(149.919*'BMP P Tracking Table'!$W411+236.676*'BMP P Tracking Table'!$X411+726*'BMP P Tracking Table'!$Y411+996.798*'BMP P Tracking Table'!$Z411)*-'BMP P Tracking Table'!$AW411)))/(2*(149.919*'BMP P Tracking Table'!$W411+236.676*'BMP P Tracking Table'!$X411+726*'BMP P Tracking Table'!$Y411+996.798*'BMP P Tracking Table'!$Z411)))))),"")</f>
        <v/>
      </c>
      <c r="BA411" s="101" t="str">
        <f>IFERROR((VLOOKUP(CONCATENATE('BMP P Tracking Table'!$AV411," ",'BMP P Tracking Table'!$AX411),'Performance Curves'!$C$1:$L$45,MATCH('BMP P Tracking Table'!$AZ411,'Performance Curves'!$E$1:$L$1,1)+2,FALSE)-VLOOKUP(CONCATENATE('BMP P Tracking Table'!$AV411," ",'BMP P Tracking Table'!$AX411),'Performance Curves'!$C$1:$L$45,MATCH('BMP P Tracking Table'!$AZ411,'Performance Curves'!$E$1:$L$1,1)+1,FALSE)),"")</f>
        <v/>
      </c>
      <c r="BB411" s="101" t="str">
        <f>IFERROR(('BMP P Tracking Table'!$AZ411-INDEX('Performance Curves'!$E$1:$L$1,1,MATCH('BMP P Tracking Table'!$AZ411,'Performance Curves'!$E$1:$L$1,1)))/(INDEX('Performance Curves'!$E$1:$L$1,1,MATCH('BMP P Tracking Table'!$AZ411,'Performance Curves'!$E$1:$L$1,1)+1)-INDEX('Performance Curves'!$E$1:$L$1,1,MATCH('BMP P Tracking Table'!$AZ411,'Performance Curves'!$E$1:$L$1,1))),"")</f>
        <v/>
      </c>
      <c r="BC411" s="102" t="str">
        <f>IFERROR(IF('BMP P Tracking Table'!$AZ411=2,VLOOKUP(CONCATENATE('BMP P Tracking Table'!$AV411," ",'BMP P Tracking Table'!$AX411),'Performance Curves'!$C$1:$L$44,MATCH('BMP P Tracking Table'!$AZ411,'Performance Curves'!$E$1:$L$1,1)+1,FALSE),'BMP P Tracking Table'!$BA411*'BMP P Tracking Table'!$BB411+VLOOKUP(CONCATENATE('BMP P Tracking Table'!$AV411," ",'BMP P Tracking Table'!$AX411),'Performance Curves'!$C$1:$L$44,MATCH('BMP P Tracking Table'!$AZ411,'Performance Curves'!$E$1:$L$1,1)+1,FALSE)),"")</f>
        <v/>
      </c>
      <c r="BD411" s="101" t="str">
        <f>IFERROR('BMP P Tracking Table'!$BC411*'BMP P Tracking Table'!$AY411,"")</f>
        <v/>
      </c>
      <c r="BE411" s="96"/>
      <c r="BF411" s="37">
        <f t="shared" si="23"/>
        <v>0</v>
      </c>
    </row>
    <row r="412" spans="1:58" x14ac:dyDescent="0.3">
      <c r="A412" s="64"/>
      <c r="B412" s="64"/>
      <c r="C412" s="64"/>
      <c r="D412" s="64"/>
      <c r="E412" s="93"/>
      <c r="F412" s="93"/>
      <c r="G412" s="64"/>
      <c r="H412" s="64"/>
      <c r="I412" s="64"/>
      <c r="J412" s="94"/>
      <c r="K412" s="64"/>
      <c r="L412" s="64"/>
      <c r="M412" s="64"/>
      <c r="N412" s="64"/>
      <c r="O412" s="64"/>
      <c r="P412" s="64"/>
      <c r="Q412" s="64" t="str">
        <f>IFERROR(VLOOKUP('BMP P Tracking Table'!$P412,Dropdowns!$C$2:$E$15,3,FALSE),"")</f>
        <v/>
      </c>
      <c r="R412" s="64" t="str">
        <f>IFERROR(VLOOKUP('BMP P Tracking Table'!$Q412,Dropdowns!$P$3:$Q$23,2,FALSE),"")</f>
        <v/>
      </c>
      <c r="S412" s="64"/>
      <c r="T412" s="64"/>
      <c r="U412" s="64"/>
      <c r="V412" s="64"/>
      <c r="W412" s="64"/>
      <c r="X412" s="64"/>
      <c r="Y412" s="64"/>
      <c r="Z412" s="64"/>
      <c r="AA412" s="64"/>
      <c r="AB412" s="95"/>
      <c r="AC412" s="64"/>
      <c r="AD412" s="101" t="str">
        <f>IFERROR('BMP P Tracking Table'!$U412*VLOOKUP('BMP P Tracking Table'!$Q412,'Loading Rates'!$B$1:$L$24,4,FALSE)+IF('BMP P Tracking Table'!$V412="By HSG",'BMP P Tracking Table'!$W412*VLOOKUP('BMP P Tracking Table'!$Q412,'Loading Rates'!$B$1:$L$24,6,FALSE)+'BMP P Tracking Table'!$X412*VLOOKUP('BMP P Tracking Table'!$Q412,'Loading Rates'!$B$1:$L$24,7,FALSE)+'BMP P Tracking Table'!$Y412*VLOOKUP('BMP P Tracking Table'!$Q412,'Loading Rates'!$B$1:$L$24,8,FALSE)+'BMP P Tracking Table'!$Z412*VLOOKUP('BMP P Tracking Table'!$Q412,'Loading Rates'!$B$1:$L$24,9,FALSE),'BMP P Tracking Table'!$AA412*VLOOKUP('BMP P Tracking Table'!$Q412,'Loading Rates'!$B$1:$L$24,10,FALSE)),"")</f>
        <v/>
      </c>
      <c r="AE412" s="101" t="str">
        <f>IFERROR(MIN(2,IF('BMP P Tracking Table'!$V412="Total Pervious",(-(3630*'BMP P Tracking Table'!$U412+20.691*'BMP P Tracking Table'!$AA412)+SQRT((3630*'BMP P Tracking Table'!$U412+20.691*'BMP P Tracking Table'!$AA412)^2-(4*(996.798*'BMP P Tracking Table'!$AA412)*-'BMP P Tracking Table'!$AB412)))/(2*(996.798*'BMP P Tracking Table'!$AA412)),IF(SUM('BMP P Tracking Table'!$W412:$Z412)=0,'BMP P Tracking Table'!$AB412/(-3630*'BMP P Tracking Table'!$U412),(-(3630*'BMP P Tracking Table'!$U412+20.691*'BMP P Tracking Table'!$Z412-216.711*'BMP P Tracking Table'!$Y412-83.853*'BMP P Tracking Table'!$X412-42.834*'BMP P Tracking Table'!$W412)+SQRT((3630*'BMP P Tracking Table'!$U412+20.691*'BMP P Tracking Table'!$Z412-216.711*'BMP P Tracking Table'!$Y412-83.853*'BMP P Tracking Table'!$X412-42.834*'BMP P Tracking Table'!$W412)^2-(4*(149.919*'BMP P Tracking Table'!$W412+236.676*'BMP P Tracking Table'!$X412+726*'BMP P Tracking Table'!$Y412+996.798*'BMP P Tracking Table'!$Z412)*-'BMP P Tracking Table'!$AB412)))/(2*(149.919*'BMP P Tracking Table'!$W412+236.676*'BMP P Tracking Table'!$X412+726*'BMP P Tracking Table'!$Y412+996.798*'BMP P Tracking Table'!$Z412))))),"")</f>
        <v/>
      </c>
      <c r="AF412" s="101" t="str">
        <f>IFERROR((VLOOKUP(CONCATENATE('BMP P Tracking Table'!$T412," ",'BMP P Tracking Table'!$AC412),'Performance Curves'!$C$1:$L$45,MATCH('BMP P Tracking Table'!$AE412,'Performance Curves'!$E$1:$L$1,1)+2,FALSE)-VLOOKUP(CONCATENATE('BMP P Tracking Table'!$T412," ",'BMP P Tracking Table'!$AC412),'Performance Curves'!$C$1:$L$45,MATCH('BMP P Tracking Table'!$AE412,'Performance Curves'!$E$1:$L$1,1)+1,FALSE)),"")</f>
        <v/>
      </c>
      <c r="AG412" s="101" t="str">
        <f>IFERROR(('BMP P Tracking Table'!$AE412-INDEX('Performance Curves'!$E$1:$L$1,1,MATCH('BMP P Tracking Table'!$AE412,'Performance Curves'!$E$1:$L$1,1)))/(INDEX('Performance Curves'!$E$1:$L$1,1,MATCH('BMP P Tracking Table'!$AE412,'Performance Curves'!$E$1:$L$1,1)+1)-INDEX('Performance Curves'!$E$1:$L$1,1,MATCH('BMP P Tracking Table'!$AE412,'Performance Curves'!$E$1:$L$1,1))),"")</f>
        <v/>
      </c>
      <c r="AH412" s="102" t="str">
        <f>IFERROR(IF('BMP P Tracking Table'!$AE412=2,VLOOKUP(CONCATENATE('BMP P Tracking Table'!$T412," ",'BMP P Tracking Table'!$AC412),'Performance Curves'!$C$1:$L$45,MATCH('BMP P Tracking Table'!$AE412,'Performance Curves'!$E$1:$L$1,1)+1,FALSE),'BMP P Tracking Table'!$AF412*'BMP P Tracking Table'!$AG412+VLOOKUP(CONCATENATE('BMP P Tracking Table'!$T412," ",'BMP P Tracking Table'!$AC412),'Performance Curves'!$C$1:$L$45,MATCH('BMP P Tracking Table'!$AE412,'Performance Curves'!$E$1:$L$1,1)+1,FALSE)),"")</f>
        <v/>
      </c>
      <c r="AI412" s="101" t="str">
        <f>IFERROR('BMP P Tracking Table'!$AH412*'BMP P Tracking Table'!$AD412,"")</f>
        <v/>
      </c>
      <c r="AJ412" s="64"/>
      <c r="AK412" s="96"/>
      <c r="AL412" s="96"/>
      <c r="AM412" s="63"/>
      <c r="AN412" s="99" t="str">
        <f t="shared" si="24"/>
        <v/>
      </c>
      <c r="AO412" s="96"/>
      <c r="AP412" s="96"/>
      <c r="AQ412" s="96"/>
      <c r="AR412" s="96"/>
      <c r="AS412" s="96"/>
      <c r="AT412" s="96"/>
      <c r="AU412" s="96"/>
      <c r="AV412" s="64"/>
      <c r="AW412" s="97"/>
      <c r="AX412" s="97"/>
      <c r="AY412" s="101" t="str">
        <f>IF('BMP P Tracking Table'!$AK412="Yes",IF('BMP P Tracking Table'!$AL412="No",'BMP P Tracking Table'!$U412*VLOOKUP('BMP P Tracking Table'!$Q412,'Loading Rates'!$B$1:$L$24,4,FALSE)+IF('BMP P Tracking Table'!$V412="By HSG",'BMP P Tracking Table'!$W412*VLOOKUP('BMP P Tracking Table'!$Q412,'Loading Rates'!$B$1:$L$24,6,FALSE)+'BMP P Tracking Table'!$X412*VLOOKUP('BMP P Tracking Table'!$Q412,'Loading Rates'!$B$1:$L$24,7,FALSE)+'BMP P Tracking Table'!$Y412*VLOOKUP('BMP P Tracking Table'!$Q412,'Loading Rates'!$B$1:$L$24,8,FALSE)+'BMP P Tracking Table'!$Z412*VLOOKUP('BMP P Tracking Table'!$Q412,'Loading Rates'!$B$1:$L$24,9,FALSE),'BMP P Tracking Table'!$AA412*VLOOKUP('BMP P Tracking Table'!$Q412,'Loading Rates'!$B$1:$L$24,10,FALSE)),'BMP P Tracking Table'!$AO412*VLOOKUP('BMP P Tracking Table'!$Q412,'Loading Rates'!$B$1:$L$24,4,FALSE)+IF('BMP P Tracking Table'!$AP412="By HSG",'BMP P Tracking Table'!$AQ412*VLOOKUP('BMP P Tracking Table'!$Q412,'Loading Rates'!$B$1:$L$24,6,FALSE)+'BMP P Tracking Table'!$AR412*VLOOKUP('BMP P Tracking Table'!$Q412,'Loading Rates'!$B$1:$L$24,7,FALSE)+'BMP P Tracking Table'!$AS412*VLOOKUP('BMP P Tracking Table'!$Q412,'Loading Rates'!$B$1:$L$24,8,FALSE)+'BMP P Tracking Table'!$AT412*VLOOKUP('BMP P Tracking Table'!$Q412,'Loading Rates'!$B$1:$L$24,9,FALSE),'BMP P Tracking Table'!$AU412*VLOOKUP('BMP P Tracking Table'!$Q412,'Loading Rates'!$B$1:$L$24,10,FALSE))),"")</f>
        <v/>
      </c>
      <c r="AZ412" s="101" t="str">
        <f>IFERROR(IF('BMP P Tracking Table'!$AL412="Yes",MIN(2,IF('BMP P Tracking Table'!$AP412="Total Pervious",(-(3630*'BMP P Tracking Table'!$AO412+20.691*'BMP P Tracking Table'!$AU412)+SQRT((3630*'BMP P Tracking Table'!$AO412+20.691*'BMP P Tracking Table'!$AU412)^2-(4*(996.798*'BMP P Tracking Table'!$AU412)*-'BMP P Tracking Table'!$AW412)))/(2*(996.798*'BMP P Tracking Table'!$AU412)),IF(SUM('BMP P Tracking Table'!$AQ412:$AT412)=0,'BMP P Tracking Table'!$AU412/(-3630*'BMP P Tracking Table'!$AO412),(-(3630*'BMP P Tracking Table'!$AO412+20.691*'BMP P Tracking Table'!$AT412-216.711*'BMP P Tracking Table'!$AS412-83.853*'BMP P Tracking Table'!$AR412-42.834*'BMP P Tracking Table'!$AQ412)+SQRT((3630*'BMP P Tracking Table'!$AO412+20.691*'BMP P Tracking Table'!$AT412-216.711*'BMP P Tracking Table'!$AS412-83.853*'BMP P Tracking Table'!$AR412-42.834*'BMP P Tracking Table'!$AQ412)^2-(4*(149.919*'BMP P Tracking Table'!$AQ412+236.676*'BMP P Tracking Table'!$AR412+726*'BMP P Tracking Table'!$AS412+996.798*'BMP P Tracking Table'!$AT412)*-'BMP P Tracking Table'!$AW412)))/(2*(149.919*'BMP P Tracking Table'!$AQ412+236.676*'BMP P Tracking Table'!$AR412+726*'BMP P Tracking Table'!$AS412+996.798*'BMP P Tracking Table'!$AT412))))),MIN(2,IF('BMP P Tracking Table'!$AP412="Total Pervious",(-(3630*'BMP P Tracking Table'!$U412+20.691*'BMP P Tracking Table'!$AA412)+SQRT((3630*'BMP P Tracking Table'!$U412+20.691*'BMP P Tracking Table'!$AA412)^2-(4*(996.798*'BMP P Tracking Table'!$AA412)*-'BMP P Tracking Table'!$AW412)))/(2*(996.798*'BMP P Tracking Table'!$AA412)),IF(SUM('BMP P Tracking Table'!$W412:$Z412)=0,'BMP P Tracking Table'!$AW412/(-3630*'BMP P Tracking Table'!$U412),(-(3630*'BMP P Tracking Table'!$U412+20.691*'BMP P Tracking Table'!$Z412-216.711*'BMP P Tracking Table'!$Y412-83.853*'BMP P Tracking Table'!$X412-42.834*'BMP P Tracking Table'!$W412)+SQRT((3630*'BMP P Tracking Table'!$U412+20.691*'BMP P Tracking Table'!$Z412-216.711*'BMP P Tracking Table'!$Y412-83.853*'BMP P Tracking Table'!$X412-42.834*'BMP P Tracking Table'!$W412)^2-(4*(149.919*'BMP P Tracking Table'!$W412+236.676*'BMP P Tracking Table'!$X412+726*'BMP P Tracking Table'!$Y412+996.798*'BMP P Tracking Table'!$Z412)*-'BMP P Tracking Table'!$AW412)))/(2*(149.919*'BMP P Tracking Table'!$W412+236.676*'BMP P Tracking Table'!$X412+726*'BMP P Tracking Table'!$Y412+996.798*'BMP P Tracking Table'!$Z412)))))),"")</f>
        <v/>
      </c>
      <c r="BA412" s="101" t="str">
        <f>IFERROR((VLOOKUP(CONCATENATE('BMP P Tracking Table'!$AV412," ",'BMP P Tracking Table'!$AX412),'Performance Curves'!$C$1:$L$45,MATCH('BMP P Tracking Table'!$AZ412,'Performance Curves'!$E$1:$L$1,1)+2,FALSE)-VLOOKUP(CONCATENATE('BMP P Tracking Table'!$AV412," ",'BMP P Tracking Table'!$AX412),'Performance Curves'!$C$1:$L$45,MATCH('BMP P Tracking Table'!$AZ412,'Performance Curves'!$E$1:$L$1,1)+1,FALSE)),"")</f>
        <v/>
      </c>
      <c r="BB412" s="101" t="str">
        <f>IFERROR(('BMP P Tracking Table'!$AZ412-INDEX('Performance Curves'!$E$1:$L$1,1,MATCH('BMP P Tracking Table'!$AZ412,'Performance Curves'!$E$1:$L$1,1)))/(INDEX('Performance Curves'!$E$1:$L$1,1,MATCH('BMP P Tracking Table'!$AZ412,'Performance Curves'!$E$1:$L$1,1)+1)-INDEX('Performance Curves'!$E$1:$L$1,1,MATCH('BMP P Tracking Table'!$AZ412,'Performance Curves'!$E$1:$L$1,1))),"")</f>
        <v/>
      </c>
      <c r="BC412" s="102" t="str">
        <f>IFERROR(IF('BMP P Tracking Table'!$AZ412=2,VLOOKUP(CONCATENATE('BMP P Tracking Table'!$AV412," ",'BMP P Tracking Table'!$AX412),'Performance Curves'!$C$1:$L$44,MATCH('BMP P Tracking Table'!$AZ412,'Performance Curves'!$E$1:$L$1,1)+1,FALSE),'BMP P Tracking Table'!$BA412*'BMP P Tracking Table'!$BB412+VLOOKUP(CONCATENATE('BMP P Tracking Table'!$AV412," ",'BMP P Tracking Table'!$AX412),'Performance Curves'!$C$1:$L$44,MATCH('BMP P Tracking Table'!$AZ412,'Performance Curves'!$E$1:$L$1,1)+1,FALSE)),"")</f>
        <v/>
      </c>
      <c r="BD412" s="101" t="str">
        <f>IFERROR('BMP P Tracking Table'!$BC412*'BMP P Tracking Table'!$AY412,"")</f>
        <v/>
      </c>
      <c r="BE412" s="96"/>
      <c r="BF412" s="37">
        <f t="shared" ref="BF412:BF475" si="25">IFERROR(BD412+BE412,0)</f>
        <v>0</v>
      </c>
    </row>
    <row r="413" spans="1:58" x14ac:dyDescent="0.3">
      <c r="A413" s="64"/>
      <c r="B413" s="64"/>
      <c r="C413" s="64"/>
      <c r="D413" s="64"/>
      <c r="E413" s="93"/>
      <c r="F413" s="93"/>
      <c r="G413" s="64"/>
      <c r="H413" s="64"/>
      <c r="I413" s="64"/>
      <c r="J413" s="94"/>
      <c r="K413" s="64"/>
      <c r="L413" s="64"/>
      <c r="M413" s="64"/>
      <c r="N413" s="64"/>
      <c r="O413" s="64"/>
      <c r="P413" s="64"/>
      <c r="Q413" s="64" t="str">
        <f>IFERROR(VLOOKUP('BMP P Tracking Table'!$P413,Dropdowns!$C$2:$E$15,3,FALSE),"")</f>
        <v/>
      </c>
      <c r="R413" s="64" t="str">
        <f>IFERROR(VLOOKUP('BMP P Tracking Table'!$Q413,Dropdowns!$P$3:$Q$23,2,FALSE),"")</f>
        <v/>
      </c>
      <c r="S413" s="64"/>
      <c r="T413" s="64"/>
      <c r="U413" s="64"/>
      <c r="V413" s="64"/>
      <c r="W413" s="64"/>
      <c r="X413" s="64"/>
      <c r="Y413" s="64"/>
      <c r="Z413" s="64"/>
      <c r="AA413" s="64"/>
      <c r="AB413" s="95"/>
      <c r="AC413" s="64"/>
      <c r="AD413" s="101" t="str">
        <f>IFERROR('BMP P Tracking Table'!$U413*VLOOKUP('BMP P Tracking Table'!$Q413,'Loading Rates'!$B$1:$L$24,4,FALSE)+IF('BMP P Tracking Table'!$V413="By HSG",'BMP P Tracking Table'!$W413*VLOOKUP('BMP P Tracking Table'!$Q413,'Loading Rates'!$B$1:$L$24,6,FALSE)+'BMP P Tracking Table'!$X413*VLOOKUP('BMP P Tracking Table'!$Q413,'Loading Rates'!$B$1:$L$24,7,FALSE)+'BMP P Tracking Table'!$Y413*VLOOKUP('BMP P Tracking Table'!$Q413,'Loading Rates'!$B$1:$L$24,8,FALSE)+'BMP P Tracking Table'!$Z413*VLOOKUP('BMP P Tracking Table'!$Q413,'Loading Rates'!$B$1:$L$24,9,FALSE),'BMP P Tracking Table'!$AA413*VLOOKUP('BMP P Tracking Table'!$Q413,'Loading Rates'!$B$1:$L$24,10,FALSE)),"")</f>
        <v/>
      </c>
      <c r="AE413" s="101" t="str">
        <f>IFERROR(MIN(2,IF('BMP P Tracking Table'!$V413="Total Pervious",(-(3630*'BMP P Tracking Table'!$U413+20.691*'BMP P Tracking Table'!$AA413)+SQRT((3630*'BMP P Tracking Table'!$U413+20.691*'BMP P Tracking Table'!$AA413)^2-(4*(996.798*'BMP P Tracking Table'!$AA413)*-'BMP P Tracking Table'!$AB413)))/(2*(996.798*'BMP P Tracking Table'!$AA413)),IF(SUM('BMP P Tracking Table'!$W413:$Z413)=0,'BMP P Tracking Table'!$AB413/(-3630*'BMP P Tracking Table'!$U413),(-(3630*'BMP P Tracking Table'!$U413+20.691*'BMP P Tracking Table'!$Z413-216.711*'BMP P Tracking Table'!$Y413-83.853*'BMP P Tracking Table'!$X413-42.834*'BMP P Tracking Table'!$W413)+SQRT((3630*'BMP P Tracking Table'!$U413+20.691*'BMP P Tracking Table'!$Z413-216.711*'BMP P Tracking Table'!$Y413-83.853*'BMP P Tracking Table'!$X413-42.834*'BMP P Tracking Table'!$W413)^2-(4*(149.919*'BMP P Tracking Table'!$W413+236.676*'BMP P Tracking Table'!$X413+726*'BMP P Tracking Table'!$Y413+996.798*'BMP P Tracking Table'!$Z413)*-'BMP P Tracking Table'!$AB413)))/(2*(149.919*'BMP P Tracking Table'!$W413+236.676*'BMP P Tracking Table'!$X413+726*'BMP P Tracking Table'!$Y413+996.798*'BMP P Tracking Table'!$Z413))))),"")</f>
        <v/>
      </c>
      <c r="AF413" s="101" t="str">
        <f>IFERROR((VLOOKUP(CONCATENATE('BMP P Tracking Table'!$T413," ",'BMP P Tracking Table'!$AC413),'Performance Curves'!$C$1:$L$45,MATCH('BMP P Tracking Table'!$AE413,'Performance Curves'!$E$1:$L$1,1)+2,FALSE)-VLOOKUP(CONCATENATE('BMP P Tracking Table'!$T413," ",'BMP P Tracking Table'!$AC413),'Performance Curves'!$C$1:$L$45,MATCH('BMP P Tracking Table'!$AE413,'Performance Curves'!$E$1:$L$1,1)+1,FALSE)),"")</f>
        <v/>
      </c>
      <c r="AG413" s="101" t="str">
        <f>IFERROR(('BMP P Tracking Table'!$AE413-INDEX('Performance Curves'!$E$1:$L$1,1,MATCH('BMP P Tracking Table'!$AE413,'Performance Curves'!$E$1:$L$1,1)))/(INDEX('Performance Curves'!$E$1:$L$1,1,MATCH('BMP P Tracking Table'!$AE413,'Performance Curves'!$E$1:$L$1,1)+1)-INDEX('Performance Curves'!$E$1:$L$1,1,MATCH('BMP P Tracking Table'!$AE413,'Performance Curves'!$E$1:$L$1,1))),"")</f>
        <v/>
      </c>
      <c r="AH413" s="102" t="str">
        <f>IFERROR(IF('BMP P Tracking Table'!$AE413=2,VLOOKUP(CONCATENATE('BMP P Tracking Table'!$T413," ",'BMP P Tracking Table'!$AC413),'Performance Curves'!$C$1:$L$45,MATCH('BMP P Tracking Table'!$AE413,'Performance Curves'!$E$1:$L$1,1)+1,FALSE),'BMP P Tracking Table'!$AF413*'BMP P Tracking Table'!$AG413+VLOOKUP(CONCATENATE('BMP P Tracking Table'!$T413," ",'BMP P Tracking Table'!$AC413),'Performance Curves'!$C$1:$L$45,MATCH('BMP P Tracking Table'!$AE413,'Performance Curves'!$E$1:$L$1,1)+1,FALSE)),"")</f>
        <v/>
      </c>
      <c r="AI413" s="101" t="str">
        <f>IFERROR('BMP P Tracking Table'!$AH413*'BMP P Tracking Table'!$AD413,"")</f>
        <v/>
      </c>
      <c r="AJ413" s="64"/>
      <c r="AK413" s="96"/>
      <c r="AL413" s="96"/>
      <c r="AM413" s="63"/>
      <c r="AN413" s="99" t="str">
        <f t="shared" si="24"/>
        <v/>
      </c>
      <c r="AO413" s="96"/>
      <c r="AP413" s="96"/>
      <c r="AQ413" s="96"/>
      <c r="AR413" s="96"/>
      <c r="AS413" s="96"/>
      <c r="AT413" s="96"/>
      <c r="AU413" s="96"/>
      <c r="AV413" s="64"/>
      <c r="AW413" s="97"/>
      <c r="AX413" s="97"/>
      <c r="AY413" s="101" t="str">
        <f>IF('BMP P Tracking Table'!$AK413="Yes",IF('BMP P Tracking Table'!$AL413="No",'BMP P Tracking Table'!$U413*VLOOKUP('BMP P Tracking Table'!$Q413,'Loading Rates'!$B$1:$L$24,4,FALSE)+IF('BMP P Tracking Table'!$V413="By HSG",'BMP P Tracking Table'!$W413*VLOOKUP('BMP P Tracking Table'!$Q413,'Loading Rates'!$B$1:$L$24,6,FALSE)+'BMP P Tracking Table'!$X413*VLOOKUP('BMP P Tracking Table'!$Q413,'Loading Rates'!$B$1:$L$24,7,FALSE)+'BMP P Tracking Table'!$Y413*VLOOKUP('BMP P Tracking Table'!$Q413,'Loading Rates'!$B$1:$L$24,8,FALSE)+'BMP P Tracking Table'!$Z413*VLOOKUP('BMP P Tracking Table'!$Q413,'Loading Rates'!$B$1:$L$24,9,FALSE),'BMP P Tracking Table'!$AA413*VLOOKUP('BMP P Tracking Table'!$Q413,'Loading Rates'!$B$1:$L$24,10,FALSE)),'BMP P Tracking Table'!$AO413*VLOOKUP('BMP P Tracking Table'!$Q413,'Loading Rates'!$B$1:$L$24,4,FALSE)+IF('BMP P Tracking Table'!$AP413="By HSG",'BMP P Tracking Table'!$AQ413*VLOOKUP('BMP P Tracking Table'!$Q413,'Loading Rates'!$B$1:$L$24,6,FALSE)+'BMP P Tracking Table'!$AR413*VLOOKUP('BMP P Tracking Table'!$Q413,'Loading Rates'!$B$1:$L$24,7,FALSE)+'BMP P Tracking Table'!$AS413*VLOOKUP('BMP P Tracking Table'!$Q413,'Loading Rates'!$B$1:$L$24,8,FALSE)+'BMP P Tracking Table'!$AT413*VLOOKUP('BMP P Tracking Table'!$Q413,'Loading Rates'!$B$1:$L$24,9,FALSE),'BMP P Tracking Table'!$AU413*VLOOKUP('BMP P Tracking Table'!$Q413,'Loading Rates'!$B$1:$L$24,10,FALSE))),"")</f>
        <v/>
      </c>
      <c r="AZ413" s="101" t="str">
        <f>IFERROR(IF('BMP P Tracking Table'!$AL413="Yes",MIN(2,IF('BMP P Tracking Table'!$AP413="Total Pervious",(-(3630*'BMP P Tracking Table'!$AO413+20.691*'BMP P Tracking Table'!$AU413)+SQRT((3630*'BMP P Tracking Table'!$AO413+20.691*'BMP P Tracking Table'!$AU413)^2-(4*(996.798*'BMP P Tracking Table'!$AU413)*-'BMP P Tracking Table'!$AW413)))/(2*(996.798*'BMP P Tracking Table'!$AU413)),IF(SUM('BMP P Tracking Table'!$AQ413:$AT413)=0,'BMP P Tracking Table'!$AU413/(-3630*'BMP P Tracking Table'!$AO413),(-(3630*'BMP P Tracking Table'!$AO413+20.691*'BMP P Tracking Table'!$AT413-216.711*'BMP P Tracking Table'!$AS413-83.853*'BMP P Tracking Table'!$AR413-42.834*'BMP P Tracking Table'!$AQ413)+SQRT((3630*'BMP P Tracking Table'!$AO413+20.691*'BMP P Tracking Table'!$AT413-216.711*'BMP P Tracking Table'!$AS413-83.853*'BMP P Tracking Table'!$AR413-42.834*'BMP P Tracking Table'!$AQ413)^2-(4*(149.919*'BMP P Tracking Table'!$AQ413+236.676*'BMP P Tracking Table'!$AR413+726*'BMP P Tracking Table'!$AS413+996.798*'BMP P Tracking Table'!$AT413)*-'BMP P Tracking Table'!$AW413)))/(2*(149.919*'BMP P Tracking Table'!$AQ413+236.676*'BMP P Tracking Table'!$AR413+726*'BMP P Tracking Table'!$AS413+996.798*'BMP P Tracking Table'!$AT413))))),MIN(2,IF('BMP P Tracking Table'!$AP413="Total Pervious",(-(3630*'BMP P Tracking Table'!$U413+20.691*'BMP P Tracking Table'!$AA413)+SQRT((3630*'BMP P Tracking Table'!$U413+20.691*'BMP P Tracking Table'!$AA413)^2-(4*(996.798*'BMP P Tracking Table'!$AA413)*-'BMP P Tracking Table'!$AW413)))/(2*(996.798*'BMP P Tracking Table'!$AA413)),IF(SUM('BMP P Tracking Table'!$W413:$Z413)=0,'BMP P Tracking Table'!$AW413/(-3630*'BMP P Tracking Table'!$U413),(-(3630*'BMP P Tracking Table'!$U413+20.691*'BMP P Tracking Table'!$Z413-216.711*'BMP P Tracking Table'!$Y413-83.853*'BMP P Tracking Table'!$X413-42.834*'BMP P Tracking Table'!$W413)+SQRT((3630*'BMP P Tracking Table'!$U413+20.691*'BMP P Tracking Table'!$Z413-216.711*'BMP P Tracking Table'!$Y413-83.853*'BMP P Tracking Table'!$X413-42.834*'BMP P Tracking Table'!$W413)^2-(4*(149.919*'BMP P Tracking Table'!$W413+236.676*'BMP P Tracking Table'!$X413+726*'BMP P Tracking Table'!$Y413+996.798*'BMP P Tracking Table'!$Z413)*-'BMP P Tracking Table'!$AW413)))/(2*(149.919*'BMP P Tracking Table'!$W413+236.676*'BMP P Tracking Table'!$X413+726*'BMP P Tracking Table'!$Y413+996.798*'BMP P Tracking Table'!$Z413)))))),"")</f>
        <v/>
      </c>
      <c r="BA413" s="101" t="str">
        <f>IFERROR((VLOOKUP(CONCATENATE('BMP P Tracking Table'!$AV413," ",'BMP P Tracking Table'!$AX413),'Performance Curves'!$C$1:$L$45,MATCH('BMP P Tracking Table'!$AZ413,'Performance Curves'!$E$1:$L$1,1)+2,FALSE)-VLOOKUP(CONCATENATE('BMP P Tracking Table'!$AV413," ",'BMP P Tracking Table'!$AX413),'Performance Curves'!$C$1:$L$45,MATCH('BMP P Tracking Table'!$AZ413,'Performance Curves'!$E$1:$L$1,1)+1,FALSE)),"")</f>
        <v/>
      </c>
      <c r="BB413" s="101" t="str">
        <f>IFERROR(('BMP P Tracking Table'!$AZ413-INDEX('Performance Curves'!$E$1:$L$1,1,MATCH('BMP P Tracking Table'!$AZ413,'Performance Curves'!$E$1:$L$1,1)))/(INDEX('Performance Curves'!$E$1:$L$1,1,MATCH('BMP P Tracking Table'!$AZ413,'Performance Curves'!$E$1:$L$1,1)+1)-INDEX('Performance Curves'!$E$1:$L$1,1,MATCH('BMP P Tracking Table'!$AZ413,'Performance Curves'!$E$1:$L$1,1))),"")</f>
        <v/>
      </c>
      <c r="BC413" s="102" t="str">
        <f>IFERROR(IF('BMP P Tracking Table'!$AZ413=2,VLOOKUP(CONCATENATE('BMP P Tracking Table'!$AV413," ",'BMP P Tracking Table'!$AX413),'Performance Curves'!$C$1:$L$44,MATCH('BMP P Tracking Table'!$AZ413,'Performance Curves'!$E$1:$L$1,1)+1,FALSE),'BMP P Tracking Table'!$BA413*'BMP P Tracking Table'!$BB413+VLOOKUP(CONCATENATE('BMP P Tracking Table'!$AV413," ",'BMP P Tracking Table'!$AX413),'Performance Curves'!$C$1:$L$44,MATCH('BMP P Tracking Table'!$AZ413,'Performance Curves'!$E$1:$L$1,1)+1,FALSE)),"")</f>
        <v/>
      </c>
      <c r="BD413" s="101" t="str">
        <f>IFERROR('BMP P Tracking Table'!$BC413*'BMP P Tracking Table'!$AY413,"")</f>
        <v/>
      </c>
      <c r="BE413" s="96"/>
      <c r="BF413" s="37">
        <f t="shared" si="25"/>
        <v>0</v>
      </c>
    </row>
    <row r="414" spans="1:58" x14ac:dyDescent="0.3">
      <c r="A414" s="64"/>
      <c r="B414" s="64"/>
      <c r="C414" s="64"/>
      <c r="D414" s="64"/>
      <c r="E414" s="93"/>
      <c r="F414" s="93"/>
      <c r="G414" s="64"/>
      <c r="H414" s="64"/>
      <c r="I414" s="64"/>
      <c r="J414" s="94"/>
      <c r="K414" s="64"/>
      <c r="L414" s="64"/>
      <c r="M414" s="64"/>
      <c r="N414" s="64"/>
      <c r="O414" s="64"/>
      <c r="P414" s="64"/>
      <c r="Q414" s="64" t="str">
        <f>IFERROR(VLOOKUP('BMP P Tracking Table'!$P414,Dropdowns!$C$2:$E$15,3,FALSE),"")</f>
        <v/>
      </c>
      <c r="R414" s="64" t="str">
        <f>IFERROR(VLOOKUP('BMP P Tracking Table'!$Q414,Dropdowns!$P$3:$Q$23,2,FALSE),"")</f>
        <v/>
      </c>
      <c r="S414" s="64"/>
      <c r="T414" s="64"/>
      <c r="U414" s="64"/>
      <c r="V414" s="64"/>
      <c r="W414" s="64"/>
      <c r="X414" s="64"/>
      <c r="Y414" s="64"/>
      <c r="Z414" s="64"/>
      <c r="AA414" s="64"/>
      <c r="AB414" s="95"/>
      <c r="AC414" s="64"/>
      <c r="AD414" s="101" t="str">
        <f>IFERROR('BMP P Tracking Table'!$U414*VLOOKUP('BMP P Tracking Table'!$Q414,'Loading Rates'!$B$1:$L$24,4,FALSE)+IF('BMP P Tracking Table'!$V414="By HSG",'BMP P Tracking Table'!$W414*VLOOKUP('BMP P Tracking Table'!$Q414,'Loading Rates'!$B$1:$L$24,6,FALSE)+'BMP P Tracking Table'!$X414*VLOOKUP('BMP P Tracking Table'!$Q414,'Loading Rates'!$B$1:$L$24,7,FALSE)+'BMP P Tracking Table'!$Y414*VLOOKUP('BMP P Tracking Table'!$Q414,'Loading Rates'!$B$1:$L$24,8,FALSE)+'BMP P Tracking Table'!$Z414*VLOOKUP('BMP P Tracking Table'!$Q414,'Loading Rates'!$B$1:$L$24,9,FALSE),'BMP P Tracking Table'!$AA414*VLOOKUP('BMP P Tracking Table'!$Q414,'Loading Rates'!$B$1:$L$24,10,FALSE)),"")</f>
        <v/>
      </c>
      <c r="AE414" s="101" t="str">
        <f>IFERROR(MIN(2,IF('BMP P Tracking Table'!$V414="Total Pervious",(-(3630*'BMP P Tracking Table'!$U414+20.691*'BMP P Tracking Table'!$AA414)+SQRT((3630*'BMP P Tracking Table'!$U414+20.691*'BMP P Tracking Table'!$AA414)^2-(4*(996.798*'BMP P Tracking Table'!$AA414)*-'BMP P Tracking Table'!$AB414)))/(2*(996.798*'BMP P Tracking Table'!$AA414)),IF(SUM('BMP P Tracking Table'!$W414:$Z414)=0,'BMP P Tracking Table'!$AB414/(-3630*'BMP P Tracking Table'!$U414),(-(3630*'BMP P Tracking Table'!$U414+20.691*'BMP P Tracking Table'!$Z414-216.711*'BMP P Tracking Table'!$Y414-83.853*'BMP P Tracking Table'!$X414-42.834*'BMP P Tracking Table'!$W414)+SQRT((3630*'BMP P Tracking Table'!$U414+20.691*'BMP P Tracking Table'!$Z414-216.711*'BMP P Tracking Table'!$Y414-83.853*'BMP P Tracking Table'!$X414-42.834*'BMP P Tracking Table'!$W414)^2-(4*(149.919*'BMP P Tracking Table'!$W414+236.676*'BMP P Tracking Table'!$X414+726*'BMP P Tracking Table'!$Y414+996.798*'BMP P Tracking Table'!$Z414)*-'BMP P Tracking Table'!$AB414)))/(2*(149.919*'BMP P Tracking Table'!$W414+236.676*'BMP P Tracking Table'!$X414+726*'BMP P Tracking Table'!$Y414+996.798*'BMP P Tracking Table'!$Z414))))),"")</f>
        <v/>
      </c>
      <c r="AF414" s="101" t="str">
        <f>IFERROR((VLOOKUP(CONCATENATE('BMP P Tracking Table'!$T414," ",'BMP P Tracking Table'!$AC414),'Performance Curves'!$C$1:$L$45,MATCH('BMP P Tracking Table'!$AE414,'Performance Curves'!$E$1:$L$1,1)+2,FALSE)-VLOOKUP(CONCATENATE('BMP P Tracking Table'!$T414," ",'BMP P Tracking Table'!$AC414),'Performance Curves'!$C$1:$L$45,MATCH('BMP P Tracking Table'!$AE414,'Performance Curves'!$E$1:$L$1,1)+1,FALSE)),"")</f>
        <v/>
      </c>
      <c r="AG414" s="101" t="str">
        <f>IFERROR(('BMP P Tracking Table'!$AE414-INDEX('Performance Curves'!$E$1:$L$1,1,MATCH('BMP P Tracking Table'!$AE414,'Performance Curves'!$E$1:$L$1,1)))/(INDEX('Performance Curves'!$E$1:$L$1,1,MATCH('BMP P Tracking Table'!$AE414,'Performance Curves'!$E$1:$L$1,1)+1)-INDEX('Performance Curves'!$E$1:$L$1,1,MATCH('BMP P Tracking Table'!$AE414,'Performance Curves'!$E$1:$L$1,1))),"")</f>
        <v/>
      </c>
      <c r="AH414" s="102" t="str">
        <f>IFERROR(IF('BMP P Tracking Table'!$AE414=2,VLOOKUP(CONCATENATE('BMP P Tracking Table'!$T414," ",'BMP P Tracking Table'!$AC414),'Performance Curves'!$C$1:$L$45,MATCH('BMP P Tracking Table'!$AE414,'Performance Curves'!$E$1:$L$1,1)+1,FALSE),'BMP P Tracking Table'!$AF414*'BMP P Tracking Table'!$AG414+VLOOKUP(CONCATENATE('BMP P Tracking Table'!$T414," ",'BMP P Tracking Table'!$AC414),'Performance Curves'!$C$1:$L$45,MATCH('BMP P Tracking Table'!$AE414,'Performance Curves'!$E$1:$L$1,1)+1,FALSE)),"")</f>
        <v/>
      </c>
      <c r="AI414" s="101" t="str">
        <f>IFERROR('BMP P Tracking Table'!$AH414*'BMP P Tracking Table'!$AD414,"")</f>
        <v/>
      </c>
      <c r="AJ414" s="64"/>
      <c r="AK414" s="96"/>
      <c r="AL414" s="96"/>
      <c r="AM414" s="63"/>
      <c r="AN414" s="99" t="str">
        <f t="shared" si="24"/>
        <v/>
      </c>
      <c r="AO414" s="96"/>
      <c r="AP414" s="96"/>
      <c r="AQ414" s="96"/>
      <c r="AR414" s="96"/>
      <c r="AS414" s="96"/>
      <c r="AT414" s="96"/>
      <c r="AU414" s="96"/>
      <c r="AV414" s="64"/>
      <c r="AW414" s="97"/>
      <c r="AX414" s="97"/>
      <c r="AY414" s="101" t="str">
        <f>IF('BMP P Tracking Table'!$AK414="Yes",IF('BMP P Tracking Table'!$AL414="No",'BMP P Tracking Table'!$U414*VLOOKUP('BMP P Tracking Table'!$Q414,'Loading Rates'!$B$1:$L$24,4,FALSE)+IF('BMP P Tracking Table'!$V414="By HSG",'BMP P Tracking Table'!$W414*VLOOKUP('BMP P Tracking Table'!$Q414,'Loading Rates'!$B$1:$L$24,6,FALSE)+'BMP P Tracking Table'!$X414*VLOOKUP('BMP P Tracking Table'!$Q414,'Loading Rates'!$B$1:$L$24,7,FALSE)+'BMP P Tracking Table'!$Y414*VLOOKUP('BMP P Tracking Table'!$Q414,'Loading Rates'!$B$1:$L$24,8,FALSE)+'BMP P Tracking Table'!$Z414*VLOOKUP('BMP P Tracking Table'!$Q414,'Loading Rates'!$B$1:$L$24,9,FALSE),'BMP P Tracking Table'!$AA414*VLOOKUP('BMP P Tracking Table'!$Q414,'Loading Rates'!$B$1:$L$24,10,FALSE)),'BMP P Tracking Table'!$AO414*VLOOKUP('BMP P Tracking Table'!$Q414,'Loading Rates'!$B$1:$L$24,4,FALSE)+IF('BMP P Tracking Table'!$AP414="By HSG",'BMP P Tracking Table'!$AQ414*VLOOKUP('BMP P Tracking Table'!$Q414,'Loading Rates'!$B$1:$L$24,6,FALSE)+'BMP P Tracking Table'!$AR414*VLOOKUP('BMP P Tracking Table'!$Q414,'Loading Rates'!$B$1:$L$24,7,FALSE)+'BMP P Tracking Table'!$AS414*VLOOKUP('BMP P Tracking Table'!$Q414,'Loading Rates'!$B$1:$L$24,8,FALSE)+'BMP P Tracking Table'!$AT414*VLOOKUP('BMP P Tracking Table'!$Q414,'Loading Rates'!$B$1:$L$24,9,FALSE),'BMP P Tracking Table'!$AU414*VLOOKUP('BMP P Tracking Table'!$Q414,'Loading Rates'!$B$1:$L$24,10,FALSE))),"")</f>
        <v/>
      </c>
      <c r="AZ414" s="101" t="str">
        <f>IFERROR(IF('BMP P Tracking Table'!$AL414="Yes",MIN(2,IF('BMP P Tracking Table'!$AP414="Total Pervious",(-(3630*'BMP P Tracking Table'!$AO414+20.691*'BMP P Tracking Table'!$AU414)+SQRT((3630*'BMP P Tracking Table'!$AO414+20.691*'BMP P Tracking Table'!$AU414)^2-(4*(996.798*'BMP P Tracking Table'!$AU414)*-'BMP P Tracking Table'!$AW414)))/(2*(996.798*'BMP P Tracking Table'!$AU414)),IF(SUM('BMP P Tracking Table'!$AQ414:$AT414)=0,'BMP P Tracking Table'!$AU414/(-3630*'BMP P Tracking Table'!$AO414),(-(3630*'BMP P Tracking Table'!$AO414+20.691*'BMP P Tracking Table'!$AT414-216.711*'BMP P Tracking Table'!$AS414-83.853*'BMP P Tracking Table'!$AR414-42.834*'BMP P Tracking Table'!$AQ414)+SQRT((3630*'BMP P Tracking Table'!$AO414+20.691*'BMP P Tracking Table'!$AT414-216.711*'BMP P Tracking Table'!$AS414-83.853*'BMP P Tracking Table'!$AR414-42.834*'BMP P Tracking Table'!$AQ414)^2-(4*(149.919*'BMP P Tracking Table'!$AQ414+236.676*'BMP P Tracking Table'!$AR414+726*'BMP P Tracking Table'!$AS414+996.798*'BMP P Tracking Table'!$AT414)*-'BMP P Tracking Table'!$AW414)))/(2*(149.919*'BMP P Tracking Table'!$AQ414+236.676*'BMP P Tracking Table'!$AR414+726*'BMP P Tracking Table'!$AS414+996.798*'BMP P Tracking Table'!$AT414))))),MIN(2,IF('BMP P Tracking Table'!$AP414="Total Pervious",(-(3630*'BMP P Tracking Table'!$U414+20.691*'BMP P Tracking Table'!$AA414)+SQRT((3630*'BMP P Tracking Table'!$U414+20.691*'BMP P Tracking Table'!$AA414)^2-(4*(996.798*'BMP P Tracking Table'!$AA414)*-'BMP P Tracking Table'!$AW414)))/(2*(996.798*'BMP P Tracking Table'!$AA414)),IF(SUM('BMP P Tracking Table'!$W414:$Z414)=0,'BMP P Tracking Table'!$AW414/(-3630*'BMP P Tracking Table'!$U414),(-(3630*'BMP P Tracking Table'!$U414+20.691*'BMP P Tracking Table'!$Z414-216.711*'BMP P Tracking Table'!$Y414-83.853*'BMP P Tracking Table'!$X414-42.834*'BMP P Tracking Table'!$W414)+SQRT((3630*'BMP P Tracking Table'!$U414+20.691*'BMP P Tracking Table'!$Z414-216.711*'BMP P Tracking Table'!$Y414-83.853*'BMP P Tracking Table'!$X414-42.834*'BMP P Tracking Table'!$W414)^2-(4*(149.919*'BMP P Tracking Table'!$W414+236.676*'BMP P Tracking Table'!$X414+726*'BMP P Tracking Table'!$Y414+996.798*'BMP P Tracking Table'!$Z414)*-'BMP P Tracking Table'!$AW414)))/(2*(149.919*'BMP P Tracking Table'!$W414+236.676*'BMP P Tracking Table'!$X414+726*'BMP P Tracking Table'!$Y414+996.798*'BMP P Tracking Table'!$Z414)))))),"")</f>
        <v/>
      </c>
      <c r="BA414" s="101" t="str">
        <f>IFERROR((VLOOKUP(CONCATENATE('BMP P Tracking Table'!$AV414," ",'BMP P Tracking Table'!$AX414),'Performance Curves'!$C$1:$L$45,MATCH('BMP P Tracking Table'!$AZ414,'Performance Curves'!$E$1:$L$1,1)+2,FALSE)-VLOOKUP(CONCATENATE('BMP P Tracking Table'!$AV414," ",'BMP P Tracking Table'!$AX414),'Performance Curves'!$C$1:$L$45,MATCH('BMP P Tracking Table'!$AZ414,'Performance Curves'!$E$1:$L$1,1)+1,FALSE)),"")</f>
        <v/>
      </c>
      <c r="BB414" s="101" t="str">
        <f>IFERROR(('BMP P Tracking Table'!$AZ414-INDEX('Performance Curves'!$E$1:$L$1,1,MATCH('BMP P Tracking Table'!$AZ414,'Performance Curves'!$E$1:$L$1,1)))/(INDEX('Performance Curves'!$E$1:$L$1,1,MATCH('BMP P Tracking Table'!$AZ414,'Performance Curves'!$E$1:$L$1,1)+1)-INDEX('Performance Curves'!$E$1:$L$1,1,MATCH('BMP P Tracking Table'!$AZ414,'Performance Curves'!$E$1:$L$1,1))),"")</f>
        <v/>
      </c>
      <c r="BC414" s="102" t="str">
        <f>IFERROR(IF('BMP P Tracking Table'!$AZ414=2,VLOOKUP(CONCATENATE('BMP P Tracking Table'!$AV414," ",'BMP P Tracking Table'!$AX414),'Performance Curves'!$C$1:$L$44,MATCH('BMP P Tracking Table'!$AZ414,'Performance Curves'!$E$1:$L$1,1)+1,FALSE),'BMP P Tracking Table'!$BA414*'BMP P Tracking Table'!$BB414+VLOOKUP(CONCATENATE('BMP P Tracking Table'!$AV414," ",'BMP P Tracking Table'!$AX414),'Performance Curves'!$C$1:$L$44,MATCH('BMP P Tracking Table'!$AZ414,'Performance Curves'!$E$1:$L$1,1)+1,FALSE)),"")</f>
        <v/>
      </c>
      <c r="BD414" s="101" t="str">
        <f>IFERROR('BMP P Tracking Table'!$BC414*'BMP P Tracking Table'!$AY414,"")</f>
        <v/>
      </c>
      <c r="BE414" s="96"/>
      <c r="BF414" s="37">
        <f t="shared" si="25"/>
        <v>0</v>
      </c>
    </row>
    <row r="415" spans="1:58" x14ac:dyDescent="0.3">
      <c r="A415" s="64"/>
      <c r="B415" s="64"/>
      <c r="C415" s="64"/>
      <c r="D415" s="64"/>
      <c r="E415" s="93"/>
      <c r="F415" s="93"/>
      <c r="G415" s="64"/>
      <c r="H415" s="64"/>
      <c r="I415" s="64"/>
      <c r="J415" s="94"/>
      <c r="K415" s="64"/>
      <c r="L415" s="64"/>
      <c r="M415" s="64"/>
      <c r="N415" s="64"/>
      <c r="O415" s="64"/>
      <c r="P415" s="64"/>
      <c r="Q415" s="64" t="str">
        <f>IFERROR(VLOOKUP('BMP P Tracking Table'!$P415,Dropdowns!$C$2:$E$15,3,FALSE),"")</f>
        <v/>
      </c>
      <c r="R415" s="64" t="str">
        <f>IFERROR(VLOOKUP('BMP P Tracking Table'!$Q415,Dropdowns!$P$3:$Q$23,2,FALSE),"")</f>
        <v/>
      </c>
      <c r="S415" s="64"/>
      <c r="T415" s="64"/>
      <c r="U415" s="64"/>
      <c r="V415" s="64"/>
      <c r="W415" s="64"/>
      <c r="X415" s="64"/>
      <c r="Y415" s="64"/>
      <c r="Z415" s="64"/>
      <c r="AA415" s="64"/>
      <c r="AB415" s="95"/>
      <c r="AC415" s="64"/>
      <c r="AD415" s="101" t="str">
        <f>IFERROR('BMP P Tracking Table'!$U415*VLOOKUP('BMP P Tracking Table'!$Q415,'Loading Rates'!$B$1:$L$24,4,FALSE)+IF('BMP P Tracking Table'!$V415="By HSG",'BMP P Tracking Table'!$W415*VLOOKUP('BMP P Tracking Table'!$Q415,'Loading Rates'!$B$1:$L$24,6,FALSE)+'BMP P Tracking Table'!$X415*VLOOKUP('BMP P Tracking Table'!$Q415,'Loading Rates'!$B$1:$L$24,7,FALSE)+'BMP P Tracking Table'!$Y415*VLOOKUP('BMP P Tracking Table'!$Q415,'Loading Rates'!$B$1:$L$24,8,FALSE)+'BMP P Tracking Table'!$Z415*VLOOKUP('BMP P Tracking Table'!$Q415,'Loading Rates'!$B$1:$L$24,9,FALSE),'BMP P Tracking Table'!$AA415*VLOOKUP('BMP P Tracking Table'!$Q415,'Loading Rates'!$B$1:$L$24,10,FALSE)),"")</f>
        <v/>
      </c>
      <c r="AE415" s="101" t="str">
        <f>IFERROR(MIN(2,IF('BMP P Tracking Table'!$V415="Total Pervious",(-(3630*'BMP P Tracking Table'!$U415+20.691*'BMP P Tracking Table'!$AA415)+SQRT((3630*'BMP P Tracking Table'!$U415+20.691*'BMP P Tracking Table'!$AA415)^2-(4*(996.798*'BMP P Tracking Table'!$AA415)*-'BMP P Tracking Table'!$AB415)))/(2*(996.798*'BMP P Tracking Table'!$AA415)),IF(SUM('BMP P Tracking Table'!$W415:$Z415)=0,'BMP P Tracking Table'!$AB415/(-3630*'BMP P Tracking Table'!$U415),(-(3630*'BMP P Tracking Table'!$U415+20.691*'BMP P Tracking Table'!$Z415-216.711*'BMP P Tracking Table'!$Y415-83.853*'BMP P Tracking Table'!$X415-42.834*'BMP P Tracking Table'!$W415)+SQRT((3630*'BMP P Tracking Table'!$U415+20.691*'BMP P Tracking Table'!$Z415-216.711*'BMP P Tracking Table'!$Y415-83.853*'BMP P Tracking Table'!$X415-42.834*'BMP P Tracking Table'!$W415)^2-(4*(149.919*'BMP P Tracking Table'!$W415+236.676*'BMP P Tracking Table'!$X415+726*'BMP P Tracking Table'!$Y415+996.798*'BMP P Tracking Table'!$Z415)*-'BMP P Tracking Table'!$AB415)))/(2*(149.919*'BMP P Tracking Table'!$W415+236.676*'BMP P Tracking Table'!$X415+726*'BMP P Tracking Table'!$Y415+996.798*'BMP P Tracking Table'!$Z415))))),"")</f>
        <v/>
      </c>
      <c r="AF415" s="101" t="str">
        <f>IFERROR((VLOOKUP(CONCATENATE('BMP P Tracking Table'!$T415," ",'BMP P Tracking Table'!$AC415),'Performance Curves'!$C$1:$L$45,MATCH('BMP P Tracking Table'!$AE415,'Performance Curves'!$E$1:$L$1,1)+2,FALSE)-VLOOKUP(CONCATENATE('BMP P Tracking Table'!$T415," ",'BMP P Tracking Table'!$AC415),'Performance Curves'!$C$1:$L$45,MATCH('BMP P Tracking Table'!$AE415,'Performance Curves'!$E$1:$L$1,1)+1,FALSE)),"")</f>
        <v/>
      </c>
      <c r="AG415" s="101" t="str">
        <f>IFERROR(('BMP P Tracking Table'!$AE415-INDEX('Performance Curves'!$E$1:$L$1,1,MATCH('BMP P Tracking Table'!$AE415,'Performance Curves'!$E$1:$L$1,1)))/(INDEX('Performance Curves'!$E$1:$L$1,1,MATCH('BMP P Tracking Table'!$AE415,'Performance Curves'!$E$1:$L$1,1)+1)-INDEX('Performance Curves'!$E$1:$L$1,1,MATCH('BMP P Tracking Table'!$AE415,'Performance Curves'!$E$1:$L$1,1))),"")</f>
        <v/>
      </c>
      <c r="AH415" s="102" t="str">
        <f>IFERROR(IF('BMP P Tracking Table'!$AE415=2,VLOOKUP(CONCATENATE('BMP P Tracking Table'!$T415," ",'BMP P Tracking Table'!$AC415),'Performance Curves'!$C$1:$L$45,MATCH('BMP P Tracking Table'!$AE415,'Performance Curves'!$E$1:$L$1,1)+1,FALSE),'BMP P Tracking Table'!$AF415*'BMP P Tracking Table'!$AG415+VLOOKUP(CONCATENATE('BMP P Tracking Table'!$T415," ",'BMP P Tracking Table'!$AC415),'Performance Curves'!$C$1:$L$45,MATCH('BMP P Tracking Table'!$AE415,'Performance Curves'!$E$1:$L$1,1)+1,FALSE)),"")</f>
        <v/>
      </c>
      <c r="AI415" s="101" t="str">
        <f>IFERROR('BMP P Tracking Table'!$AH415*'BMP P Tracking Table'!$AD415,"")</f>
        <v/>
      </c>
      <c r="AJ415" s="64"/>
      <c r="AK415" s="96"/>
      <c r="AL415" s="96"/>
      <c r="AM415" s="63"/>
      <c r="AN415" s="99" t="str">
        <f t="shared" si="24"/>
        <v/>
      </c>
      <c r="AO415" s="96"/>
      <c r="AP415" s="96"/>
      <c r="AQ415" s="96"/>
      <c r="AR415" s="96"/>
      <c r="AS415" s="96"/>
      <c r="AT415" s="96"/>
      <c r="AU415" s="96"/>
      <c r="AV415" s="64"/>
      <c r="AW415" s="97"/>
      <c r="AX415" s="97"/>
      <c r="AY415" s="101" t="str">
        <f>IF('BMP P Tracking Table'!$AK415="Yes",IF('BMP P Tracking Table'!$AL415="No",'BMP P Tracking Table'!$U415*VLOOKUP('BMP P Tracking Table'!$Q415,'Loading Rates'!$B$1:$L$24,4,FALSE)+IF('BMP P Tracking Table'!$V415="By HSG",'BMP P Tracking Table'!$W415*VLOOKUP('BMP P Tracking Table'!$Q415,'Loading Rates'!$B$1:$L$24,6,FALSE)+'BMP P Tracking Table'!$X415*VLOOKUP('BMP P Tracking Table'!$Q415,'Loading Rates'!$B$1:$L$24,7,FALSE)+'BMP P Tracking Table'!$Y415*VLOOKUP('BMP P Tracking Table'!$Q415,'Loading Rates'!$B$1:$L$24,8,FALSE)+'BMP P Tracking Table'!$Z415*VLOOKUP('BMP P Tracking Table'!$Q415,'Loading Rates'!$B$1:$L$24,9,FALSE),'BMP P Tracking Table'!$AA415*VLOOKUP('BMP P Tracking Table'!$Q415,'Loading Rates'!$B$1:$L$24,10,FALSE)),'BMP P Tracking Table'!$AO415*VLOOKUP('BMP P Tracking Table'!$Q415,'Loading Rates'!$B$1:$L$24,4,FALSE)+IF('BMP P Tracking Table'!$AP415="By HSG",'BMP P Tracking Table'!$AQ415*VLOOKUP('BMP P Tracking Table'!$Q415,'Loading Rates'!$B$1:$L$24,6,FALSE)+'BMP P Tracking Table'!$AR415*VLOOKUP('BMP P Tracking Table'!$Q415,'Loading Rates'!$B$1:$L$24,7,FALSE)+'BMP P Tracking Table'!$AS415*VLOOKUP('BMP P Tracking Table'!$Q415,'Loading Rates'!$B$1:$L$24,8,FALSE)+'BMP P Tracking Table'!$AT415*VLOOKUP('BMP P Tracking Table'!$Q415,'Loading Rates'!$B$1:$L$24,9,FALSE),'BMP P Tracking Table'!$AU415*VLOOKUP('BMP P Tracking Table'!$Q415,'Loading Rates'!$B$1:$L$24,10,FALSE))),"")</f>
        <v/>
      </c>
      <c r="AZ415" s="101" t="str">
        <f>IFERROR(IF('BMP P Tracking Table'!$AL415="Yes",MIN(2,IF('BMP P Tracking Table'!$AP415="Total Pervious",(-(3630*'BMP P Tracking Table'!$AO415+20.691*'BMP P Tracking Table'!$AU415)+SQRT((3630*'BMP P Tracking Table'!$AO415+20.691*'BMP P Tracking Table'!$AU415)^2-(4*(996.798*'BMP P Tracking Table'!$AU415)*-'BMP P Tracking Table'!$AW415)))/(2*(996.798*'BMP P Tracking Table'!$AU415)),IF(SUM('BMP P Tracking Table'!$AQ415:$AT415)=0,'BMP P Tracking Table'!$AU415/(-3630*'BMP P Tracking Table'!$AO415),(-(3630*'BMP P Tracking Table'!$AO415+20.691*'BMP P Tracking Table'!$AT415-216.711*'BMP P Tracking Table'!$AS415-83.853*'BMP P Tracking Table'!$AR415-42.834*'BMP P Tracking Table'!$AQ415)+SQRT((3630*'BMP P Tracking Table'!$AO415+20.691*'BMP P Tracking Table'!$AT415-216.711*'BMP P Tracking Table'!$AS415-83.853*'BMP P Tracking Table'!$AR415-42.834*'BMP P Tracking Table'!$AQ415)^2-(4*(149.919*'BMP P Tracking Table'!$AQ415+236.676*'BMP P Tracking Table'!$AR415+726*'BMP P Tracking Table'!$AS415+996.798*'BMP P Tracking Table'!$AT415)*-'BMP P Tracking Table'!$AW415)))/(2*(149.919*'BMP P Tracking Table'!$AQ415+236.676*'BMP P Tracking Table'!$AR415+726*'BMP P Tracking Table'!$AS415+996.798*'BMP P Tracking Table'!$AT415))))),MIN(2,IF('BMP P Tracking Table'!$AP415="Total Pervious",(-(3630*'BMP P Tracking Table'!$U415+20.691*'BMP P Tracking Table'!$AA415)+SQRT((3630*'BMP P Tracking Table'!$U415+20.691*'BMP P Tracking Table'!$AA415)^2-(4*(996.798*'BMP P Tracking Table'!$AA415)*-'BMP P Tracking Table'!$AW415)))/(2*(996.798*'BMP P Tracking Table'!$AA415)),IF(SUM('BMP P Tracking Table'!$W415:$Z415)=0,'BMP P Tracking Table'!$AW415/(-3630*'BMP P Tracking Table'!$U415),(-(3630*'BMP P Tracking Table'!$U415+20.691*'BMP P Tracking Table'!$Z415-216.711*'BMP P Tracking Table'!$Y415-83.853*'BMP P Tracking Table'!$X415-42.834*'BMP P Tracking Table'!$W415)+SQRT((3630*'BMP P Tracking Table'!$U415+20.691*'BMP P Tracking Table'!$Z415-216.711*'BMP P Tracking Table'!$Y415-83.853*'BMP P Tracking Table'!$X415-42.834*'BMP P Tracking Table'!$W415)^2-(4*(149.919*'BMP P Tracking Table'!$W415+236.676*'BMP P Tracking Table'!$X415+726*'BMP P Tracking Table'!$Y415+996.798*'BMP P Tracking Table'!$Z415)*-'BMP P Tracking Table'!$AW415)))/(2*(149.919*'BMP P Tracking Table'!$W415+236.676*'BMP P Tracking Table'!$X415+726*'BMP P Tracking Table'!$Y415+996.798*'BMP P Tracking Table'!$Z415)))))),"")</f>
        <v/>
      </c>
      <c r="BA415" s="101" t="str">
        <f>IFERROR((VLOOKUP(CONCATENATE('BMP P Tracking Table'!$AV415," ",'BMP P Tracking Table'!$AX415),'Performance Curves'!$C$1:$L$45,MATCH('BMP P Tracking Table'!$AZ415,'Performance Curves'!$E$1:$L$1,1)+2,FALSE)-VLOOKUP(CONCATENATE('BMP P Tracking Table'!$AV415," ",'BMP P Tracking Table'!$AX415),'Performance Curves'!$C$1:$L$45,MATCH('BMP P Tracking Table'!$AZ415,'Performance Curves'!$E$1:$L$1,1)+1,FALSE)),"")</f>
        <v/>
      </c>
      <c r="BB415" s="101" t="str">
        <f>IFERROR(('BMP P Tracking Table'!$AZ415-INDEX('Performance Curves'!$E$1:$L$1,1,MATCH('BMP P Tracking Table'!$AZ415,'Performance Curves'!$E$1:$L$1,1)))/(INDEX('Performance Curves'!$E$1:$L$1,1,MATCH('BMP P Tracking Table'!$AZ415,'Performance Curves'!$E$1:$L$1,1)+1)-INDEX('Performance Curves'!$E$1:$L$1,1,MATCH('BMP P Tracking Table'!$AZ415,'Performance Curves'!$E$1:$L$1,1))),"")</f>
        <v/>
      </c>
      <c r="BC415" s="102" t="str">
        <f>IFERROR(IF('BMP P Tracking Table'!$AZ415=2,VLOOKUP(CONCATENATE('BMP P Tracking Table'!$AV415," ",'BMP P Tracking Table'!$AX415),'Performance Curves'!$C$1:$L$44,MATCH('BMP P Tracking Table'!$AZ415,'Performance Curves'!$E$1:$L$1,1)+1,FALSE),'BMP P Tracking Table'!$BA415*'BMP P Tracking Table'!$BB415+VLOOKUP(CONCATENATE('BMP P Tracking Table'!$AV415," ",'BMP P Tracking Table'!$AX415),'Performance Curves'!$C$1:$L$44,MATCH('BMP P Tracking Table'!$AZ415,'Performance Curves'!$E$1:$L$1,1)+1,FALSE)),"")</f>
        <v/>
      </c>
      <c r="BD415" s="101" t="str">
        <f>IFERROR('BMP P Tracking Table'!$BC415*'BMP P Tracking Table'!$AY415,"")</f>
        <v/>
      </c>
      <c r="BE415" s="96"/>
      <c r="BF415" s="37">
        <f t="shared" si="25"/>
        <v>0</v>
      </c>
    </row>
    <row r="416" spans="1:58" x14ac:dyDescent="0.3">
      <c r="A416" s="64"/>
      <c r="B416" s="64"/>
      <c r="C416" s="64"/>
      <c r="D416" s="64"/>
      <c r="E416" s="93"/>
      <c r="F416" s="93"/>
      <c r="G416" s="64"/>
      <c r="H416" s="64"/>
      <c r="I416" s="64"/>
      <c r="J416" s="94"/>
      <c r="K416" s="64"/>
      <c r="L416" s="64"/>
      <c r="M416" s="64"/>
      <c r="N416" s="64"/>
      <c r="O416" s="64"/>
      <c r="P416" s="64"/>
      <c r="Q416" s="64" t="str">
        <f>IFERROR(VLOOKUP('BMP P Tracking Table'!$P416,Dropdowns!$C$2:$E$15,3,FALSE),"")</f>
        <v/>
      </c>
      <c r="R416" s="64" t="str">
        <f>IFERROR(VLOOKUP('BMP P Tracking Table'!$Q416,Dropdowns!$P$3:$Q$23,2,FALSE),"")</f>
        <v/>
      </c>
      <c r="S416" s="64"/>
      <c r="T416" s="64"/>
      <c r="U416" s="64"/>
      <c r="V416" s="64"/>
      <c r="W416" s="64"/>
      <c r="X416" s="64"/>
      <c r="Y416" s="64"/>
      <c r="Z416" s="64"/>
      <c r="AA416" s="64"/>
      <c r="AB416" s="95"/>
      <c r="AC416" s="64"/>
      <c r="AD416" s="101" t="str">
        <f>IFERROR('BMP P Tracking Table'!$U416*VLOOKUP('BMP P Tracking Table'!$Q416,'Loading Rates'!$B$1:$L$24,4,FALSE)+IF('BMP P Tracking Table'!$V416="By HSG",'BMP P Tracking Table'!$W416*VLOOKUP('BMP P Tracking Table'!$Q416,'Loading Rates'!$B$1:$L$24,6,FALSE)+'BMP P Tracking Table'!$X416*VLOOKUP('BMP P Tracking Table'!$Q416,'Loading Rates'!$B$1:$L$24,7,FALSE)+'BMP P Tracking Table'!$Y416*VLOOKUP('BMP P Tracking Table'!$Q416,'Loading Rates'!$B$1:$L$24,8,FALSE)+'BMP P Tracking Table'!$Z416*VLOOKUP('BMP P Tracking Table'!$Q416,'Loading Rates'!$B$1:$L$24,9,FALSE),'BMP P Tracking Table'!$AA416*VLOOKUP('BMP P Tracking Table'!$Q416,'Loading Rates'!$B$1:$L$24,10,FALSE)),"")</f>
        <v/>
      </c>
      <c r="AE416" s="101" t="str">
        <f>IFERROR(MIN(2,IF('BMP P Tracking Table'!$V416="Total Pervious",(-(3630*'BMP P Tracking Table'!$U416+20.691*'BMP P Tracking Table'!$AA416)+SQRT((3630*'BMP P Tracking Table'!$U416+20.691*'BMP P Tracking Table'!$AA416)^2-(4*(996.798*'BMP P Tracking Table'!$AA416)*-'BMP P Tracking Table'!$AB416)))/(2*(996.798*'BMP P Tracking Table'!$AA416)),IF(SUM('BMP P Tracking Table'!$W416:$Z416)=0,'BMP P Tracking Table'!$AB416/(-3630*'BMP P Tracking Table'!$U416),(-(3630*'BMP P Tracking Table'!$U416+20.691*'BMP P Tracking Table'!$Z416-216.711*'BMP P Tracking Table'!$Y416-83.853*'BMP P Tracking Table'!$X416-42.834*'BMP P Tracking Table'!$W416)+SQRT((3630*'BMP P Tracking Table'!$U416+20.691*'BMP P Tracking Table'!$Z416-216.711*'BMP P Tracking Table'!$Y416-83.853*'BMP P Tracking Table'!$X416-42.834*'BMP P Tracking Table'!$W416)^2-(4*(149.919*'BMP P Tracking Table'!$W416+236.676*'BMP P Tracking Table'!$X416+726*'BMP P Tracking Table'!$Y416+996.798*'BMP P Tracking Table'!$Z416)*-'BMP P Tracking Table'!$AB416)))/(2*(149.919*'BMP P Tracking Table'!$W416+236.676*'BMP P Tracking Table'!$X416+726*'BMP P Tracking Table'!$Y416+996.798*'BMP P Tracking Table'!$Z416))))),"")</f>
        <v/>
      </c>
      <c r="AF416" s="101" t="str">
        <f>IFERROR((VLOOKUP(CONCATENATE('BMP P Tracking Table'!$T416," ",'BMP P Tracking Table'!$AC416),'Performance Curves'!$C$1:$L$45,MATCH('BMP P Tracking Table'!$AE416,'Performance Curves'!$E$1:$L$1,1)+2,FALSE)-VLOOKUP(CONCATENATE('BMP P Tracking Table'!$T416," ",'BMP P Tracking Table'!$AC416),'Performance Curves'!$C$1:$L$45,MATCH('BMP P Tracking Table'!$AE416,'Performance Curves'!$E$1:$L$1,1)+1,FALSE)),"")</f>
        <v/>
      </c>
      <c r="AG416" s="101" t="str">
        <f>IFERROR(('BMP P Tracking Table'!$AE416-INDEX('Performance Curves'!$E$1:$L$1,1,MATCH('BMP P Tracking Table'!$AE416,'Performance Curves'!$E$1:$L$1,1)))/(INDEX('Performance Curves'!$E$1:$L$1,1,MATCH('BMP P Tracking Table'!$AE416,'Performance Curves'!$E$1:$L$1,1)+1)-INDEX('Performance Curves'!$E$1:$L$1,1,MATCH('BMP P Tracking Table'!$AE416,'Performance Curves'!$E$1:$L$1,1))),"")</f>
        <v/>
      </c>
      <c r="AH416" s="102" t="str">
        <f>IFERROR(IF('BMP P Tracking Table'!$AE416=2,VLOOKUP(CONCATENATE('BMP P Tracking Table'!$T416," ",'BMP P Tracking Table'!$AC416),'Performance Curves'!$C$1:$L$45,MATCH('BMP P Tracking Table'!$AE416,'Performance Curves'!$E$1:$L$1,1)+1,FALSE),'BMP P Tracking Table'!$AF416*'BMP P Tracking Table'!$AG416+VLOOKUP(CONCATENATE('BMP P Tracking Table'!$T416," ",'BMP P Tracking Table'!$AC416),'Performance Curves'!$C$1:$L$45,MATCH('BMP P Tracking Table'!$AE416,'Performance Curves'!$E$1:$L$1,1)+1,FALSE)),"")</f>
        <v/>
      </c>
      <c r="AI416" s="101" t="str">
        <f>IFERROR('BMP P Tracking Table'!$AH416*'BMP P Tracking Table'!$AD416,"")</f>
        <v/>
      </c>
      <c r="AJ416" s="64"/>
      <c r="AK416" s="96"/>
      <c r="AL416" s="96"/>
      <c r="AM416" s="63"/>
      <c r="AN416" s="99" t="str">
        <f t="shared" si="24"/>
        <v/>
      </c>
      <c r="AO416" s="96"/>
      <c r="AP416" s="96"/>
      <c r="AQ416" s="96"/>
      <c r="AR416" s="96"/>
      <c r="AS416" s="96"/>
      <c r="AT416" s="96"/>
      <c r="AU416" s="96"/>
      <c r="AV416" s="64"/>
      <c r="AW416" s="97"/>
      <c r="AX416" s="97"/>
      <c r="AY416" s="101" t="str">
        <f>IF('BMP P Tracking Table'!$AK416="Yes",IF('BMP P Tracking Table'!$AL416="No",'BMP P Tracking Table'!$U416*VLOOKUP('BMP P Tracking Table'!$Q416,'Loading Rates'!$B$1:$L$24,4,FALSE)+IF('BMP P Tracking Table'!$V416="By HSG",'BMP P Tracking Table'!$W416*VLOOKUP('BMP P Tracking Table'!$Q416,'Loading Rates'!$B$1:$L$24,6,FALSE)+'BMP P Tracking Table'!$X416*VLOOKUP('BMP P Tracking Table'!$Q416,'Loading Rates'!$B$1:$L$24,7,FALSE)+'BMP P Tracking Table'!$Y416*VLOOKUP('BMP P Tracking Table'!$Q416,'Loading Rates'!$B$1:$L$24,8,FALSE)+'BMP P Tracking Table'!$Z416*VLOOKUP('BMP P Tracking Table'!$Q416,'Loading Rates'!$B$1:$L$24,9,FALSE),'BMP P Tracking Table'!$AA416*VLOOKUP('BMP P Tracking Table'!$Q416,'Loading Rates'!$B$1:$L$24,10,FALSE)),'BMP P Tracking Table'!$AO416*VLOOKUP('BMP P Tracking Table'!$Q416,'Loading Rates'!$B$1:$L$24,4,FALSE)+IF('BMP P Tracking Table'!$AP416="By HSG",'BMP P Tracking Table'!$AQ416*VLOOKUP('BMP P Tracking Table'!$Q416,'Loading Rates'!$B$1:$L$24,6,FALSE)+'BMP P Tracking Table'!$AR416*VLOOKUP('BMP P Tracking Table'!$Q416,'Loading Rates'!$B$1:$L$24,7,FALSE)+'BMP P Tracking Table'!$AS416*VLOOKUP('BMP P Tracking Table'!$Q416,'Loading Rates'!$B$1:$L$24,8,FALSE)+'BMP P Tracking Table'!$AT416*VLOOKUP('BMP P Tracking Table'!$Q416,'Loading Rates'!$B$1:$L$24,9,FALSE),'BMP P Tracking Table'!$AU416*VLOOKUP('BMP P Tracking Table'!$Q416,'Loading Rates'!$B$1:$L$24,10,FALSE))),"")</f>
        <v/>
      </c>
      <c r="AZ416" s="101" t="str">
        <f>IFERROR(IF('BMP P Tracking Table'!$AL416="Yes",MIN(2,IF('BMP P Tracking Table'!$AP416="Total Pervious",(-(3630*'BMP P Tracking Table'!$AO416+20.691*'BMP P Tracking Table'!$AU416)+SQRT((3630*'BMP P Tracking Table'!$AO416+20.691*'BMP P Tracking Table'!$AU416)^2-(4*(996.798*'BMP P Tracking Table'!$AU416)*-'BMP P Tracking Table'!$AW416)))/(2*(996.798*'BMP P Tracking Table'!$AU416)),IF(SUM('BMP P Tracking Table'!$AQ416:$AT416)=0,'BMP P Tracking Table'!$AU416/(-3630*'BMP P Tracking Table'!$AO416),(-(3630*'BMP P Tracking Table'!$AO416+20.691*'BMP P Tracking Table'!$AT416-216.711*'BMP P Tracking Table'!$AS416-83.853*'BMP P Tracking Table'!$AR416-42.834*'BMP P Tracking Table'!$AQ416)+SQRT((3630*'BMP P Tracking Table'!$AO416+20.691*'BMP P Tracking Table'!$AT416-216.711*'BMP P Tracking Table'!$AS416-83.853*'BMP P Tracking Table'!$AR416-42.834*'BMP P Tracking Table'!$AQ416)^2-(4*(149.919*'BMP P Tracking Table'!$AQ416+236.676*'BMP P Tracking Table'!$AR416+726*'BMP P Tracking Table'!$AS416+996.798*'BMP P Tracking Table'!$AT416)*-'BMP P Tracking Table'!$AW416)))/(2*(149.919*'BMP P Tracking Table'!$AQ416+236.676*'BMP P Tracking Table'!$AR416+726*'BMP P Tracking Table'!$AS416+996.798*'BMP P Tracking Table'!$AT416))))),MIN(2,IF('BMP P Tracking Table'!$AP416="Total Pervious",(-(3630*'BMP P Tracking Table'!$U416+20.691*'BMP P Tracking Table'!$AA416)+SQRT((3630*'BMP P Tracking Table'!$U416+20.691*'BMP P Tracking Table'!$AA416)^2-(4*(996.798*'BMP P Tracking Table'!$AA416)*-'BMP P Tracking Table'!$AW416)))/(2*(996.798*'BMP P Tracking Table'!$AA416)),IF(SUM('BMP P Tracking Table'!$W416:$Z416)=0,'BMP P Tracking Table'!$AW416/(-3630*'BMP P Tracking Table'!$U416),(-(3630*'BMP P Tracking Table'!$U416+20.691*'BMP P Tracking Table'!$Z416-216.711*'BMP P Tracking Table'!$Y416-83.853*'BMP P Tracking Table'!$X416-42.834*'BMP P Tracking Table'!$W416)+SQRT((3630*'BMP P Tracking Table'!$U416+20.691*'BMP P Tracking Table'!$Z416-216.711*'BMP P Tracking Table'!$Y416-83.853*'BMP P Tracking Table'!$X416-42.834*'BMP P Tracking Table'!$W416)^2-(4*(149.919*'BMP P Tracking Table'!$W416+236.676*'BMP P Tracking Table'!$X416+726*'BMP P Tracking Table'!$Y416+996.798*'BMP P Tracking Table'!$Z416)*-'BMP P Tracking Table'!$AW416)))/(2*(149.919*'BMP P Tracking Table'!$W416+236.676*'BMP P Tracking Table'!$X416+726*'BMP P Tracking Table'!$Y416+996.798*'BMP P Tracking Table'!$Z416)))))),"")</f>
        <v/>
      </c>
      <c r="BA416" s="101" t="str">
        <f>IFERROR((VLOOKUP(CONCATENATE('BMP P Tracking Table'!$AV416," ",'BMP P Tracking Table'!$AX416),'Performance Curves'!$C$1:$L$45,MATCH('BMP P Tracking Table'!$AZ416,'Performance Curves'!$E$1:$L$1,1)+2,FALSE)-VLOOKUP(CONCATENATE('BMP P Tracking Table'!$AV416," ",'BMP P Tracking Table'!$AX416),'Performance Curves'!$C$1:$L$45,MATCH('BMP P Tracking Table'!$AZ416,'Performance Curves'!$E$1:$L$1,1)+1,FALSE)),"")</f>
        <v/>
      </c>
      <c r="BB416" s="101" t="str">
        <f>IFERROR(('BMP P Tracking Table'!$AZ416-INDEX('Performance Curves'!$E$1:$L$1,1,MATCH('BMP P Tracking Table'!$AZ416,'Performance Curves'!$E$1:$L$1,1)))/(INDEX('Performance Curves'!$E$1:$L$1,1,MATCH('BMP P Tracking Table'!$AZ416,'Performance Curves'!$E$1:$L$1,1)+1)-INDEX('Performance Curves'!$E$1:$L$1,1,MATCH('BMP P Tracking Table'!$AZ416,'Performance Curves'!$E$1:$L$1,1))),"")</f>
        <v/>
      </c>
      <c r="BC416" s="102" t="str">
        <f>IFERROR(IF('BMP P Tracking Table'!$AZ416=2,VLOOKUP(CONCATENATE('BMP P Tracking Table'!$AV416," ",'BMP P Tracking Table'!$AX416),'Performance Curves'!$C$1:$L$44,MATCH('BMP P Tracking Table'!$AZ416,'Performance Curves'!$E$1:$L$1,1)+1,FALSE),'BMP P Tracking Table'!$BA416*'BMP P Tracking Table'!$BB416+VLOOKUP(CONCATENATE('BMP P Tracking Table'!$AV416," ",'BMP P Tracking Table'!$AX416),'Performance Curves'!$C$1:$L$44,MATCH('BMP P Tracking Table'!$AZ416,'Performance Curves'!$E$1:$L$1,1)+1,FALSE)),"")</f>
        <v/>
      </c>
      <c r="BD416" s="101" t="str">
        <f>IFERROR('BMP P Tracking Table'!$BC416*'BMP P Tracking Table'!$AY416,"")</f>
        <v/>
      </c>
      <c r="BE416" s="91"/>
      <c r="BF416" s="37">
        <f t="shared" si="25"/>
        <v>0</v>
      </c>
    </row>
    <row r="417" spans="1:58" x14ac:dyDescent="0.3">
      <c r="A417" s="64"/>
      <c r="B417" s="64"/>
      <c r="C417" s="64"/>
      <c r="D417" s="64"/>
      <c r="E417" s="93"/>
      <c r="F417" s="93"/>
      <c r="G417" s="64"/>
      <c r="H417" s="64"/>
      <c r="I417" s="64"/>
      <c r="J417" s="94"/>
      <c r="K417" s="64"/>
      <c r="L417" s="64"/>
      <c r="M417" s="64"/>
      <c r="N417" s="64"/>
      <c r="O417" s="64"/>
      <c r="P417" s="64"/>
      <c r="Q417" s="64" t="str">
        <f>IFERROR(VLOOKUP('BMP P Tracking Table'!$P417,Dropdowns!$C$2:$E$15,3,FALSE),"")</f>
        <v/>
      </c>
      <c r="R417" s="64" t="str">
        <f>IFERROR(VLOOKUP('BMP P Tracking Table'!$Q417,Dropdowns!$P$3:$Q$23,2,FALSE),"")</f>
        <v/>
      </c>
      <c r="S417" s="64"/>
      <c r="T417" s="64"/>
      <c r="U417" s="64"/>
      <c r="V417" s="64"/>
      <c r="W417" s="64"/>
      <c r="X417" s="64"/>
      <c r="Y417" s="64"/>
      <c r="Z417" s="64"/>
      <c r="AA417" s="64"/>
      <c r="AB417" s="95"/>
      <c r="AC417" s="64"/>
      <c r="AD417" s="101" t="str">
        <f>IFERROR('BMP P Tracking Table'!$U417*VLOOKUP('BMP P Tracking Table'!$Q417,'Loading Rates'!$B$1:$L$24,4,FALSE)+IF('BMP P Tracking Table'!$V417="By HSG",'BMP P Tracking Table'!$W417*VLOOKUP('BMP P Tracking Table'!$Q417,'Loading Rates'!$B$1:$L$24,6,FALSE)+'BMP P Tracking Table'!$X417*VLOOKUP('BMP P Tracking Table'!$Q417,'Loading Rates'!$B$1:$L$24,7,FALSE)+'BMP P Tracking Table'!$Y417*VLOOKUP('BMP P Tracking Table'!$Q417,'Loading Rates'!$B$1:$L$24,8,FALSE)+'BMP P Tracking Table'!$Z417*VLOOKUP('BMP P Tracking Table'!$Q417,'Loading Rates'!$B$1:$L$24,9,FALSE),'BMP P Tracking Table'!$AA417*VLOOKUP('BMP P Tracking Table'!$Q417,'Loading Rates'!$B$1:$L$24,10,FALSE)),"")</f>
        <v/>
      </c>
      <c r="AE417" s="101" t="str">
        <f>IFERROR(MIN(2,IF('BMP P Tracking Table'!$V417="Total Pervious",(-(3630*'BMP P Tracking Table'!$U417+20.691*'BMP P Tracking Table'!$AA417)+SQRT((3630*'BMP P Tracking Table'!$U417+20.691*'BMP P Tracking Table'!$AA417)^2-(4*(996.798*'BMP P Tracking Table'!$AA417)*-'BMP P Tracking Table'!$AB417)))/(2*(996.798*'BMP P Tracking Table'!$AA417)),IF(SUM('BMP P Tracking Table'!$W417:$Z417)=0,'BMP P Tracking Table'!$AB417/(-3630*'BMP P Tracking Table'!$U417),(-(3630*'BMP P Tracking Table'!$U417+20.691*'BMP P Tracking Table'!$Z417-216.711*'BMP P Tracking Table'!$Y417-83.853*'BMP P Tracking Table'!$X417-42.834*'BMP P Tracking Table'!$W417)+SQRT((3630*'BMP P Tracking Table'!$U417+20.691*'BMP P Tracking Table'!$Z417-216.711*'BMP P Tracking Table'!$Y417-83.853*'BMP P Tracking Table'!$X417-42.834*'BMP P Tracking Table'!$W417)^2-(4*(149.919*'BMP P Tracking Table'!$W417+236.676*'BMP P Tracking Table'!$X417+726*'BMP P Tracking Table'!$Y417+996.798*'BMP P Tracking Table'!$Z417)*-'BMP P Tracking Table'!$AB417)))/(2*(149.919*'BMP P Tracking Table'!$W417+236.676*'BMP P Tracking Table'!$X417+726*'BMP P Tracking Table'!$Y417+996.798*'BMP P Tracking Table'!$Z417))))),"")</f>
        <v/>
      </c>
      <c r="AF417" s="101" t="str">
        <f>IFERROR((VLOOKUP(CONCATENATE('BMP P Tracking Table'!$T417," ",'BMP P Tracking Table'!$AC417),'Performance Curves'!$C$1:$L$45,MATCH('BMP P Tracking Table'!$AE417,'Performance Curves'!$E$1:$L$1,1)+2,FALSE)-VLOOKUP(CONCATENATE('BMP P Tracking Table'!$T417," ",'BMP P Tracking Table'!$AC417),'Performance Curves'!$C$1:$L$45,MATCH('BMP P Tracking Table'!$AE417,'Performance Curves'!$E$1:$L$1,1)+1,FALSE)),"")</f>
        <v/>
      </c>
      <c r="AG417" s="101" t="str">
        <f>IFERROR(('BMP P Tracking Table'!$AE417-INDEX('Performance Curves'!$E$1:$L$1,1,MATCH('BMP P Tracking Table'!$AE417,'Performance Curves'!$E$1:$L$1,1)))/(INDEX('Performance Curves'!$E$1:$L$1,1,MATCH('BMP P Tracking Table'!$AE417,'Performance Curves'!$E$1:$L$1,1)+1)-INDEX('Performance Curves'!$E$1:$L$1,1,MATCH('BMP P Tracking Table'!$AE417,'Performance Curves'!$E$1:$L$1,1))),"")</f>
        <v/>
      </c>
      <c r="AH417" s="102" t="str">
        <f>IFERROR(IF('BMP P Tracking Table'!$AE417=2,VLOOKUP(CONCATENATE('BMP P Tracking Table'!$T417," ",'BMP P Tracking Table'!$AC417),'Performance Curves'!$C$1:$L$45,MATCH('BMP P Tracking Table'!$AE417,'Performance Curves'!$E$1:$L$1,1)+1,FALSE),'BMP P Tracking Table'!$AF417*'BMP P Tracking Table'!$AG417+VLOOKUP(CONCATENATE('BMP P Tracking Table'!$T417," ",'BMP P Tracking Table'!$AC417),'Performance Curves'!$C$1:$L$45,MATCH('BMP P Tracking Table'!$AE417,'Performance Curves'!$E$1:$L$1,1)+1,FALSE)),"")</f>
        <v/>
      </c>
      <c r="AI417" s="101" t="str">
        <f>IFERROR('BMP P Tracking Table'!$AH417*'BMP P Tracking Table'!$AD417,"")</f>
        <v/>
      </c>
      <c r="AJ417" s="64"/>
      <c r="AK417" s="96"/>
      <c r="AL417" s="96"/>
      <c r="AM417" s="63"/>
      <c r="AN417" s="99" t="str">
        <f t="shared" si="24"/>
        <v/>
      </c>
      <c r="AO417" s="96"/>
      <c r="AP417" s="96"/>
      <c r="AQ417" s="96"/>
      <c r="AR417" s="96"/>
      <c r="AS417" s="96"/>
      <c r="AT417" s="96"/>
      <c r="AU417" s="96"/>
      <c r="AV417" s="64"/>
      <c r="AW417" s="97"/>
      <c r="AX417" s="97"/>
      <c r="AY417" s="101" t="str">
        <f>IF('BMP P Tracking Table'!$AK417="Yes",IF('BMP P Tracking Table'!$AL417="No",'BMP P Tracking Table'!$U417*VLOOKUP('BMP P Tracking Table'!$Q417,'Loading Rates'!$B$1:$L$24,4,FALSE)+IF('BMP P Tracking Table'!$V417="By HSG",'BMP P Tracking Table'!$W417*VLOOKUP('BMP P Tracking Table'!$Q417,'Loading Rates'!$B$1:$L$24,6,FALSE)+'BMP P Tracking Table'!$X417*VLOOKUP('BMP P Tracking Table'!$Q417,'Loading Rates'!$B$1:$L$24,7,FALSE)+'BMP P Tracking Table'!$Y417*VLOOKUP('BMP P Tracking Table'!$Q417,'Loading Rates'!$B$1:$L$24,8,FALSE)+'BMP P Tracking Table'!$Z417*VLOOKUP('BMP P Tracking Table'!$Q417,'Loading Rates'!$B$1:$L$24,9,FALSE),'BMP P Tracking Table'!$AA417*VLOOKUP('BMP P Tracking Table'!$Q417,'Loading Rates'!$B$1:$L$24,10,FALSE)),'BMP P Tracking Table'!$AO417*VLOOKUP('BMP P Tracking Table'!$Q417,'Loading Rates'!$B$1:$L$24,4,FALSE)+IF('BMP P Tracking Table'!$AP417="By HSG",'BMP P Tracking Table'!$AQ417*VLOOKUP('BMP P Tracking Table'!$Q417,'Loading Rates'!$B$1:$L$24,6,FALSE)+'BMP P Tracking Table'!$AR417*VLOOKUP('BMP P Tracking Table'!$Q417,'Loading Rates'!$B$1:$L$24,7,FALSE)+'BMP P Tracking Table'!$AS417*VLOOKUP('BMP P Tracking Table'!$Q417,'Loading Rates'!$B$1:$L$24,8,FALSE)+'BMP P Tracking Table'!$AT417*VLOOKUP('BMP P Tracking Table'!$Q417,'Loading Rates'!$B$1:$L$24,9,FALSE),'BMP P Tracking Table'!$AU417*VLOOKUP('BMP P Tracking Table'!$Q417,'Loading Rates'!$B$1:$L$24,10,FALSE))),"")</f>
        <v/>
      </c>
      <c r="AZ417" s="101" t="str">
        <f>IFERROR(IF('BMP P Tracking Table'!$AL417="Yes",MIN(2,IF('BMP P Tracking Table'!$AP417="Total Pervious",(-(3630*'BMP P Tracking Table'!$AO417+20.691*'BMP P Tracking Table'!$AU417)+SQRT((3630*'BMP P Tracking Table'!$AO417+20.691*'BMP P Tracking Table'!$AU417)^2-(4*(996.798*'BMP P Tracking Table'!$AU417)*-'BMP P Tracking Table'!$AW417)))/(2*(996.798*'BMP P Tracking Table'!$AU417)),IF(SUM('BMP P Tracking Table'!$AQ417:$AT417)=0,'BMP P Tracking Table'!$AU417/(-3630*'BMP P Tracking Table'!$AO417),(-(3630*'BMP P Tracking Table'!$AO417+20.691*'BMP P Tracking Table'!$AT417-216.711*'BMP P Tracking Table'!$AS417-83.853*'BMP P Tracking Table'!$AR417-42.834*'BMP P Tracking Table'!$AQ417)+SQRT((3630*'BMP P Tracking Table'!$AO417+20.691*'BMP P Tracking Table'!$AT417-216.711*'BMP P Tracking Table'!$AS417-83.853*'BMP P Tracking Table'!$AR417-42.834*'BMP P Tracking Table'!$AQ417)^2-(4*(149.919*'BMP P Tracking Table'!$AQ417+236.676*'BMP P Tracking Table'!$AR417+726*'BMP P Tracking Table'!$AS417+996.798*'BMP P Tracking Table'!$AT417)*-'BMP P Tracking Table'!$AW417)))/(2*(149.919*'BMP P Tracking Table'!$AQ417+236.676*'BMP P Tracking Table'!$AR417+726*'BMP P Tracking Table'!$AS417+996.798*'BMP P Tracking Table'!$AT417))))),MIN(2,IF('BMP P Tracking Table'!$AP417="Total Pervious",(-(3630*'BMP P Tracking Table'!$U417+20.691*'BMP P Tracking Table'!$AA417)+SQRT((3630*'BMP P Tracking Table'!$U417+20.691*'BMP P Tracking Table'!$AA417)^2-(4*(996.798*'BMP P Tracking Table'!$AA417)*-'BMP P Tracking Table'!$AW417)))/(2*(996.798*'BMP P Tracking Table'!$AA417)),IF(SUM('BMP P Tracking Table'!$W417:$Z417)=0,'BMP P Tracking Table'!$AW417/(-3630*'BMP P Tracking Table'!$U417),(-(3630*'BMP P Tracking Table'!$U417+20.691*'BMP P Tracking Table'!$Z417-216.711*'BMP P Tracking Table'!$Y417-83.853*'BMP P Tracking Table'!$X417-42.834*'BMP P Tracking Table'!$W417)+SQRT((3630*'BMP P Tracking Table'!$U417+20.691*'BMP P Tracking Table'!$Z417-216.711*'BMP P Tracking Table'!$Y417-83.853*'BMP P Tracking Table'!$X417-42.834*'BMP P Tracking Table'!$W417)^2-(4*(149.919*'BMP P Tracking Table'!$W417+236.676*'BMP P Tracking Table'!$X417+726*'BMP P Tracking Table'!$Y417+996.798*'BMP P Tracking Table'!$Z417)*-'BMP P Tracking Table'!$AW417)))/(2*(149.919*'BMP P Tracking Table'!$W417+236.676*'BMP P Tracking Table'!$X417+726*'BMP P Tracking Table'!$Y417+996.798*'BMP P Tracking Table'!$Z417)))))),"")</f>
        <v/>
      </c>
      <c r="BA417" s="101" t="str">
        <f>IFERROR((VLOOKUP(CONCATENATE('BMP P Tracking Table'!$AV417," ",'BMP P Tracking Table'!$AX417),'Performance Curves'!$C$1:$L$45,MATCH('BMP P Tracking Table'!$AZ417,'Performance Curves'!$E$1:$L$1,1)+2,FALSE)-VLOOKUP(CONCATENATE('BMP P Tracking Table'!$AV417," ",'BMP P Tracking Table'!$AX417),'Performance Curves'!$C$1:$L$45,MATCH('BMP P Tracking Table'!$AZ417,'Performance Curves'!$E$1:$L$1,1)+1,FALSE)),"")</f>
        <v/>
      </c>
      <c r="BB417" s="101" t="str">
        <f>IFERROR(('BMP P Tracking Table'!$AZ417-INDEX('Performance Curves'!$E$1:$L$1,1,MATCH('BMP P Tracking Table'!$AZ417,'Performance Curves'!$E$1:$L$1,1)))/(INDEX('Performance Curves'!$E$1:$L$1,1,MATCH('BMP P Tracking Table'!$AZ417,'Performance Curves'!$E$1:$L$1,1)+1)-INDEX('Performance Curves'!$E$1:$L$1,1,MATCH('BMP P Tracking Table'!$AZ417,'Performance Curves'!$E$1:$L$1,1))),"")</f>
        <v/>
      </c>
      <c r="BC417" s="102" t="str">
        <f>IFERROR(IF('BMP P Tracking Table'!$AZ417=2,VLOOKUP(CONCATENATE('BMP P Tracking Table'!$AV417," ",'BMP P Tracking Table'!$AX417),'Performance Curves'!$C$1:$L$44,MATCH('BMP P Tracking Table'!$AZ417,'Performance Curves'!$E$1:$L$1,1)+1,FALSE),'BMP P Tracking Table'!$BA417*'BMP P Tracking Table'!$BB417+VLOOKUP(CONCATENATE('BMP P Tracking Table'!$AV417," ",'BMP P Tracking Table'!$AX417),'Performance Curves'!$C$1:$L$44,MATCH('BMP P Tracking Table'!$AZ417,'Performance Curves'!$E$1:$L$1,1)+1,FALSE)),"")</f>
        <v/>
      </c>
      <c r="BD417" s="101" t="str">
        <f>IFERROR('BMP P Tracking Table'!$BC417*'BMP P Tracking Table'!$AY417,"")</f>
        <v/>
      </c>
      <c r="BE417" s="96"/>
      <c r="BF417" s="37">
        <f t="shared" si="25"/>
        <v>0</v>
      </c>
    </row>
    <row r="418" spans="1:58" x14ac:dyDescent="0.3">
      <c r="A418" s="64"/>
      <c r="B418" s="64"/>
      <c r="C418" s="64"/>
      <c r="D418" s="64"/>
      <c r="E418" s="93"/>
      <c r="F418" s="93"/>
      <c r="G418" s="64"/>
      <c r="H418" s="64"/>
      <c r="I418" s="64"/>
      <c r="J418" s="94"/>
      <c r="K418" s="64"/>
      <c r="L418" s="64"/>
      <c r="M418" s="64"/>
      <c r="N418" s="64"/>
      <c r="O418" s="64"/>
      <c r="P418" s="64"/>
      <c r="Q418" s="64" t="str">
        <f>IFERROR(VLOOKUP('BMP P Tracking Table'!$P418,Dropdowns!$C$2:$E$15,3,FALSE),"")</f>
        <v/>
      </c>
      <c r="R418" s="64" t="str">
        <f>IFERROR(VLOOKUP('BMP P Tracking Table'!$Q418,Dropdowns!$P$3:$Q$23,2,FALSE),"")</f>
        <v/>
      </c>
      <c r="S418" s="64"/>
      <c r="T418" s="64"/>
      <c r="U418" s="64"/>
      <c r="V418" s="64"/>
      <c r="W418" s="64"/>
      <c r="X418" s="64"/>
      <c r="Y418" s="64"/>
      <c r="Z418" s="64"/>
      <c r="AA418" s="64"/>
      <c r="AB418" s="95"/>
      <c r="AC418" s="64"/>
      <c r="AD418" s="101" t="str">
        <f>IFERROR('BMP P Tracking Table'!$U418*VLOOKUP('BMP P Tracking Table'!$Q418,'Loading Rates'!$B$1:$L$24,4,FALSE)+IF('BMP P Tracking Table'!$V418="By HSG",'BMP P Tracking Table'!$W418*VLOOKUP('BMP P Tracking Table'!$Q418,'Loading Rates'!$B$1:$L$24,6,FALSE)+'BMP P Tracking Table'!$X418*VLOOKUP('BMP P Tracking Table'!$Q418,'Loading Rates'!$B$1:$L$24,7,FALSE)+'BMP P Tracking Table'!$Y418*VLOOKUP('BMP P Tracking Table'!$Q418,'Loading Rates'!$B$1:$L$24,8,FALSE)+'BMP P Tracking Table'!$Z418*VLOOKUP('BMP P Tracking Table'!$Q418,'Loading Rates'!$B$1:$L$24,9,FALSE),'BMP P Tracking Table'!$AA418*VLOOKUP('BMP P Tracking Table'!$Q418,'Loading Rates'!$B$1:$L$24,10,FALSE)),"")</f>
        <v/>
      </c>
      <c r="AE418" s="101" t="str">
        <f>IFERROR(MIN(2,IF('BMP P Tracking Table'!$V418="Total Pervious",(-(3630*'BMP P Tracking Table'!$U418+20.691*'BMP P Tracking Table'!$AA418)+SQRT((3630*'BMP P Tracking Table'!$U418+20.691*'BMP P Tracking Table'!$AA418)^2-(4*(996.798*'BMP P Tracking Table'!$AA418)*-'BMP P Tracking Table'!$AB418)))/(2*(996.798*'BMP P Tracking Table'!$AA418)),IF(SUM('BMP P Tracking Table'!$W418:$Z418)=0,'BMP P Tracking Table'!$AB418/(-3630*'BMP P Tracking Table'!$U418),(-(3630*'BMP P Tracking Table'!$U418+20.691*'BMP P Tracking Table'!$Z418-216.711*'BMP P Tracking Table'!$Y418-83.853*'BMP P Tracking Table'!$X418-42.834*'BMP P Tracking Table'!$W418)+SQRT((3630*'BMP P Tracking Table'!$U418+20.691*'BMP P Tracking Table'!$Z418-216.711*'BMP P Tracking Table'!$Y418-83.853*'BMP P Tracking Table'!$X418-42.834*'BMP P Tracking Table'!$W418)^2-(4*(149.919*'BMP P Tracking Table'!$W418+236.676*'BMP P Tracking Table'!$X418+726*'BMP P Tracking Table'!$Y418+996.798*'BMP P Tracking Table'!$Z418)*-'BMP P Tracking Table'!$AB418)))/(2*(149.919*'BMP P Tracking Table'!$W418+236.676*'BMP P Tracking Table'!$X418+726*'BMP P Tracking Table'!$Y418+996.798*'BMP P Tracking Table'!$Z418))))),"")</f>
        <v/>
      </c>
      <c r="AF418" s="101" t="str">
        <f>IFERROR((VLOOKUP(CONCATENATE('BMP P Tracking Table'!$T418," ",'BMP P Tracking Table'!$AC418),'Performance Curves'!$C$1:$L$45,MATCH('BMP P Tracking Table'!$AE418,'Performance Curves'!$E$1:$L$1,1)+2,FALSE)-VLOOKUP(CONCATENATE('BMP P Tracking Table'!$T418," ",'BMP P Tracking Table'!$AC418),'Performance Curves'!$C$1:$L$45,MATCH('BMP P Tracking Table'!$AE418,'Performance Curves'!$E$1:$L$1,1)+1,FALSE)),"")</f>
        <v/>
      </c>
      <c r="AG418" s="101" t="str">
        <f>IFERROR(('BMP P Tracking Table'!$AE418-INDEX('Performance Curves'!$E$1:$L$1,1,MATCH('BMP P Tracking Table'!$AE418,'Performance Curves'!$E$1:$L$1,1)))/(INDEX('Performance Curves'!$E$1:$L$1,1,MATCH('BMP P Tracking Table'!$AE418,'Performance Curves'!$E$1:$L$1,1)+1)-INDEX('Performance Curves'!$E$1:$L$1,1,MATCH('BMP P Tracking Table'!$AE418,'Performance Curves'!$E$1:$L$1,1))),"")</f>
        <v/>
      </c>
      <c r="AH418" s="102" t="str">
        <f>IFERROR(IF('BMP P Tracking Table'!$AE418=2,VLOOKUP(CONCATENATE('BMP P Tracking Table'!$T418," ",'BMP P Tracking Table'!$AC418),'Performance Curves'!$C$1:$L$45,MATCH('BMP P Tracking Table'!$AE418,'Performance Curves'!$E$1:$L$1,1)+1,FALSE),'BMP P Tracking Table'!$AF418*'BMP P Tracking Table'!$AG418+VLOOKUP(CONCATENATE('BMP P Tracking Table'!$T418," ",'BMP P Tracking Table'!$AC418),'Performance Curves'!$C$1:$L$45,MATCH('BMP P Tracking Table'!$AE418,'Performance Curves'!$E$1:$L$1,1)+1,FALSE)),"")</f>
        <v/>
      </c>
      <c r="AI418" s="101" t="str">
        <f>IFERROR('BMP P Tracking Table'!$AH418*'BMP P Tracking Table'!$AD418,"")</f>
        <v/>
      </c>
      <c r="AJ418" s="64"/>
      <c r="AK418" s="96"/>
      <c r="AL418" s="96"/>
      <c r="AM418" s="63"/>
      <c r="AN418" s="99" t="str">
        <f t="shared" si="24"/>
        <v/>
      </c>
      <c r="AO418" s="96"/>
      <c r="AP418" s="96"/>
      <c r="AQ418" s="96"/>
      <c r="AR418" s="96"/>
      <c r="AS418" s="96"/>
      <c r="AT418" s="96"/>
      <c r="AU418" s="96"/>
      <c r="AV418" s="64"/>
      <c r="AW418" s="97"/>
      <c r="AX418" s="97"/>
      <c r="AY418" s="101" t="str">
        <f>IF('BMP P Tracking Table'!$AK418="Yes",IF('BMP P Tracking Table'!$AL418="No",'BMP P Tracking Table'!$U418*VLOOKUP('BMP P Tracking Table'!$Q418,'Loading Rates'!$B$1:$L$24,4,FALSE)+IF('BMP P Tracking Table'!$V418="By HSG",'BMP P Tracking Table'!$W418*VLOOKUP('BMP P Tracking Table'!$Q418,'Loading Rates'!$B$1:$L$24,6,FALSE)+'BMP P Tracking Table'!$X418*VLOOKUP('BMP P Tracking Table'!$Q418,'Loading Rates'!$B$1:$L$24,7,FALSE)+'BMP P Tracking Table'!$Y418*VLOOKUP('BMP P Tracking Table'!$Q418,'Loading Rates'!$B$1:$L$24,8,FALSE)+'BMP P Tracking Table'!$Z418*VLOOKUP('BMP P Tracking Table'!$Q418,'Loading Rates'!$B$1:$L$24,9,FALSE),'BMP P Tracking Table'!$AA418*VLOOKUP('BMP P Tracking Table'!$Q418,'Loading Rates'!$B$1:$L$24,10,FALSE)),'BMP P Tracking Table'!$AO418*VLOOKUP('BMP P Tracking Table'!$Q418,'Loading Rates'!$B$1:$L$24,4,FALSE)+IF('BMP P Tracking Table'!$AP418="By HSG",'BMP P Tracking Table'!$AQ418*VLOOKUP('BMP P Tracking Table'!$Q418,'Loading Rates'!$B$1:$L$24,6,FALSE)+'BMP P Tracking Table'!$AR418*VLOOKUP('BMP P Tracking Table'!$Q418,'Loading Rates'!$B$1:$L$24,7,FALSE)+'BMP P Tracking Table'!$AS418*VLOOKUP('BMP P Tracking Table'!$Q418,'Loading Rates'!$B$1:$L$24,8,FALSE)+'BMP P Tracking Table'!$AT418*VLOOKUP('BMP P Tracking Table'!$Q418,'Loading Rates'!$B$1:$L$24,9,FALSE),'BMP P Tracking Table'!$AU418*VLOOKUP('BMP P Tracking Table'!$Q418,'Loading Rates'!$B$1:$L$24,10,FALSE))),"")</f>
        <v/>
      </c>
      <c r="AZ418" s="101" t="str">
        <f>IFERROR(IF('BMP P Tracking Table'!$AL418="Yes",MIN(2,IF('BMP P Tracking Table'!$AP418="Total Pervious",(-(3630*'BMP P Tracking Table'!$AO418+20.691*'BMP P Tracking Table'!$AU418)+SQRT((3630*'BMP P Tracking Table'!$AO418+20.691*'BMP P Tracking Table'!$AU418)^2-(4*(996.798*'BMP P Tracking Table'!$AU418)*-'BMP P Tracking Table'!$AW418)))/(2*(996.798*'BMP P Tracking Table'!$AU418)),IF(SUM('BMP P Tracking Table'!$AQ418:$AT418)=0,'BMP P Tracking Table'!$AU418/(-3630*'BMP P Tracking Table'!$AO418),(-(3630*'BMP P Tracking Table'!$AO418+20.691*'BMP P Tracking Table'!$AT418-216.711*'BMP P Tracking Table'!$AS418-83.853*'BMP P Tracking Table'!$AR418-42.834*'BMP P Tracking Table'!$AQ418)+SQRT((3630*'BMP P Tracking Table'!$AO418+20.691*'BMP P Tracking Table'!$AT418-216.711*'BMP P Tracking Table'!$AS418-83.853*'BMP P Tracking Table'!$AR418-42.834*'BMP P Tracking Table'!$AQ418)^2-(4*(149.919*'BMP P Tracking Table'!$AQ418+236.676*'BMP P Tracking Table'!$AR418+726*'BMP P Tracking Table'!$AS418+996.798*'BMP P Tracking Table'!$AT418)*-'BMP P Tracking Table'!$AW418)))/(2*(149.919*'BMP P Tracking Table'!$AQ418+236.676*'BMP P Tracking Table'!$AR418+726*'BMP P Tracking Table'!$AS418+996.798*'BMP P Tracking Table'!$AT418))))),MIN(2,IF('BMP P Tracking Table'!$AP418="Total Pervious",(-(3630*'BMP P Tracking Table'!$U418+20.691*'BMP P Tracking Table'!$AA418)+SQRT((3630*'BMP P Tracking Table'!$U418+20.691*'BMP P Tracking Table'!$AA418)^2-(4*(996.798*'BMP P Tracking Table'!$AA418)*-'BMP P Tracking Table'!$AW418)))/(2*(996.798*'BMP P Tracking Table'!$AA418)),IF(SUM('BMP P Tracking Table'!$W418:$Z418)=0,'BMP P Tracking Table'!$AW418/(-3630*'BMP P Tracking Table'!$U418),(-(3630*'BMP P Tracking Table'!$U418+20.691*'BMP P Tracking Table'!$Z418-216.711*'BMP P Tracking Table'!$Y418-83.853*'BMP P Tracking Table'!$X418-42.834*'BMP P Tracking Table'!$W418)+SQRT((3630*'BMP P Tracking Table'!$U418+20.691*'BMP P Tracking Table'!$Z418-216.711*'BMP P Tracking Table'!$Y418-83.853*'BMP P Tracking Table'!$X418-42.834*'BMP P Tracking Table'!$W418)^2-(4*(149.919*'BMP P Tracking Table'!$W418+236.676*'BMP P Tracking Table'!$X418+726*'BMP P Tracking Table'!$Y418+996.798*'BMP P Tracking Table'!$Z418)*-'BMP P Tracking Table'!$AW418)))/(2*(149.919*'BMP P Tracking Table'!$W418+236.676*'BMP P Tracking Table'!$X418+726*'BMP P Tracking Table'!$Y418+996.798*'BMP P Tracking Table'!$Z418)))))),"")</f>
        <v/>
      </c>
      <c r="BA418" s="101" t="str">
        <f>IFERROR((VLOOKUP(CONCATENATE('BMP P Tracking Table'!$AV418," ",'BMP P Tracking Table'!$AX418),'Performance Curves'!$C$1:$L$45,MATCH('BMP P Tracking Table'!$AZ418,'Performance Curves'!$E$1:$L$1,1)+2,FALSE)-VLOOKUP(CONCATENATE('BMP P Tracking Table'!$AV418," ",'BMP P Tracking Table'!$AX418),'Performance Curves'!$C$1:$L$45,MATCH('BMP P Tracking Table'!$AZ418,'Performance Curves'!$E$1:$L$1,1)+1,FALSE)),"")</f>
        <v/>
      </c>
      <c r="BB418" s="101" t="str">
        <f>IFERROR(('BMP P Tracking Table'!$AZ418-INDEX('Performance Curves'!$E$1:$L$1,1,MATCH('BMP P Tracking Table'!$AZ418,'Performance Curves'!$E$1:$L$1,1)))/(INDEX('Performance Curves'!$E$1:$L$1,1,MATCH('BMP P Tracking Table'!$AZ418,'Performance Curves'!$E$1:$L$1,1)+1)-INDEX('Performance Curves'!$E$1:$L$1,1,MATCH('BMP P Tracking Table'!$AZ418,'Performance Curves'!$E$1:$L$1,1))),"")</f>
        <v/>
      </c>
      <c r="BC418" s="102" t="str">
        <f>IFERROR(IF('BMP P Tracking Table'!$AZ418=2,VLOOKUP(CONCATENATE('BMP P Tracking Table'!$AV418," ",'BMP P Tracking Table'!$AX418),'Performance Curves'!$C$1:$L$44,MATCH('BMP P Tracking Table'!$AZ418,'Performance Curves'!$E$1:$L$1,1)+1,FALSE),'BMP P Tracking Table'!$BA418*'BMP P Tracking Table'!$BB418+VLOOKUP(CONCATENATE('BMP P Tracking Table'!$AV418," ",'BMP P Tracking Table'!$AX418),'Performance Curves'!$C$1:$L$44,MATCH('BMP P Tracking Table'!$AZ418,'Performance Curves'!$E$1:$L$1,1)+1,FALSE)),"")</f>
        <v/>
      </c>
      <c r="BD418" s="101" t="str">
        <f>IFERROR('BMP P Tracking Table'!$BC418*'BMP P Tracking Table'!$AY418,"")</f>
        <v/>
      </c>
      <c r="BE418" s="96"/>
      <c r="BF418" s="37">
        <f t="shared" si="25"/>
        <v>0</v>
      </c>
    </row>
    <row r="419" spans="1:58" x14ac:dyDescent="0.3">
      <c r="A419" s="64"/>
      <c r="B419" s="64"/>
      <c r="C419" s="64"/>
      <c r="D419" s="64"/>
      <c r="E419" s="93"/>
      <c r="F419" s="93"/>
      <c r="G419" s="64"/>
      <c r="H419" s="64"/>
      <c r="I419" s="64"/>
      <c r="J419" s="94"/>
      <c r="K419" s="64"/>
      <c r="L419" s="64"/>
      <c r="M419" s="64"/>
      <c r="N419" s="64"/>
      <c r="O419" s="64"/>
      <c r="P419" s="64"/>
      <c r="Q419" s="64" t="str">
        <f>IFERROR(VLOOKUP('BMP P Tracking Table'!$P419,Dropdowns!$C$2:$E$15,3,FALSE),"")</f>
        <v/>
      </c>
      <c r="R419" s="64" t="str">
        <f>IFERROR(VLOOKUP('BMP P Tracking Table'!$Q419,Dropdowns!$P$3:$Q$23,2,FALSE),"")</f>
        <v/>
      </c>
      <c r="S419" s="64"/>
      <c r="T419" s="64"/>
      <c r="U419" s="64"/>
      <c r="V419" s="64"/>
      <c r="W419" s="64"/>
      <c r="X419" s="64"/>
      <c r="Y419" s="64"/>
      <c r="Z419" s="64"/>
      <c r="AA419" s="64"/>
      <c r="AB419" s="95"/>
      <c r="AC419" s="64"/>
      <c r="AD419" s="101" t="str">
        <f>IFERROR('BMP P Tracking Table'!$U419*VLOOKUP('BMP P Tracking Table'!$Q419,'Loading Rates'!$B$1:$L$24,4,FALSE)+IF('BMP P Tracking Table'!$V419="By HSG",'BMP P Tracking Table'!$W419*VLOOKUP('BMP P Tracking Table'!$Q419,'Loading Rates'!$B$1:$L$24,6,FALSE)+'BMP P Tracking Table'!$X419*VLOOKUP('BMP P Tracking Table'!$Q419,'Loading Rates'!$B$1:$L$24,7,FALSE)+'BMP P Tracking Table'!$Y419*VLOOKUP('BMP P Tracking Table'!$Q419,'Loading Rates'!$B$1:$L$24,8,FALSE)+'BMP P Tracking Table'!$Z419*VLOOKUP('BMP P Tracking Table'!$Q419,'Loading Rates'!$B$1:$L$24,9,FALSE),'BMP P Tracking Table'!$AA419*VLOOKUP('BMP P Tracking Table'!$Q419,'Loading Rates'!$B$1:$L$24,10,FALSE)),"")</f>
        <v/>
      </c>
      <c r="AE419" s="101" t="str">
        <f>IFERROR(MIN(2,IF('BMP P Tracking Table'!$V419="Total Pervious",(-(3630*'BMP P Tracking Table'!$U419+20.691*'BMP P Tracking Table'!$AA419)+SQRT((3630*'BMP P Tracking Table'!$U419+20.691*'BMP P Tracking Table'!$AA419)^2-(4*(996.798*'BMP P Tracking Table'!$AA419)*-'BMP P Tracking Table'!$AB419)))/(2*(996.798*'BMP P Tracking Table'!$AA419)),IF(SUM('BMP P Tracking Table'!$W419:$Z419)=0,'BMP P Tracking Table'!$AB419/(-3630*'BMP P Tracking Table'!$U419),(-(3630*'BMP P Tracking Table'!$U419+20.691*'BMP P Tracking Table'!$Z419-216.711*'BMP P Tracking Table'!$Y419-83.853*'BMP P Tracking Table'!$X419-42.834*'BMP P Tracking Table'!$W419)+SQRT((3630*'BMP P Tracking Table'!$U419+20.691*'BMP P Tracking Table'!$Z419-216.711*'BMP P Tracking Table'!$Y419-83.853*'BMP P Tracking Table'!$X419-42.834*'BMP P Tracking Table'!$W419)^2-(4*(149.919*'BMP P Tracking Table'!$W419+236.676*'BMP P Tracking Table'!$X419+726*'BMP P Tracking Table'!$Y419+996.798*'BMP P Tracking Table'!$Z419)*-'BMP P Tracking Table'!$AB419)))/(2*(149.919*'BMP P Tracking Table'!$W419+236.676*'BMP P Tracking Table'!$X419+726*'BMP P Tracking Table'!$Y419+996.798*'BMP P Tracking Table'!$Z419))))),"")</f>
        <v/>
      </c>
      <c r="AF419" s="101" t="str">
        <f>IFERROR((VLOOKUP(CONCATENATE('BMP P Tracking Table'!$T419," ",'BMP P Tracking Table'!$AC419),'Performance Curves'!$C$1:$L$45,MATCH('BMP P Tracking Table'!$AE419,'Performance Curves'!$E$1:$L$1,1)+2,FALSE)-VLOOKUP(CONCATENATE('BMP P Tracking Table'!$T419," ",'BMP P Tracking Table'!$AC419),'Performance Curves'!$C$1:$L$45,MATCH('BMP P Tracking Table'!$AE419,'Performance Curves'!$E$1:$L$1,1)+1,FALSE)),"")</f>
        <v/>
      </c>
      <c r="AG419" s="101" t="str">
        <f>IFERROR(('BMP P Tracking Table'!$AE419-INDEX('Performance Curves'!$E$1:$L$1,1,MATCH('BMP P Tracking Table'!$AE419,'Performance Curves'!$E$1:$L$1,1)))/(INDEX('Performance Curves'!$E$1:$L$1,1,MATCH('BMP P Tracking Table'!$AE419,'Performance Curves'!$E$1:$L$1,1)+1)-INDEX('Performance Curves'!$E$1:$L$1,1,MATCH('BMP P Tracking Table'!$AE419,'Performance Curves'!$E$1:$L$1,1))),"")</f>
        <v/>
      </c>
      <c r="AH419" s="102" t="str">
        <f>IFERROR(IF('BMP P Tracking Table'!$AE419=2,VLOOKUP(CONCATENATE('BMP P Tracking Table'!$T419," ",'BMP P Tracking Table'!$AC419),'Performance Curves'!$C$1:$L$45,MATCH('BMP P Tracking Table'!$AE419,'Performance Curves'!$E$1:$L$1,1)+1,FALSE),'BMP P Tracking Table'!$AF419*'BMP P Tracking Table'!$AG419+VLOOKUP(CONCATENATE('BMP P Tracking Table'!$T419," ",'BMP P Tracking Table'!$AC419),'Performance Curves'!$C$1:$L$45,MATCH('BMP P Tracking Table'!$AE419,'Performance Curves'!$E$1:$L$1,1)+1,FALSE)),"")</f>
        <v/>
      </c>
      <c r="AI419" s="101" t="str">
        <f>IFERROR('BMP P Tracking Table'!$AH419*'BMP P Tracking Table'!$AD419,"")</f>
        <v/>
      </c>
      <c r="AJ419" s="64"/>
      <c r="AK419" s="96"/>
      <c r="AL419" s="96"/>
      <c r="AM419" s="63"/>
      <c r="AN419" s="99" t="str">
        <f t="shared" si="24"/>
        <v/>
      </c>
      <c r="AO419" s="96"/>
      <c r="AP419" s="96"/>
      <c r="AQ419" s="96"/>
      <c r="AR419" s="96"/>
      <c r="AS419" s="96"/>
      <c r="AT419" s="96"/>
      <c r="AU419" s="96"/>
      <c r="AV419" s="64"/>
      <c r="AW419" s="97"/>
      <c r="AX419" s="97"/>
      <c r="AY419" s="101" t="str">
        <f>IF('BMP P Tracking Table'!$AK419="Yes",IF('BMP P Tracking Table'!$AL419="No",'BMP P Tracking Table'!$U419*VLOOKUP('BMP P Tracking Table'!$Q419,'Loading Rates'!$B$1:$L$24,4,FALSE)+IF('BMP P Tracking Table'!$V419="By HSG",'BMP P Tracking Table'!$W419*VLOOKUP('BMP P Tracking Table'!$Q419,'Loading Rates'!$B$1:$L$24,6,FALSE)+'BMP P Tracking Table'!$X419*VLOOKUP('BMP P Tracking Table'!$Q419,'Loading Rates'!$B$1:$L$24,7,FALSE)+'BMP P Tracking Table'!$Y419*VLOOKUP('BMP P Tracking Table'!$Q419,'Loading Rates'!$B$1:$L$24,8,FALSE)+'BMP P Tracking Table'!$Z419*VLOOKUP('BMP P Tracking Table'!$Q419,'Loading Rates'!$B$1:$L$24,9,FALSE),'BMP P Tracking Table'!$AA419*VLOOKUP('BMP P Tracking Table'!$Q419,'Loading Rates'!$B$1:$L$24,10,FALSE)),'BMP P Tracking Table'!$AO419*VLOOKUP('BMP P Tracking Table'!$Q419,'Loading Rates'!$B$1:$L$24,4,FALSE)+IF('BMP P Tracking Table'!$AP419="By HSG",'BMP P Tracking Table'!$AQ419*VLOOKUP('BMP P Tracking Table'!$Q419,'Loading Rates'!$B$1:$L$24,6,FALSE)+'BMP P Tracking Table'!$AR419*VLOOKUP('BMP P Tracking Table'!$Q419,'Loading Rates'!$B$1:$L$24,7,FALSE)+'BMP P Tracking Table'!$AS419*VLOOKUP('BMP P Tracking Table'!$Q419,'Loading Rates'!$B$1:$L$24,8,FALSE)+'BMP P Tracking Table'!$AT419*VLOOKUP('BMP P Tracking Table'!$Q419,'Loading Rates'!$B$1:$L$24,9,FALSE),'BMP P Tracking Table'!$AU419*VLOOKUP('BMP P Tracking Table'!$Q419,'Loading Rates'!$B$1:$L$24,10,FALSE))),"")</f>
        <v/>
      </c>
      <c r="AZ419" s="101" t="str">
        <f>IFERROR(IF('BMP P Tracking Table'!$AL419="Yes",MIN(2,IF('BMP P Tracking Table'!$AP419="Total Pervious",(-(3630*'BMP P Tracking Table'!$AO419+20.691*'BMP P Tracking Table'!$AU419)+SQRT((3630*'BMP P Tracking Table'!$AO419+20.691*'BMP P Tracking Table'!$AU419)^2-(4*(996.798*'BMP P Tracking Table'!$AU419)*-'BMP P Tracking Table'!$AW419)))/(2*(996.798*'BMP P Tracking Table'!$AU419)),IF(SUM('BMP P Tracking Table'!$AQ419:$AT419)=0,'BMP P Tracking Table'!$AU419/(-3630*'BMP P Tracking Table'!$AO419),(-(3630*'BMP P Tracking Table'!$AO419+20.691*'BMP P Tracking Table'!$AT419-216.711*'BMP P Tracking Table'!$AS419-83.853*'BMP P Tracking Table'!$AR419-42.834*'BMP P Tracking Table'!$AQ419)+SQRT((3630*'BMP P Tracking Table'!$AO419+20.691*'BMP P Tracking Table'!$AT419-216.711*'BMP P Tracking Table'!$AS419-83.853*'BMP P Tracking Table'!$AR419-42.834*'BMP P Tracking Table'!$AQ419)^2-(4*(149.919*'BMP P Tracking Table'!$AQ419+236.676*'BMP P Tracking Table'!$AR419+726*'BMP P Tracking Table'!$AS419+996.798*'BMP P Tracking Table'!$AT419)*-'BMP P Tracking Table'!$AW419)))/(2*(149.919*'BMP P Tracking Table'!$AQ419+236.676*'BMP P Tracking Table'!$AR419+726*'BMP P Tracking Table'!$AS419+996.798*'BMP P Tracking Table'!$AT419))))),MIN(2,IF('BMP P Tracking Table'!$AP419="Total Pervious",(-(3630*'BMP P Tracking Table'!$U419+20.691*'BMP P Tracking Table'!$AA419)+SQRT((3630*'BMP P Tracking Table'!$U419+20.691*'BMP P Tracking Table'!$AA419)^2-(4*(996.798*'BMP P Tracking Table'!$AA419)*-'BMP P Tracking Table'!$AW419)))/(2*(996.798*'BMP P Tracking Table'!$AA419)),IF(SUM('BMP P Tracking Table'!$W419:$Z419)=0,'BMP P Tracking Table'!$AW419/(-3630*'BMP P Tracking Table'!$U419),(-(3630*'BMP P Tracking Table'!$U419+20.691*'BMP P Tracking Table'!$Z419-216.711*'BMP P Tracking Table'!$Y419-83.853*'BMP P Tracking Table'!$X419-42.834*'BMP P Tracking Table'!$W419)+SQRT((3630*'BMP P Tracking Table'!$U419+20.691*'BMP P Tracking Table'!$Z419-216.711*'BMP P Tracking Table'!$Y419-83.853*'BMP P Tracking Table'!$X419-42.834*'BMP P Tracking Table'!$W419)^2-(4*(149.919*'BMP P Tracking Table'!$W419+236.676*'BMP P Tracking Table'!$X419+726*'BMP P Tracking Table'!$Y419+996.798*'BMP P Tracking Table'!$Z419)*-'BMP P Tracking Table'!$AW419)))/(2*(149.919*'BMP P Tracking Table'!$W419+236.676*'BMP P Tracking Table'!$X419+726*'BMP P Tracking Table'!$Y419+996.798*'BMP P Tracking Table'!$Z419)))))),"")</f>
        <v/>
      </c>
      <c r="BA419" s="101" t="str">
        <f>IFERROR((VLOOKUP(CONCATENATE('BMP P Tracking Table'!$AV419," ",'BMP P Tracking Table'!$AX419),'Performance Curves'!$C$1:$L$45,MATCH('BMP P Tracking Table'!$AZ419,'Performance Curves'!$E$1:$L$1,1)+2,FALSE)-VLOOKUP(CONCATENATE('BMP P Tracking Table'!$AV419," ",'BMP P Tracking Table'!$AX419),'Performance Curves'!$C$1:$L$45,MATCH('BMP P Tracking Table'!$AZ419,'Performance Curves'!$E$1:$L$1,1)+1,FALSE)),"")</f>
        <v/>
      </c>
      <c r="BB419" s="101" t="str">
        <f>IFERROR(('BMP P Tracking Table'!$AZ419-INDEX('Performance Curves'!$E$1:$L$1,1,MATCH('BMP P Tracking Table'!$AZ419,'Performance Curves'!$E$1:$L$1,1)))/(INDEX('Performance Curves'!$E$1:$L$1,1,MATCH('BMP P Tracking Table'!$AZ419,'Performance Curves'!$E$1:$L$1,1)+1)-INDEX('Performance Curves'!$E$1:$L$1,1,MATCH('BMP P Tracking Table'!$AZ419,'Performance Curves'!$E$1:$L$1,1))),"")</f>
        <v/>
      </c>
      <c r="BC419" s="102" t="str">
        <f>IFERROR(IF('BMP P Tracking Table'!$AZ419=2,VLOOKUP(CONCATENATE('BMP P Tracking Table'!$AV419," ",'BMP P Tracking Table'!$AX419),'Performance Curves'!$C$1:$L$44,MATCH('BMP P Tracking Table'!$AZ419,'Performance Curves'!$E$1:$L$1,1)+1,FALSE),'BMP P Tracking Table'!$BA419*'BMP P Tracking Table'!$BB419+VLOOKUP(CONCATENATE('BMP P Tracking Table'!$AV419," ",'BMP P Tracking Table'!$AX419),'Performance Curves'!$C$1:$L$44,MATCH('BMP P Tracking Table'!$AZ419,'Performance Curves'!$E$1:$L$1,1)+1,FALSE)),"")</f>
        <v/>
      </c>
      <c r="BD419" s="101" t="str">
        <f>IFERROR('BMP P Tracking Table'!$BC419*'BMP P Tracking Table'!$AY419,"")</f>
        <v/>
      </c>
      <c r="BE419" s="96"/>
      <c r="BF419" s="37">
        <f t="shared" si="25"/>
        <v>0</v>
      </c>
    </row>
    <row r="420" spans="1:58" x14ac:dyDescent="0.3">
      <c r="A420" s="64"/>
      <c r="B420" s="64"/>
      <c r="C420" s="64"/>
      <c r="D420" s="64"/>
      <c r="E420" s="93"/>
      <c r="F420" s="93"/>
      <c r="G420" s="64"/>
      <c r="H420" s="64"/>
      <c r="I420" s="64"/>
      <c r="J420" s="94"/>
      <c r="K420" s="64"/>
      <c r="L420" s="64"/>
      <c r="M420" s="64"/>
      <c r="N420" s="64"/>
      <c r="O420" s="64"/>
      <c r="P420" s="64"/>
      <c r="Q420" s="64" t="str">
        <f>IFERROR(VLOOKUP('BMP P Tracking Table'!$P420,Dropdowns!$C$2:$E$15,3,FALSE),"")</f>
        <v/>
      </c>
      <c r="R420" s="64" t="str">
        <f>IFERROR(VLOOKUP('BMP P Tracking Table'!$Q420,Dropdowns!$P$3:$Q$23,2,FALSE),"")</f>
        <v/>
      </c>
      <c r="S420" s="64"/>
      <c r="T420" s="64"/>
      <c r="U420" s="64"/>
      <c r="V420" s="64"/>
      <c r="W420" s="64"/>
      <c r="X420" s="64"/>
      <c r="Y420" s="64"/>
      <c r="Z420" s="64"/>
      <c r="AA420" s="64"/>
      <c r="AB420" s="95"/>
      <c r="AC420" s="64"/>
      <c r="AD420" s="101" t="str">
        <f>IFERROR('BMP P Tracking Table'!$U420*VLOOKUP('BMP P Tracking Table'!$Q420,'Loading Rates'!$B$1:$L$24,4,FALSE)+IF('BMP P Tracking Table'!$V420="By HSG",'BMP P Tracking Table'!$W420*VLOOKUP('BMP P Tracking Table'!$Q420,'Loading Rates'!$B$1:$L$24,6,FALSE)+'BMP P Tracking Table'!$X420*VLOOKUP('BMP P Tracking Table'!$Q420,'Loading Rates'!$B$1:$L$24,7,FALSE)+'BMP P Tracking Table'!$Y420*VLOOKUP('BMP P Tracking Table'!$Q420,'Loading Rates'!$B$1:$L$24,8,FALSE)+'BMP P Tracking Table'!$Z420*VLOOKUP('BMP P Tracking Table'!$Q420,'Loading Rates'!$B$1:$L$24,9,FALSE),'BMP P Tracking Table'!$AA420*VLOOKUP('BMP P Tracking Table'!$Q420,'Loading Rates'!$B$1:$L$24,10,FALSE)),"")</f>
        <v/>
      </c>
      <c r="AE420" s="101" t="str">
        <f>IFERROR(MIN(2,IF('BMP P Tracking Table'!$V420="Total Pervious",(-(3630*'BMP P Tracking Table'!$U420+20.691*'BMP P Tracking Table'!$AA420)+SQRT((3630*'BMP P Tracking Table'!$U420+20.691*'BMP P Tracking Table'!$AA420)^2-(4*(996.798*'BMP P Tracking Table'!$AA420)*-'BMP P Tracking Table'!$AB420)))/(2*(996.798*'BMP P Tracking Table'!$AA420)),IF(SUM('BMP P Tracking Table'!$W420:$Z420)=0,'BMP P Tracking Table'!$AB420/(-3630*'BMP P Tracking Table'!$U420),(-(3630*'BMP P Tracking Table'!$U420+20.691*'BMP P Tracking Table'!$Z420-216.711*'BMP P Tracking Table'!$Y420-83.853*'BMP P Tracking Table'!$X420-42.834*'BMP P Tracking Table'!$W420)+SQRT((3630*'BMP P Tracking Table'!$U420+20.691*'BMP P Tracking Table'!$Z420-216.711*'BMP P Tracking Table'!$Y420-83.853*'BMP P Tracking Table'!$X420-42.834*'BMP P Tracking Table'!$W420)^2-(4*(149.919*'BMP P Tracking Table'!$W420+236.676*'BMP P Tracking Table'!$X420+726*'BMP P Tracking Table'!$Y420+996.798*'BMP P Tracking Table'!$Z420)*-'BMP P Tracking Table'!$AB420)))/(2*(149.919*'BMP P Tracking Table'!$W420+236.676*'BMP P Tracking Table'!$X420+726*'BMP P Tracking Table'!$Y420+996.798*'BMP P Tracking Table'!$Z420))))),"")</f>
        <v/>
      </c>
      <c r="AF420" s="101" t="str">
        <f>IFERROR((VLOOKUP(CONCATENATE('BMP P Tracking Table'!$T420," ",'BMP P Tracking Table'!$AC420),'Performance Curves'!$C$1:$L$45,MATCH('BMP P Tracking Table'!$AE420,'Performance Curves'!$E$1:$L$1,1)+2,FALSE)-VLOOKUP(CONCATENATE('BMP P Tracking Table'!$T420," ",'BMP P Tracking Table'!$AC420),'Performance Curves'!$C$1:$L$45,MATCH('BMP P Tracking Table'!$AE420,'Performance Curves'!$E$1:$L$1,1)+1,FALSE)),"")</f>
        <v/>
      </c>
      <c r="AG420" s="101" t="str">
        <f>IFERROR(('BMP P Tracking Table'!$AE420-INDEX('Performance Curves'!$E$1:$L$1,1,MATCH('BMP P Tracking Table'!$AE420,'Performance Curves'!$E$1:$L$1,1)))/(INDEX('Performance Curves'!$E$1:$L$1,1,MATCH('BMP P Tracking Table'!$AE420,'Performance Curves'!$E$1:$L$1,1)+1)-INDEX('Performance Curves'!$E$1:$L$1,1,MATCH('BMP P Tracking Table'!$AE420,'Performance Curves'!$E$1:$L$1,1))),"")</f>
        <v/>
      </c>
      <c r="AH420" s="102" t="str">
        <f>IFERROR(IF('BMP P Tracking Table'!$AE420=2,VLOOKUP(CONCATENATE('BMP P Tracking Table'!$T420," ",'BMP P Tracking Table'!$AC420),'Performance Curves'!$C$1:$L$45,MATCH('BMP P Tracking Table'!$AE420,'Performance Curves'!$E$1:$L$1,1)+1,FALSE),'BMP P Tracking Table'!$AF420*'BMP P Tracking Table'!$AG420+VLOOKUP(CONCATENATE('BMP P Tracking Table'!$T420," ",'BMP P Tracking Table'!$AC420),'Performance Curves'!$C$1:$L$45,MATCH('BMP P Tracking Table'!$AE420,'Performance Curves'!$E$1:$L$1,1)+1,FALSE)),"")</f>
        <v/>
      </c>
      <c r="AI420" s="101" t="str">
        <f>IFERROR('BMP P Tracking Table'!$AH420*'BMP P Tracking Table'!$AD420,"")</f>
        <v/>
      </c>
      <c r="AJ420" s="64"/>
      <c r="AK420" s="96"/>
      <c r="AL420" s="96"/>
      <c r="AM420" s="63"/>
      <c r="AN420" s="99" t="str">
        <f t="shared" si="24"/>
        <v/>
      </c>
      <c r="AO420" s="96"/>
      <c r="AP420" s="96"/>
      <c r="AQ420" s="96"/>
      <c r="AR420" s="96"/>
      <c r="AS420" s="96"/>
      <c r="AT420" s="96"/>
      <c r="AU420" s="96"/>
      <c r="AV420" s="64"/>
      <c r="AW420" s="97"/>
      <c r="AX420" s="97"/>
      <c r="AY420" s="101" t="str">
        <f>IF('BMP P Tracking Table'!$AK420="Yes",IF('BMP P Tracking Table'!$AL420="No",'BMP P Tracking Table'!$U420*VLOOKUP('BMP P Tracking Table'!$Q420,'Loading Rates'!$B$1:$L$24,4,FALSE)+IF('BMP P Tracking Table'!$V420="By HSG",'BMP P Tracking Table'!$W420*VLOOKUP('BMP P Tracking Table'!$Q420,'Loading Rates'!$B$1:$L$24,6,FALSE)+'BMP P Tracking Table'!$X420*VLOOKUP('BMP P Tracking Table'!$Q420,'Loading Rates'!$B$1:$L$24,7,FALSE)+'BMP P Tracking Table'!$Y420*VLOOKUP('BMP P Tracking Table'!$Q420,'Loading Rates'!$B$1:$L$24,8,FALSE)+'BMP P Tracking Table'!$Z420*VLOOKUP('BMP P Tracking Table'!$Q420,'Loading Rates'!$B$1:$L$24,9,FALSE),'BMP P Tracking Table'!$AA420*VLOOKUP('BMP P Tracking Table'!$Q420,'Loading Rates'!$B$1:$L$24,10,FALSE)),'BMP P Tracking Table'!$AO420*VLOOKUP('BMP P Tracking Table'!$Q420,'Loading Rates'!$B$1:$L$24,4,FALSE)+IF('BMP P Tracking Table'!$AP420="By HSG",'BMP P Tracking Table'!$AQ420*VLOOKUP('BMP P Tracking Table'!$Q420,'Loading Rates'!$B$1:$L$24,6,FALSE)+'BMP P Tracking Table'!$AR420*VLOOKUP('BMP P Tracking Table'!$Q420,'Loading Rates'!$B$1:$L$24,7,FALSE)+'BMP P Tracking Table'!$AS420*VLOOKUP('BMP P Tracking Table'!$Q420,'Loading Rates'!$B$1:$L$24,8,FALSE)+'BMP P Tracking Table'!$AT420*VLOOKUP('BMP P Tracking Table'!$Q420,'Loading Rates'!$B$1:$L$24,9,FALSE),'BMP P Tracking Table'!$AU420*VLOOKUP('BMP P Tracking Table'!$Q420,'Loading Rates'!$B$1:$L$24,10,FALSE))),"")</f>
        <v/>
      </c>
      <c r="AZ420" s="101" t="str">
        <f>IFERROR(IF('BMP P Tracking Table'!$AL420="Yes",MIN(2,IF('BMP P Tracking Table'!$AP420="Total Pervious",(-(3630*'BMP P Tracking Table'!$AO420+20.691*'BMP P Tracking Table'!$AU420)+SQRT((3630*'BMP P Tracking Table'!$AO420+20.691*'BMP P Tracking Table'!$AU420)^2-(4*(996.798*'BMP P Tracking Table'!$AU420)*-'BMP P Tracking Table'!$AW420)))/(2*(996.798*'BMP P Tracking Table'!$AU420)),IF(SUM('BMP P Tracking Table'!$AQ420:$AT420)=0,'BMP P Tracking Table'!$AU420/(-3630*'BMP P Tracking Table'!$AO420),(-(3630*'BMP P Tracking Table'!$AO420+20.691*'BMP P Tracking Table'!$AT420-216.711*'BMP P Tracking Table'!$AS420-83.853*'BMP P Tracking Table'!$AR420-42.834*'BMP P Tracking Table'!$AQ420)+SQRT((3630*'BMP P Tracking Table'!$AO420+20.691*'BMP P Tracking Table'!$AT420-216.711*'BMP P Tracking Table'!$AS420-83.853*'BMP P Tracking Table'!$AR420-42.834*'BMP P Tracking Table'!$AQ420)^2-(4*(149.919*'BMP P Tracking Table'!$AQ420+236.676*'BMP P Tracking Table'!$AR420+726*'BMP P Tracking Table'!$AS420+996.798*'BMP P Tracking Table'!$AT420)*-'BMP P Tracking Table'!$AW420)))/(2*(149.919*'BMP P Tracking Table'!$AQ420+236.676*'BMP P Tracking Table'!$AR420+726*'BMP P Tracking Table'!$AS420+996.798*'BMP P Tracking Table'!$AT420))))),MIN(2,IF('BMP P Tracking Table'!$AP420="Total Pervious",(-(3630*'BMP P Tracking Table'!$U420+20.691*'BMP P Tracking Table'!$AA420)+SQRT((3630*'BMP P Tracking Table'!$U420+20.691*'BMP P Tracking Table'!$AA420)^2-(4*(996.798*'BMP P Tracking Table'!$AA420)*-'BMP P Tracking Table'!$AW420)))/(2*(996.798*'BMP P Tracking Table'!$AA420)),IF(SUM('BMP P Tracking Table'!$W420:$Z420)=0,'BMP P Tracking Table'!$AW420/(-3630*'BMP P Tracking Table'!$U420),(-(3630*'BMP P Tracking Table'!$U420+20.691*'BMP P Tracking Table'!$Z420-216.711*'BMP P Tracking Table'!$Y420-83.853*'BMP P Tracking Table'!$X420-42.834*'BMP P Tracking Table'!$W420)+SQRT((3630*'BMP P Tracking Table'!$U420+20.691*'BMP P Tracking Table'!$Z420-216.711*'BMP P Tracking Table'!$Y420-83.853*'BMP P Tracking Table'!$X420-42.834*'BMP P Tracking Table'!$W420)^2-(4*(149.919*'BMP P Tracking Table'!$W420+236.676*'BMP P Tracking Table'!$X420+726*'BMP P Tracking Table'!$Y420+996.798*'BMP P Tracking Table'!$Z420)*-'BMP P Tracking Table'!$AW420)))/(2*(149.919*'BMP P Tracking Table'!$W420+236.676*'BMP P Tracking Table'!$X420+726*'BMP P Tracking Table'!$Y420+996.798*'BMP P Tracking Table'!$Z420)))))),"")</f>
        <v/>
      </c>
      <c r="BA420" s="101" t="str">
        <f>IFERROR((VLOOKUP(CONCATENATE('BMP P Tracking Table'!$AV420," ",'BMP P Tracking Table'!$AX420),'Performance Curves'!$C$1:$L$45,MATCH('BMP P Tracking Table'!$AZ420,'Performance Curves'!$E$1:$L$1,1)+2,FALSE)-VLOOKUP(CONCATENATE('BMP P Tracking Table'!$AV420," ",'BMP P Tracking Table'!$AX420),'Performance Curves'!$C$1:$L$45,MATCH('BMP P Tracking Table'!$AZ420,'Performance Curves'!$E$1:$L$1,1)+1,FALSE)),"")</f>
        <v/>
      </c>
      <c r="BB420" s="101" t="str">
        <f>IFERROR(('BMP P Tracking Table'!$AZ420-INDEX('Performance Curves'!$E$1:$L$1,1,MATCH('BMP P Tracking Table'!$AZ420,'Performance Curves'!$E$1:$L$1,1)))/(INDEX('Performance Curves'!$E$1:$L$1,1,MATCH('BMP P Tracking Table'!$AZ420,'Performance Curves'!$E$1:$L$1,1)+1)-INDEX('Performance Curves'!$E$1:$L$1,1,MATCH('BMP P Tracking Table'!$AZ420,'Performance Curves'!$E$1:$L$1,1))),"")</f>
        <v/>
      </c>
      <c r="BC420" s="102" t="str">
        <f>IFERROR(IF('BMP P Tracking Table'!$AZ420=2,VLOOKUP(CONCATENATE('BMP P Tracking Table'!$AV420," ",'BMP P Tracking Table'!$AX420),'Performance Curves'!$C$1:$L$44,MATCH('BMP P Tracking Table'!$AZ420,'Performance Curves'!$E$1:$L$1,1)+1,FALSE),'BMP P Tracking Table'!$BA420*'BMP P Tracking Table'!$BB420+VLOOKUP(CONCATENATE('BMP P Tracking Table'!$AV420," ",'BMP P Tracking Table'!$AX420),'Performance Curves'!$C$1:$L$44,MATCH('BMP P Tracking Table'!$AZ420,'Performance Curves'!$E$1:$L$1,1)+1,FALSE)),"")</f>
        <v/>
      </c>
      <c r="BD420" s="101" t="str">
        <f>IFERROR('BMP P Tracking Table'!$BC420*'BMP P Tracking Table'!$AY420,"")</f>
        <v/>
      </c>
      <c r="BE420" s="96"/>
      <c r="BF420" s="37">
        <f t="shared" si="25"/>
        <v>0</v>
      </c>
    </row>
    <row r="421" spans="1:58" x14ac:dyDescent="0.3">
      <c r="A421" s="64"/>
      <c r="B421" s="64"/>
      <c r="C421" s="64"/>
      <c r="D421" s="64"/>
      <c r="E421" s="93"/>
      <c r="F421" s="93"/>
      <c r="G421" s="64"/>
      <c r="H421" s="64"/>
      <c r="I421" s="64"/>
      <c r="J421" s="94"/>
      <c r="K421" s="64"/>
      <c r="L421" s="64"/>
      <c r="M421" s="64"/>
      <c r="N421" s="64"/>
      <c r="O421" s="64"/>
      <c r="P421" s="64"/>
      <c r="Q421" s="64" t="str">
        <f>IFERROR(VLOOKUP('BMP P Tracking Table'!$P421,Dropdowns!$C$2:$E$15,3,FALSE),"")</f>
        <v/>
      </c>
      <c r="R421" s="64" t="str">
        <f>IFERROR(VLOOKUP('BMP P Tracking Table'!$Q421,Dropdowns!$P$3:$Q$23,2,FALSE),"")</f>
        <v/>
      </c>
      <c r="S421" s="64"/>
      <c r="T421" s="64"/>
      <c r="U421" s="64"/>
      <c r="V421" s="64"/>
      <c r="W421" s="64"/>
      <c r="X421" s="64"/>
      <c r="Y421" s="64"/>
      <c r="Z421" s="64"/>
      <c r="AA421" s="64"/>
      <c r="AB421" s="95"/>
      <c r="AC421" s="64"/>
      <c r="AD421" s="101" t="str">
        <f>IFERROR('BMP P Tracking Table'!$U421*VLOOKUP('BMP P Tracking Table'!$Q421,'Loading Rates'!$B$1:$L$24,4,FALSE)+IF('BMP P Tracking Table'!$V421="By HSG",'BMP P Tracking Table'!$W421*VLOOKUP('BMP P Tracking Table'!$Q421,'Loading Rates'!$B$1:$L$24,6,FALSE)+'BMP P Tracking Table'!$X421*VLOOKUP('BMP P Tracking Table'!$Q421,'Loading Rates'!$B$1:$L$24,7,FALSE)+'BMP P Tracking Table'!$Y421*VLOOKUP('BMP P Tracking Table'!$Q421,'Loading Rates'!$B$1:$L$24,8,FALSE)+'BMP P Tracking Table'!$Z421*VLOOKUP('BMP P Tracking Table'!$Q421,'Loading Rates'!$B$1:$L$24,9,FALSE),'BMP P Tracking Table'!$AA421*VLOOKUP('BMP P Tracking Table'!$Q421,'Loading Rates'!$B$1:$L$24,10,FALSE)),"")</f>
        <v/>
      </c>
      <c r="AE421" s="101" t="str">
        <f>IFERROR(MIN(2,IF('BMP P Tracking Table'!$V421="Total Pervious",(-(3630*'BMP P Tracking Table'!$U421+20.691*'BMP P Tracking Table'!$AA421)+SQRT((3630*'BMP P Tracking Table'!$U421+20.691*'BMP P Tracking Table'!$AA421)^2-(4*(996.798*'BMP P Tracking Table'!$AA421)*-'BMP P Tracking Table'!$AB421)))/(2*(996.798*'BMP P Tracking Table'!$AA421)),IF(SUM('BMP P Tracking Table'!$W421:$Z421)=0,'BMP P Tracking Table'!$AB421/(-3630*'BMP P Tracking Table'!$U421),(-(3630*'BMP P Tracking Table'!$U421+20.691*'BMP P Tracking Table'!$Z421-216.711*'BMP P Tracking Table'!$Y421-83.853*'BMP P Tracking Table'!$X421-42.834*'BMP P Tracking Table'!$W421)+SQRT((3630*'BMP P Tracking Table'!$U421+20.691*'BMP P Tracking Table'!$Z421-216.711*'BMP P Tracking Table'!$Y421-83.853*'BMP P Tracking Table'!$X421-42.834*'BMP P Tracking Table'!$W421)^2-(4*(149.919*'BMP P Tracking Table'!$W421+236.676*'BMP P Tracking Table'!$X421+726*'BMP P Tracking Table'!$Y421+996.798*'BMP P Tracking Table'!$Z421)*-'BMP P Tracking Table'!$AB421)))/(2*(149.919*'BMP P Tracking Table'!$W421+236.676*'BMP P Tracking Table'!$X421+726*'BMP P Tracking Table'!$Y421+996.798*'BMP P Tracking Table'!$Z421))))),"")</f>
        <v/>
      </c>
      <c r="AF421" s="101" t="str">
        <f>IFERROR((VLOOKUP(CONCATENATE('BMP P Tracking Table'!$T421," ",'BMP P Tracking Table'!$AC421),'Performance Curves'!$C$1:$L$45,MATCH('BMP P Tracking Table'!$AE421,'Performance Curves'!$E$1:$L$1,1)+2,FALSE)-VLOOKUP(CONCATENATE('BMP P Tracking Table'!$T421," ",'BMP P Tracking Table'!$AC421),'Performance Curves'!$C$1:$L$45,MATCH('BMP P Tracking Table'!$AE421,'Performance Curves'!$E$1:$L$1,1)+1,FALSE)),"")</f>
        <v/>
      </c>
      <c r="AG421" s="101" t="str">
        <f>IFERROR(('BMP P Tracking Table'!$AE421-INDEX('Performance Curves'!$E$1:$L$1,1,MATCH('BMP P Tracking Table'!$AE421,'Performance Curves'!$E$1:$L$1,1)))/(INDEX('Performance Curves'!$E$1:$L$1,1,MATCH('BMP P Tracking Table'!$AE421,'Performance Curves'!$E$1:$L$1,1)+1)-INDEX('Performance Curves'!$E$1:$L$1,1,MATCH('BMP P Tracking Table'!$AE421,'Performance Curves'!$E$1:$L$1,1))),"")</f>
        <v/>
      </c>
      <c r="AH421" s="102" t="str">
        <f>IFERROR(IF('BMP P Tracking Table'!$AE421=2,VLOOKUP(CONCATENATE('BMP P Tracking Table'!$T421," ",'BMP P Tracking Table'!$AC421),'Performance Curves'!$C$1:$L$45,MATCH('BMP P Tracking Table'!$AE421,'Performance Curves'!$E$1:$L$1,1)+1,FALSE),'BMP P Tracking Table'!$AF421*'BMP P Tracking Table'!$AG421+VLOOKUP(CONCATENATE('BMP P Tracking Table'!$T421," ",'BMP P Tracking Table'!$AC421),'Performance Curves'!$C$1:$L$45,MATCH('BMP P Tracking Table'!$AE421,'Performance Curves'!$E$1:$L$1,1)+1,FALSE)),"")</f>
        <v/>
      </c>
      <c r="AI421" s="101" t="str">
        <f>IFERROR('BMP P Tracking Table'!$AH421*'BMP P Tracking Table'!$AD421,"")</f>
        <v/>
      </c>
      <c r="AJ421" s="64"/>
      <c r="AK421" s="96"/>
      <c r="AL421" s="96"/>
      <c r="AM421" s="63"/>
      <c r="AN421" s="99" t="str">
        <f t="shared" si="24"/>
        <v/>
      </c>
      <c r="AO421" s="96"/>
      <c r="AP421" s="96"/>
      <c r="AQ421" s="96"/>
      <c r="AR421" s="96"/>
      <c r="AS421" s="96"/>
      <c r="AT421" s="96"/>
      <c r="AU421" s="96"/>
      <c r="AV421" s="64"/>
      <c r="AW421" s="97"/>
      <c r="AX421" s="97"/>
      <c r="AY421" s="101" t="str">
        <f>IF('BMP P Tracking Table'!$AK421="Yes",IF('BMP P Tracking Table'!$AL421="No",'BMP P Tracking Table'!$U421*VLOOKUP('BMP P Tracking Table'!$Q421,'Loading Rates'!$B$1:$L$24,4,FALSE)+IF('BMP P Tracking Table'!$V421="By HSG",'BMP P Tracking Table'!$W421*VLOOKUP('BMP P Tracking Table'!$Q421,'Loading Rates'!$B$1:$L$24,6,FALSE)+'BMP P Tracking Table'!$X421*VLOOKUP('BMP P Tracking Table'!$Q421,'Loading Rates'!$B$1:$L$24,7,FALSE)+'BMP P Tracking Table'!$Y421*VLOOKUP('BMP P Tracking Table'!$Q421,'Loading Rates'!$B$1:$L$24,8,FALSE)+'BMP P Tracking Table'!$Z421*VLOOKUP('BMP P Tracking Table'!$Q421,'Loading Rates'!$B$1:$L$24,9,FALSE),'BMP P Tracking Table'!$AA421*VLOOKUP('BMP P Tracking Table'!$Q421,'Loading Rates'!$B$1:$L$24,10,FALSE)),'BMP P Tracking Table'!$AO421*VLOOKUP('BMP P Tracking Table'!$Q421,'Loading Rates'!$B$1:$L$24,4,FALSE)+IF('BMP P Tracking Table'!$AP421="By HSG",'BMP P Tracking Table'!$AQ421*VLOOKUP('BMP P Tracking Table'!$Q421,'Loading Rates'!$B$1:$L$24,6,FALSE)+'BMP P Tracking Table'!$AR421*VLOOKUP('BMP P Tracking Table'!$Q421,'Loading Rates'!$B$1:$L$24,7,FALSE)+'BMP P Tracking Table'!$AS421*VLOOKUP('BMP P Tracking Table'!$Q421,'Loading Rates'!$B$1:$L$24,8,FALSE)+'BMP P Tracking Table'!$AT421*VLOOKUP('BMP P Tracking Table'!$Q421,'Loading Rates'!$B$1:$L$24,9,FALSE),'BMP P Tracking Table'!$AU421*VLOOKUP('BMP P Tracking Table'!$Q421,'Loading Rates'!$B$1:$L$24,10,FALSE))),"")</f>
        <v/>
      </c>
      <c r="AZ421" s="101" t="str">
        <f>IFERROR(IF('BMP P Tracking Table'!$AL421="Yes",MIN(2,IF('BMP P Tracking Table'!$AP421="Total Pervious",(-(3630*'BMP P Tracking Table'!$AO421+20.691*'BMP P Tracking Table'!$AU421)+SQRT((3630*'BMP P Tracking Table'!$AO421+20.691*'BMP P Tracking Table'!$AU421)^2-(4*(996.798*'BMP P Tracking Table'!$AU421)*-'BMP P Tracking Table'!$AW421)))/(2*(996.798*'BMP P Tracking Table'!$AU421)),IF(SUM('BMP P Tracking Table'!$AQ421:$AT421)=0,'BMP P Tracking Table'!$AU421/(-3630*'BMP P Tracking Table'!$AO421),(-(3630*'BMP P Tracking Table'!$AO421+20.691*'BMP P Tracking Table'!$AT421-216.711*'BMP P Tracking Table'!$AS421-83.853*'BMP P Tracking Table'!$AR421-42.834*'BMP P Tracking Table'!$AQ421)+SQRT((3630*'BMP P Tracking Table'!$AO421+20.691*'BMP P Tracking Table'!$AT421-216.711*'BMP P Tracking Table'!$AS421-83.853*'BMP P Tracking Table'!$AR421-42.834*'BMP P Tracking Table'!$AQ421)^2-(4*(149.919*'BMP P Tracking Table'!$AQ421+236.676*'BMP P Tracking Table'!$AR421+726*'BMP P Tracking Table'!$AS421+996.798*'BMP P Tracking Table'!$AT421)*-'BMP P Tracking Table'!$AW421)))/(2*(149.919*'BMP P Tracking Table'!$AQ421+236.676*'BMP P Tracking Table'!$AR421+726*'BMP P Tracking Table'!$AS421+996.798*'BMP P Tracking Table'!$AT421))))),MIN(2,IF('BMP P Tracking Table'!$AP421="Total Pervious",(-(3630*'BMP P Tracking Table'!$U421+20.691*'BMP P Tracking Table'!$AA421)+SQRT((3630*'BMP P Tracking Table'!$U421+20.691*'BMP P Tracking Table'!$AA421)^2-(4*(996.798*'BMP P Tracking Table'!$AA421)*-'BMP P Tracking Table'!$AW421)))/(2*(996.798*'BMP P Tracking Table'!$AA421)),IF(SUM('BMP P Tracking Table'!$W421:$Z421)=0,'BMP P Tracking Table'!$AW421/(-3630*'BMP P Tracking Table'!$U421),(-(3630*'BMP P Tracking Table'!$U421+20.691*'BMP P Tracking Table'!$Z421-216.711*'BMP P Tracking Table'!$Y421-83.853*'BMP P Tracking Table'!$X421-42.834*'BMP P Tracking Table'!$W421)+SQRT((3630*'BMP P Tracking Table'!$U421+20.691*'BMP P Tracking Table'!$Z421-216.711*'BMP P Tracking Table'!$Y421-83.853*'BMP P Tracking Table'!$X421-42.834*'BMP P Tracking Table'!$W421)^2-(4*(149.919*'BMP P Tracking Table'!$W421+236.676*'BMP P Tracking Table'!$X421+726*'BMP P Tracking Table'!$Y421+996.798*'BMP P Tracking Table'!$Z421)*-'BMP P Tracking Table'!$AW421)))/(2*(149.919*'BMP P Tracking Table'!$W421+236.676*'BMP P Tracking Table'!$X421+726*'BMP P Tracking Table'!$Y421+996.798*'BMP P Tracking Table'!$Z421)))))),"")</f>
        <v/>
      </c>
      <c r="BA421" s="101" t="str">
        <f>IFERROR((VLOOKUP(CONCATENATE('BMP P Tracking Table'!$AV421," ",'BMP P Tracking Table'!$AX421),'Performance Curves'!$C$1:$L$45,MATCH('BMP P Tracking Table'!$AZ421,'Performance Curves'!$E$1:$L$1,1)+2,FALSE)-VLOOKUP(CONCATENATE('BMP P Tracking Table'!$AV421," ",'BMP P Tracking Table'!$AX421),'Performance Curves'!$C$1:$L$45,MATCH('BMP P Tracking Table'!$AZ421,'Performance Curves'!$E$1:$L$1,1)+1,FALSE)),"")</f>
        <v/>
      </c>
      <c r="BB421" s="101" t="str">
        <f>IFERROR(('BMP P Tracking Table'!$AZ421-INDEX('Performance Curves'!$E$1:$L$1,1,MATCH('BMP P Tracking Table'!$AZ421,'Performance Curves'!$E$1:$L$1,1)))/(INDEX('Performance Curves'!$E$1:$L$1,1,MATCH('BMP P Tracking Table'!$AZ421,'Performance Curves'!$E$1:$L$1,1)+1)-INDEX('Performance Curves'!$E$1:$L$1,1,MATCH('BMP P Tracking Table'!$AZ421,'Performance Curves'!$E$1:$L$1,1))),"")</f>
        <v/>
      </c>
      <c r="BC421" s="102" t="str">
        <f>IFERROR(IF('BMP P Tracking Table'!$AZ421=2,VLOOKUP(CONCATENATE('BMP P Tracking Table'!$AV421," ",'BMP P Tracking Table'!$AX421),'Performance Curves'!$C$1:$L$44,MATCH('BMP P Tracking Table'!$AZ421,'Performance Curves'!$E$1:$L$1,1)+1,FALSE),'BMP P Tracking Table'!$BA421*'BMP P Tracking Table'!$BB421+VLOOKUP(CONCATENATE('BMP P Tracking Table'!$AV421," ",'BMP P Tracking Table'!$AX421),'Performance Curves'!$C$1:$L$44,MATCH('BMP P Tracking Table'!$AZ421,'Performance Curves'!$E$1:$L$1,1)+1,FALSE)),"")</f>
        <v/>
      </c>
      <c r="BD421" s="101" t="str">
        <f>IFERROR('BMP P Tracking Table'!$BC421*'BMP P Tracking Table'!$AY421,"")</f>
        <v/>
      </c>
      <c r="BE421" s="96"/>
      <c r="BF421" s="37">
        <f t="shared" si="25"/>
        <v>0</v>
      </c>
    </row>
    <row r="422" spans="1:58" x14ac:dyDescent="0.3">
      <c r="A422" s="64"/>
      <c r="B422" s="64"/>
      <c r="C422" s="64"/>
      <c r="D422" s="64"/>
      <c r="E422" s="93"/>
      <c r="F422" s="93"/>
      <c r="G422" s="64"/>
      <c r="H422" s="64"/>
      <c r="I422" s="64"/>
      <c r="J422" s="94"/>
      <c r="K422" s="64"/>
      <c r="L422" s="64"/>
      <c r="M422" s="64"/>
      <c r="N422" s="64"/>
      <c r="O422" s="64"/>
      <c r="P422" s="64"/>
      <c r="Q422" s="64" t="str">
        <f>IFERROR(VLOOKUP('BMP P Tracking Table'!$P422,Dropdowns!$C$2:$E$15,3,FALSE),"")</f>
        <v/>
      </c>
      <c r="R422" s="64" t="str">
        <f>IFERROR(VLOOKUP('BMP P Tracking Table'!$Q422,Dropdowns!$P$3:$Q$23,2,FALSE),"")</f>
        <v/>
      </c>
      <c r="S422" s="64"/>
      <c r="T422" s="64"/>
      <c r="U422" s="64"/>
      <c r="V422" s="64"/>
      <c r="W422" s="64"/>
      <c r="X422" s="64"/>
      <c r="Y422" s="64"/>
      <c r="Z422" s="64"/>
      <c r="AA422" s="64"/>
      <c r="AB422" s="95"/>
      <c r="AC422" s="64"/>
      <c r="AD422" s="101" t="str">
        <f>IFERROR('BMP P Tracking Table'!$U422*VLOOKUP('BMP P Tracking Table'!$Q422,'Loading Rates'!$B$1:$L$24,4,FALSE)+IF('BMP P Tracking Table'!$V422="By HSG",'BMP P Tracking Table'!$W422*VLOOKUP('BMP P Tracking Table'!$Q422,'Loading Rates'!$B$1:$L$24,6,FALSE)+'BMP P Tracking Table'!$X422*VLOOKUP('BMP P Tracking Table'!$Q422,'Loading Rates'!$B$1:$L$24,7,FALSE)+'BMP P Tracking Table'!$Y422*VLOOKUP('BMP P Tracking Table'!$Q422,'Loading Rates'!$B$1:$L$24,8,FALSE)+'BMP P Tracking Table'!$Z422*VLOOKUP('BMP P Tracking Table'!$Q422,'Loading Rates'!$B$1:$L$24,9,FALSE),'BMP P Tracking Table'!$AA422*VLOOKUP('BMP P Tracking Table'!$Q422,'Loading Rates'!$B$1:$L$24,10,FALSE)),"")</f>
        <v/>
      </c>
      <c r="AE422" s="101" t="str">
        <f>IFERROR(MIN(2,IF('BMP P Tracking Table'!$V422="Total Pervious",(-(3630*'BMP P Tracking Table'!$U422+20.691*'BMP P Tracking Table'!$AA422)+SQRT((3630*'BMP P Tracking Table'!$U422+20.691*'BMP P Tracking Table'!$AA422)^2-(4*(996.798*'BMP P Tracking Table'!$AA422)*-'BMP P Tracking Table'!$AB422)))/(2*(996.798*'BMP P Tracking Table'!$AA422)),IF(SUM('BMP P Tracking Table'!$W422:$Z422)=0,'BMP P Tracking Table'!$AB422/(-3630*'BMP P Tracking Table'!$U422),(-(3630*'BMP P Tracking Table'!$U422+20.691*'BMP P Tracking Table'!$Z422-216.711*'BMP P Tracking Table'!$Y422-83.853*'BMP P Tracking Table'!$X422-42.834*'BMP P Tracking Table'!$W422)+SQRT((3630*'BMP P Tracking Table'!$U422+20.691*'BMP P Tracking Table'!$Z422-216.711*'BMP P Tracking Table'!$Y422-83.853*'BMP P Tracking Table'!$X422-42.834*'BMP P Tracking Table'!$W422)^2-(4*(149.919*'BMP P Tracking Table'!$W422+236.676*'BMP P Tracking Table'!$X422+726*'BMP P Tracking Table'!$Y422+996.798*'BMP P Tracking Table'!$Z422)*-'BMP P Tracking Table'!$AB422)))/(2*(149.919*'BMP P Tracking Table'!$W422+236.676*'BMP P Tracking Table'!$X422+726*'BMP P Tracking Table'!$Y422+996.798*'BMP P Tracking Table'!$Z422))))),"")</f>
        <v/>
      </c>
      <c r="AF422" s="101" t="str">
        <f>IFERROR((VLOOKUP(CONCATENATE('BMP P Tracking Table'!$T422," ",'BMP P Tracking Table'!$AC422),'Performance Curves'!$C$1:$L$45,MATCH('BMP P Tracking Table'!$AE422,'Performance Curves'!$E$1:$L$1,1)+2,FALSE)-VLOOKUP(CONCATENATE('BMP P Tracking Table'!$T422," ",'BMP P Tracking Table'!$AC422),'Performance Curves'!$C$1:$L$45,MATCH('BMP P Tracking Table'!$AE422,'Performance Curves'!$E$1:$L$1,1)+1,FALSE)),"")</f>
        <v/>
      </c>
      <c r="AG422" s="101" t="str">
        <f>IFERROR(('BMP P Tracking Table'!$AE422-INDEX('Performance Curves'!$E$1:$L$1,1,MATCH('BMP P Tracking Table'!$AE422,'Performance Curves'!$E$1:$L$1,1)))/(INDEX('Performance Curves'!$E$1:$L$1,1,MATCH('BMP P Tracking Table'!$AE422,'Performance Curves'!$E$1:$L$1,1)+1)-INDEX('Performance Curves'!$E$1:$L$1,1,MATCH('BMP P Tracking Table'!$AE422,'Performance Curves'!$E$1:$L$1,1))),"")</f>
        <v/>
      </c>
      <c r="AH422" s="102" t="str">
        <f>IFERROR(IF('BMP P Tracking Table'!$AE422=2,VLOOKUP(CONCATENATE('BMP P Tracking Table'!$T422," ",'BMP P Tracking Table'!$AC422),'Performance Curves'!$C$1:$L$45,MATCH('BMP P Tracking Table'!$AE422,'Performance Curves'!$E$1:$L$1,1)+1,FALSE),'BMP P Tracking Table'!$AF422*'BMP P Tracking Table'!$AG422+VLOOKUP(CONCATENATE('BMP P Tracking Table'!$T422," ",'BMP P Tracking Table'!$AC422),'Performance Curves'!$C$1:$L$45,MATCH('BMP P Tracking Table'!$AE422,'Performance Curves'!$E$1:$L$1,1)+1,FALSE)),"")</f>
        <v/>
      </c>
      <c r="AI422" s="101" t="str">
        <f>IFERROR('BMP P Tracking Table'!$AH422*'BMP P Tracking Table'!$AD422,"")</f>
        <v/>
      </c>
      <c r="AJ422" s="64"/>
      <c r="AK422" s="96"/>
      <c r="AL422" s="96"/>
      <c r="AM422" s="63"/>
      <c r="AN422" s="99" t="str">
        <f t="shared" si="24"/>
        <v/>
      </c>
      <c r="AO422" s="96"/>
      <c r="AP422" s="96"/>
      <c r="AQ422" s="96"/>
      <c r="AR422" s="96"/>
      <c r="AS422" s="96"/>
      <c r="AT422" s="96"/>
      <c r="AU422" s="96"/>
      <c r="AV422" s="64"/>
      <c r="AW422" s="97"/>
      <c r="AX422" s="97"/>
      <c r="AY422" s="101" t="str">
        <f>IF('BMP P Tracking Table'!$AK422="Yes",IF('BMP P Tracking Table'!$AL422="No",'BMP P Tracking Table'!$U422*VLOOKUP('BMP P Tracking Table'!$Q422,'Loading Rates'!$B$1:$L$24,4,FALSE)+IF('BMP P Tracking Table'!$V422="By HSG",'BMP P Tracking Table'!$W422*VLOOKUP('BMP P Tracking Table'!$Q422,'Loading Rates'!$B$1:$L$24,6,FALSE)+'BMP P Tracking Table'!$X422*VLOOKUP('BMP P Tracking Table'!$Q422,'Loading Rates'!$B$1:$L$24,7,FALSE)+'BMP P Tracking Table'!$Y422*VLOOKUP('BMP P Tracking Table'!$Q422,'Loading Rates'!$B$1:$L$24,8,FALSE)+'BMP P Tracking Table'!$Z422*VLOOKUP('BMP P Tracking Table'!$Q422,'Loading Rates'!$B$1:$L$24,9,FALSE),'BMP P Tracking Table'!$AA422*VLOOKUP('BMP P Tracking Table'!$Q422,'Loading Rates'!$B$1:$L$24,10,FALSE)),'BMP P Tracking Table'!$AO422*VLOOKUP('BMP P Tracking Table'!$Q422,'Loading Rates'!$B$1:$L$24,4,FALSE)+IF('BMP P Tracking Table'!$AP422="By HSG",'BMP P Tracking Table'!$AQ422*VLOOKUP('BMP P Tracking Table'!$Q422,'Loading Rates'!$B$1:$L$24,6,FALSE)+'BMP P Tracking Table'!$AR422*VLOOKUP('BMP P Tracking Table'!$Q422,'Loading Rates'!$B$1:$L$24,7,FALSE)+'BMP P Tracking Table'!$AS422*VLOOKUP('BMP P Tracking Table'!$Q422,'Loading Rates'!$B$1:$L$24,8,FALSE)+'BMP P Tracking Table'!$AT422*VLOOKUP('BMP P Tracking Table'!$Q422,'Loading Rates'!$B$1:$L$24,9,FALSE),'BMP P Tracking Table'!$AU422*VLOOKUP('BMP P Tracking Table'!$Q422,'Loading Rates'!$B$1:$L$24,10,FALSE))),"")</f>
        <v/>
      </c>
      <c r="AZ422" s="101" t="str">
        <f>IFERROR(IF('BMP P Tracking Table'!$AL422="Yes",MIN(2,IF('BMP P Tracking Table'!$AP422="Total Pervious",(-(3630*'BMP P Tracking Table'!$AO422+20.691*'BMP P Tracking Table'!$AU422)+SQRT((3630*'BMP P Tracking Table'!$AO422+20.691*'BMP P Tracking Table'!$AU422)^2-(4*(996.798*'BMP P Tracking Table'!$AU422)*-'BMP P Tracking Table'!$AW422)))/(2*(996.798*'BMP P Tracking Table'!$AU422)),IF(SUM('BMP P Tracking Table'!$AQ422:$AT422)=0,'BMP P Tracking Table'!$AU422/(-3630*'BMP P Tracking Table'!$AO422),(-(3630*'BMP P Tracking Table'!$AO422+20.691*'BMP P Tracking Table'!$AT422-216.711*'BMP P Tracking Table'!$AS422-83.853*'BMP P Tracking Table'!$AR422-42.834*'BMP P Tracking Table'!$AQ422)+SQRT((3630*'BMP P Tracking Table'!$AO422+20.691*'BMP P Tracking Table'!$AT422-216.711*'BMP P Tracking Table'!$AS422-83.853*'BMP P Tracking Table'!$AR422-42.834*'BMP P Tracking Table'!$AQ422)^2-(4*(149.919*'BMP P Tracking Table'!$AQ422+236.676*'BMP P Tracking Table'!$AR422+726*'BMP P Tracking Table'!$AS422+996.798*'BMP P Tracking Table'!$AT422)*-'BMP P Tracking Table'!$AW422)))/(2*(149.919*'BMP P Tracking Table'!$AQ422+236.676*'BMP P Tracking Table'!$AR422+726*'BMP P Tracking Table'!$AS422+996.798*'BMP P Tracking Table'!$AT422))))),MIN(2,IF('BMP P Tracking Table'!$AP422="Total Pervious",(-(3630*'BMP P Tracking Table'!$U422+20.691*'BMP P Tracking Table'!$AA422)+SQRT((3630*'BMP P Tracking Table'!$U422+20.691*'BMP P Tracking Table'!$AA422)^2-(4*(996.798*'BMP P Tracking Table'!$AA422)*-'BMP P Tracking Table'!$AW422)))/(2*(996.798*'BMP P Tracking Table'!$AA422)),IF(SUM('BMP P Tracking Table'!$W422:$Z422)=0,'BMP P Tracking Table'!$AW422/(-3630*'BMP P Tracking Table'!$U422),(-(3630*'BMP P Tracking Table'!$U422+20.691*'BMP P Tracking Table'!$Z422-216.711*'BMP P Tracking Table'!$Y422-83.853*'BMP P Tracking Table'!$X422-42.834*'BMP P Tracking Table'!$W422)+SQRT((3630*'BMP P Tracking Table'!$U422+20.691*'BMP P Tracking Table'!$Z422-216.711*'BMP P Tracking Table'!$Y422-83.853*'BMP P Tracking Table'!$X422-42.834*'BMP P Tracking Table'!$W422)^2-(4*(149.919*'BMP P Tracking Table'!$W422+236.676*'BMP P Tracking Table'!$X422+726*'BMP P Tracking Table'!$Y422+996.798*'BMP P Tracking Table'!$Z422)*-'BMP P Tracking Table'!$AW422)))/(2*(149.919*'BMP P Tracking Table'!$W422+236.676*'BMP P Tracking Table'!$X422+726*'BMP P Tracking Table'!$Y422+996.798*'BMP P Tracking Table'!$Z422)))))),"")</f>
        <v/>
      </c>
      <c r="BA422" s="101" t="str">
        <f>IFERROR((VLOOKUP(CONCATENATE('BMP P Tracking Table'!$AV422," ",'BMP P Tracking Table'!$AX422),'Performance Curves'!$C$1:$L$45,MATCH('BMP P Tracking Table'!$AZ422,'Performance Curves'!$E$1:$L$1,1)+2,FALSE)-VLOOKUP(CONCATENATE('BMP P Tracking Table'!$AV422," ",'BMP P Tracking Table'!$AX422),'Performance Curves'!$C$1:$L$45,MATCH('BMP P Tracking Table'!$AZ422,'Performance Curves'!$E$1:$L$1,1)+1,FALSE)),"")</f>
        <v/>
      </c>
      <c r="BB422" s="101" t="str">
        <f>IFERROR(('BMP P Tracking Table'!$AZ422-INDEX('Performance Curves'!$E$1:$L$1,1,MATCH('BMP P Tracking Table'!$AZ422,'Performance Curves'!$E$1:$L$1,1)))/(INDEX('Performance Curves'!$E$1:$L$1,1,MATCH('BMP P Tracking Table'!$AZ422,'Performance Curves'!$E$1:$L$1,1)+1)-INDEX('Performance Curves'!$E$1:$L$1,1,MATCH('BMP P Tracking Table'!$AZ422,'Performance Curves'!$E$1:$L$1,1))),"")</f>
        <v/>
      </c>
      <c r="BC422" s="102" t="str">
        <f>IFERROR(IF('BMP P Tracking Table'!$AZ422=2,VLOOKUP(CONCATENATE('BMP P Tracking Table'!$AV422," ",'BMP P Tracking Table'!$AX422),'Performance Curves'!$C$1:$L$44,MATCH('BMP P Tracking Table'!$AZ422,'Performance Curves'!$E$1:$L$1,1)+1,FALSE),'BMP P Tracking Table'!$BA422*'BMP P Tracking Table'!$BB422+VLOOKUP(CONCATENATE('BMP P Tracking Table'!$AV422," ",'BMP P Tracking Table'!$AX422),'Performance Curves'!$C$1:$L$44,MATCH('BMP P Tracking Table'!$AZ422,'Performance Curves'!$E$1:$L$1,1)+1,FALSE)),"")</f>
        <v/>
      </c>
      <c r="BD422" s="101" t="str">
        <f>IFERROR('BMP P Tracking Table'!$BC422*'BMP P Tracking Table'!$AY422,"")</f>
        <v/>
      </c>
      <c r="BE422" s="96"/>
      <c r="BF422" s="37">
        <f t="shared" si="25"/>
        <v>0</v>
      </c>
    </row>
    <row r="423" spans="1:58" x14ac:dyDescent="0.3">
      <c r="A423" s="64"/>
      <c r="B423" s="64"/>
      <c r="C423" s="64"/>
      <c r="D423" s="64"/>
      <c r="E423" s="93"/>
      <c r="F423" s="93"/>
      <c r="G423" s="64"/>
      <c r="H423" s="64"/>
      <c r="I423" s="64"/>
      <c r="J423" s="94"/>
      <c r="K423" s="64"/>
      <c r="L423" s="64"/>
      <c r="M423" s="64"/>
      <c r="N423" s="64"/>
      <c r="O423" s="64"/>
      <c r="P423" s="64"/>
      <c r="Q423" s="64" t="str">
        <f>IFERROR(VLOOKUP('BMP P Tracking Table'!$P423,Dropdowns!$C$2:$E$15,3,FALSE),"")</f>
        <v/>
      </c>
      <c r="R423" s="64" t="str">
        <f>IFERROR(VLOOKUP('BMP P Tracking Table'!$Q423,Dropdowns!$P$3:$Q$23,2,FALSE),"")</f>
        <v/>
      </c>
      <c r="S423" s="64"/>
      <c r="T423" s="64"/>
      <c r="U423" s="64"/>
      <c r="V423" s="64"/>
      <c r="W423" s="64"/>
      <c r="X423" s="64"/>
      <c r="Y423" s="64"/>
      <c r="Z423" s="64"/>
      <c r="AA423" s="64"/>
      <c r="AB423" s="95"/>
      <c r="AC423" s="64"/>
      <c r="AD423" s="101" t="str">
        <f>IFERROR('BMP P Tracking Table'!$U423*VLOOKUP('BMP P Tracking Table'!$Q423,'Loading Rates'!$B$1:$L$24,4,FALSE)+IF('BMP P Tracking Table'!$V423="By HSG",'BMP P Tracking Table'!$W423*VLOOKUP('BMP P Tracking Table'!$Q423,'Loading Rates'!$B$1:$L$24,6,FALSE)+'BMP P Tracking Table'!$X423*VLOOKUP('BMP P Tracking Table'!$Q423,'Loading Rates'!$B$1:$L$24,7,FALSE)+'BMP P Tracking Table'!$Y423*VLOOKUP('BMP P Tracking Table'!$Q423,'Loading Rates'!$B$1:$L$24,8,FALSE)+'BMP P Tracking Table'!$Z423*VLOOKUP('BMP P Tracking Table'!$Q423,'Loading Rates'!$B$1:$L$24,9,FALSE),'BMP P Tracking Table'!$AA423*VLOOKUP('BMP P Tracking Table'!$Q423,'Loading Rates'!$B$1:$L$24,10,FALSE)),"")</f>
        <v/>
      </c>
      <c r="AE423" s="101" t="str">
        <f>IFERROR(MIN(2,IF('BMP P Tracking Table'!$V423="Total Pervious",(-(3630*'BMP P Tracking Table'!$U423+20.691*'BMP P Tracking Table'!$AA423)+SQRT((3630*'BMP P Tracking Table'!$U423+20.691*'BMP P Tracking Table'!$AA423)^2-(4*(996.798*'BMP P Tracking Table'!$AA423)*-'BMP P Tracking Table'!$AB423)))/(2*(996.798*'BMP P Tracking Table'!$AA423)),IF(SUM('BMP P Tracking Table'!$W423:$Z423)=0,'BMP P Tracking Table'!$AB423/(-3630*'BMP P Tracking Table'!$U423),(-(3630*'BMP P Tracking Table'!$U423+20.691*'BMP P Tracking Table'!$Z423-216.711*'BMP P Tracking Table'!$Y423-83.853*'BMP P Tracking Table'!$X423-42.834*'BMP P Tracking Table'!$W423)+SQRT((3630*'BMP P Tracking Table'!$U423+20.691*'BMP P Tracking Table'!$Z423-216.711*'BMP P Tracking Table'!$Y423-83.853*'BMP P Tracking Table'!$X423-42.834*'BMP P Tracking Table'!$W423)^2-(4*(149.919*'BMP P Tracking Table'!$W423+236.676*'BMP P Tracking Table'!$X423+726*'BMP P Tracking Table'!$Y423+996.798*'BMP P Tracking Table'!$Z423)*-'BMP P Tracking Table'!$AB423)))/(2*(149.919*'BMP P Tracking Table'!$W423+236.676*'BMP P Tracking Table'!$X423+726*'BMP P Tracking Table'!$Y423+996.798*'BMP P Tracking Table'!$Z423))))),"")</f>
        <v/>
      </c>
      <c r="AF423" s="101" t="str">
        <f>IFERROR((VLOOKUP(CONCATENATE('BMP P Tracking Table'!$T423," ",'BMP P Tracking Table'!$AC423),'Performance Curves'!$C$1:$L$45,MATCH('BMP P Tracking Table'!$AE423,'Performance Curves'!$E$1:$L$1,1)+2,FALSE)-VLOOKUP(CONCATENATE('BMP P Tracking Table'!$T423," ",'BMP P Tracking Table'!$AC423),'Performance Curves'!$C$1:$L$45,MATCH('BMP P Tracking Table'!$AE423,'Performance Curves'!$E$1:$L$1,1)+1,FALSE)),"")</f>
        <v/>
      </c>
      <c r="AG423" s="101" t="str">
        <f>IFERROR(('BMP P Tracking Table'!$AE423-INDEX('Performance Curves'!$E$1:$L$1,1,MATCH('BMP P Tracking Table'!$AE423,'Performance Curves'!$E$1:$L$1,1)))/(INDEX('Performance Curves'!$E$1:$L$1,1,MATCH('BMP P Tracking Table'!$AE423,'Performance Curves'!$E$1:$L$1,1)+1)-INDEX('Performance Curves'!$E$1:$L$1,1,MATCH('BMP P Tracking Table'!$AE423,'Performance Curves'!$E$1:$L$1,1))),"")</f>
        <v/>
      </c>
      <c r="AH423" s="102" t="str">
        <f>IFERROR(IF('BMP P Tracking Table'!$AE423=2,VLOOKUP(CONCATENATE('BMP P Tracking Table'!$T423," ",'BMP P Tracking Table'!$AC423),'Performance Curves'!$C$1:$L$45,MATCH('BMP P Tracking Table'!$AE423,'Performance Curves'!$E$1:$L$1,1)+1,FALSE),'BMP P Tracking Table'!$AF423*'BMP P Tracking Table'!$AG423+VLOOKUP(CONCATENATE('BMP P Tracking Table'!$T423," ",'BMP P Tracking Table'!$AC423),'Performance Curves'!$C$1:$L$45,MATCH('BMP P Tracking Table'!$AE423,'Performance Curves'!$E$1:$L$1,1)+1,FALSE)),"")</f>
        <v/>
      </c>
      <c r="AI423" s="101" t="str">
        <f>IFERROR('BMP P Tracking Table'!$AH423*'BMP P Tracking Table'!$AD423,"")</f>
        <v/>
      </c>
      <c r="AJ423" s="64"/>
      <c r="AK423" s="96"/>
      <c r="AL423" s="96"/>
      <c r="AM423" s="63"/>
      <c r="AN423" s="99" t="str">
        <f t="shared" si="24"/>
        <v/>
      </c>
      <c r="AO423" s="96"/>
      <c r="AP423" s="96"/>
      <c r="AQ423" s="96"/>
      <c r="AR423" s="96"/>
      <c r="AS423" s="96"/>
      <c r="AT423" s="96"/>
      <c r="AU423" s="96"/>
      <c r="AV423" s="64"/>
      <c r="AW423" s="97"/>
      <c r="AX423" s="97"/>
      <c r="AY423" s="101" t="str">
        <f>IF('BMP P Tracking Table'!$AK423="Yes",IF('BMP P Tracking Table'!$AL423="No",'BMP P Tracking Table'!$U423*VLOOKUP('BMP P Tracking Table'!$Q423,'Loading Rates'!$B$1:$L$24,4,FALSE)+IF('BMP P Tracking Table'!$V423="By HSG",'BMP P Tracking Table'!$W423*VLOOKUP('BMP P Tracking Table'!$Q423,'Loading Rates'!$B$1:$L$24,6,FALSE)+'BMP P Tracking Table'!$X423*VLOOKUP('BMP P Tracking Table'!$Q423,'Loading Rates'!$B$1:$L$24,7,FALSE)+'BMP P Tracking Table'!$Y423*VLOOKUP('BMP P Tracking Table'!$Q423,'Loading Rates'!$B$1:$L$24,8,FALSE)+'BMP P Tracking Table'!$Z423*VLOOKUP('BMP P Tracking Table'!$Q423,'Loading Rates'!$B$1:$L$24,9,FALSE),'BMP P Tracking Table'!$AA423*VLOOKUP('BMP P Tracking Table'!$Q423,'Loading Rates'!$B$1:$L$24,10,FALSE)),'BMP P Tracking Table'!$AO423*VLOOKUP('BMP P Tracking Table'!$Q423,'Loading Rates'!$B$1:$L$24,4,FALSE)+IF('BMP P Tracking Table'!$AP423="By HSG",'BMP P Tracking Table'!$AQ423*VLOOKUP('BMP P Tracking Table'!$Q423,'Loading Rates'!$B$1:$L$24,6,FALSE)+'BMP P Tracking Table'!$AR423*VLOOKUP('BMP P Tracking Table'!$Q423,'Loading Rates'!$B$1:$L$24,7,FALSE)+'BMP P Tracking Table'!$AS423*VLOOKUP('BMP P Tracking Table'!$Q423,'Loading Rates'!$B$1:$L$24,8,FALSE)+'BMP P Tracking Table'!$AT423*VLOOKUP('BMP P Tracking Table'!$Q423,'Loading Rates'!$B$1:$L$24,9,FALSE),'BMP P Tracking Table'!$AU423*VLOOKUP('BMP P Tracking Table'!$Q423,'Loading Rates'!$B$1:$L$24,10,FALSE))),"")</f>
        <v/>
      </c>
      <c r="AZ423" s="101" t="str">
        <f>IFERROR(IF('BMP P Tracking Table'!$AL423="Yes",MIN(2,IF('BMP P Tracking Table'!$AP423="Total Pervious",(-(3630*'BMP P Tracking Table'!$AO423+20.691*'BMP P Tracking Table'!$AU423)+SQRT((3630*'BMP P Tracking Table'!$AO423+20.691*'BMP P Tracking Table'!$AU423)^2-(4*(996.798*'BMP P Tracking Table'!$AU423)*-'BMP P Tracking Table'!$AW423)))/(2*(996.798*'BMP P Tracking Table'!$AU423)),IF(SUM('BMP P Tracking Table'!$AQ423:$AT423)=0,'BMP P Tracking Table'!$AU423/(-3630*'BMP P Tracking Table'!$AO423),(-(3630*'BMP P Tracking Table'!$AO423+20.691*'BMP P Tracking Table'!$AT423-216.711*'BMP P Tracking Table'!$AS423-83.853*'BMP P Tracking Table'!$AR423-42.834*'BMP P Tracking Table'!$AQ423)+SQRT((3630*'BMP P Tracking Table'!$AO423+20.691*'BMP P Tracking Table'!$AT423-216.711*'BMP P Tracking Table'!$AS423-83.853*'BMP P Tracking Table'!$AR423-42.834*'BMP P Tracking Table'!$AQ423)^2-(4*(149.919*'BMP P Tracking Table'!$AQ423+236.676*'BMP P Tracking Table'!$AR423+726*'BMP P Tracking Table'!$AS423+996.798*'BMP P Tracking Table'!$AT423)*-'BMP P Tracking Table'!$AW423)))/(2*(149.919*'BMP P Tracking Table'!$AQ423+236.676*'BMP P Tracking Table'!$AR423+726*'BMP P Tracking Table'!$AS423+996.798*'BMP P Tracking Table'!$AT423))))),MIN(2,IF('BMP P Tracking Table'!$AP423="Total Pervious",(-(3630*'BMP P Tracking Table'!$U423+20.691*'BMP P Tracking Table'!$AA423)+SQRT((3630*'BMP P Tracking Table'!$U423+20.691*'BMP P Tracking Table'!$AA423)^2-(4*(996.798*'BMP P Tracking Table'!$AA423)*-'BMP P Tracking Table'!$AW423)))/(2*(996.798*'BMP P Tracking Table'!$AA423)),IF(SUM('BMP P Tracking Table'!$W423:$Z423)=0,'BMP P Tracking Table'!$AW423/(-3630*'BMP P Tracking Table'!$U423),(-(3630*'BMP P Tracking Table'!$U423+20.691*'BMP P Tracking Table'!$Z423-216.711*'BMP P Tracking Table'!$Y423-83.853*'BMP P Tracking Table'!$X423-42.834*'BMP P Tracking Table'!$W423)+SQRT((3630*'BMP P Tracking Table'!$U423+20.691*'BMP P Tracking Table'!$Z423-216.711*'BMP P Tracking Table'!$Y423-83.853*'BMP P Tracking Table'!$X423-42.834*'BMP P Tracking Table'!$W423)^2-(4*(149.919*'BMP P Tracking Table'!$W423+236.676*'BMP P Tracking Table'!$X423+726*'BMP P Tracking Table'!$Y423+996.798*'BMP P Tracking Table'!$Z423)*-'BMP P Tracking Table'!$AW423)))/(2*(149.919*'BMP P Tracking Table'!$W423+236.676*'BMP P Tracking Table'!$X423+726*'BMP P Tracking Table'!$Y423+996.798*'BMP P Tracking Table'!$Z423)))))),"")</f>
        <v/>
      </c>
      <c r="BA423" s="101" t="str">
        <f>IFERROR((VLOOKUP(CONCATENATE('BMP P Tracking Table'!$AV423," ",'BMP P Tracking Table'!$AX423),'Performance Curves'!$C$1:$L$45,MATCH('BMP P Tracking Table'!$AZ423,'Performance Curves'!$E$1:$L$1,1)+2,FALSE)-VLOOKUP(CONCATENATE('BMP P Tracking Table'!$AV423," ",'BMP P Tracking Table'!$AX423),'Performance Curves'!$C$1:$L$45,MATCH('BMP P Tracking Table'!$AZ423,'Performance Curves'!$E$1:$L$1,1)+1,FALSE)),"")</f>
        <v/>
      </c>
      <c r="BB423" s="101" t="str">
        <f>IFERROR(('BMP P Tracking Table'!$AZ423-INDEX('Performance Curves'!$E$1:$L$1,1,MATCH('BMP P Tracking Table'!$AZ423,'Performance Curves'!$E$1:$L$1,1)))/(INDEX('Performance Curves'!$E$1:$L$1,1,MATCH('BMP P Tracking Table'!$AZ423,'Performance Curves'!$E$1:$L$1,1)+1)-INDEX('Performance Curves'!$E$1:$L$1,1,MATCH('BMP P Tracking Table'!$AZ423,'Performance Curves'!$E$1:$L$1,1))),"")</f>
        <v/>
      </c>
      <c r="BC423" s="102" t="str">
        <f>IFERROR(IF('BMP P Tracking Table'!$AZ423=2,VLOOKUP(CONCATENATE('BMP P Tracking Table'!$AV423," ",'BMP P Tracking Table'!$AX423),'Performance Curves'!$C$1:$L$44,MATCH('BMP P Tracking Table'!$AZ423,'Performance Curves'!$E$1:$L$1,1)+1,FALSE),'BMP P Tracking Table'!$BA423*'BMP P Tracking Table'!$BB423+VLOOKUP(CONCATENATE('BMP P Tracking Table'!$AV423," ",'BMP P Tracking Table'!$AX423),'Performance Curves'!$C$1:$L$44,MATCH('BMP P Tracking Table'!$AZ423,'Performance Curves'!$E$1:$L$1,1)+1,FALSE)),"")</f>
        <v/>
      </c>
      <c r="BD423" s="101" t="str">
        <f>IFERROR('BMP P Tracking Table'!$BC423*'BMP P Tracking Table'!$AY423,"")</f>
        <v/>
      </c>
      <c r="BE423" s="96"/>
      <c r="BF423" s="37">
        <f t="shared" si="25"/>
        <v>0</v>
      </c>
    </row>
    <row r="424" spans="1:58" x14ac:dyDescent="0.3">
      <c r="A424" s="64"/>
      <c r="B424" s="64"/>
      <c r="C424" s="64"/>
      <c r="D424" s="64"/>
      <c r="E424" s="93"/>
      <c r="F424" s="93"/>
      <c r="G424" s="64"/>
      <c r="H424" s="64"/>
      <c r="I424" s="64"/>
      <c r="J424" s="94"/>
      <c r="K424" s="64"/>
      <c r="L424" s="64"/>
      <c r="M424" s="64"/>
      <c r="N424" s="64"/>
      <c r="O424" s="64"/>
      <c r="P424" s="64"/>
      <c r="Q424" s="64" t="str">
        <f>IFERROR(VLOOKUP('BMP P Tracking Table'!$P424,Dropdowns!$C$2:$E$15,3,FALSE),"")</f>
        <v/>
      </c>
      <c r="R424" s="64" t="str">
        <f>IFERROR(VLOOKUP('BMP P Tracking Table'!$Q424,Dropdowns!$P$3:$Q$23,2,FALSE),"")</f>
        <v/>
      </c>
      <c r="S424" s="64"/>
      <c r="T424" s="64"/>
      <c r="U424" s="64"/>
      <c r="V424" s="64"/>
      <c r="W424" s="64"/>
      <c r="X424" s="64"/>
      <c r="Y424" s="64"/>
      <c r="Z424" s="64"/>
      <c r="AA424" s="64"/>
      <c r="AB424" s="95"/>
      <c r="AC424" s="64"/>
      <c r="AD424" s="101" t="str">
        <f>IFERROR('BMP P Tracking Table'!$U424*VLOOKUP('BMP P Tracking Table'!$Q424,'Loading Rates'!$B$1:$L$24,4,FALSE)+IF('BMP P Tracking Table'!$V424="By HSG",'BMP P Tracking Table'!$W424*VLOOKUP('BMP P Tracking Table'!$Q424,'Loading Rates'!$B$1:$L$24,6,FALSE)+'BMP P Tracking Table'!$X424*VLOOKUP('BMP P Tracking Table'!$Q424,'Loading Rates'!$B$1:$L$24,7,FALSE)+'BMP P Tracking Table'!$Y424*VLOOKUP('BMP P Tracking Table'!$Q424,'Loading Rates'!$B$1:$L$24,8,FALSE)+'BMP P Tracking Table'!$Z424*VLOOKUP('BMP P Tracking Table'!$Q424,'Loading Rates'!$B$1:$L$24,9,FALSE),'BMP P Tracking Table'!$AA424*VLOOKUP('BMP P Tracking Table'!$Q424,'Loading Rates'!$B$1:$L$24,10,FALSE)),"")</f>
        <v/>
      </c>
      <c r="AE424" s="101" t="str">
        <f>IFERROR(MIN(2,IF('BMP P Tracking Table'!$V424="Total Pervious",(-(3630*'BMP P Tracking Table'!$U424+20.691*'BMP P Tracking Table'!$AA424)+SQRT((3630*'BMP P Tracking Table'!$U424+20.691*'BMP P Tracking Table'!$AA424)^2-(4*(996.798*'BMP P Tracking Table'!$AA424)*-'BMP P Tracking Table'!$AB424)))/(2*(996.798*'BMP P Tracking Table'!$AA424)),IF(SUM('BMP P Tracking Table'!$W424:$Z424)=0,'BMP P Tracking Table'!$AB424/(-3630*'BMP P Tracking Table'!$U424),(-(3630*'BMP P Tracking Table'!$U424+20.691*'BMP P Tracking Table'!$Z424-216.711*'BMP P Tracking Table'!$Y424-83.853*'BMP P Tracking Table'!$X424-42.834*'BMP P Tracking Table'!$W424)+SQRT((3630*'BMP P Tracking Table'!$U424+20.691*'BMP P Tracking Table'!$Z424-216.711*'BMP P Tracking Table'!$Y424-83.853*'BMP P Tracking Table'!$X424-42.834*'BMP P Tracking Table'!$W424)^2-(4*(149.919*'BMP P Tracking Table'!$W424+236.676*'BMP P Tracking Table'!$X424+726*'BMP P Tracking Table'!$Y424+996.798*'BMP P Tracking Table'!$Z424)*-'BMP P Tracking Table'!$AB424)))/(2*(149.919*'BMP P Tracking Table'!$W424+236.676*'BMP P Tracking Table'!$X424+726*'BMP P Tracking Table'!$Y424+996.798*'BMP P Tracking Table'!$Z424))))),"")</f>
        <v/>
      </c>
      <c r="AF424" s="101" t="str">
        <f>IFERROR((VLOOKUP(CONCATENATE('BMP P Tracking Table'!$T424," ",'BMP P Tracking Table'!$AC424),'Performance Curves'!$C$1:$L$45,MATCH('BMP P Tracking Table'!$AE424,'Performance Curves'!$E$1:$L$1,1)+2,FALSE)-VLOOKUP(CONCATENATE('BMP P Tracking Table'!$T424," ",'BMP P Tracking Table'!$AC424),'Performance Curves'!$C$1:$L$45,MATCH('BMP P Tracking Table'!$AE424,'Performance Curves'!$E$1:$L$1,1)+1,FALSE)),"")</f>
        <v/>
      </c>
      <c r="AG424" s="101" t="str">
        <f>IFERROR(('BMP P Tracking Table'!$AE424-INDEX('Performance Curves'!$E$1:$L$1,1,MATCH('BMP P Tracking Table'!$AE424,'Performance Curves'!$E$1:$L$1,1)))/(INDEX('Performance Curves'!$E$1:$L$1,1,MATCH('BMP P Tracking Table'!$AE424,'Performance Curves'!$E$1:$L$1,1)+1)-INDEX('Performance Curves'!$E$1:$L$1,1,MATCH('BMP P Tracking Table'!$AE424,'Performance Curves'!$E$1:$L$1,1))),"")</f>
        <v/>
      </c>
      <c r="AH424" s="102" t="str">
        <f>IFERROR(IF('BMP P Tracking Table'!$AE424=2,VLOOKUP(CONCATENATE('BMP P Tracking Table'!$T424," ",'BMP P Tracking Table'!$AC424),'Performance Curves'!$C$1:$L$45,MATCH('BMP P Tracking Table'!$AE424,'Performance Curves'!$E$1:$L$1,1)+1,FALSE),'BMP P Tracking Table'!$AF424*'BMP P Tracking Table'!$AG424+VLOOKUP(CONCATENATE('BMP P Tracking Table'!$T424," ",'BMP P Tracking Table'!$AC424),'Performance Curves'!$C$1:$L$45,MATCH('BMP P Tracking Table'!$AE424,'Performance Curves'!$E$1:$L$1,1)+1,FALSE)),"")</f>
        <v/>
      </c>
      <c r="AI424" s="101" t="str">
        <f>IFERROR('BMP P Tracking Table'!$AH424*'BMP P Tracking Table'!$AD424,"")</f>
        <v/>
      </c>
      <c r="AJ424" s="64"/>
      <c r="AK424" s="96"/>
      <c r="AL424" s="96"/>
      <c r="AM424" s="63"/>
      <c r="AN424" s="99" t="str">
        <f t="shared" si="24"/>
        <v/>
      </c>
      <c r="AO424" s="96"/>
      <c r="AP424" s="96"/>
      <c r="AQ424" s="96"/>
      <c r="AR424" s="96"/>
      <c r="AS424" s="96"/>
      <c r="AT424" s="96"/>
      <c r="AU424" s="96"/>
      <c r="AV424" s="64"/>
      <c r="AW424" s="97"/>
      <c r="AX424" s="97"/>
      <c r="AY424" s="101" t="str">
        <f>IF('BMP P Tracking Table'!$AK424="Yes",IF('BMP P Tracking Table'!$AL424="No",'BMP P Tracking Table'!$U424*VLOOKUP('BMP P Tracking Table'!$Q424,'Loading Rates'!$B$1:$L$24,4,FALSE)+IF('BMP P Tracking Table'!$V424="By HSG",'BMP P Tracking Table'!$W424*VLOOKUP('BMP P Tracking Table'!$Q424,'Loading Rates'!$B$1:$L$24,6,FALSE)+'BMP P Tracking Table'!$X424*VLOOKUP('BMP P Tracking Table'!$Q424,'Loading Rates'!$B$1:$L$24,7,FALSE)+'BMP P Tracking Table'!$Y424*VLOOKUP('BMP P Tracking Table'!$Q424,'Loading Rates'!$B$1:$L$24,8,FALSE)+'BMP P Tracking Table'!$Z424*VLOOKUP('BMP P Tracking Table'!$Q424,'Loading Rates'!$B$1:$L$24,9,FALSE),'BMP P Tracking Table'!$AA424*VLOOKUP('BMP P Tracking Table'!$Q424,'Loading Rates'!$B$1:$L$24,10,FALSE)),'BMP P Tracking Table'!$AO424*VLOOKUP('BMP P Tracking Table'!$Q424,'Loading Rates'!$B$1:$L$24,4,FALSE)+IF('BMP P Tracking Table'!$AP424="By HSG",'BMP P Tracking Table'!$AQ424*VLOOKUP('BMP P Tracking Table'!$Q424,'Loading Rates'!$B$1:$L$24,6,FALSE)+'BMP P Tracking Table'!$AR424*VLOOKUP('BMP P Tracking Table'!$Q424,'Loading Rates'!$B$1:$L$24,7,FALSE)+'BMP P Tracking Table'!$AS424*VLOOKUP('BMP P Tracking Table'!$Q424,'Loading Rates'!$B$1:$L$24,8,FALSE)+'BMP P Tracking Table'!$AT424*VLOOKUP('BMP P Tracking Table'!$Q424,'Loading Rates'!$B$1:$L$24,9,FALSE),'BMP P Tracking Table'!$AU424*VLOOKUP('BMP P Tracking Table'!$Q424,'Loading Rates'!$B$1:$L$24,10,FALSE))),"")</f>
        <v/>
      </c>
      <c r="AZ424" s="101" t="str">
        <f>IFERROR(IF('BMP P Tracking Table'!$AL424="Yes",MIN(2,IF('BMP P Tracking Table'!$AP424="Total Pervious",(-(3630*'BMP P Tracking Table'!$AO424+20.691*'BMP P Tracking Table'!$AU424)+SQRT((3630*'BMP P Tracking Table'!$AO424+20.691*'BMP P Tracking Table'!$AU424)^2-(4*(996.798*'BMP P Tracking Table'!$AU424)*-'BMP P Tracking Table'!$AW424)))/(2*(996.798*'BMP P Tracking Table'!$AU424)),IF(SUM('BMP P Tracking Table'!$AQ424:$AT424)=0,'BMP P Tracking Table'!$AU424/(-3630*'BMP P Tracking Table'!$AO424),(-(3630*'BMP P Tracking Table'!$AO424+20.691*'BMP P Tracking Table'!$AT424-216.711*'BMP P Tracking Table'!$AS424-83.853*'BMP P Tracking Table'!$AR424-42.834*'BMP P Tracking Table'!$AQ424)+SQRT((3630*'BMP P Tracking Table'!$AO424+20.691*'BMP P Tracking Table'!$AT424-216.711*'BMP P Tracking Table'!$AS424-83.853*'BMP P Tracking Table'!$AR424-42.834*'BMP P Tracking Table'!$AQ424)^2-(4*(149.919*'BMP P Tracking Table'!$AQ424+236.676*'BMP P Tracking Table'!$AR424+726*'BMP P Tracking Table'!$AS424+996.798*'BMP P Tracking Table'!$AT424)*-'BMP P Tracking Table'!$AW424)))/(2*(149.919*'BMP P Tracking Table'!$AQ424+236.676*'BMP P Tracking Table'!$AR424+726*'BMP P Tracking Table'!$AS424+996.798*'BMP P Tracking Table'!$AT424))))),MIN(2,IF('BMP P Tracking Table'!$AP424="Total Pervious",(-(3630*'BMP P Tracking Table'!$U424+20.691*'BMP P Tracking Table'!$AA424)+SQRT((3630*'BMP P Tracking Table'!$U424+20.691*'BMP P Tracking Table'!$AA424)^2-(4*(996.798*'BMP P Tracking Table'!$AA424)*-'BMP P Tracking Table'!$AW424)))/(2*(996.798*'BMP P Tracking Table'!$AA424)),IF(SUM('BMP P Tracking Table'!$W424:$Z424)=0,'BMP P Tracking Table'!$AW424/(-3630*'BMP P Tracking Table'!$U424),(-(3630*'BMP P Tracking Table'!$U424+20.691*'BMP P Tracking Table'!$Z424-216.711*'BMP P Tracking Table'!$Y424-83.853*'BMP P Tracking Table'!$X424-42.834*'BMP P Tracking Table'!$W424)+SQRT((3630*'BMP P Tracking Table'!$U424+20.691*'BMP P Tracking Table'!$Z424-216.711*'BMP P Tracking Table'!$Y424-83.853*'BMP P Tracking Table'!$X424-42.834*'BMP P Tracking Table'!$W424)^2-(4*(149.919*'BMP P Tracking Table'!$W424+236.676*'BMP P Tracking Table'!$X424+726*'BMP P Tracking Table'!$Y424+996.798*'BMP P Tracking Table'!$Z424)*-'BMP P Tracking Table'!$AW424)))/(2*(149.919*'BMP P Tracking Table'!$W424+236.676*'BMP P Tracking Table'!$X424+726*'BMP P Tracking Table'!$Y424+996.798*'BMP P Tracking Table'!$Z424)))))),"")</f>
        <v/>
      </c>
      <c r="BA424" s="101" t="str">
        <f>IFERROR((VLOOKUP(CONCATENATE('BMP P Tracking Table'!$AV424," ",'BMP P Tracking Table'!$AX424),'Performance Curves'!$C$1:$L$45,MATCH('BMP P Tracking Table'!$AZ424,'Performance Curves'!$E$1:$L$1,1)+2,FALSE)-VLOOKUP(CONCATENATE('BMP P Tracking Table'!$AV424," ",'BMP P Tracking Table'!$AX424),'Performance Curves'!$C$1:$L$45,MATCH('BMP P Tracking Table'!$AZ424,'Performance Curves'!$E$1:$L$1,1)+1,FALSE)),"")</f>
        <v/>
      </c>
      <c r="BB424" s="101" t="str">
        <f>IFERROR(('BMP P Tracking Table'!$AZ424-INDEX('Performance Curves'!$E$1:$L$1,1,MATCH('BMP P Tracking Table'!$AZ424,'Performance Curves'!$E$1:$L$1,1)))/(INDEX('Performance Curves'!$E$1:$L$1,1,MATCH('BMP P Tracking Table'!$AZ424,'Performance Curves'!$E$1:$L$1,1)+1)-INDEX('Performance Curves'!$E$1:$L$1,1,MATCH('BMP P Tracking Table'!$AZ424,'Performance Curves'!$E$1:$L$1,1))),"")</f>
        <v/>
      </c>
      <c r="BC424" s="102" t="str">
        <f>IFERROR(IF('BMP P Tracking Table'!$AZ424=2,VLOOKUP(CONCATENATE('BMP P Tracking Table'!$AV424," ",'BMP P Tracking Table'!$AX424),'Performance Curves'!$C$1:$L$44,MATCH('BMP P Tracking Table'!$AZ424,'Performance Curves'!$E$1:$L$1,1)+1,FALSE),'BMP P Tracking Table'!$BA424*'BMP P Tracking Table'!$BB424+VLOOKUP(CONCATENATE('BMP P Tracking Table'!$AV424," ",'BMP P Tracking Table'!$AX424),'Performance Curves'!$C$1:$L$44,MATCH('BMP P Tracking Table'!$AZ424,'Performance Curves'!$E$1:$L$1,1)+1,FALSE)),"")</f>
        <v/>
      </c>
      <c r="BD424" s="101" t="str">
        <f>IFERROR('BMP P Tracking Table'!$BC424*'BMP P Tracking Table'!$AY424,"")</f>
        <v/>
      </c>
      <c r="BE424" s="96"/>
      <c r="BF424" s="37">
        <f t="shared" si="25"/>
        <v>0</v>
      </c>
    </row>
    <row r="425" spans="1:58" x14ac:dyDescent="0.3">
      <c r="A425" s="64"/>
      <c r="B425" s="64"/>
      <c r="C425" s="64"/>
      <c r="D425" s="64"/>
      <c r="E425" s="93"/>
      <c r="F425" s="93"/>
      <c r="G425" s="64"/>
      <c r="H425" s="64"/>
      <c r="I425" s="64"/>
      <c r="J425" s="94"/>
      <c r="K425" s="64"/>
      <c r="L425" s="64"/>
      <c r="M425" s="64"/>
      <c r="N425" s="64"/>
      <c r="O425" s="64"/>
      <c r="P425" s="64"/>
      <c r="Q425" s="64" t="str">
        <f>IFERROR(VLOOKUP('BMP P Tracking Table'!$P425,Dropdowns!$C$2:$E$15,3,FALSE),"")</f>
        <v/>
      </c>
      <c r="R425" s="64" t="str">
        <f>IFERROR(VLOOKUP('BMP P Tracking Table'!$Q425,Dropdowns!$P$3:$Q$23,2,FALSE),"")</f>
        <v/>
      </c>
      <c r="S425" s="64"/>
      <c r="T425" s="64"/>
      <c r="U425" s="64"/>
      <c r="V425" s="64"/>
      <c r="W425" s="64"/>
      <c r="X425" s="64"/>
      <c r="Y425" s="64"/>
      <c r="Z425" s="64"/>
      <c r="AA425" s="64"/>
      <c r="AB425" s="95"/>
      <c r="AC425" s="64"/>
      <c r="AD425" s="101" t="str">
        <f>IFERROR('BMP P Tracking Table'!$U425*VLOOKUP('BMP P Tracking Table'!$Q425,'Loading Rates'!$B$1:$L$24,4,FALSE)+IF('BMP P Tracking Table'!$V425="By HSG",'BMP P Tracking Table'!$W425*VLOOKUP('BMP P Tracking Table'!$Q425,'Loading Rates'!$B$1:$L$24,6,FALSE)+'BMP P Tracking Table'!$X425*VLOOKUP('BMP P Tracking Table'!$Q425,'Loading Rates'!$B$1:$L$24,7,FALSE)+'BMP P Tracking Table'!$Y425*VLOOKUP('BMP P Tracking Table'!$Q425,'Loading Rates'!$B$1:$L$24,8,FALSE)+'BMP P Tracking Table'!$Z425*VLOOKUP('BMP P Tracking Table'!$Q425,'Loading Rates'!$B$1:$L$24,9,FALSE),'BMP P Tracking Table'!$AA425*VLOOKUP('BMP P Tracking Table'!$Q425,'Loading Rates'!$B$1:$L$24,10,FALSE)),"")</f>
        <v/>
      </c>
      <c r="AE425" s="101" t="str">
        <f>IFERROR(MIN(2,IF('BMP P Tracking Table'!$V425="Total Pervious",(-(3630*'BMP P Tracking Table'!$U425+20.691*'BMP P Tracking Table'!$AA425)+SQRT((3630*'BMP P Tracking Table'!$U425+20.691*'BMP P Tracking Table'!$AA425)^2-(4*(996.798*'BMP P Tracking Table'!$AA425)*-'BMP P Tracking Table'!$AB425)))/(2*(996.798*'BMP P Tracking Table'!$AA425)),IF(SUM('BMP P Tracking Table'!$W425:$Z425)=0,'BMP P Tracking Table'!$AB425/(-3630*'BMP P Tracking Table'!$U425),(-(3630*'BMP P Tracking Table'!$U425+20.691*'BMP P Tracking Table'!$Z425-216.711*'BMP P Tracking Table'!$Y425-83.853*'BMP P Tracking Table'!$X425-42.834*'BMP P Tracking Table'!$W425)+SQRT((3630*'BMP P Tracking Table'!$U425+20.691*'BMP P Tracking Table'!$Z425-216.711*'BMP P Tracking Table'!$Y425-83.853*'BMP P Tracking Table'!$X425-42.834*'BMP P Tracking Table'!$W425)^2-(4*(149.919*'BMP P Tracking Table'!$W425+236.676*'BMP P Tracking Table'!$X425+726*'BMP P Tracking Table'!$Y425+996.798*'BMP P Tracking Table'!$Z425)*-'BMP P Tracking Table'!$AB425)))/(2*(149.919*'BMP P Tracking Table'!$W425+236.676*'BMP P Tracking Table'!$X425+726*'BMP P Tracking Table'!$Y425+996.798*'BMP P Tracking Table'!$Z425))))),"")</f>
        <v/>
      </c>
      <c r="AF425" s="101" t="str">
        <f>IFERROR((VLOOKUP(CONCATENATE('BMP P Tracking Table'!$T425," ",'BMP P Tracking Table'!$AC425),'Performance Curves'!$C$1:$L$45,MATCH('BMP P Tracking Table'!$AE425,'Performance Curves'!$E$1:$L$1,1)+2,FALSE)-VLOOKUP(CONCATENATE('BMP P Tracking Table'!$T425," ",'BMP P Tracking Table'!$AC425),'Performance Curves'!$C$1:$L$45,MATCH('BMP P Tracking Table'!$AE425,'Performance Curves'!$E$1:$L$1,1)+1,FALSE)),"")</f>
        <v/>
      </c>
      <c r="AG425" s="101" t="str">
        <f>IFERROR(('BMP P Tracking Table'!$AE425-INDEX('Performance Curves'!$E$1:$L$1,1,MATCH('BMP P Tracking Table'!$AE425,'Performance Curves'!$E$1:$L$1,1)))/(INDEX('Performance Curves'!$E$1:$L$1,1,MATCH('BMP P Tracking Table'!$AE425,'Performance Curves'!$E$1:$L$1,1)+1)-INDEX('Performance Curves'!$E$1:$L$1,1,MATCH('BMP P Tracking Table'!$AE425,'Performance Curves'!$E$1:$L$1,1))),"")</f>
        <v/>
      </c>
      <c r="AH425" s="102" t="str">
        <f>IFERROR(IF('BMP P Tracking Table'!$AE425=2,VLOOKUP(CONCATENATE('BMP P Tracking Table'!$T425," ",'BMP P Tracking Table'!$AC425),'Performance Curves'!$C$1:$L$45,MATCH('BMP P Tracking Table'!$AE425,'Performance Curves'!$E$1:$L$1,1)+1,FALSE),'BMP P Tracking Table'!$AF425*'BMP P Tracking Table'!$AG425+VLOOKUP(CONCATENATE('BMP P Tracking Table'!$T425," ",'BMP P Tracking Table'!$AC425),'Performance Curves'!$C$1:$L$45,MATCH('BMP P Tracking Table'!$AE425,'Performance Curves'!$E$1:$L$1,1)+1,FALSE)),"")</f>
        <v/>
      </c>
      <c r="AI425" s="101" t="str">
        <f>IFERROR('BMP P Tracking Table'!$AH425*'BMP P Tracking Table'!$AD425,"")</f>
        <v/>
      </c>
      <c r="AJ425" s="64"/>
      <c r="AK425" s="96"/>
      <c r="AL425" s="96"/>
      <c r="AM425" s="63"/>
      <c r="AN425" s="99" t="str">
        <f t="shared" si="24"/>
        <v/>
      </c>
      <c r="AO425" s="96"/>
      <c r="AP425" s="96"/>
      <c r="AQ425" s="96"/>
      <c r="AR425" s="96"/>
      <c r="AS425" s="96"/>
      <c r="AT425" s="96"/>
      <c r="AU425" s="96"/>
      <c r="AV425" s="64"/>
      <c r="AW425" s="97"/>
      <c r="AX425" s="97"/>
      <c r="AY425" s="101" t="str">
        <f>IF('BMP P Tracking Table'!$AK425="Yes",IF('BMP P Tracking Table'!$AL425="No",'BMP P Tracking Table'!$U425*VLOOKUP('BMP P Tracking Table'!$Q425,'Loading Rates'!$B$1:$L$24,4,FALSE)+IF('BMP P Tracking Table'!$V425="By HSG",'BMP P Tracking Table'!$W425*VLOOKUP('BMP P Tracking Table'!$Q425,'Loading Rates'!$B$1:$L$24,6,FALSE)+'BMP P Tracking Table'!$X425*VLOOKUP('BMP P Tracking Table'!$Q425,'Loading Rates'!$B$1:$L$24,7,FALSE)+'BMP P Tracking Table'!$Y425*VLOOKUP('BMP P Tracking Table'!$Q425,'Loading Rates'!$B$1:$L$24,8,FALSE)+'BMP P Tracking Table'!$Z425*VLOOKUP('BMP P Tracking Table'!$Q425,'Loading Rates'!$B$1:$L$24,9,FALSE),'BMP P Tracking Table'!$AA425*VLOOKUP('BMP P Tracking Table'!$Q425,'Loading Rates'!$B$1:$L$24,10,FALSE)),'BMP P Tracking Table'!$AO425*VLOOKUP('BMP P Tracking Table'!$Q425,'Loading Rates'!$B$1:$L$24,4,FALSE)+IF('BMP P Tracking Table'!$AP425="By HSG",'BMP P Tracking Table'!$AQ425*VLOOKUP('BMP P Tracking Table'!$Q425,'Loading Rates'!$B$1:$L$24,6,FALSE)+'BMP P Tracking Table'!$AR425*VLOOKUP('BMP P Tracking Table'!$Q425,'Loading Rates'!$B$1:$L$24,7,FALSE)+'BMP P Tracking Table'!$AS425*VLOOKUP('BMP P Tracking Table'!$Q425,'Loading Rates'!$B$1:$L$24,8,FALSE)+'BMP P Tracking Table'!$AT425*VLOOKUP('BMP P Tracking Table'!$Q425,'Loading Rates'!$B$1:$L$24,9,FALSE),'BMP P Tracking Table'!$AU425*VLOOKUP('BMP P Tracking Table'!$Q425,'Loading Rates'!$B$1:$L$24,10,FALSE))),"")</f>
        <v/>
      </c>
      <c r="AZ425" s="101" t="str">
        <f>IFERROR(IF('BMP P Tracking Table'!$AL425="Yes",MIN(2,IF('BMP P Tracking Table'!$AP425="Total Pervious",(-(3630*'BMP P Tracking Table'!$AO425+20.691*'BMP P Tracking Table'!$AU425)+SQRT((3630*'BMP P Tracking Table'!$AO425+20.691*'BMP P Tracking Table'!$AU425)^2-(4*(996.798*'BMP P Tracking Table'!$AU425)*-'BMP P Tracking Table'!$AW425)))/(2*(996.798*'BMP P Tracking Table'!$AU425)),IF(SUM('BMP P Tracking Table'!$AQ425:$AT425)=0,'BMP P Tracking Table'!$AU425/(-3630*'BMP P Tracking Table'!$AO425),(-(3630*'BMP P Tracking Table'!$AO425+20.691*'BMP P Tracking Table'!$AT425-216.711*'BMP P Tracking Table'!$AS425-83.853*'BMP P Tracking Table'!$AR425-42.834*'BMP P Tracking Table'!$AQ425)+SQRT((3630*'BMP P Tracking Table'!$AO425+20.691*'BMP P Tracking Table'!$AT425-216.711*'BMP P Tracking Table'!$AS425-83.853*'BMP P Tracking Table'!$AR425-42.834*'BMP P Tracking Table'!$AQ425)^2-(4*(149.919*'BMP P Tracking Table'!$AQ425+236.676*'BMP P Tracking Table'!$AR425+726*'BMP P Tracking Table'!$AS425+996.798*'BMP P Tracking Table'!$AT425)*-'BMP P Tracking Table'!$AW425)))/(2*(149.919*'BMP P Tracking Table'!$AQ425+236.676*'BMP P Tracking Table'!$AR425+726*'BMP P Tracking Table'!$AS425+996.798*'BMP P Tracking Table'!$AT425))))),MIN(2,IF('BMP P Tracking Table'!$AP425="Total Pervious",(-(3630*'BMP P Tracking Table'!$U425+20.691*'BMP P Tracking Table'!$AA425)+SQRT((3630*'BMP P Tracking Table'!$U425+20.691*'BMP P Tracking Table'!$AA425)^2-(4*(996.798*'BMP P Tracking Table'!$AA425)*-'BMP P Tracking Table'!$AW425)))/(2*(996.798*'BMP P Tracking Table'!$AA425)),IF(SUM('BMP P Tracking Table'!$W425:$Z425)=0,'BMP P Tracking Table'!$AW425/(-3630*'BMP P Tracking Table'!$U425),(-(3630*'BMP P Tracking Table'!$U425+20.691*'BMP P Tracking Table'!$Z425-216.711*'BMP P Tracking Table'!$Y425-83.853*'BMP P Tracking Table'!$X425-42.834*'BMP P Tracking Table'!$W425)+SQRT((3630*'BMP P Tracking Table'!$U425+20.691*'BMP P Tracking Table'!$Z425-216.711*'BMP P Tracking Table'!$Y425-83.853*'BMP P Tracking Table'!$X425-42.834*'BMP P Tracking Table'!$W425)^2-(4*(149.919*'BMP P Tracking Table'!$W425+236.676*'BMP P Tracking Table'!$X425+726*'BMP P Tracking Table'!$Y425+996.798*'BMP P Tracking Table'!$Z425)*-'BMP P Tracking Table'!$AW425)))/(2*(149.919*'BMP P Tracking Table'!$W425+236.676*'BMP P Tracking Table'!$X425+726*'BMP P Tracking Table'!$Y425+996.798*'BMP P Tracking Table'!$Z425)))))),"")</f>
        <v/>
      </c>
      <c r="BA425" s="101" t="str">
        <f>IFERROR((VLOOKUP(CONCATENATE('BMP P Tracking Table'!$AV425," ",'BMP P Tracking Table'!$AX425),'Performance Curves'!$C$1:$L$45,MATCH('BMP P Tracking Table'!$AZ425,'Performance Curves'!$E$1:$L$1,1)+2,FALSE)-VLOOKUP(CONCATENATE('BMP P Tracking Table'!$AV425," ",'BMP P Tracking Table'!$AX425),'Performance Curves'!$C$1:$L$45,MATCH('BMP P Tracking Table'!$AZ425,'Performance Curves'!$E$1:$L$1,1)+1,FALSE)),"")</f>
        <v/>
      </c>
      <c r="BB425" s="101" t="str">
        <f>IFERROR(('BMP P Tracking Table'!$AZ425-INDEX('Performance Curves'!$E$1:$L$1,1,MATCH('BMP P Tracking Table'!$AZ425,'Performance Curves'!$E$1:$L$1,1)))/(INDEX('Performance Curves'!$E$1:$L$1,1,MATCH('BMP P Tracking Table'!$AZ425,'Performance Curves'!$E$1:$L$1,1)+1)-INDEX('Performance Curves'!$E$1:$L$1,1,MATCH('BMP P Tracking Table'!$AZ425,'Performance Curves'!$E$1:$L$1,1))),"")</f>
        <v/>
      </c>
      <c r="BC425" s="102" t="str">
        <f>IFERROR(IF('BMP P Tracking Table'!$AZ425=2,VLOOKUP(CONCATENATE('BMP P Tracking Table'!$AV425," ",'BMP P Tracking Table'!$AX425),'Performance Curves'!$C$1:$L$44,MATCH('BMP P Tracking Table'!$AZ425,'Performance Curves'!$E$1:$L$1,1)+1,FALSE),'BMP P Tracking Table'!$BA425*'BMP P Tracking Table'!$BB425+VLOOKUP(CONCATENATE('BMP P Tracking Table'!$AV425," ",'BMP P Tracking Table'!$AX425),'Performance Curves'!$C$1:$L$44,MATCH('BMP P Tracking Table'!$AZ425,'Performance Curves'!$E$1:$L$1,1)+1,FALSE)),"")</f>
        <v/>
      </c>
      <c r="BD425" s="101" t="str">
        <f>IFERROR('BMP P Tracking Table'!$BC425*'BMP P Tracking Table'!$AY425,"")</f>
        <v/>
      </c>
      <c r="BE425" s="96"/>
      <c r="BF425" s="37">
        <f t="shared" si="25"/>
        <v>0</v>
      </c>
    </row>
    <row r="426" spans="1:58" x14ac:dyDescent="0.3">
      <c r="A426" s="64"/>
      <c r="B426" s="64"/>
      <c r="C426" s="64"/>
      <c r="D426" s="64"/>
      <c r="E426" s="93"/>
      <c r="F426" s="93"/>
      <c r="G426" s="64"/>
      <c r="H426" s="64"/>
      <c r="I426" s="64"/>
      <c r="J426" s="94"/>
      <c r="K426" s="64"/>
      <c r="L426" s="64"/>
      <c r="M426" s="64"/>
      <c r="N426" s="64"/>
      <c r="O426" s="64"/>
      <c r="P426" s="64"/>
      <c r="Q426" s="64" t="str">
        <f>IFERROR(VLOOKUP('BMP P Tracking Table'!$P426,Dropdowns!$C$2:$E$15,3,FALSE),"")</f>
        <v/>
      </c>
      <c r="R426" s="64" t="str">
        <f>IFERROR(VLOOKUP('BMP P Tracking Table'!$Q426,Dropdowns!$P$3:$Q$23,2,FALSE),"")</f>
        <v/>
      </c>
      <c r="S426" s="64"/>
      <c r="T426" s="64"/>
      <c r="U426" s="64"/>
      <c r="V426" s="64"/>
      <c r="W426" s="64"/>
      <c r="X426" s="64"/>
      <c r="Y426" s="64"/>
      <c r="Z426" s="64"/>
      <c r="AA426" s="64"/>
      <c r="AB426" s="95"/>
      <c r="AC426" s="64"/>
      <c r="AD426" s="101" t="str">
        <f>IFERROR('BMP P Tracking Table'!$U426*VLOOKUP('BMP P Tracking Table'!$Q426,'Loading Rates'!$B$1:$L$24,4,FALSE)+IF('BMP P Tracking Table'!$V426="By HSG",'BMP P Tracking Table'!$W426*VLOOKUP('BMP P Tracking Table'!$Q426,'Loading Rates'!$B$1:$L$24,6,FALSE)+'BMP P Tracking Table'!$X426*VLOOKUP('BMP P Tracking Table'!$Q426,'Loading Rates'!$B$1:$L$24,7,FALSE)+'BMP P Tracking Table'!$Y426*VLOOKUP('BMP P Tracking Table'!$Q426,'Loading Rates'!$B$1:$L$24,8,FALSE)+'BMP P Tracking Table'!$Z426*VLOOKUP('BMP P Tracking Table'!$Q426,'Loading Rates'!$B$1:$L$24,9,FALSE),'BMP P Tracking Table'!$AA426*VLOOKUP('BMP P Tracking Table'!$Q426,'Loading Rates'!$B$1:$L$24,10,FALSE)),"")</f>
        <v/>
      </c>
      <c r="AE426" s="101" t="str">
        <f>IFERROR(MIN(2,IF('BMP P Tracking Table'!$V426="Total Pervious",(-(3630*'BMP P Tracking Table'!$U426+20.691*'BMP P Tracking Table'!$AA426)+SQRT((3630*'BMP P Tracking Table'!$U426+20.691*'BMP P Tracking Table'!$AA426)^2-(4*(996.798*'BMP P Tracking Table'!$AA426)*-'BMP P Tracking Table'!$AB426)))/(2*(996.798*'BMP P Tracking Table'!$AA426)),IF(SUM('BMP P Tracking Table'!$W426:$Z426)=0,'BMP P Tracking Table'!$AB426/(-3630*'BMP P Tracking Table'!$U426),(-(3630*'BMP P Tracking Table'!$U426+20.691*'BMP P Tracking Table'!$Z426-216.711*'BMP P Tracking Table'!$Y426-83.853*'BMP P Tracking Table'!$X426-42.834*'BMP P Tracking Table'!$W426)+SQRT((3630*'BMP P Tracking Table'!$U426+20.691*'BMP P Tracking Table'!$Z426-216.711*'BMP P Tracking Table'!$Y426-83.853*'BMP P Tracking Table'!$X426-42.834*'BMP P Tracking Table'!$W426)^2-(4*(149.919*'BMP P Tracking Table'!$W426+236.676*'BMP P Tracking Table'!$X426+726*'BMP P Tracking Table'!$Y426+996.798*'BMP P Tracking Table'!$Z426)*-'BMP P Tracking Table'!$AB426)))/(2*(149.919*'BMP P Tracking Table'!$W426+236.676*'BMP P Tracking Table'!$X426+726*'BMP P Tracking Table'!$Y426+996.798*'BMP P Tracking Table'!$Z426))))),"")</f>
        <v/>
      </c>
      <c r="AF426" s="101" t="str">
        <f>IFERROR((VLOOKUP(CONCATENATE('BMP P Tracking Table'!$T426," ",'BMP P Tracking Table'!$AC426),'Performance Curves'!$C$1:$L$45,MATCH('BMP P Tracking Table'!$AE426,'Performance Curves'!$E$1:$L$1,1)+2,FALSE)-VLOOKUP(CONCATENATE('BMP P Tracking Table'!$T426," ",'BMP P Tracking Table'!$AC426),'Performance Curves'!$C$1:$L$45,MATCH('BMP P Tracking Table'!$AE426,'Performance Curves'!$E$1:$L$1,1)+1,FALSE)),"")</f>
        <v/>
      </c>
      <c r="AG426" s="101" t="str">
        <f>IFERROR(('BMP P Tracking Table'!$AE426-INDEX('Performance Curves'!$E$1:$L$1,1,MATCH('BMP P Tracking Table'!$AE426,'Performance Curves'!$E$1:$L$1,1)))/(INDEX('Performance Curves'!$E$1:$L$1,1,MATCH('BMP P Tracking Table'!$AE426,'Performance Curves'!$E$1:$L$1,1)+1)-INDEX('Performance Curves'!$E$1:$L$1,1,MATCH('BMP P Tracking Table'!$AE426,'Performance Curves'!$E$1:$L$1,1))),"")</f>
        <v/>
      </c>
      <c r="AH426" s="102" t="str">
        <f>IFERROR(IF('BMP P Tracking Table'!$AE426=2,VLOOKUP(CONCATENATE('BMP P Tracking Table'!$T426," ",'BMP P Tracking Table'!$AC426),'Performance Curves'!$C$1:$L$45,MATCH('BMP P Tracking Table'!$AE426,'Performance Curves'!$E$1:$L$1,1)+1,FALSE),'BMP P Tracking Table'!$AF426*'BMP P Tracking Table'!$AG426+VLOOKUP(CONCATENATE('BMP P Tracking Table'!$T426," ",'BMP P Tracking Table'!$AC426),'Performance Curves'!$C$1:$L$45,MATCH('BMP P Tracking Table'!$AE426,'Performance Curves'!$E$1:$L$1,1)+1,FALSE)),"")</f>
        <v/>
      </c>
      <c r="AI426" s="101" t="str">
        <f>IFERROR('BMP P Tracking Table'!$AH426*'BMP P Tracking Table'!$AD426,"")</f>
        <v/>
      </c>
      <c r="AJ426" s="64"/>
      <c r="AK426" s="96"/>
      <c r="AL426" s="96"/>
      <c r="AM426" s="63"/>
      <c r="AN426" s="99" t="str">
        <f t="shared" si="24"/>
        <v/>
      </c>
      <c r="AO426" s="96"/>
      <c r="AP426" s="96"/>
      <c r="AQ426" s="96"/>
      <c r="AR426" s="96"/>
      <c r="AS426" s="96"/>
      <c r="AT426" s="96"/>
      <c r="AU426" s="96"/>
      <c r="AV426" s="64"/>
      <c r="AW426" s="97"/>
      <c r="AX426" s="97"/>
      <c r="AY426" s="101" t="str">
        <f>IF('BMP P Tracking Table'!$AK426="Yes",IF('BMP P Tracking Table'!$AL426="No",'BMP P Tracking Table'!$U426*VLOOKUP('BMP P Tracking Table'!$Q426,'Loading Rates'!$B$1:$L$24,4,FALSE)+IF('BMP P Tracking Table'!$V426="By HSG",'BMP P Tracking Table'!$W426*VLOOKUP('BMP P Tracking Table'!$Q426,'Loading Rates'!$B$1:$L$24,6,FALSE)+'BMP P Tracking Table'!$X426*VLOOKUP('BMP P Tracking Table'!$Q426,'Loading Rates'!$B$1:$L$24,7,FALSE)+'BMP P Tracking Table'!$Y426*VLOOKUP('BMP P Tracking Table'!$Q426,'Loading Rates'!$B$1:$L$24,8,FALSE)+'BMP P Tracking Table'!$Z426*VLOOKUP('BMP P Tracking Table'!$Q426,'Loading Rates'!$B$1:$L$24,9,FALSE),'BMP P Tracking Table'!$AA426*VLOOKUP('BMP P Tracking Table'!$Q426,'Loading Rates'!$B$1:$L$24,10,FALSE)),'BMP P Tracking Table'!$AO426*VLOOKUP('BMP P Tracking Table'!$Q426,'Loading Rates'!$B$1:$L$24,4,FALSE)+IF('BMP P Tracking Table'!$AP426="By HSG",'BMP P Tracking Table'!$AQ426*VLOOKUP('BMP P Tracking Table'!$Q426,'Loading Rates'!$B$1:$L$24,6,FALSE)+'BMP P Tracking Table'!$AR426*VLOOKUP('BMP P Tracking Table'!$Q426,'Loading Rates'!$B$1:$L$24,7,FALSE)+'BMP P Tracking Table'!$AS426*VLOOKUP('BMP P Tracking Table'!$Q426,'Loading Rates'!$B$1:$L$24,8,FALSE)+'BMP P Tracking Table'!$AT426*VLOOKUP('BMP P Tracking Table'!$Q426,'Loading Rates'!$B$1:$L$24,9,FALSE),'BMP P Tracking Table'!$AU426*VLOOKUP('BMP P Tracking Table'!$Q426,'Loading Rates'!$B$1:$L$24,10,FALSE))),"")</f>
        <v/>
      </c>
      <c r="AZ426" s="101" t="str">
        <f>IFERROR(IF('BMP P Tracking Table'!$AL426="Yes",MIN(2,IF('BMP P Tracking Table'!$AP426="Total Pervious",(-(3630*'BMP P Tracking Table'!$AO426+20.691*'BMP P Tracking Table'!$AU426)+SQRT((3630*'BMP P Tracking Table'!$AO426+20.691*'BMP P Tracking Table'!$AU426)^2-(4*(996.798*'BMP P Tracking Table'!$AU426)*-'BMP P Tracking Table'!$AW426)))/(2*(996.798*'BMP P Tracking Table'!$AU426)),IF(SUM('BMP P Tracking Table'!$AQ426:$AT426)=0,'BMP P Tracking Table'!$AU426/(-3630*'BMP P Tracking Table'!$AO426),(-(3630*'BMP P Tracking Table'!$AO426+20.691*'BMP P Tracking Table'!$AT426-216.711*'BMP P Tracking Table'!$AS426-83.853*'BMP P Tracking Table'!$AR426-42.834*'BMP P Tracking Table'!$AQ426)+SQRT((3630*'BMP P Tracking Table'!$AO426+20.691*'BMP P Tracking Table'!$AT426-216.711*'BMP P Tracking Table'!$AS426-83.853*'BMP P Tracking Table'!$AR426-42.834*'BMP P Tracking Table'!$AQ426)^2-(4*(149.919*'BMP P Tracking Table'!$AQ426+236.676*'BMP P Tracking Table'!$AR426+726*'BMP P Tracking Table'!$AS426+996.798*'BMP P Tracking Table'!$AT426)*-'BMP P Tracking Table'!$AW426)))/(2*(149.919*'BMP P Tracking Table'!$AQ426+236.676*'BMP P Tracking Table'!$AR426+726*'BMP P Tracking Table'!$AS426+996.798*'BMP P Tracking Table'!$AT426))))),MIN(2,IF('BMP P Tracking Table'!$AP426="Total Pervious",(-(3630*'BMP P Tracking Table'!$U426+20.691*'BMP P Tracking Table'!$AA426)+SQRT((3630*'BMP P Tracking Table'!$U426+20.691*'BMP P Tracking Table'!$AA426)^2-(4*(996.798*'BMP P Tracking Table'!$AA426)*-'BMP P Tracking Table'!$AW426)))/(2*(996.798*'BMP P Tracking Table'!$AA426)),IF(SUM('BMP P Tracking Table'!$W426:$Z426)=0,'BMP P Tracking Table'!$AW426/(-3630*'BMP P Tracking Table'!$U426),(-(3630*'BMP P Tracking Table'!$U426+20.691*'BMP P Tracking Table'!$Z426-216.711*'BMP P Tracking Table'!$Y426-83.853*'BMP P Tracking Table'!$X426-42.834*'BMP P Tracking Table'!$W426)+SQRT((3630*'BMP P Tracking Table'!$U426+20.691*'BMP P Tracking Table'!$Z426-216.711*'BMP P Tracking Table'!$Y426-83.853*'BMP P Tracking Table'!$X426-42.834*'BMP P Tracking Table'!$W426)^2-(4*(149.919*'BMP P Tracking Table'!$W426+236.676*'BMP P Tracking Table'!$X426+726*'BMP P Tracking Table'!$Y426+996.798*'BMP P Tracking Table'!$Z426)*-'BMP P Tracking Table'!$AW426)))/(2*(149.919*'BMP P Tracking Table'!$W426+236.676*'BMP P Tracking Table'!$X426+726*'BMP P Tracking Table'!$Y426+996.798*'BMP P Tracking Table'!$Z426)))))),"")</f>
        <v/>
      </c>
      <c r="BA426" s="101" t="str">
        <f>IFERROR((VLOOKUP(CONCATENATE('BMP P Tracking Table'!$AV426," ",'BMP P Tracking Table'!$AX426),'Performance Curves'!$C$1:$L$45,MATCH('BMP P Tracking Table'!$AZ426,'Performance Curves'!$E$1:$L$1,1)+2,FALSE)-VLOOKUP(CONCATENATE('BMP P Tracking Table'!$AV426," ",'BMP P Tracking Table'!$AX426),'Performance Curves'!$C$1:$L$45,MATCH('BMP P Tracking Table'!$AZ426,'Performance Curves'!$E$1:$L$1,1)+1,FALSE)),"")</f>
        <v/>
      </c>
      <c r="BB426" s="101" t="str">
        <f>IFERROR(('BMP P Tracking Table'!$AZ426-INDEX('Performance Curves'!$E$1:$L$1,1,MATCH('BMP P Tracking Table'!$AZ426,'Performance Curves'!$E$1:$L$1,1)))/(INDEX('Performance Curves'!$E$1:$L$1,1,MATCH('BMP P Tracking Table'!$AZ426,'Performance Curves'!$E$1:$L$1,1)+1)-INDEX('Performance Curves'!$E$1:$L$1,1,MATCH('BMP P Tracking Table'!$AZ426,'Performance Curves'!$E$1:$L$1,1))),"")</f>
        <v/>
      </c>
      <c r="BC426" s="102" t="str">
        <f>IFERROR(IF('BMP P Tracking Table'!$AZ426=2,VLOOKUP(CONCATENATE('BMP P Tracking Table'!$AV426," ",'BMP P Tracking Table'!$AX426),'Performance Curves'!$C$1:$L$44,MATCH('BMP P Tracking Table'!$AZ426,'Performance Curves'!$E$1:$L$1,1)+1,FALSE),'BMP P Tracking Table'!$BA426*'BMP P Tracking Table'!$BB426+VLOOKUP(CONCATENATE('BMP P Tracking Table'!$AV426," ",'BMP P Tracking Table'!$AX426),'Performance Curves'!$C$1:$L$44,MATCH('BMP P Tracking Table'!$AZ426,'Performance Curves'!$E$1:$L$1,1)+1,FALSE)),"")</f>
        <v/>
      </c>
      <c r="BD426" s="101" t="str">
        <f>IFERROR('BMP P Tracking Table'!$BC426*'BMP P Tracking Table'!$AY426,"")</f>
        <v/>
      </c>
      <c r="BE426" s="96"/>
      <c r="BF426" s="37">
        <f t="shared" si="25"/>
        <v>0</v>
      </c>
    </row>
    <row r="427" spans="1:58" x14ac:dyDescent="0.3">
      <c r="A427" s="64"/>
      <c r="B427" s="64"/>
      <c r="C427" s="64"/>
      <c r="D427" s="64"/>
      <c r="E427" s="93"/>
      <c r="F427" s="93"/>
      <c r="G427" s="64"/>
      <c r="H427" s="64"/>
      <c r="I427" s="64"/>
      <c r="J427" s="94"/>
      <c r="K427" s="64"/>
      <c r="L427" s="64"/>
      <c r="M427" s="64"/>
      <c r="N427" s="64"/>
      <c r="O427" s="64"/>
      <c r="P427" s="64"/>
      <c r="Q427" s="64" t="str">
        <f>IFERROR(VLOOKUP('BMP P Tracking Table'!$P427,Dropdowns!$C$2:$E$15,3,FALSE),"")</f>
        <v/>
      </c>
      <c r="R427" s="64" t="str">
        <f>IFERROR(VLOOKUP('BMP P Tracking Table'!$Q427,Dropdowns!$P$3:$Q$23,2,FALSE),"")</f>
        <v/>
      </c>
      <c r="S427" s="64"/>
      <c r="T427" s="64"/>
      <c r="U427" s="64"/>
      <c r="V427" s="64"/>
      <c r="W427" s="64"/>
      <c r="X427" s="64"/>
      <c r="Y427" s="64"/>
      <c r="Z427" s="64"/>
      <c r="AA427" s="64"/>
      <c r="AB427" s="95"/>
      <c r="AC427" s="64"/>
      <c r="AD427" s="101" t="str">
        <f>IFERROR('BMP P Tracking Table'!$U427*VLOOKUP('BMP P Tracking Table'!$Q427,'Loading Rates'!$B$1:$L$24,4,FALSE)+IF('BMP P Tracking Table'!$V427="By HSG",'BMP P Tracking Table'!$W427*VLOOKUP('BMP P Tracking Table'!$Q427,'Loading Rates'!$B$1:$L$24,6,FALSE)+'BMP P Tracking Table'!$X427*VLOOKUP('BMP P Tracking Table'!$Q427,'Loading Rates'!$B$1:$L$24,7,FALSE)+'BMP P Tracking Table'!$Y427*VLOOKUP('BMP P Tracking Table'!$Q427,'Loading Rates'!$B$1:$L$24,8,FALSE)+'BMP P Tracking Table'!$Z427*VLOOKUP('BMP P Tracking Table'!$Q427,'Loading Rates'!$B$1:$L$24,9,FALSE),'BMP P Tracking Table'!$AA427*VLOOKUP('BMP P Tracking Table'!$Q427,'Loading Rates'!$B$1:$L$24,10,FALSE)),"")</f>
        <v/>
      </c>
      <c r="AE427" s="101" t="str">
        <f>IFERROR(MIN(2,IF('BMP P Tracking Table'!$V427="Total Pervious",(-(3630*'BMP P Tracking Table'!$U427+20.691*'BMP P Tracking Table'!$AA427)+SQRT((3630*'BMP P Tracking Table'!$U427+20.691*'BMP P Tracking Table'!$AA427)^2-(4*(996.798*'BMP P Tracking Table'!$AA427)*-'BMP P Tracking Table'!$AB427)))/(2*(996.798*'BMP P Tracking Table'!$AA427)),IF(SUM('BMP P Tracking Table'!$W427:$Z427)=0,'BMP P Tracking Table'!$AB427/(-3630*'BMP P Tracking Table'!$U427),(-(3630*'BMP P Tracking Table'!$U427+20.691*'BMP P Tracking Table'!$Z427-216.711*'BMP P Tracking Table'!$Y427-83.853*'BMP P Tracking Table'!$X427-42.834*'BMP P Tracking Table'!$W427)+SQRT((3630*'BMP P Tracking Table'!$U427+20.691*'BMP P Tracking Table'!$Z427-216.711*'BMP P Tracking Table'!$Y427-83.853*'BMP P Tracking Table'!$X427-42.834*'BMP P Tracking Table'!$W427)^2-(4*(149.919*'BMP P Tracking Table'!$W427+236.676*'BMP P Tracking Table'!$X427+726*'BMP P Tracking Table'!$Y427+996.798*'BMP P Tracking Table'!$Z427)*-'BMP P Tracking Table'!$AB427)))/(2*(149.919*'BMP P Tracking Table'!$W427+236.676*'BMP P Tracking Table'!$X427+726*'BMP P Tracking Table'!$Y427+996.798*'BMP P Tracking Table'!$Z427))))),"")</f>
        <v/>
      </c>
      <c r="AF427" s="101" t="str">
        <f>IFERROR((VLOOKUP(CONCATENATE('BMP P Tracking Table'!$T427," ",'BMP P Tracking Table'!$AC427),'Performance Curves'!$C$1:$L$45,MATCH('BMP P Tracking Table'!$AE427,'Performance Curves'!$E$1:$L$1,1)+2,FALSE)-VLOOKUP(CONCATENATE('BMP P Tracking Table'!$T427," ",'BMP P Tracking Table'!$AC427),'Performance Curves'!$C$1:$L$45,MATCH('BMP P Tracking Table'!$AE427,'Performance Curves'!$E$1:$L$1,1)+1,FALSE)),"")</f>
        <v/>
      </c>
      <c r="AG427" s="101" t="str">
        <f>IFERROR(('BMP P Tracking Table'!$AE427-INDEX('Performance Curves'!$E$1:$L$1,1,MATCH('BMP P Tracking Table'!$AE427,'Performance Curves'!$E$1:$L$1,1)))/(INDEX('Performance Curves'!$E$1:$L$1,1,MATCH('BMP P Tracking Table'!$AE427,'Performance Curves'!$E$1:$L$1,1)+1)-INDEX('Performance Curves'!$E$1:$L$1,1,MATCH('BMP P Tracking Table'!$AE427,'Performance Curves'!$E$1:$L$1,1))),"")</f>
        <v/>
      </c>
      <c r="AH427" s="102" t="str">
        <f>IFERROR(IF('BMP P Tracking Table'!$AE427=2,VLOOKUP(CONCATENATE('BMP P Tracking Table'!$T427," ",'BMP P Tracking Table'!$AC427),'Performance Curves'!$C$1:$L$45,MATCH('BMP P Tracking Table'!$AE427,'Performance Curves'!$E$1:$L$1,1)+1,FALSE),'BMP P Tracking Table'!$AF427*'BMP P Tracking Table'!$AG427+VLOOKUP(CONCATENATE('BMP P Tracking Table'!$T427," ",'BMP P Tracking Table'!$AC427),'Performance Curves'!$C$1:$L$45,MATCH('BMP P Tracking Table'!$AE427,'Performance Curves'!$E$1:$L$1,1)+1,FALSE)),"")</f>
        <v/>
      </c>
      <c r="AI427" s="101" t="str">
        <f>IFERROR('BMP P Tracking Table'!$AH427*'BMP P Tracking Table'!$AD427,"")</f>
        <v/>
      </c>
      <c r="AJ427" s="64"/>
      <c r="AK427" s="96"/>
      <c r="AL427" s="96"/>
      <c r="AM427" s="63"/>
      <c r="AN427" s="99" t="str">
        <f t="shared" si="24"/>
        <v/>
      </c>
      <c r="AO427" s="96"/>
      <c r="AP427" s="96"/>
      <c r="AQ427" s="96"/>
      <c r="AR427" s="96"/>
      <c r="AS427" s="96"/>
      <c r="AT427" s="96"/>
      <c r="AU427" s="96"/>
      <c r="AV427" s="64"/>
      <c r="AW427" s="97"/>
      <c r="AX427" s="97"/>
      <c r="AY427" s="101" t="str">
        <f>IF('BMP P Tracking Table'!$AK427="Yes",IF('BMP P Tracking Table'!$AL427="No",'BMP P Tracking Table'!$U427*VLOOKUP('BMP P Tracking Table'!$Q427,'Loading Rates'!$B$1:$L$24,4,FALSE)+IF('BMP P Tracking Table'!$V427="By HSG",'BMP P Tracking Table'!$W427*VLOOKUP('BMP P Tracking Table'!$Q427,'Loading Rates'!$B$1:$L$24,6,FALSE)+'BMP P Tracking Table'!$X427*VLOOKUP('BMP P Tracking Table'!$Q427,'Loading Rates'!$B$1:$L$24,7,FALSE)+'BMP P Tracking Table'!$Y427*VLOOKUP('BMP P Tracking Table'!$Q427,'Loading Rates'!$B$1:$L$24,8,FALSE)+'BMP P Tracking Table'!$Z427*VLOOKUP('BMP P Tracking Table'!$Q427,'Loading Rates'!$B$1:$L$24,9,FALSE),'BMP P Tracking Table'!$AA427*VLOOKUP('BMP P Tracking Table'!$Q427,'Loading Rates'!$B$1:$L$24,10,FALSE)),'BMP P Tracking Table'!$AO427*VLOOKUP('BMP P Tracking Table'!$Q427,'Loading Rates'!$B$1:$L$24,4,FALSE)+IF('BMP P Tracking Table'!$AP427="By HSG",'BMP P Tracking Table'!$AQ427*VLOOKUP('BMP P Tracking Table'!$Q427,'Loading Rates'!$B$1:$L$24,6,FALSE)+'BMP P Tracking Table'!$AR427*VLOOKUP('BMP P Tracking Table'!$Q427,'Loading Rates'!$B$1:$L$24,7,FALSE)+'BMP P Tracking Table'!$AS427*VLOOKUP('BMP P Tracking Table'!$Q427,'Loading Rates'!$B$1:$L$24,8,FALSE)+'BMP P Tracking Table'!$AT427*VLOOKUP('BMP P Tracking Table'!$Q427,'Loading Rates'!$B$1:$L$24,9,FALSE),'BMP P Tracking Table'!$AU427*VLOOKUP('BMP P Tracking Table'!$Q427,'Loading Rates'!$B$1:$L$24,10,FALSE))),"")</f>
        <v/>
      </c>
      <c r="AZ427" s="101" t="str">
        <f>IFERROR(IF('BMP P Tracking Table'!$AL427="Yes",MIN(2,IF('BMP P Tracking Table'!$AP427="Total Pervious",(-(3630*'BMP P Tracking Table'!$AO427+20.691*'BMP P Tracking Table'!$AU427)+SQRT((3630*'BMP P Tracking Table'!$AO427+20.691*'BMP P Tracking Table'!$AU427)^2-(4*(996.798*'BMP P Tracking Table'!$AU427)*-'BMP P Tracking Table'!$AW427)))/(2*(996.798*'BMP P Tracking Table'!$AU427)),IF(SUM('BMP P Tracking Table'!$AQ427:$AT427)=0,'BMP P Tracking Table'!$AU427/(-3630*'BMP P Tracking Table'!$AO427),(-(3630*'BMP P Tracking Table'!$AO427+20.691*'BMP P Tracking Table'!$AT427-216.711*'BMP P Tracking Table'!$AS427-83.853*'BMP P Tracking Table'!$AR427-42.834*'BMP P Tracking Table'!$AQ427)+SQRT((3630*'BMP P Tracking Table'!$AO427+20.691*'BMP P Tracking Table'!$AT427-216.711*'BMP P Tracking Table'!$AS427-83.853*'BMP P Tracking Table'!$AR427-42.834*'BMP P Tracking Table'!$AQ427)^2-(4*(149.919*'BMP P Tracking Table'!$AQ427+236.676*'BMP P Tracking Table'!$AR427+726*'BMP P Tracking Table'!$AS427+996.798*'BMP P Tracking Table'!$AT427)*-'BMP P Tracking Table'!$AW427)))/(2*(149.919*'BMP P Tracking Table'!$AQ427+236.676*'BMP P Tracking Table'!$AR427+726*'BMP P Tracking Table'!$AS427+996.798*'BMP P Tracking Table'!$AT427))))),MIN(2,IF('BMP P Tracking Table'!$AP427="Total Pervious",(-(3630*'BMP P Tracking Table'!$U427+20.691*'BMP P Tracking Table'!$AA427)+SQRT((3630*'BMP P Tracking Table'!$U427+20.691*'BMP P Tracking Table'!$AA427)^2-(4*(996.798*'BMP P Tracking Table'!$AA427)*-'BMP P Tracking Table'!$AW427)))/(2*(996.798*'BMP P Tracking Table'!$AA427)),IF(SUM('BMP P Tracking Table'!$W427:$Z427)=0,'BMP P Tracking Table'!$AW427/(-3630*'BMP P Tracking Table'!$U427),(-(3630*'BMP P Tracking Table'!$U427+20.691*'BMP P Tracking Table'!$Z427-216.711*'BMP P Tracking Table'!$Y427-83.853*'BMP P Tracking Table'!$X427-42.834*'BMP P Tracking Table'!$W427)+SQRT((3630*'BMP P Tracking Table'!$U427+20.691*'BMP P Tracking Table'!$Z427-216.711*'BMP P Tracking Table'!$Y427-83.853*'BMP P Tracking Table'!$X427-42.834*'BMP P Tracking Table'!$W427)^2-(4*(149.919*'BMP P Tracking Table'!$W427+236.676*'BMP P Tracking Table'!$X427+726*'BMP P Tracking Table'!$Y427+996.798*'BMP P Tracking Table'!$Z427)*-'BMP P Tracking Table'!$AW427)))/(2*(149.919*'BMP P Tracking Table'!$W427+236.676*'BMP P Tracking Table'!$X427+726*'BMP P Tracking Table'!$Y427+996.798*'BMP P Tracking Table'!$Z427)))))),"")</f>
        <v/>
      </c>
      <c r="BA427" s="101" t="str">
        <f>IFERROR((VLOOKUP(CONCATENATE('BMP P Tracking Table'!$AV427," ",'BMP P Tracking Table'!$AX427),'Performance Curves'!$C$1:$L$45,MATCH('BMP P Tracking Table'!$AZ427,'Performance Curves'!$E$1:$L$1,1)+2,FALSE)-VLOOKUP(CONCATENATE('BMP P Tracking Table'!$AV427," ",'BMP P Tracking Table'!$AX427),'Performance Curves'!$C$1:$L$45,MATCH('BMP P Tracking Table'!$AZ427,'Performance Curves'!$E$1:$L$1,1)+1,FALSE)),"")</f>
        <v/>
      </c>
      <c r="BB427" s="101" t="str">
        <f>IFERROR(('BMP P Tracking Table'!$AZ427-INDEX('Performance Curves'!$E$1:$L$1,1,MATCH('BMP P Tracking Table'!$AZ427,'Performance Curves'!$E$1:$L$1,1)))/(INDEX('Performance Curves'!$E$1:$L$1,1,MATCH('BMP P Tracking Table'!$AZ427,'Performance Curves'!$E$1:$L$1,1)+1)-INDEX('Performance Curves'!$E$1:$L$1,1,MATCH('BMP P Tracking Table'!$AZ427,'Performance Curves'!$E$1:$L$1,1))),"")</f>
        <v/>
      </c>
      <c r="BC427" s="102" t="str">
        <f>IFERROR(IF('BMP P Tracking Table'!$AZ427=2,VLOOKUP(CONCATENATE('BMP P Tracking Table'!$AV427," ",'BMP P Tracking Table'!$AX427),'Performance Curves'!$C$1:$L$44,MATCH('BMP P Tracking Table'!$AZ427,'Performance Curves'!$E$1:$L$1,1)+1,FALSE),'BMP P Tracking Table'!$BA427*'BMP P Tracking Table'!$BB427+VLOOKUP(CONCATENATE('BMP P Tracking Table'!$AV427," ",'BMP P Tracking Table'!$AX427),'Performance Curves'!$C$1:$L$44,MATCH('BMP P Tracking Table'!$AZ427,'Performance Curves'!$E$1:$L$1,1)+1,FALSE)),"")</f>
        <v/>
      </c>
      <c r="BD427" s="101" t="str">
        <f>IFERROR('BMP P Tracking Table'!$BC427*'BMP P Tracking Table'!$AY427,"")</f>
        <v/>
      </c>
      <c r="BE427" s="96"/>
      <c r="BF427" s="37">
        <f t="shared" si="25"/>
        <v>0</v>
      </c>
    </row>
    <row r="428" spans="1:58" x14ac:dyDescent="0.3">
      <c r="A428" s="64"/>
      <c r="B428" s="64"/>
      <c r="C428" s="64"/>
      <c r="D428" s="64"/>
      <c r="E428" s="93"/>
      <c r="F428" s="93"/>
      <c r="G428" s="64"/>
      <c r="H428" s="64"/>
      <c r="I428" s="64"/>
      <c r="J428" s="94"/>
      <c r="K428" s="64"/>
      <c r="L428" s="64"/>
      <c r="M428" s="64"/>
      <c r="N428" s="64"/>
      <c r="O428" s="64"/>
      <c r="P428" s="64"/>
      <c r="Q428" s="64" t="str">
        <f>IFERROR(VLOOKUP('BMP P Tracking Table'!$P428,Dropdowns!$C$2:$E$15,3,FALSE),"")</f>
        <v/>
      </c>
      <c r="R428" s="64" t="str">
        <f>IFERROR(VLOOKUP('BMP P Tracking Table'!$Q428,Dropdowns!$P$3:$Q$23,2,FALSE),"")</f>
        <v/>
      </c>
      <c r="S428" s="64"/>
      <c r="T428" s="64"/>
      <c r="U428" s="64"/>
      <c r="V428" s="64"/>
      <c r="W428" s="64"/>
      <c r="X428" s="64"/>
      <c r="Y428" s="64"/>
      <c r="Z428" s="64"/>
      <c r="AA428" s="64"/>
      <c r="AB428" s="95"/>
      <c r="AC428" s="64"/>
      <c r="AD428" s="101" t="str">
        <f>IFERROR('BMP P Tracking Table'!$U428*VLOOKUP('BMP P Tracking Table'!$Q428,'Loading Rates'!$B$1:$L$24,4,FALSE)+IF('BMP P Tracking Table'!$V428="By HSG",'BMP P Tracking Table'!$W428*VLOOKUP('BMP P Tracking Table'!$Q428,'Loading Rates'!$B$1:$L$24,6,FALSE)+'BMP P Tracking Table'!$X428*VLOOKUP('BMP P Tracking Table'!$Q428,'Loading Rates'!$B$1:$L$24,7,FALSE)+'BMP P Tracking Table'!$Y428*VLOOKUP('BMP P Tracking Table'!$Q428,'Loading Rates'!$B$1:$L$24,8,FALSE)+'BMP P Tracking Table'!$Z428*VLOOKUP('BMP P Tracking Table'!$Q428,'Loading Rates'!$B$1:$L$24,9,FALSE),'BMP P Tracking Table'!$AA428*VLOOKUP('BMP P Tracking Table'!$Q428,'Loading Rates'!$B$1:$L$24,10,FALSE)),"")</f>
        <v/>
      </c>
      <c r="AE428" s="101" t="str">
        <f>IFERROR(MIN(2,IF('BMP P Tracking Table'!$V428="Total Pervious",(-(3630*'BMP P Tracking Table'!$U428+20.691*'BMP P Tracking Table'!$AA428)+SQRT((3630*'BMP P Tracking Table'!$U428+20.691*'BMP P Tracking Table'!$AA428)^2-(4*(996.798*'BMP P Tracking Table'!$AA428)*-'BMP P Tracking Table'!$AB428)))/(2*(996.798*'BMP P Tracking Table'!$AA428)),IF(SUM('BMP P Tracking Table'!$W428:$Z428)=0,'BMP P Tracking Table'!$AB428/(-3630*'BMP P Tracking Table'!$U428),(-(3630*'BMP P Tracking Table'!$U428+20.691*'BMP P Tracking Table'!$Z428-216.711*'BMP P Tracking Table'!$Y428-83.853*'BMP P Tracking Table'!$X428-42.834*'BMP P Tracking Table'!$W428)+SQRT((3630*'BMP P Tracking Table'!$U428+20.691*'BMP P Tracking Table'!$Z428-216.711*'BMP P Tracking Table'!$Y428-83.853*'BMP P Tracking Table'!$X428-42.834*'BMP P Tracking Table'!$W428)^2-(4*(149.919*'BMP P Tracking Table'!$W428+236.676*'BMP P Tracking Table'!$X428+726*'BMP P Tracking Table'!$Y428+996.798*'BMP P Tracking Table'!$Z428)*-'BMP P Tracking Table'!$AB428)))/(2*(149.919*'BMP P Tracking Table'!$W428+236.676*'BMP P Tracking Table'!$X428+726*'BMP P Tracking Table'!$Y428+996.798*'BMP P Tracking Table'!$Z428))))),"")</f>
        <v/>
      </c>
      <c r="AF428" s="101" t="str">
        <f>IFERROR((VLOOKUP(CONCATENATE('BMP P Tracking Table'!$T428," ",'BMP P Tracking Table'!$AC428),'Performance Curves'!$C$1:$L$45,MATCH('BMP P Tracking Table'!$AE428,'Performance Curves'!$E$1:$L$1,1)+2,FALSE)-VLOOKUP(CONCATENATE('BMP P Tracking Table'!$T428," ",'BMP P Tracking Table'!$AC428),'Performance Curves'!$C$1:$L$45,MATCH('BMP P Tracking Table'!$AE428,'Performance Curves'!$E$1:$L$1,1)+1,FALSE)),"")</f>
        <v/>
      </c>
      <c r="AG428" s="101" t="str">
        <f>IFERROR(('BMP P Tracking Table'!$AE428-INDEX('Performance Curves'!$E$1:$L$1,1,MATCH('BMP P Tracking Table'!$AE428,'Performance Curves'!$E$1:$L$1,1)))/(INDEX('Performance Curves'!$E$1:$L$1,1,MATCH('BMP P Tracking Table'!$AE428,'Performance Curves'!$E$1:$L$1,1)+1)-INDEX('Performance Curves'!$E$1:$L$1,1,MATCH('BMP P Tracking Table'!$AE428,'Performance Curves'!$E$1:$L$1,1))),"")</f>
        <v/>
      </c>
      <c r="AH428" s="102" t="str">
        <f>IFERROR(IF('BMP P Tracking Table'!$AE428=2,VLOOKUP(CONCATENATE('BMP P Tracking Table'!$T428," ",'BMP P Tracking Table'!$AC428),'Performance Curves'!$C$1:$L$45,MATCH('BMP P Tracking Table'!$AE428,'Performance Curves'!$E$1:$L$1,1)+1,FALSE),'BMP P Tracking Table'!$AF428*'BMP P Tracking Table'!$AG428+VLOOKUP(CONCATENATE('BMP P Tracking Table'!$T428," ",'BMP P Tracking Table'!$AC428),'Performance Curves'!$C$1:$L$45,MATCH('BMP P Tracking Table'!$AE428,'Performance Curves'!$E$1:$L$1,1)+1,FALSE)),"")</f>
        <v/>
      </c>
      <c r="AI428" s="101" t="str">
        <f>IFERROR('BMP P Tracking Table'!$AH428*'BMP P Tracking Table'!$AD428,"")</f>
        <v/>
      </c>
      <c r="AJ428" s="64"/>
      <c r="AK428" s="96"/>
      <c r="AL428" s="96"/>
      <c r="AM428" s="63"/>
      <c r="AN428" s="99" t="str">
        <f t="shared" si="24"/>
        <v/>
      </c>
      <c r="AO428" s="96"/>
      <c r="AP428" s="96"/>
      <c r="AQ428" s="96"/>
      <c r="AR428" s="96"/>
      <c r="AS428" s="96"/>
      <c r="AT428" s="96"/>
      <c r="AU428" s="96"/>
      <c r="AV428" s="64"/>
      <c r="AW428" s="97"/>
      <c r="AX428" s="97"/>
      <c r="AY428" s="101" t="str">
        <f>IF('BMP P Tracking Table'!$AK428="Yes",IF('BMP P Tracking Table'!$AL428="No",'BMP P Tracking Table'!$U428*VLOOKUP('BMP P Tracking Table'!$Q428,'Loading Rates'!$B$1:$L$24,4,FALSE)+IF('BMP P Tracking Table'!$V428="By HSG",'BMP P Tracking Table'!$W428*VLOOKUP('BMP P Tracking Table'!$Q428,'Loading Rates'!$B$1:$L$24,6,FALSE)+'BMP P Tracking Table'!$X428*VLOOKUP('BMP P Tracking Table'!$Q428,'Loading Rates'!$B$1:$L$24,7,FALSE)+'BMP P Tracking Table'!$Y428*VLOOKUP('BMP P Tracking Table'!$Q428,'Loading Rates'!$B$1:$L$24,8,FALSE)+'BMP P Tracking Table'!$Z428*VLOOKUP('BMP P Tracking Table'!$Q428,'Loading Rates'!$B$1:$L$24,9,FALSE),'BMP P Tracking Table'!$AA428*VLOOKUP('BMP P Tracking Table'!$Q428,'Loading Rates'!$B$1:$L$24,10,FALSE)),'BMP P Tracking Table'!$AO428*VLOOKUP('BMP P Tracking Table'!$Q428,'Loading Rates'!$B$1:$L$24,4,FALSE)+IF('BMP P Tracking Table'!$AP428="By HSG",'BMP P Tracking Table'!$AQ428*VLOOKUP('BMP P Tracking Table'!$Q428,'Loading Rates'!$B$1:$L$24,6,FALSE)+'BMP P Tracking Table'!$AR428*VLOOKUP('BMP P Tracking Table'!$Q428,'Loading Rates'!$B$1:$L$24,7,FALSE)+'BMP P Tracking Table'!$AS428*VLOOKUP('BMP P Tracking Table'!$Q428,'Loading Rates'!$B$1:$L$24,8,FALSE)+'BMP P Tracking Table'!$AT428*VLOOKUP('BMP P Tracking Table'!$Q428,'Loading Rates'!$B$1:$L$24,9,FALSE),'BMP P Tracking Table'!$AU428*VLOOKUP('BMP P Tracking Table'!$Q428,'Loading Rates'!$B$1:$L$24,10,FALSE))),"")</f>
        <v/>
      </c>
      <c r="AZ428" s="101" t="str">
        <f>IFERROR(IF('BMP P Tracking Table'!$AL428="Yes",MIN(2,IF('BMP P Tracking Table'!$AP428="Total Pervious",(-(3630*'BMP P Tracking Table'!$AO428+20.691*'BMP P Tracking Table'!$AU428)+SQRT((3630*'BMP P Tracking Table'!$AO428+20.691*'BMP P Tracking Table'!$AU428)^2-(4*(996.798*'BMP P Tracking Table'!$AU428)*-'BMP P Tracking Table'!$AW428)))/(2*(996.798*'BMP P Tracking Table'!$AU428)),IF(SUM('BMP P Tracking Table'!$AQ428:$AT428)=0,'BMP P Tracking Table'!$AU428/(-3630*'BMP P Tracking Table'!$AO428),(-(3630*'BMP P Tracking Table'!$AO428+20.691*'BMP P Tracking Table'!$AT428-216.711*'BMP P Tracking Table'!$AS428-83.853*'BMP P Tracking Table'!$AR428-42.834*'BMP P Tracking Table'!$AQ428)+SQRT((3630*'BMP P Tracking Table'!$AO428+20.691*'BMP P Tracking Table'!$AT428-216.711*'BMP P Tracking Table'!$AS428-83.853*'BMP P Tracking Table'!$AR428-42.834*'BMP P Tracking Table'!$AQ428)^2-(4*(149.919*'BMP P Tracking Table'!$AQ428+236.676*'BMP P Tracking Table'!$AR428+726*'BMP P Tracking Table'!$AS428+996.798*'BMP P Tracking Table'!$AT428)*-'BMP P Tracking Table'!$AW428)))/(2*(149.919*'BMP P Tracking Table'!$AQ428+236.676*'BMP P Tracking Table'!$AR428+726*'BMP P Tracking Table'!$AS428+996.798*'BMP P Tracking Table'!$AT428))))),MIN(2,IF('BMP P Tracking Table'!$AP428="Total Pervious",(-(3630*'BMP P Tracking Table'!$U428+20.691*'BMP P Tracking Table'!$AA428)+SQRT((3630*'BMP P Tracking Table'!$U428+20.691*'BMP P Tracking Table'!$AA428)^2-(4*(996.798*'BMP P Tracking Table'!$AA428)*-'BMP P Tracking Table'!$AW428)))/(2*(996.798*'BMP P Tracking Table'!$AA428)),IF(SUM('BMP P Tracking Table'!$W428:$Z428)=0,'BMP P Tracking Table'!$AW428/(-3630*'BMP P Tracking Table'!$U428),(-(3630*'BMP P Tracking Table'!$U428+20.691*'BMP P Tracking Table'!$Z428-216.711*'BMP P Tracking Table'!$Y428-83.853*'BMP P Tracking Table'!$X428-42.834*'BMP P Tracking Table'!$W428)+SQRT((3630*'BMP P Tracking Table'!$U428+20.691*'BMP P Tracking Table'!$Z428-216.711*'BMP P Tracking Table'!$Y428-83.853*'BMP P Tracking Table'!$X428-42.834*'BMP P Tracking Table'!$W428)^2-(4*(149.919*'BMP P Tracking Table'!$W428+236.676*'BMP P Tracking Table'!$X428+726*'BMP P Tracking Table'!$Y428+996.798*'BMP P Tracking Table'!$Z428)*-'BMP P Tracking Table'!$AW428)))/(2*(149.919*'BMP P Tracking Table'!$W428+236.676*'BMP P Tracking Table'!$X428+726*'BMP P Tracking Table'!$Y428+996.798*'BMP P Tracking Table'!$Z428)))))),"")</f>
        <v/>
      </c>
      <c r="BA428" s="101" t="str">
        <f>IFERROR((VLOOKUP(CONCATENATE('BMP P Tracking Table'!$AV428," ",'BMP P Tracking Table'!$AX428),'Performance Curves'!$C$1:$L$45,MATCH('BMP P Tracking Table'!$AZ428,'Performance Curves'!$E$1:$L$1,1)+2,FALSE)-VLOOKUP(CONCATENATE('BMP P Tracking Table'!$AV428," ",'BMP P Tracking Table'!$AX428),'Performance Curves'!$C$1:$L$45,MATCH('BMP P Tracking Table'!$AZ428,'Performance Curves'!$E$1:$L$1,1)+1,FALSE)),"")</f>
        <v/>
      </c>
      <c r="BB428" s="101" t="str">
        <f>IFERROR(('BMP P Tracking Table'!$AZ428-INDEX('Performance Curves'!$E$1:$L$1,1,MATCH('BMP P Tracking Table'!$AZ428,'Performance Curves'!$E$1:$L$1,1)))/(INDEX('Performance Curves'!$E$1:$L$1,1,MATCH('BMP P Tracking Table'!$AZ428,'Performance Curves'!$E$1:$L$1,1)+1)-INDEX('Performance Curves'!$E$1:$L$1,1,MATCH('BMP P Tracking Table'!$AZ428,'Performance Curves'!$E$1:$L$1,1))),"")</f>
        <v/>
      </c>
      <c r="BC428" s="102" t="str">
        <f>IFERROR(IF('BMP P Tracking Table'!$AZ428=2,VLOOKUP(CONCATENATE('BMP P Tracking Table'!$AV428," ",'BMP P Tracking Table'!$AX428),'Performance Curves'!$C$1:$L$44,MATCH('BMP P Tracking Table'!$AZ428,'Performance Curves'!$E$1:$L$1,1)+1,FALSE),'BMP P Tracking Table'!$BA428*'BMP P Tracking Table'!$BB428+VLOOKUP(CONCATENATE('BMP P Tracking Table'!$AV428," ",'BMP P Tracking Table'!$AX428),'Performance Curves'!$C$1:$L$44,MATCH('BMP P Tracking Table'!$AZ428,'Performance Curves'!$E$1:$L$1,1)+1,FALSE)),"")</f>
        <v/>
      </c>
      <c r="BD428" s="101" t="str">
        <f>IFERROR('BMP P Tracking Table'!$BC428*'BMP P Tracking Table'!$AY428,"")</f>
        <v/>
      </c>
      <c r="BE428" s="96"/>
      <c r="BF428" s="37">
        <f t="shared" si="25"/>
        <v>0</v>
      </c>
    </row>
    <row r="429" spans="1:58" x14ac:dyDescent="0.3">
      <c r="A429" s="64"/>
      <c r="B429" s="64"/>
      <c r="C429" s="64"/>
      <c r="D429" s="64"/>
      <c r="E429" s="93"/>
      <c r="F429" s="93"/>
      <c r="G429" s="64"/>
      <c r="H429" s="64"/>
      <c r="I429" s="64"/>
      <c r="J429" s="94"/>
      <c r="K429" s="64"/>
      <c r="L429" s="64"/>
      <c r="M429" s="64"/>
      <c r="N429" s="64"/>
      <c r="O429" s="64"/>
      <c r="P429" s="64"/>
      <c r="Q429" s="64" t="str">
        <f>IFERROR(VLOOKUP('BMP P Tracking Table'!$P429,Dropdowns!$C$2:$E$15,3,FALSE),"")</f>
        <v/>
      </c>
      <c r="R429" s="64" t="str">
        <f>IFERROR(VLOOKUP('BMP P Tracking Table'!$Q429,Dropdowns!$P$3:$Q$23,2,FALSE),"")</f>
        <v/>
      </c>
      <c r="S429" s="64"/>
      <c r="T429" s="64"/>
      <c r="U429" s="64"/>
      <c r="V429" s="64"/>
      <c r="W429" s="64"/>
      <c r="X429" s="64"/>
      <c r="Y429" s="64"/>
      <c r="Z429" s="64"/>
      <c r="AA429" s="64"/>
      <c r="AB429" s="95"/>
      <c r="AC429" s="64"/>
      <c r="AD429" s="101" t="str">
        <f>IFERROR('BMP P Tracking Table'!$U429*VLOOKUP('BMP P Tracking Table'!$Q429,'Loading Rates'!$B$1:$L$24,4,FALSE)+IF('BMP P Tracking Table'!$V429="By HSG",'BMP P Tracking Table'!$W429*VLOOKUP('BMP P Tracking Table'!$Q429,'Loading Rates'!$B$1:$L$24,6,FALSE)+'BMP P Tracking Table'!$X429*VLOOKUP('BMP P Tracking Table'!$Q429,'Loading Rates'!$B$1:$L$24,7,FALSE)+'BMP P Tracking Table'!$Y429*VLOOKUP('BMP P Tracking Table'!$Q429,'Loading Rates'!$B$1:$L$24,8,FALSE)+'BMP P Tracking Table'!$Z429*VLOOKUP('BMP P Tracking Table'!$Q429,'Loading Rates'!$B$1:$L$24,9,FALSE),'BMP P Tracking Table'!$AA429*VLOOKUP('BMP P Tracking Table'!$Q429,'Loading Rates'!$B$1:$L$24,10,FALSE)),"")</f>
        <v/>
      </c>
      <c r="AE429" s="101" t="str">
        <f>IFERROR(MIN(2,IF('BMP P Tracking Table'!$V429="Total Pervious",(-(3630*'BMP P Tracking Table'!$U429+20.691*'BMP P Tracking Table'!$AA429)+SQRT((3630*'BMP P Tracking Table'!$U429+20.691*'BMP P Tracking Table'!$AA429)^2-(4*(996.798*'BMP P Tracking Table'!$AA429)*-'BMP P Tracking Table'!$AB429)))/(2*(996.798*'BMP P Tracking Table'!$AA429)),IF(SUM('BMP P Tracking Table'!$W429:$Z429)=0,'BMP P Tracking Table'!$AB429/(-3630*'BMP P Tracking Table'!$U429),(-(3630*'BMP P Tracking Table'!$U429+20.691*'BMP P Tracking Table'!$Z429-216.711*'BMP P Tracking Table'!$Y429-83.853*'BMP P Tracking Table'!$X429-42.834*'BMP P Tracking Table'!$W429)+SQRT((3630*'BMP P Tracking Table'!$U429+20.691*'BMP P Tracking Table'!$Z429-216.711*'BMP P Tracking Table'!$Y429-83.853*'BMP P Tracking Table'!$X429-42.834*'BMP P Tracking Table'!$W429)^2-(4*(149.919*'BMP P Tracking Table'!$W429+236.676*'BMP P Tracking Table'!$X429+726*'BMP P Tracking Table'!$Y429+996.798*'BMP P Tracking Table'!$Z429)*-'BMP P Tracking Table'!$AB429)))/(2*(149.919*'BMP P Tracking Table'!$W429+236.676*'BMP P Tracking Table'!$X429+726*'BMP P Tracking Table'!$Y429+996.798*'BMP P Tracking Table'!$Z429))))),"")</f>
        <v/>
      </c>
      <c r="AF429" s="101" t="str">
        <f>IFERROR((VLOOKUP(CONCATENATE('BMP P Tracking Table'!$T429," ",'BMP P Tracking Table'!$AC429),'Performance Curves'!$C$1:$L$45,MATCH('BMP P Tracking Table'!$AE429,'Performance Curves'!$E$1:$L$1,1)+2,FALSE)-VLOOKUP(CONCATENATE('BMP P Tracking Table'!$T429," ",'BMP P Tracking Table'!$AC429),'Performance Curves'!$C$1:$L$45,MATCH('BMP P Tracking Table'!$AE429,'Performance Curves'!$E$1:$L$1,1)+1,FALSE)),"")</f>
        <v/>
      </c>
      <c r="AG429" s="101" t="str">
        <f>IFERROR(('BMP P Tracking Table'!$AE429-INDEX('Performance Curves'!$E$1:$L$1,1,MATCH('BMP P Tracking Table'!$AE429,'Performance Curves'!$E$1:$L$1,1)))/(INDEX('Performance Curves'!$E$1:$L$1,1,MATCH('BMP P Tracking Table'!$AE429,'Performance Curves'!$E$1:$L$1,1)+1)-INDEX('Performance Curves'!$E$1:$L$1,1,MATCH('BMP P Tracking Table'!$AE429,'Performance Curves'!$E$1:$L$1,1))),"")</f>
        <v/>
      </c>
      <c r="AH429" s="102" t="str">
        <f>IFERROR(IF('BMP P Tracking Table'!$AE429=2,VLOOKUP(CONCATENATE('BMP P Tracking Table'!$T429," ",'BMP P Tracking Table'!$AC429),'Performance Curves'!$C$1:$L$45,MATCH('BMP P Tracking Table'!$AE429,'Performance Curves'!$E$1:$L$1,1)+1,FALSE),'BMP P Tracking Table'!$AF429*'BMP P Tracking Table'!$AG429+VLOOKUP(CONCATENATE('BMP P Tracking Table'!$T429," ",'BMP P Tracking Table'!$AC429),'Performance Curves'!$C$1:$L$45,MATCH('BMP P Tracking Table'!$AE429,'Performance Curves'!$E$1:$L$1,1)+1,FALSE)),"")</f>
        <v/>
      </c>
      <c r="AI429" s="101" t="str">
        <f>IFERROR('BMP P Tracking Table'!$AH429*'BMP P Tracking Table'!$AD429,"")</f>
        <v/>
      </c>
      <c r="AJ429" s="64"/>
      <c r="AK429" s="96"/>
      <c r="AL429" s="96"/>
      <c r="AM429" s="63"/>
      <c r="AN429" s="99" t="str">
        <f t="shared" si="24"/>
        <v/>
      </c>
      <c r="AO429" s="96"/>
      <c r="AP429" s="96"/>
      <c r="AQ429" s="96"/>
      <c r="AR429" s="96"/>
      <c r="AS429" s="96"/>
      <c r="AT429" s="96"/>
      <c r="AU429" s="96"/>
      <c r="AV429" s="64"/>
      <c r="AW429" s="97"/>
      <c r="AX429" s="97"/>
      <c r="AY429" s="101" t="str">
        <f>IF('BMP P Tracking Table'!$AK429="Yes",IF('BMP P Tracking Table'!$AL429="No",'BMP P Tracking Table'!$U429*VLOOKUP('BMP P Tracking Table'!$Q429,'Loading Rates'!$B$1:$L$24,4,FALSE)+IF('BMP P Tracking Table'!$V429="By HSG",'BMP P Tracking Table'!$W429*VLOOKUP('BMP P Tracking Table'!$Q429,'Loading Rates'!$B$1:$L$24,6,FALSE)+'BMP P Tracking Table'!$X429*VLOOKUP('BMP P Tracking Table'!$Q429,'Loading Rates'!$B$1:$L$24,7,FALSE)+'BMP P Tracking Table'!$Y429*VLOOKUP('BMP P Tracking Table'!$Q429,'Loading Rates'!$B$1:$L$24,8,FALSE)+'BMP P Tracking Table'!$Z429*VLOOKUP('BMP P Tracking Table'!$Q429,'Loading Rates'!$B$1:$L$24,9,FALSE),'BMP P Tracking Table'!$AA429*VLOOKUP('BMP P Tracking Table'!$Q429,'Loading Rates'!$B$1:$L$24,10,FALSE)),'BMP P Tracking Table'!$AO429*VLOOKUP('BMP P Tracking Table'!$Q429,'Loading Rates'!$B$1:$L$24,4,FALSE)+IF('BMP P Tracking Table'!$AP429="By HSG",'BMP P Tracking Table'!$AQ429*VLOOKUP('BMP P Tracking Table'!$Q429,'Loading Rates'!$B$1:$L$24,6,FALSE)+'BMP P Tracking Table'!$AR429*VLOOKUP('BMP P Tracking Table'!$Q429,'Loading Rates'!$B$1:$L$24,7,FALSE)+'BMP P Tracking Table'!$AS429*VLOOKUP('BMP P Tracking Table'!$Q429,'Loading Rates'!$B$1:$L$24,8,FALSE)+'BMP P Tracking Table'!$AT429*VLOOKUP('BMP P Tracking Table'!$Q429,'Loading Rates'!$B$1:$L$24,9,FALSE),'BMP P Tracking Table'!$AU429*VLOOKUP('BMP P Tracking Table'!$Q429,'Loading Rates'!$B$1:$L$24,10,FALSE))),"")</f>
        <v/>
      </c>
      <c r="AZ429" s="101" t="str">
        <f>IFERROR(IF('BMP P Tracking Table'!$AL429="Yes",MIN(2,IF('BMP P Tracking Table'!$AP429="Total Pervious",(-(3630*'BMP P Tracking Table'!$AO429+20.691*'BMP P Tracking Table'!$AU429)+SQRT((3630*'BMP P Tracking Table'!$AO429+20.691*'BMP P Tracking Table'!$AU429)^2-(4*(996.798*'BMP P Tracking Table'!$AU429)*-'BMP P Tracking Table'!$AW429)))/(2*(996.798*'BMP P Tracking Table'!$AU429)),IF(SUM('BMP P Tracking Table'!$AQ429:$AT429)=0,'BMP P Tracking Table'!$AU429/(-3630*'BMP P Tracking Table'!$AO429),(-(3630*'BMP P Tracking Table'!$AO429+20.691*'BMP P Tracking Table'!$AT429-216.711*'BMP P Tracking Table'!$AS429-83.853*'BMP P Tracking Table'!$AR429-42.834*'BMP P Tracking Table'!$AQ429)+SQRT((3630*'BMP P Tracking Table'!$AO429+20.691*'BMP P Tracking Table'!$AT429-216.711*'BMP P Tracking Table'!$AS429-83.853*'BMP P Tracking Table'!$AR429-42.834*'BMP P Tracking Table'!$AQ429)^2-(4*(149.919*'BMP P Tracking Table'!$AQ429+236.676*'BMP P Tracking Table'!$AR429+726*'BMP P Tracking Table'!$AS429+996.798*'BMP P Tracking Table'!$AT429)*-'BMP P Tracking Table'!$AW429)))/(2*(149.919*'BMP P Tracking Table'!$AQ429+236.676*'BMP P Tracking Table'!$AR429+726*'BMP P Tracking Table'!$AS429+996.798*'BMP P Tracking Table'!$AT429))))),MIN(2,IF('BMP P Tracking Table'!$AP429="Total Pervious",(-(3630*'BMP P Tracking Table'!$U429+20.691*'BMP P Tracking Table'!$AA429)+SQRT((3630*'BMP P Tracking Table'!$U429+20.691*'BMP P Tracking Table'!$AA429)^2-(4*(996.798*'BMP P Tracking Table'!$AA429)*-'BMP P Tracking Table'!$AW429)))/(2*(996.798*'BMP P Tracking Table'!$AA429)),IF(SUM('BMP P Tracking Table'!$W429:$Z429)=0,'BMP P Tracking Table'!$AW429/(-3630*'BMP P Tracking Table'!$U429),(-(3630*'BMP P Tracking Table'!$U429+20.691*'BMP P Tracking Table'!$Z429-216.711*'BMP P Tracking Table'!$Y429-83.853*'BMP P Tracking Table'!$X429-42.834*'BMP P Tracking Table'!$W429)+SQRT((3630*'BMP P Tracking Table'!$U429+20.691*'BMP P Tracking Table'!$Z429-216.711*'BMP P Tracking Table'!$Y429-83.853*'BMP P Tracking Table'!$X429-42.834*'BMP P Tracking Table'!$W429)^2-(4*(149.919*'BMP P Tracking Table'!$W429+236.676*'BMP P Tracking Table'!$X429+726*'BMP P Tracking Table'!$Y429+996.798*'BMP P Tracking Table'!$Z429)*-'BMP P Tracking Table'!$AW429)))/(2*(149.919*'BMP P Tracking Table'!$W429+236.676*'BMP P Tracking Table'!$X429+726*'BMP P Tracking Table'!$Y429+996.798*'BMP P Tracking Table'!$Z429)))))),"")</f>
        <v/>
      </c>
      <c r="BA429" s="101" t="str">
        <f>IFERROR((VLOOKUP(CONCATENATE('BMP P Tracking Table'!$AV429," ",'BMP P Tracking Table'!$AX429),'Performance Curves'!$C$1:$L$45,MATCH('BMP P Tracking Table'!$AZ429,'Performance Curves'!$E$1:$L$1,1)+2,FALSE)-VLOOKUP(CONCATENATE('BMP P Tracking Table'!$AV429," ",'BMP P Tracking Table'!$AX429),'Performance Curves'!$C$1:$L$45,MATCH('BMP P Tracking Table'!$AZ429,'Performance Curves'!$E$1:$L$1,1)+1,FALSE)),"")</f>
        <v/>
      </c>
      <c r="BB429" s="101" t="str">
        <f>IFERROR(('BMP P Tracking Table'!$AZ429-INDEX('Performance Curves'!$E$1:$L$1,1,MATCH('BMP P Tracking Table'!$AZ429,'Performance Curves'!$E$1:$L$1,1)))/(INDEX('Performance Curves'!$E$1:$L$1,1,MATCH('BMP P Tracking Table'!$AZ429,'Performance Curves'!$E$1:$L$1,1)+1)-INDEX('Performance Curves'!$E$1:$L$1,1,MATCH('BMP P Tracking Table'!$AZ429,'Performance Curves'!$E$1:$L$1,1))),"")</f>
        <v/>
      </c>
      <c r="BC429" s="102" t="str">
        <f>IFERROR(IF('BMP P Tracking Table'!$AZ429=2,VLOOKUP(CONCATENATE('BMP P Tracking Table'!$AV429," ",'BMP P Tracking Table'!$AX429),'Performance Curves'!$C$1:$L$44,MATCH('BMP P Tracking Table'!$AZ429,'Performance Curves'!$E$1:$L$1,1)+1,FALSE),'BMP P Tracking Table'!$BA429*'BMP P Tracking Table'!$BB429+VLOOKUP(CONCATENATE('BMP P Tracking Table'!$AV429," ",'BMP P Tracking Table'!$AX429),'Performance Curves'!$C$1:$L$44,MATCH('BMP P Tracking Table'!$AZ429,'Performance Curves'!$E$1:$L$1,1)+1,FALSE)),"")</f>
        <v/>
      </c>
      <c r="BD429" s="101" t="str">
        <f>IFERROR('BMP P Tracking Table'!$BC429*'BMP P Tracking Table'!$AY429,"")</f>
        <v/>
      </c>
      <c r="BE429" s="96"/>
      <c r="BF429" s="37">
        <f t="shared" si="25"/>
        <v>0</v>
      </c>
    </row>
    <row r="430" spans="1:58" x14ac:dyDescent="0.3">
      <c r="A430" s="64"/>
      <c r="B430" s="64"/>
      <c r="C430" s="64"/>
      <c r="D430" s="64"/>
      <c r="E430" s="93"/>
      <c r="F430" s="93"/>
      <c r="G430" s="64"/>
      <c r="H430" s="64"/>
      <c r="I430" s="64"/>
      <c r="J430" s="94"/>
      <c r="K430" s="64"/>
      <c r="L430" s="64"/>
      <c r="M430" s="64"/>
      <c r="N430" s="64"/>
      <c r="O430" s="64"/>
      <c r="P430" s="64"/>
      <c r="Q430" s="64" t="str">
        <f>IFERROR(VLOOKUP('BMP P Tracking Table'!$P430,Dropdowns!$C$2:$E$15,3,FALSE),"")</f>
        <v/>
      </c>
      <c r="R430" s="64" t="str">
        <f>IFERROR(VLOOKUP('BMP P Tracking Table'!$Q430,Dropdowns!$P$3:$Q$23,2,FALSE),"")</f>
        <v/>
      </c>
      <c r="S430" s="64"/>
      <c r="T430" s="64"/>
      <c r="U430" s="64"/>
      <c r="V430" s="64"/>
      <c r="W430" s="64"/>
      <c r="X430" s="64"/>
      <c r="Y430" s="64"/>
      <c r="Z430" s="64"/>
      <c r="AA430" s="64"/>
      <c r="AB430" s="95"/>
      <c r="AC430" s="64"/>
      <c r="AD430" s="101" t="str">
        <f>IFERROR('BMP P Tracking Table'!$U430*VLOOKUP('BMP P Tracking Table'!$Q430,'Loading Rates'!$B$1:$L$24,4,FALSE)+IF('BMP P Tracking Table'!$V430="By HSG",'BMP P Tracking Table'!$W430*VLOOKUP('BMP P Tracking Table'!$Q430,'Loading Rates'!$B$1:$L$24,6,FALSE)+'BMP P Tracking Table'!$X430*VLOOKUP('BMP P Tracking Table'!$Q430,'Loading Rates'!$B$1:$L$24,7,FALSE)+'BMP P Tracking Table'!$Y430*VLOOKUP('BMP P Tracking Table'!$Q430,'Loading Rates'!$B$1:$L$24,8,FALSE)+'BMP P Tracking Table'!$Z430*VLOOKUP('BMP P Tracking Table'!$Q430,'Loading Rates'!$B$1:$L$24,9,FALSE),'BMP P Tracking Table'!$AA430*VLOOKUP('BMP P Tracking Table'!$Q430,'Loading Rates'!$B$1:$L$24,10,FALSE)),"")</f>
        <v/>
      </c>
      <c r="AE430" s="101" t="str">
        <f>IFERROR(MIN(2,IF('BMP P Tracking Table'!$V430="Total Pervious",(-(3630*'BMP P Tracking Table'!$U430+20.691*'BMP P Tracking Table'!$AA430)+SQRT((3630*'BMP P Tracking Table'!$U430+20.691*'BMP P Tracking Table'!$AA430)^2-(4*(996.798*'BMP P Tracking Table'!$AA430)*-'BMP P Tracking Table'!$AB430)))/(2*(996.798*'BMP P Tracking Table'!$AA430)),IF(SUM('BMP P Tracking Table'!$W430:$Z430)=0,'BMP P Tracking Table'!$AB430/(-3630*'BMP P Tracking Table'!$U430),(-(3630*'BMP P Tracking Table'!$U430+20.691*'BMP P Tracking Table'!$Z430-216.711*'BMP P Tracking Table'!$Y430-83.853*'BMP P Tracking Table'!$X430-42.834*'BMP P Tracking Table'!$W430)+SQRT((3630*'BMP P Tracking Table'!$U430+20.691*'BMP P Tracking Table'!$Z430-216.711*'BMP P Tracking Table'!$Y430-83.853*'BMP P Tracking Table'!$X430-42.834*'BMP P Tracking Table'!$W430)^2-(4*(149.919*'BMP P Tracking Table'!$W430+236.676*'BMP P Tracking Table'!$X430+726*'BMP P Tracking Table'!$Y430+996.798*'BMP P Tracking Table'!$Z430)*-'BMP P Tracking Table'!$AB430)))/(2*(149.919*'BMP P Tracking Table'!$W430+236.676*'BMP P Tracking Table'!$X430+726*'BMP P Tracking Table'!$Y430+996.798*'BMP P Tracking Table'!$Z430))))),"")</f>
        <v/>
      </c>
      <c r="AF430" s="101" t="str">
        <f>IFERROR((VLOOKUP(CONCATENATE('BMP P Tracking Table'!$T430," ",'BMP P Tracking Table'!$AC430),'Performance Curves'!$C$1:$L$45,MATCH('BMP P Tracking Table'!$AE430,'Performance Curves'!$E$1:$L$1,1)+2,FALSE)-VLOOKUP(CONCATENATE('BMP P Tracking Table'!$T430," ",'BMP P Tracking Table'!$AC430),'Performance Curves'!$C$1:$L$45,MATCH('BMP P Tracking Table'!$AE430,'Performance Curves'!$E$1:$L$1,1)+1,FALSE)),"")</f>
        <v/>
      </c>
      <c r="AG430" s="101" t="str">
        <f>IFERROR(('BMP P Tracking Table'!$AE430-INDEX('Performance Curves'!$E$1:$L$1,1,MATCH('BMP P Tracking Table'!$AE430,'Performance Curves'!$E$1:$L$1,1)))/(INDEX('Performance Curves'!$E$1:$L$1,1,MATCH('BMP P Tracking Table'!$AE430,'Performance Curves'!$E$1:$L$1,1)+1)-INDEX('Performance Curves'!$E$1:$L$1,1,MATCH('BMP P Tracking Table'!$AE430,'Performance Curves'!$E$1:$L$1,1))),"")</f>
        <v/>
      </c>
      <c r="AH430" s="102" t="str">
        <f>IFERROR(IF('BMP P Tracking Table'!$AE430=2,VLOOKUP(CONCATENATE('BMP P Tracking Table'!$T430," ",'BMP P Tracking Table'!$AC430),'Performance Curves'!$C$1:$L$45,MATCH('BMP P Tracking Table'!$AE430,'Performance Curves'!$E$1:$L$1,1)+1,FALSE),'BMP P Tracking Table'!$AF430*'BMP P Tracking Table'!$AG430+VLOOKUP(CONCATENATE('BMP P Tracking Table'!$T430," ",'BMP P Tracking Table'!$AC430),'Performance Curves'!$C$1:$L$45,MATCH('BMP P Tracking Table'!$AE430,'Performance Curves'!$E$1:$L$1,1)+1,FALSE)),"")</f>
        <v/>
      </c>
      <c r="AI430" s="101" t="str">
        <f>IFERROR('BMP P Tracking Table'!$AH430*'BMP P Tracking Table'!$AD430,"")</f>
        <v/>
      </c>
      <c r="AJ430" s="64"/>
      <c r="AK430" s="96"/>
      <c r="AL430" s="96"/>
      <c r="AM430" s="63"/>
      <c r="AN430" s="99" t="str">
        <f t="shared" si="24"/>
        <v/>
      </c>
      <c r="AO430" s="96"/>
      <c r="AP430" s="96"/>
      <c r="AQ430" s="96"/>
      <c r="AR430" s="96"/>
      <c r="AS430" s="96"/>
      <c r="AT430" s="96"/>
      <c r="AU430" s="96"/>
      <c r="AV430" s="64"/>
      <c r="AW430" s="97"/>
      <c r="AX430" s="97"/>
      <c r="AY430" s="101" t="str">
        <f>IF('BMP P Tracking Table'!$AK430="Yes",IF('BMP P Tracking Table'!$AL430="No",'BMP P Tracking Table'!$U430*VLOOKUP('BMP P Tracking Table'!$Q430,'Loading Rates'!$B$1:$L$24,4,FALSE)+IF('BMP P Tracking Table'!$V430="By HSG",'BMP P Tracking Table'!$W430*VLOOKUP('BMP P Tracking Table'!$Q430,'Loading Rates'!$B$1:$L$24,6,FALSE)+'BMP P Tracking Table'!$X430*VLOOKUP('BMP P Tracking Table'!$Q430,'Loading Rates'!$B$1:$L$24,7,FALSE)+'BMP P Tracking Table'!$Y430*VLOOKUP('BMP P Tracking Table'!$Q430,'Loading Rates'!$B$1:$L$24,8,FALSE)+'BMP P Tracking Table'!$Z430*VLOOKUP('BMP P Tracking Table'!$Q430,'Loading Rates'!$B$1:$L$24,9,FALSE),'BMP P Tracking Table'!$AA430*VLOOKUP('BMP P Tracking Table'!$Q430,'Loading Rates'!$B$1:$L$24,10,FALSE)),'BMP P Tracking Table'!$AO430*VLOOKUP('BMP P Tracking Table'!$Q430,'Loading Rates'!$B$1:$L$24,4,FALSE)+IF('BMP P Tracking Table'!$AP430="By HSG",'BMP P Tracking Table'!$AQ430*VLOOKUP('BMP P Tracking Table'!$Q430,'Loading Rates'!$B$1:$L$24,6,FALSE)+'BMP P Tracking Table'!$AR430*VLOOKUP('BMP P Tracking Table'!$Q430,'Loading Rates'!$B$1:$L$24,7,FALSE)+'BMP P Tracking Table'!$AS430*VLOOKUP('BMP P Tracking Table'!$Q430,'Loading Rates'!$B$1:$L$24,8,FALSE)+'BMP P Tracking Table'!$AT430*VLOOKUP('BMP P Tracking Table'!$Q430,'Loading Rates'!$B$1:$L$24,9,FALSE),'BMP P Tracking Table'!$AU430*VLOOKUP('BMP P Tracking Table'!$Q430,'Loading Rates'!$B$1:$L$24,10,FALSE))),"")</f>
        <v/>
      </c>
      <c r="AZ430" s="101" t="str">
        <f>IFERROR(IF('BMP P Tracking Table'!$AL430="Yes",MIN(2,IF('BMP P Tracking Table'!$AP430="Total Pervious",(-(3630*'BMP P Tracking Table'!$AO430+20.691*'BMP P Tracking Table'!$AU430)+SQRT((3630*'BMP P Tracking Table'!$AO430+20.691*'BMP P Tracking Table'!$AU430)^2-(4*(996.798*'BMP P Tracking Table'!$AU430)*-'BMP P Tracking Table'!$AW430)))/(2*(996.798*'BMP P Tracking Table'!$AU430)),IF(SUM('BMP P Tracking Table'!$AQ430:$AT430)=0,'BMP P Tracking Table'!$AU430/(-3630*'BMP P Tracking Table'!$AO430),(-(3630*'BMP P Tracking Table'!$AO430+20.691*'BMP P Tracking Table'!$AT430-216.711*'BMP P Tracking Table'!$AS430-83.853*'BMP P Tracking Table'!$AR430-42.834*'BMP P Tracking Table'!$AQ430)+SQRT((3630*'BMP P Tracking Table'!$AO430+20.691*'BMP P Tracking Table'!$AT430-216.711*'BMP P Tracking Table'!$AS430-83.853*'BMP P Tracking Table'!$AR430-42.834*'BMP P Tracking Table'!$AQ430)^2-(4*(149.919*'BMP P Tracking Table'!$AQ430+236.676*'BMP P Tracking Table'!$AR430+726*'BMP P Tracking Table'!$AS430+996.798*'BMP P Tracking Table'!$AT430)*-'BMP P Tracking Table'!$AW430)))/(2*(149.919*'BMP P Tracking Table'!$AQ430+236.676*'BMP P Tracking Table'!$AR430+726*'BMP P Tracking Table'!$AS430+996.798*'BMP P Tracking Table'!$AT430))))),MIN(2,IF('BMP P Tracking Table'!$AP430="Total Pervious",(-(3630*'BMP P Tracking Table'!$U430+20.691*'BMP P Tracking Table'!$AA430)+SQRT((3630*'BMP P Tracking Table'!$U430+20.691*'BMP P Tracking Table'!$AA430)^2-(4*(996.798*'BMP P Tracking Table'!$AA430)*-'BMP P Tracking Table'!$AW430)))/(2*(996.798*'BMP P Tracking Table'!$AA430)),IF(SUM('BMP P Tracking Table'!$W430:$Z430)=0,'BMP P Tracking Table'!$AW430/(-3630*'BMP P Tracking Table'!$U430),(-(3630*'BMP P Tracking Table'!$U430+20.691*'BMP P Tracking Table'!$Z430-216.711*'BMP P Tracking Table'!$Y430-83.853*'BMP P Tracking Table'!$X430-42.834*'BMP P Tracking Table'!$W430)+SQRT((3630*'BMP P Tracking Table'!$U430+20.691*'BMP P Tracking Table'!$Z430-216.711*'BMP P Tracking Table'!$Y430-83.853*'BMP P Tracking Table'!$X430-42.834*'BMP P Tracking Table'!$W430)^2-(4*(149.919*'BMP P Tracking Table'!$W430+236.676*'BMP P Tracking Table'!$X430+726*'BMP P Tracking Table'!$Y430+996.798*'BMP P Tracking Table'!$Z430)*-'BMP P Tracking Table'!$AW430)))/(2*(149.919*'BMP P Tracking Table'!$W430+236.676*'BMP P Tracking Table'!$X430+726*'BMP P Tracking Table'!$Y430+996.798*'BMP P Tracking Table'!$Z430)))))),"")</f>
        <v/>
      </c>
      <c r="BA430" s="101" t="str">
        <f>IFERROR((VLOOKUP(CONCATENATE('BMP P Tracking Table'!$AV430," ",'BMP P Tracking Table'!$AX430),'Performance Curves'!$C$1:$L$45,MATCH('BMP P Tracking Table'!$AZ430,'Performance Curves'!$E$1:$L$1,1)+2,FALSE)-VLOOKUP(CONCATENATE('BMP P Tracking Table'!$AV430," ",'BMP P Tracking Table'!$AX430),'Performance Curves'!$C$1:$L$45,MATCH('BMP P Tracking Table'!$AZ430,'Performance Curves'!$E$1:$L$1,1)+1,FALSE)),"")</f>
        <v/>
      </c>
      <c r="BB430" s="101" t="str">
        <f>IFERROR(('BMP P Tracking Table'!$AZ430-INDEX('Performance Curves'!$E$1:$L$1,1,MATCH('BMP P Tracking Table'!$AZ430,'Performance Curves'!$E$1:$L$1,1)))/(INDEX('Performance Curves'!$E$1:$L$1,1,MATCH('BMP P Tracking Table'!$AZ430,'Performance Curves'!$E$1:$L$1,1)+1)-INDEX('Performance Curves'!$E$1:$L$1,1,MATCH('BMP P Tracking Table'!$AZ430,'Performance Curves'!$E$1:$L$1,1))),"")</f>
        <v/>
      </c>
      <c r="BC430" s="102" t="str">
        <f>IFERROR(IF('BMP P Tracking Table'!$AZ430=2,VLOOKUP(CONCATENATE('BMP P Tracking Table'!$AV430," ",'BMP P Tracking Table'!$AX430),'Performance Curves'!$C$1:$L$44,MATCH('BMP P Tracking Table'!$AZ430,'Performance Curves'!$E$1:$L$1,1)+1,FALSE),'BMP P Tracking Table'!$BA430*'BMP P Tracking Table'!$BB430+VLOOKUP(CONCATENATE('BMP P Tracking Table'!$AV430," ",'BMP P Tracking Table'!$AX430),'Performance Curves'!$C$1:$L$44,MATCH('BMP P Tracking Table'!$AZ430,'Performance Curves'!$E$1:$L$1,1)+1,FALSE)),"")</f>
        <v/>
      </c>
      <c r="BD430" s="101" t="str">
        <f>IFERROR('BMP P Tracking Table'!$BC430*'BMP P Tracking Table'!$AY430,"")</f>
        <v/>
      </c>
      <c r="BE430" s="96"/>
      <c r="BF430" s="37">
        <f t="shared" si="25"/>
        <v>0</v>
      </c>
    </row>
    <row r="431" spans="1:58" x14ac:dyDescent="0.3">
      <c r="A431" s="64"/>
      <c r="B431" s="64"/>
      <c r="C431" s="64"/>
      <c r="D431" s="64"/>
      <c r="E431" s="93"/>
      <c r="F431" s="93"/>
      <c r="G431" s="64"/>
      <c r="H431" s="64"/>
      <c r="I431" s="64"/>
      <c r="J431" s="94"/>
      <c r="K431" s="64"/>
      <c r="L431" s="64"/>
      <c r="M431" s="64"/>
      <c r="N431" s="64"/>
      <c r="O431" s="64"/>
      <c r="P431" s="64"/>
      <c r="Q431" s="64" t="str">
        <f>IFERROR(VLOOKUP('BMP P Tracking Table'!$P431,Dropdowns!$C$2:$E$15,3,FALSE),"")</f>
        <v/>
      </c>
      <c r="R431" s="64" t="str">
        <f>IFERROR(VLOOKUP('BMP P Tracking Table'!$Q431,Dropdowns!$P$3:$Q$23,2,FALSE),"")</f>
        <v/>
      </c>
      <c r="S431" s="64"/>
      <c r="T431" s="64"/>
      <c r="U431" s="64"/>
      <c r="V431" s="64"/>
      <c r="W431" s="64"/>
      <c r="X431" s="64"/>
      <c r="Y431" s="64"/>
      <c r="Z431" s="64"/>
      <c r="AA431" s="64"/>
      <c r="AB431" s="95"/>
      <c r="AC431" s="64"/>
      <c r="AD431" s="101" t="str">
        <f>IFERROR('BMP P Tracking Table'!$U431*VLOOKUP('BMP P Tracking Table'!$Q431,'Loading Rates'!$B$1:$L$24,4,FALSE)+IF('BMP P Tracking Table'!$V431="By HSG",'BMP P Tracking Table'!$W431*VLOOKUP('BMP P Tracking Table'!$Q431,'Loading Rates'!$B$1:$L$24,6,FALSE)+'BMP P Tracking Table'!$X431*VLOOKUP('BMP P Tracking Table'!$Q431,'Loading Rates'!$B$1:$L$24,7,FALSE)+'BMP P Tracking Table'!$Y431*VLOOKUP('BMP P Tracking Table'!$Q431,'Loading Rates'!$B$1:$L$24,8,FALSE)+'BMP P Tracking Table'!$Z431*VLOOKUP('BMP P Tracking Table'!$Q431,'Loading Rates'!$B$1:$L$24,9,FALSE),'BMP P Tracking Table'!$AA431*VLOOKUP('BMP P Tracking Table'!$Q431,'Loading Rates'!$B$1:$L$24,10,FALSE)),"")</f>
        <v/>
      </c>
      <c r="AE431" s="101" t="str">
        <f>IFERROR(MIN(2,IF('BMP P Tracking Table'!$V431="Total Pervious",(-(3630*'BMP P Tracking Table'!$U431+20.691*'BMP P Tracking Table'!$AA431)+SQRT((3630*'BMP P Tracking Table'!$U431+20.691*'BMP P Tracking Table'!$AA431)^2-(4*(996.798*'BMP P Tracking Table'!$AA431)*-'BMP P Tracking Table'!$AB431)))/(2*(996.798*'BMP P Tracking Table'!$AA431)),IF(SUM('BMP P Tracking Table'!$W431:$Z431)=0,'BMP P Tracking Table'!$AB431/(-3630*'BMP P Tracking Table'!$U431),(-(3630*'BMP P Tracking Table'!$U431+20.691*'BMP P Tracking Table'!$Z431-216.711*'BMP P Tracking Table'!$Y431-83.853*'BMP P Tracking Table'!$X431-42.834*'BMP P Tracking Table'!$W431)+SQRT((3630*'BMP P Tracking Table'!$U431+20.691*'BMP P Tracking Table'!$Z431-216.711*'BMP P Tracking Table'!$Y431-83.853*'BMP P Tracking Table'!$X431-42.834*'BMP P Tracking Table'!$W431)^2-(4*(149.919*'BMP P Tracking Table'!$W431+236.676*'BMP P Tracking Table'!$X431+726*'BMP P Tracking Table'!$Y431+996.798*'BMP P Tracking Table'!$Z431)*-'BMP P Tracking Table'!$AB431)))/(2*(149.919*'BMP P Tracking Table'!$W431+236.676*'BMP P Tracking Table'!$X431+726*'BMP P Tracking Table'!$Y431+996.798*'BMP P Tracking Table'!$Z431))))),"")</f>
        <v/>
      </c>
      <c r="AF431" s="101" t="str">
        <f>IFERROR((VLOOKUP(CONCATENATE('BMP P Tracking Table'!$T431," ",'BMP P Tracking Table'!$AC431),'Performance Curves'!$C$1:$L$45,MATCH('BMP P Tracking Table'!$AE431,'Performance Curves'!$E$1:$L$1,1)+2,FALSE)-VLOOKUP(CONCATENATE('BMP P Tracking Table'!$T431," ",'BMP P Tracking Table'!$AC431),'Performance Curves'!$C$1:$L$45,MATCH('BMP P Tracking Table'!$AE431,'Performance Curves'!$E$1:$L$1,1)+1,FALSE)),"")</f>
        <v/>
      </c>
      <c r="AG431" s="101" t="str">
        <f>IFERROR(('BMP P Tracking Table'!$AE431-INDEX('Performance Curves'!$E$1:$L$1,1,MATCH('BMP P Tracking Table'!$AE431,'Performance Curves'!$E$1:$L$1,1)))/(INDEX('Performance Curves'!$E$1:$L$1,1,MATCH('BMP P Tracking Table'!$AE431,'Performance Curves'!$E$1:$L$1,1)+1)-INDEX('Performance Curves'!$E$1:$L$1,1,MATCH('BMP P Tracking Table'!$AE431,'Performance Curves'!$E$1:$L$1,1))),"")</f>
        <v/>
      </c>
      <c r="AH431" s="102" t="str">
        <f>IFERROR(IF('BMP P Tracking Table'!$AE431=2,VLOOKUP(CONCATENATE('BMP P Tracking Table'!$T431," ",'BMP P Tracking Table'!$AC431),'Performance Curves'!$C$1:$L$45,MATCH('BMP P Tracking Table'!$AE431,'Performance Curves'!$E$1:$L$1,1)+1,FALSE),'BMP P Tracking Table'!$AF431*'BMP P Tracking Table'!$AG431+VLOOKUP(CONCATENATE('BMP P Tracking Table'!$T431," ",'BMP P Tracking Table'!$AC431),'Performance Curves'!$C$1:$L$45,MATCH('BMP P Tracking Table'!$AE431,'Performance Curves'!$E$1:$L$1,1)+1,FALSE)),"")</f>
        <v/>
      </c>
      <c r="AI431" s="101" t="str">
        <f>IFERROR('BMP P Tracking Table'!$AH431*'BMP P Tracking Table'!$AD431,"")</f>
        <v/>
      </c>
      <c r="AJ431" s="64"/>
      <c r="AK431" s="96"/>
      <c r="AL431" s="96"/>
      <c r="AM431" s="63"/>
      <c r="AN431" s="99" t="str">
        <f t="shared" si="24"/>
        <v/>
      </c>
      <c r="AO431" s="96"/>
      <c r="AP431" s="96"/>
      <c r="AQ431" s="96"/>
      <c r="AR431" s="96"/>
      <c r="AS431" s="96"/>
      <c r="AT431" s="96"/>
      <c r="AU431" s="96"/>
      <c r="AV431" s="64"/>
      <c r="AW431" s="97"/>
      <c r="AX431" s="97"/>
      <c r="AY431" s="101" t="str">
        <f>IF('BMP P Tracking Table'!$AK431="Yes",IF('BMP P Tracking Table'!$AL431="No",'BMP P Tracking Table'!$U431*VLOOKUP('BMP P Tracking Table'!$Q431,'Loading Rates'!$B$1:$L$24,4,FALSE)+IF('BMP P Tracking Table'!$V431="By HSG",'BMP P Tracking Table'!$W431*VLOOKUP('BMP P Tracking Table'!$Q431,'Loading Rates'!$B$1:$L$24,6,FALSE)+'BMP P Tracking Table'!$X431*VLOOKUP('BMP P Tracking Table'!$Q431,'Loading Rates'!$B$1:$L$24,7,FALSE)+'BMP P Tracking Table'!$Y431*VLOOKUP('BMP P Tracking Table'!$Q431,'Loading Rates'!$B$1:$L$24,8,FALSE)+'BMP P Tracking Table'!$Z431*VLOOKUP('BMP P Tracking Table'!$Q431,'Loading Rates'!$B$1:$L$24,9,FALSE),'BMP P Tracking Table'!$AA431*VLOOKUP('BMP P Tracking Table'!$Q431,'Loading Rates'!$B$1:$L$24,10,FALSE)),'BMP P Tracking Table'!$AO431*VLOOKUP('BMP P Tracking Table'!$Q431,'Loading Rates'!$B$1:$L$24,4,FALSE)+IF('BMP P Tracking Table'!$AP431="By HSG",'BMP P Tracking Table'!$AQ431*VLOOKUP('BMP P Tracking Table'!$Q431,'Loading Rates'!$B$1:$L$24,6,FALSE)+'BMP P Tracking Table'!$AR431*VLOOKUP('BMP P Tracking Table'!$Q431,'Loading Rates'!$B$1:$L$24,7,FALSE)+'BMP P Tracking Table'!$AS431*VLOOKUP('BMP P Tracking Table'!$Q431,'Loading Rates'!$B$1:$L$24,8,FALSE)+'BMP P Tracking Table'!$AT431*VLOOKUP('BMP P Tracking Table'!$Q431,'Loading Rates'!$B$1:$L$24,9,FALSE),'BMP P Tracking Table'!$AU431*VLOOKUP('BMP P Tracking Table'!$Q431,'Loading Rates'!$B$1:$L$24,10,FALSE))),"")</f>
        <v/>
      </c>
      <c r="AZ431" s="101" t="str">
        <f>IFERROR(IF('BMP P Tracking Table'!$AL431="Yes",MIN(2,IF('BMP P Tracking Table'!$AP431="Total Pervious",(-(3630*'BMP P Tracking Table'!$AO431+20.691*'BMP P Tracking Table'!$AU431)+SQRT((3630*'BMP P Tracking Table'!$AO431+20.691*'BMP P Tracking Table'!$AU431)^2-(4*(996.798*'BMP P Tracking Table'!$AU431)*-'BMP P Tracking Table'!$AW431)))/(2*(996.798*'BMP P Tracking Table'!$AU431)),IF(SUM('BMP P Tracking Table'!$AQ431:$AT431)=0,'BMP P Tracking Table'!$AU431/(-3630*'BMP P Tracking Table'!$AO431),(-(3630*'BMP P Tracking Table'!$AO431+20.691*'BMP P Tracking Table'!$AT431-216.711*'BMP P Tracking Table'!$AS431-83.853*'BMP P Tracking Table'!$AR431-42.834*'BMP P Tracking Table'!$AQ431)+SQRT((3630*'BMP P Tracking Table'!$AO431+20.691*'BMP P Tracking Table'!$AT431-216.711*'BMP P Tracking Table'!$AS431-83.853*'BMP P Tracking Table'!$AR431-42.834*'BMP P Tracking Table'!$AQ431)^2-(4*(149.919*'BMP P Tracking Table'!$AQ431+236.676*'BMP P Tracking Table'!$AR431+726*'BMP P Tracking Table'!$AS431+996.798*'BMP P Tracking Table'!$AT431)*-'BMP P Tracking Table'!$AW431)))/(2*(149.919*'BMP P Tracking Table'!$AQ431+236.676*'BMP P Tracking Table'!$AR431+726*'BMP P Tracking Table'!$AS431+996.798*'BMP P Tracking Table'!$AT431))))),MIN(2,IF('BMP P Tracking Table'!$AP431="Total Pervious",(-(3630*'BMP P Tracking Table'!$U431+20.691*'BMP P Tracking Table'!$AA431)+SQRT((3630*'BMP P Tracking Table'!$U431+20.691*'BMP P Tracking Table'!$AA431)^2-(4*(996.798*'BMP P Tracking Table'!$AA431)*-'BMP P Tracking Table'!$AW431)))/(2*(996.798*'BMP P Tracking Table'!$AA431)),IF(SUM('BMP P Tracking Table'!$W431:$Z431)=0,'BMP P Tracking Table'!$AW431/(-3630*'BMP P Tracking Table'!$U431),(-(3630*'BMP P Tracking Table'!$U431+20.691*'BMP P Tracking Table'!$Z431-216.711*'BMP P Tracking Table'!$Y431-83.853*'BMP P Tracking Table'!$X431-42.834*'BMP P Tracking Table'!$W431)+SQRT((3630*'BMP P Tracking Table'!$U431+20.691*'BMP P Tracking Table'!$Z431-216.711*'BMP P Tracking Table'!$Y431-83.853*'BMP P Tracking Table'!$X431-42.834*'BMP P Tracking Table'!$W431)^2-(4*(149.919*'BMP P Tracking Table'!$W431+236.676*'BMP P Tracking Table'!$X431+726*'BMP P Tracking Table'!$Y431+996.798*'BMP P Tracking Table'!$Z431)*-'BMP P Tracking Table'!$AW431)))/(2*(149.919*'BMP P Tracking Table'!$W431+236.676*'BMP P Tracking Table'!$X431+726*'BMP P Tracking Table'!$Y431+996.798*'BMP P Tracking Table'!$Z431)))))),"")</f>
        <v/>
      </c>
      <c r="BA431" s="101" t="str">
        <f>IFERROR((VLOOKUP(CONCATENATE('BMP P Tracking Table'!$AV431," ",'BMP P Tracking Table'!$AX431),'Performance Curves'!$C$1:$L$45,MATCH('BMP P Tracking Table'!$AZ431,'Performance Curves'!$E$1:$L$1,1)+2,FALSE)-VLOOKUP(CONCATENATE('BMP P Tracking Table'!$AV431," ",'BMP P Tracking Table'!$AX431),'Performance Curves'!$C$1:$L$45,MATCH('BMP P Tracking Table'!$AZ431,'Performance Curves'!$E$1:$L$1,1)+1,FALSE)),"")</f>
        <v/>
      </c>
      <c r="BB431" s="101" t="str">
        <f>IFERROR(('BMP P Tracking Table'!$AZ431-INDEX('Performance Curves'!$E$1:$L$1,1,MATCH('BMP P Tracking Table'!$AZ431,'Performance Curves'!$E$1:$L$1,1)))/(INDEX('Performance Curves'!$E$1:$L$1,1,MATCH('BMP P Tracking Table'!$AZ431,'Performance Curves'!$E$1:$L$1,1)+1)-INDEX('Performance Curves'!$E$1:$L$1,1,MATCH('BMP P Tracking Table'!$AZ431,'Performance Curves'!$E$1:$L$1,1))),"")</f>
        <v/>
      </c>
      <c r="BC431" s="102" t="str">
        <f>IFERROR(IF('BMP P Tracking Table'!$AZ431=2,VLOOKUP(CONCATENATE('BMP P Tracking Table'!$AV431," ",'BMP P Tracking Table'!$AX431),'Performance Curves'!$C$1:$L$44,MATCH('BMP P Tracking Table'!$AZ431,'Performance Curves'!$E$1:$L$1,1)+1,FALSE),'BMP P Tracking Table'!$BA431*'BMP P Tracking Table'!$BB431+VLOOKUP(CONCATENATE('BMP P Tracking Table'!$AV431," ",'BMP P Tracking Table'!$AX431),'Performance Curves'!$C$1:$L$44,MATCH('BMP P Tracking Table'!$AZ431,'Performance Curves'!$E$1:$L$1,1)+1,FALSE)),"")</f>
        <v/>
      </c>
      <c r="BD431" s="101" t="str">
        <f>IFERROR('BMP P Tracking Table'!$BC431*'BMP P Tracking Table'!$AY431,"")</f>
        <v/>
      </c>
      <c r="BE431" s="91"/>
      <c r="BF431" s="37">
        <f t="shared" si="25"/>
        <v>0</v>
      </c>
    </row>
    <row r="432" spans="1:58" x14ac:dyDescent="0.3">
      <c r="A432" s="64"/>
      <c r="B432" s="64"/>
      <c r="C432" s="64"/>
      <c r="D432" s="64"/>
      <c r="E432" s="93"/>
      <c r="F432" s="93"/>
      <c r="G432" s="64"/>
      <c r="H432" s="64"/>
      <c r="I432" s="64"/>
      <c r="J432" s="94"/>
      <c r="K432" s="64"/>
      <c r="L432" s="64"/>
      <c r="M432" s="64"/>
      <c r="N432" s="64"/>
      <c r="O432" s="64"/>
      <c r="P432" s="64"/>
      <c r="Q432" s="64" t="str">
        <f>IFERROR(VLOOKUP('BMP P Tracking Table'!$P432,Dropdowns!$C$2:$E$15,3,FALSE),"")</f>
        <v/>
      </c>
      <c r="R432" s="64" t="str">
        <f>IFERROR(VLOOKUP('BMP P Tracking Table'!$Q432,Dropdowns!$P$3:$Q$23,2,FALSE),"")</f>
        <v/>
      </c>
      <c r="S432" s="64"/>
      <c r="T432" s="64"/>
      <c r="U432" s="64"/>
      <c r="V432" s="64"/>
      <c r="W432" s="64"/>
      <c r="X432" s="64"/>
      <c r="Y432" s="64"/>
      <c r="Z432" s="64"/>
      <c r="AA432" s="64"/>
      <c r="AB432" s="95"/>
      <c r="AC432" s="64"/>
      <c r="AD432" s="101" t="str">
        <f>IFERROR('BMP P Tracking Table'!$U432*VLOOKUP('BMP P Tracking Table'!$Q432,'Loading Rates'!$B$1:$L$24,4,FALSE)+IF('BMP P Tracking Table'!$V432="By HSG",'BMP P Tracking Table'!$W432*VLOOKUP('BMP P Tracking Table'!$Q432,'Loading Rates'!$B$1:$L$24,6,FALSE)+'BMP P Tracking Table'!$X432*VLOOKUP('BMP P Tracking Table'!$Q432,'Loading Rates'!$B$1:$L$24,7,FALSE)+'BMP P Tracking Table'!$Y432*VLOOKUP('BMP P Tracking Table'!$Q432,'Loading Rates'!$B$1:$L$24,8,FALSE)+'BMP P Tracking Table'!$Z432*VLOOKUP('BMP P Tracking Table'!$Q432,'Loading Rates'!$B$1:$L$24,9,FALSE),'BMP P Tracking Table'!$AA432*VLOOKUP('BMP P Tracking Table'!$Q432,'Loading Rates'!$B$1:$L$24,10,FALSE)),"")</f>
        <v/>
      </c>
      <c r="AE432" s="101" t="str">
        <f>IFERROR(MIN(2,IF('BMP P Tracking Table'!$V432="Total Pervious",(-(3630*'BMP P Tracking Table'!$U432+20.691*'BMP P Tracking Table'!$AA432)+SQRT((3630*'BMP P Tracking Table'!$U432+20.691*'BMP P Tracking Table'!$AA432)^2-(4*(996.798*'BMP P Tracking Table'!$AA432)*-'BMP P Tracking Table'!$AB432)))/(2*(996.798*'BMP P Tracking Table'!$AA432)),IF(SUM('BMP P Tracking Table'!$W432:$Z432)=0,'BMP P Tracking Table'!$AB432/(-3630*'BMP P Tracking Table'!$U432),(-(3630*'BMP P Tracking Table'!$U432+20.691*'BMP P Tracking Table'!$Z432-216.711*'BMP P Tracking Table'!$Y432-83.853*'BMP P Tracking Table'!$X432-42.834*'BMP P Tracking Table'!$W432)+SQRT((3630*'BMP P Tracking Table'!$U432+20.691*'BMP P Tracking Table'!$Z432-216.711*'BMP P Tracking Table'!$Y432-83.853*'BMP P Tracking Table'!$X432-42.834*'BMP P Tracking Table'!$W432)^2-(4*(149.919*'BMP P Tracking Table'!$W432+236.676*'BMP P Tracking Table'!$X432+726*'BMP P Tracking Table'!$Y432+996.798*'BMP P Tracking Table'!$Z432)*-'BMP P Tracking Table'!$AB432)))/(2*(149.919*'BMP P Tracking Table'!$W432+236.676*'BMP P Tracking Table'!$X432+726*'BMP P Tracking Table'!$Y432+996.798*'BMP P Tracking Table'!$Z432))))),"")</f>
        <v/>
      </c>
      <c r="AF432" s="101" t="str">
        <f>IFERROR((VLOOKUP(CONCATENATE('BMP P Tracking Table'!$T432," ",'BMP P Tracking Table'!$AC432),'Performance Curves'!$C$1:$L$45,MATCH('BMP P Tracking Table'!$AE432,'Performance Curves'!$E$1:$L$1,1)+2,FALSE)-VLOOKUP(CONCATENATE('BMP P Tracking Table'!$T432," ",'BMP P Tracking Table'!$AC432),'Performance Curves'!$C$1:$L$45,MATCH('BMP P Tracking Table'!$AE432,'Performance Curves'!$E$1:$L$1,1)+1,FALSE)),"")</f>
        <v/>
      </c>
      <c r="AG432" s="101" t="str">
        <f>IFERROR(('BMP P Tracking Table'!$AE432-INDEX('Performance Curves'!$E$1:$L$1,1,MATCH('BMP P Tracking Table'!$AE432,'Performance Curves'!$E$1:$L$1,1)))/(INDEX('Performance Curves'!$E$1:$L$1,1,MATCH('BMP P Tracking Table'!$AE432,'Performance Curves'!$E$1:$L$1,1)+1)-INDEX('Performance Curves'!$E$1:$L$1,1,MATCH('BMP P Tracking Table'!$AE432,'Performance Curves'!$E$1:$L$1,1))),"")</f>
        <v/>
      </c>
      <c r="AH432" s="102" t="str">
        <f>IFERROR(IF('BMP P Tracking Table'!$AE432=2,VLOOKUP(CONCATENATE('BMP P Tracking Table'!$T432," ",'BMP P Tracking Table'!$AC432),'Performance Curves'!$C$1:$L$45,MATCH('BMP P Tracking Table'!$AE432,'Performance Curves'!$E$1:$L$1,1)+1,FALSE),'BMP P Tracking Table'!$AF432*'BMP P Tracking Table'!$AG432+VLOOKUP(CONCATENATE('BMP P Tracking Table'!$T432," ",'BMP P Tracking Table'!$AC432),'Performance Curves'!$C$1:$L$45,MATCH('BMP P Tracking Table'!$AE432,'Performance Curves'!$E$1:$L$1,1)+1,FALSE)),"")</f>
        <v/>
      </c>
      <c r="AI432" s="101" t="str">
        <f>IFERROR('BMP P Tracking Table'!$AH432*'BMP P Tracking Table'!$AD432,"")</f>
        <v/>
      </c>
      <c r="AJ432" s="64"/>
      <c r="AK432" s="96"/>
      <c r="AL432" s="96"/>
      <c r="AM432" s="63"/>
      <c r="AN432" s="99" t="str">
        <f t="shared" si="24"/>
        <v/>
      </c>
      <c r="AO432" s="96"/>
      <c r="AP432" s="96"/>
      <c r="AQ432" s="96"/>
      <c r="AR432" s="96"/>
      <c r="AS432" s="96"/>
      <c r="AT432" s="96"/>
      <c r="AU432" s="96"/>
      <c r="AV432" s="64"/>
      <c r="AW432" s="97"/>
      <c r="AX432" s="97"/>
      <c r="AY432" s="101" t="str">
        <f>IF('BMP P Tracking Table'!$AK432="Yes",IF('BMP P Tracking Table'!$AL432="No",'BMP P Tracking Table'!$U432*VLOOKUP('BMP P Tracking Table'!$Q432,'Loading Rates'!$B$1:$L$24,4,FALSE)+IF('BMP P Tracking Table'!$V432="By HSG",'BMP P Tracking Table'!$W432*VLOOKUP('BMP P Tracking Table'!$Q432,'Loading Rates'!$B$1:$L$24,6,FALSE)+'BMP P Tracking Table'!$X432*VLOOKUP('BMP P Tracking Table'!$Q432,'Loading Rates'!$B$1:$L$24,7,FALSE)+'BMP P Tracking Table'!$Y432*VLOOKUP('BMP P Tracking Table'!$Q432,'Loading Rates'!$B$1:$L$24,8,FALSE)+'BMP P Tracking Table'!$Z432*VLOOKUP('BMP P Tracking Table'!$Q432,'Loading Rates'!$B$1:$L$24,9,FALSE),'BMP P Tracking Table'!$AA432*VLOOKUP('BMP P Tracking Table'!$Q432,'Loading Rates'!$B$1:$L$24,10,FALSE)),'BMP P Tracking Table'!$AO432*VLOOKUP('BMP P Tracking Table'!$Q432,'Loading Rates'!$B$1:$L$24,4,FALSE)+IF('BMP P Tracking Table'!$AP432="By HSG",'BMP P Tracking Table'!$AQ432*VLOOKUP('BMP P Tracking Table'!$Q432,'Loading Rates'!$B$1:$L$24,6,FALSE)+'BMP P Tracking Table'!$AR432*VLOOKUP('BMP P Tracking Table'!$Q432,'Loading Rates'!$B$1:$L$24,7,FALSE)+'BMP P Tracking Table'!$AS432*VLOOKUP('BMP P Tracking Table'!$Q432,'Loading Rates'!$B$1:$L$24,8,FALSE)+'BMP P Tracking Table'!$AT432*VLOOKUP('BMP P Tracking Table'!$Q432,'Loading Rates'!$B$1:$L$24,9,FALSE),'BMP P Tracking Table'!$AU432*VLOOKUP('BMP P Tracking Table'!$Q432,'Loading Rates'!$B$1:$L$24,10,FALSE))),"")</f>
        <v/>
      </c>
      <c r="AZ432" s="101" t="str">
        <f>IFERROR(IF('BMP P Tracking Table'!$AL432="Yes",MIN(2,IF('BMP P Tracking Table'!$AP432="Total Pervious",(-(3630*'BMP P Tracking Table'!$AO432+20.691*'BMP P Tracking Table'!$AU432)+SQRT((3630*'BMP P Tracking Table'!$AO432+20.691*'BMP P Tracking Table'!$AU432)^2-(4*(996.798*'BMP P Tracking Table'!$AU432)*-'BMP P Tracking Table'!$AW432)))/(2*(996.798*'BMP P Tracking Table'!$AU432)),IF(SUM('BMP P Tracking Table'!$AQ432:$AT432)=0,'BMP P Tracking Table'!$AU432/(-3630*'BMP P Tracking Table'!$AO432),(-(3630*'BMP P Tracking Table'!$AO432+20.691*'BMP P Tracking Table'!$AT432-216.711*'BMP P Tracking Table'!$AS432-83.853*'BMP P Tracking Table'!$AR432-42.834*'BMP P Tracking Table'!$AQ432)+SQRT((3630*'BMP P Tracking Table'!$AO432+20.691*'BMP P Tracking Table'!$AT432-216.711*'BMP P Tracking Table'!$AS432-83.853*'BMP P Tracking Table'!$AR432-42.834*'BMP P Tracking Table'!$AQ432)^2-(4*(149.919*'BMP P Tracking Table'!$AQ432+236.676*'BMP P Tracking Table'!$AR432+726*'BMP P Tracking Table'!$AS432+996.798*'BMP P Tracking Table'!$AT432)*-'BMP P Tracking Table'!$AW432)))/(2*(149.919*'BMP P Tracking Table'!$AQ432+236.676*'BMP P Tracking Table'!$AR432+726*'BMP P Tracking Table'!$AS432+996.798*'BMP P Tracking Table'!$AT432))))),MIN(2,IF('BMP P Tracking Table'!$AP432="Total Pervious",(-(3630*'BMP P Tracking Table'!$U432+20.691*'BMP P Tracking Table'!$AA432)+SQRT((3630*'BMP P Tracking Table'!$U432+20.691*'BMP P Tracking Table'!$AA432)^2-(4*(996.798*'BMP P Tracking Table'!$AA432)*-'BMP P Tracking Table'!$AW432)))/(2*(996.798*'BMP P Tracking Table'!$AA432)),IF(SUM('BMP P Tracking Table'!$W432:$Z432)=0,'BMP P Tracking Table'!$AW432/(-3630*'BMP P Tracking Table'!$U432),(-(3630*'BMP P Tracking Table'!$U432+20.691*'BMP P Tracking Table'!$Z432-216.711*'BMP P Tracking Table'!$Y432-83.853*'BMP P Tracking Table'!$X432-42.834*'BMP P Tracking Table'!$W432)+SQRT((3630*'BMP P Tracking Table'!$U432+20.691*'BMP P Tracking Table'!$Z432-216.711*'BMP P Tracking Table'!$Y432-83.853*'BMP P Tracking Table'!$X432-42.834*'BMP P Tracking Table'!$W432)^2-(4*(149.919*'BMP P Tracking Table'!$W432+236.676*'BMP P Tracking Table'!$X432+726*'BMP P Tracking Table'!$Y432+996.798*'BMP P Tracking Table'!$Z432)*-'BMP P Tracking Table'!$AW432)))/(2*(149.919*'BMP P Tracking Table'!$W432+236.676*'BMP P Tracking Table'!$X432+726*'BMP P Tracking Table'!$Y432+996.798*'BMP P Tracking Table'!$Z432)))))),"")</f>
        <v/>
      </c>
      <c r="BA432" s="101" t="str">
        <f>IFERROR((VLOOKUP(CONCATENATE('BMP P Tracking Table'!$AV432," ",'BMP P Tracking Table'!$AX432),'Performance Curves'!$C$1:$L$45,MATCH('BMP P Tracking Table'!$AZ432,'Performance Curves'!$E$1:$L$1,1)+2,FALSE)-VLOOKUP(CONCATENATE('BMP P Tracking Table'!$AV432," ",'BMP P Tracking Table'!$AX432),'Performance Curves'!$C$1:$L$45,MATCH('BMP P Tracking Table'!$AZ432,'Performance Curves'!$E$1:$L$1,1)+1,FALSE)),"")</f>
        <v/>
      </c>
      <c r="BB432" s="101" t="str">
        <f>IFERROR(('BMP P Tracking Table'!$AZ432-INDEX('Performance Curves'!$E$1:$L$1,1,MATCH('BMP P Tracking Table'!$AZ432,'Performance Curves'!$E$1:$L$1,1)))/(INDEX('Performance Curves'!$E$1:$L$1,1,MATCH('BMP P Tracking Table'!$AZ432,'Performance Curves'!$E$1:$L$1,1)+1)-INDEX('Performance Curves'!$E$1:$L$1,1,MATCH('BMP P Tracking Table'!$AZ432,'Performance Curves'!$E$1:$L$1,1))),"")</f>
        <v/>
      </c>
      <c r="BC432" s="102" t="str">
        <f>IFERROR(IF('BMP P Tracking Table'!$AZ432=2,VLOOKUP(CONCATENATE('BMP P Tracking Table'!$AV432," ",'BMP P Tracking Table'!$AX432),'Performance Curves'!$C$1:$L$44,MATCH('BMP P Tracking Table'!$AZ432,'Performance Curves'!$E$1:$L$1,1)+1,FALSE),'BMP P Tracking Table'!$BA432*'BMP P Tracking Table'!$BB432+VLOOKUP(CONCATENATE('BMP P Tracking Table'!$AV432," ",'BMP P Tracking Table'!$AX432),'Performance Curves'!$C$1:$L$44,MATCH('BMP P Tracking Table'!$AZ432,'Performance Curves'!$E$1:$L$1,1)+1,FALSE)),"")</f>
        <v/>
      </c>
      <c r="BD432" s="101" t="str">
        <f>IFERROR('BMP P Tracking Table'!$BC432*'BMP P Tracking Table'!$AY432,"")</f>
        <v/>
      </c>
      <c r="BE432" s="96"/>
      <c r="BF432" s="37">
        <f t="shared" si="25"/>
        <v>0</v>
      </c>
    </row>
    <row r="433" spans="1:58" x14ac:dyDescent="0.3">
      <c r="A433" s="64"/>
      <c r="B433" s="64"/>
      <c r="C433" s="64"/>
      <c r="D433" s="64"/>
      <c r="E433" s="93"/>
      <c r="F433" s="93"/>
      <c r="G433" s="64"/>
      <c r="H433" s="64"/>
      <c r="I433" s="64"/>
      <c r="J433" s="94"/>
      <c r="K433" s="64"/>
      <c r="L433" s="64"/>
      <c r="M433" s="64"/>
      <c r="N433" s="64"/>
      <c r="O433" s="64"/>
      <c r="P433" s="64"/>
      <c r="Q433" s="64" t="str">
        <f>IFERROR(VLOOKUP('BMP P Tracking Table'!$P433,Dropdowns!$C$2:$E$15,3,FALSE),"")</f>
        <v/>
      </c>
      <c r="R433" s="64" t="str">
        <f>IFERROR(VLOOKUP('BMP P Tracking Table'!$Q433,Dropdowns!$P$3:$Q$23,2,FALSE),"")</f>
        <v/>
      </c>
      <c r="S433" s="64"/>
      <c r="T433" s="64"/>
      <c r="U433" s="64"/>
      <c r="V433" s="64"/>
      <c r="W433" s="64"/>
      <c r="X433" s="64"/>
      <c r="Y433" s="64"/>
      <c r="Z433" s="64"/>
      <c r="AA433" s="64"/>
      <c r="AB433" s="95"/>
      <c r="AC433" s="64"/>
      <c r="AD433" s="101" t="str">
        <f>IFERROR('BMP P Tracking Table'!$U433*VLOOKUP('BMP P Tracking Table'!$Q433,'Loading Rates'!$B$1:$L$24,4,FALSE)+IF('BMP P Tracking Table'!$V433="By HSG",'BMP P Tracking Table'!$W433*VLOOKUP('BMP P Tracking Table'!$Q433,'Loading Rates'!$B$1:$L$24,6,FALSE)+'BMP P Tracking Table'!$X433*VLOOKUP('BMP P Tracking Table'!$Q433,'Loading Rates'!$B$1:$L$24,7,FALSE)+'BMP P Tracking Table'!$Y433*VLOOKUP('BMP P Tracking Table'!$Q433,'Loading Rates'!$B$1:$L$24,8,FALSE)+'BMP P Tracking Table'!$Z433*VLOOKUP('BMP P Tracking Table'!$Q433,'Loading Rates'!$B$1:$L$24,9,FALSE),'BMP P Tracking Table'!$AA433*VLOOKUP('BMP P Tracking Table'!$Q433,'Loading Rates'!$B$1:$L$24,10,FALSE)),"")</f>
        <v/>
      </c>
      <c r="AE433" s="101" t="str">
        <f>IFERROR(MIN(2,IF('BMP P Tracking Table'!$V433="Total Pervious",(-(3630*'BMP P Tracking Table'!$U433+20.691*'BMP P Tracking Table'!$AA433)+SQRT((3630*'BMP P Tracking Table'!$U433+20.691*'BMP P Tracking Table'!$AA433)^2-(4*(996.798*'BMP P Tracking Table'!$AA433)*-'BMP P Tracking Table'!$AB433)))/(2*(996.798*'BMP P Tracking Table'!$AA433)),IF(SUM('BMP P Tracking Table'!$W433:$Z433)=0,'BMP P Tracking Table'!$AB433/(-3630*'BMP P Tracking Table'!$U433),(-(3630*'BMP P Tracking Table'!$U433+20.691*'BMP P Tracking Table'!$Z433-216.711*'BMP P Tracking Table'!$Y433-83.853*'BMP P Tracking Table'!$X433-42.834*'BMP P Tracking Table'!$W433)+SQRT((3630*'BMP P Tracking Table'!$U433+20.691*'BMP P Tracking Table'!$Z433-216.711*'BMP P Tracking Table'!$Y433-83.853*'BMP P Tracking Table'!$X433-42.834*'BMP P Tracking Table'!$W433)^2-(4*(149.919*'BMP P Tracking Table'!$W433+236.676*'BMP P Tracking Table'!$X433+726*'BMP P Tracking Table'!$Y433+996.798*'BMP P Tracking Table'!$Z433)*-'BMP P Tracking Table'!$AB433)))/(2*(149.919*'BMP P Tracking Table'!$W433+236.676*'BMP P Tracking Table'!$X433+726*'BMP P Tracking Table'!$Y433+996.798*'BMP P Tracking Table'!$Z433))))),"")</f>
        <v/>
      </c>
      <c r="AF433" s="101" t="str">
        <f>IFERROR((VLOOKUP(CONCATENATE('BMP P Tracking Table'!$T433," ",'BMP P Tracking Table'!$AC433),'Performance Curves'!$C$1:$L$45,MATCH('BMP P Tracking Table'!$AE433,'Performance Curves'!$E$1:$L$1,1)+2,FALSE)-VLOOKUP(CONCATENATE('BMP P Tracking Table'!$T433," ",'BMP P Tracking Table'!$AC433),'Performance Curves'!$C$1:$L$45,MATCH('BMP P Tracking Table'!$AE433,'Performance Curves'!$E$1:$L$1,1)+1,FALSE)),"")</f>
        <v/>
      </c>
      <c r="AG433" s="101" t="str">
        <f>IFERROR(('BMP P Tracking Table'!$AE433-INDEX('Performance Curves'!$E$1:$L$1,1,MATCH('BMP P Tracking Table'!$AE433,'Performance Curves'!$E$1:$L$1,1)))/(INDEX('Performance Curves'!$E$1:$L$1,1,MATCH('BMP P Tracking Table'!$AE433,'Performance Curves'!$E$1:$L$1,1)+1)-INDEX('Performance Curves'!$E$1:$L$1,1,MATCH('BMP P Tracking Table'!$AE433,'Performance Curves'!$E$1:$L$1,1))),"")</f>
        <v/>
      </c>
      <c r="AH433" s="102" t="str">
        <f>IFERROR(IF('BMP P Tracking Table'!$AE433=2,VLOOKUP(CONCATENATE('BMP P Tracking Table'!$T433," ",'BMP P Tracking Table'!$AC433),'Performance Curves'!$C$1:$L$45,MATCH('BMP P Tracking Table'!$AE433,'Performance Curves'!$E$1:$L$1,1)+1,FALSE),'BMP P Tracking Table'!$AF433*'BMP P Tracking Table'!$AG433+VLOOKUP(CONCATENATE('BMP P Tracking Table'!$T433," ",'BMP P Tracking Table'!$AC433),'Performance Curves'!$C$1:$L$45,MATCH('BMP P Tracking Table'!$AE433,'Performance Curves'!$E$1:$L$1,1)+1,FALSE)),"")</f>
        <v/>
      </c>
      <c r="AI433" s="101" t="str">
        <f>IFERROR('BMP P Tracking Table'!$AH433*'BMP P Tracking Table'!$AD433,"")</f>
        <v/>
      </c>
      <c r="AJ433" s="64"/>
      <c r="AK433" s="96"/>
      <c r="AL433" s="96"/>
      <c r="AM433" s="63"/>
      <c r="AN433" s="99" t="str">
        <f t="shared" si="24"/>
        <v/>
      </c>
      <c r="AO433" s="96"/>
      <c r="AP433" s="96"/>
      <c r="AQ433" s="96"/>
      <c r="AR433" s="96"/>
      <c r="AS433" s="96"/>
      <c r="AT433" s="96"/>
      <c r="AU433" s="96"/>
      <c r="AV433" s="64"/>
      <c r="AW433" s="97"/>
      <c r="AX433" s="97"/>
      <c r="AY433" s="101" t="str">
        <f>IF('BMP P Tracking Table'!$AK433="Yes",IF('BMP P Tracking Table'!$AL433="No",'BMP P Tracking Table'!$U433*VLOOKUP('BMP P Tracking Table'!$Q433,'Loading Rates'!$B$1:$L$24,4,FALSE)+IF('BMP P Tracking Table'!$V433="By HSG",'BMP P Tracking Table'!$W433*VLOOKUP('BMP P Tracking Table'!$Q433,'Loading Rates'!$B$1:$L$24,6,FALSE)+'BMP P Tracking Table'!$X433*VLOOKUP('BMP P Tracking Table'!$Q433,'Loading Rates'!$B$1:$L$24,7,FALSE)+'BMP P Tracking Table'!$Y433*VLOOKUP('BMP P Tracking Table'!$Q433,'Loading Rates'!$B$1:$L$24,8,FALSE)+'BMP P Tracking Table'!$Z433*VLOOKUP('BMP P Tracking Table'!$Q433,'Loading Rates'!$B$1:$L$24,9,FALSE),'BMP P Tracking Table'!$AA433*VLOOKUP('BMP P Tracking Table'!$Q433,'Loading Rates'!$B$1:$L$24,10,FALSE)),'BMP P Tracking Table'!$AO433*VLOOKUP('BMP P Tracking Table'!$Q433,'Loading Rates'!$B$1:$L$24,4,FALSE)+IF('BMP P Tracking Table'!$AP433="By HSG",'BMP P Tracking Table'!$AQ433*VLOOKUP('BMP P Tracking Table'!$Q433,'Loading Rates'!$B$1:$L$24,6,FALSE)+'BMP P Tracking Table'!$AR433*VLOOKUP('BMP P Tracking Table'!$Q433,'Loading Rates'!$B$1:$L$24,7,FALSE)+'BMP P Tracking Table'!$AS433*VLOOKUP('BMP P Tracking Table'!$Q433,'Loading Rates'!$B$1:$L$24,8,FALSE)+'BMP P Tracking Table'!$AT433*VLOOKUP('BMP P Tracking Table'!$Q433,'Loading Rates'!$B$1:$L$24,9,FALSE),'BMP P Tracking Table'!$AU433*VLOOKUP('BMP P Tracking Table'!$Q433,'Loading Rates'!$B$1:$L$24,10,FALSE))),"")</f>
        <v/>
      </c>
      <c r="AZ433" s="101" t="str">
        <f>IFERROR(IF('BMP P Tracking Table'!$AL433="Yes",MIN(2,IF('BMP P Tracking Table'!$AP433="Total Pervious",(-(3630*'BMP P Tracking Table'!$AO433+20.691*'BMP P Tracking Table'!$AU433)+SQRT((3630*'BMP P Tracking Table'!$AO433+20.691*'BMP P Tracking Table'!$AU433)^2-(4*(996.798*'BMP P Tracking Table'!$AU433)*-'BMP P Tracking Table'!$AW433)))/(2*(996.798*'BMP P Tracking Table'!$AU433)),IF(SUM('BMP P Tracking Table'!$AQ433:$AT433)=0,'BMP P Tracking Table'!$AU433/(-3630*'BMP P Tracking Table'!$AO433),(-(3630*'BMP P Tracking Table'!$AO433+20.691*'BMP P Tracking Table'!$AT433-216.711*'BMP P Tracking Table'!$AS433-83.853*'BMP P Tracking Table'!$AR433-42.834*'BMP P Tracking Table'!$AQ433)+SQRT((3630*'BMP P Tracking Table'!$AO433+20.691*'BMP P Tracking Table'!$AT433-216.711*'BMP P Tracking Table'!$AS433-83.853*'BMP P Tracking Table'!$AR433-42.834*'BMP P Tracking Table'!$AQ433)^2-(4*(149.919*'BMP P Tracking Table'!$AQ433+236.676*'BMP P Tracking Table'!$AR433+726*'BMP P Tracking Table'!$AS433+996.798*'BMP P Tracking Table'!$AT433)*-'BMP P Tracking Table'!$AW433)))/(2*(149.919*'BMP P Tracking Table'!$AQ433+236.676*'BMP P Tracking Table'!$AR433+726*'BMP P Tracking Table'!$AS433+996.798*'BMP P Tracking Table'!$AT433))))),MIN(2,IF('BMP P Tracking Table'!$AP433="Total Pervious",(-(3630*'BMP P Tracking Table'!$U433+20.691*'BMP P Tracking Table'!$AA433)+SQRT((3630*'BMP P Tracking Table'!$U433+20.691*'BMP P Tracking Table'!$AA433)^2-(4*(996.798*'BMP P Tracking Table'!$AA433)*-'BMP P Tracking Table'!$AW433)))/(2*(996.798*'BMP P Tracking Table'!$AA433)),IF(SUM('BMP P Tracking Table'!$W433:$Z433)=0,'BMP P Tracking Table'!$AW433/(-3630*'BMP P Tracking Table'!$U433),(-(3630*'BMP P Tracking Table'!$U433+20.691*'BMP P Tracking Table'!$Z433-216.711*'BMP P Tracking Table'!$Y433-83.853*'BMP P Tracking Table'!$X433-42.834*'BMP P Tracking Table'!$W433)+SQRT((3630*'BMP P Tracking Table'!$U433+20.691*'BMP P Tracking Table'!$Z433-216.711*'BMP P Tracking Table'!$Y433-83.853*'BMP P Tracking Table'!$X433-42.834*'BMP P Tracking Table'!$W433)^2-(4*(149.919*'BMP P Tracking Table'!$W433+236.676*'BMP P Tracking Table'!$X433+726*'BMP P Tracking Table'!$Y433+996.798*'BMP P Tracking Table'!$Z433)*-'BMP P Tracking Table'!$AW433)))/(2*(149.919*'BMP P Tracking Table'!$W433+236.676*'BMP P Tracking Table'!$X433+726*'BMP P Tracking Table'!$Y433+996.798*'BMP P Tracking Table'!$Z433)))))),"")</f>
        <v/>
      </c>
      <c r="BA433" s="101" t="str">
        <f>IFERROR((VLOOKUP(CONCATENATE('BMP P Tracking Table'!$AV433," ",'BMP P Tracking Table'!$AX433),'Performance Curves'!$C$1:$L$45,MATCH('BMP P Tracking Table'!$AZ433,'Performance Curves'!$E$1:$L$1,1)+2,FALSE)-VLOOKUP(CONCATENATE('BMP P Tracking Table'!$AV433," ",'BMP P Tracking Table'!$AX433),'Performance Curves'!$C$1:$L$45,MATCH('BMP P Tracking Table'!$AZ433,'Performance Curves'!$E$1:$L$1,1)+1,FALSE)),"")</f>
        <v/>
      </c>
      <c r="BB433" s="101" t="str">
        <f>IFERROR(('BMP P Tracking Table'!$AZ433-INDEX('Performance Curves'!$E$1:$L$1,1,MATCH('BMP P Tracking Table'!$AZ433,'Performance Curves'!$E$1:$L$1,1)))/(INDEX('Performance Curves'!$E$1:$L$1,1,MATCH('BMP P Tracking Table'!$AZ433,'Performance Curves'!$E$1:$L$1,1)+1)-INDEX('Performance Curves'!$E$1:$L$1,1,MATCH('BMP P Tracking Table'!$AZ433,'Performance Curves'!$E$1:$L$1,1))),"")</f>
        <v/>
      </c>
      <c r="BC433" s="102" t="str">
        <f>IFERROR(IF('BMP P Tracking Table'!$AZ433=2,VLOOKUP(CONCATENATE('BMP P Tracking Table'!$AV433," ",'BMP P Tracking Table'!$AX433),'Performance Curves'!$C$1:$L$44,MATCH('BMP P Tracking Table'!$AZ433,'Performance Curves'!$E$1:$L$1,1)+1,FALSE),'BMP P Tracking Table'!$BA433*'BMP P Tracking Table'!$BB433+VLOOKUP(CONCATENATE('BMP P Tracking Table'!$AV433," ",'BMP P Tracking Table'!$AX433),'Performance Curves'!$C$1:$L$44,MATCH('BMP P Tracking Table'!$AZ433,'Performance Curves'!$E$1:$L$1,1)+1,FALSE)),"")</f>
        <v/>
      </c>
      <c r="BD433" s="101" t="str">
        <f>IFERROR('BMP P Tracking Table'!$BC433*'BMP P Tracking Table'!$AY433,"")</f>
        <v/>
      </c>
      <c r="BE433" s="96"/>
      <c r="BF433" s="37">
        <f t="shared" si="25"/>
        <v>0</v>
      </c>
    </row>
    <row r="434" spans="1:58" x14ac:dyDescent="0.3">
      <c r="A434" s="64"/>
      <c r="B434" s="64"/>
      <c r="C434" s="64"/>
      <c r="D434" s="64"/>
      <c r="E434" s="93"/>
      <c r="F434" s="93"/>
      <c r="G434" s="64"/>
      <c r="H434" s="64"/>
      <c r="I434" s="64"/>
      <c r="J434" s="94"/>
      <c r="K434" s="64"/>
      <c r="L434" s="64"/>
      <c r="M434" s="64"/>
      <c r="N434" s="64"/>
      <c r="O434" s="64"/>
      <c r="P434" s="64"/>
      <c r="Q434" s="64" t="str">
        <f>IFERROR(VLOOKUP('BMP P Tracking Table'!$P434,Dropdowns!$C$2:$E$15,3,FALSE),"")</f>
        <v/>
      </c>
      <c r="R434" s="64" t="str">
        <f>IFERROR(VLOOKUP('BMP P Tracking Table'!$Q434,Dropdowns!$P$3:$Q$23,2,FALSE),"")</f>
        <v/>
      </c>
      <c r="S434" s="64"/>
      <c r="T434" s="64"/>
      <c r="U434" s="64"/>
      <c r="V434" s="64"/>
      <c r="W434" s="64"/>
      <c r="X434" s="64"/>
      <c r="Y434" s="64"/>
      <c r="Z434" s="64"/>
      <c r="AA434" s="64"/>
      <c r="AB434" s="95"/>
      <c r="AC434" s="64"/>
      <c r="AD434" s="101" t="str">
        <f>IFERROR('BMP P Tracking Table'!$U434*VLOOKUP('BMP P Tracking Table'!$Q434,'Loading Rates'!$B$1:$L$24,4,FALSE)+IF('BMP P Tracking Table'!$V434="By HSG",'BMP P Tracking Table'!$W434*VLOOKUP('BMP P Tracking Table'!$Q434,'Loading Rates'!$B$1:$L$24,6,FALSE)+'BMP P Tracking Table'!$X434*VLOOKUP('BMP P Tracking Table'!$Q434,'Loading Rates'!$B$1:$L$24,7,FALSE)+'BMP P Tracking Table'!$Y434*VLOOKUP('BMP P Tracking Table'!$Q434,'Loading Rates'!$B$1:$L$24,8,FALSE)+'BMP P Tracking Table'!$Z434*VLOOKUP('BMP P Tracking Table'!$Q434,'Loading Rates'!$B$1:$L$24,9,FALSE),'BMP P Tracking Table'!$AA434*VLOOKUP('BMP P Tracking Table'!$Q434,'Loading Rates'!$B$1:$L$24,10,FALSE)),"")</f>
        <v/>
      </c>
      <c r="AE434" s="101" t="str">
        <f>IFERROR(MIN(2,IF('BMP P Tracking Table'!$V434="Total Pervious",(-(3630*'BMP P Tracking Table'!$U434+20.691*'BMP P Tracking Table'!$AA434)+SQRT((3630*'BMP P Tracking Table'!$U434+20.691*'BMP P Tracking Table'!$AA434)^2-(4*(996.798*'BMP P Tracking Table'!$AA434)*-'BMP P Tracking Table'!$AB434)))/(2*(996.798*'BMP P Tracking Table'!$AA434)),IF(SUM('BMP P Tracking Table'!$W434:$Z434)=0,'BMP P Tracking Table'!$AB434/(-3630*'BMP P Tracking Table'!$U434),(-(3630*'BMP P Tracking Table'!$U434+20.691*'BMP P Tracking Table'!$Z434-216.711*'BMP P Tracking Table'!$Y434-83.853*'BMP P Tracking Table'!$X434-42.834*'BMP P Tracking Table'!$W434)+SQRT((3630*'BMP P Tracking Table'!$U434+20.691*'BMP P Tracking Table'!$Z434-216.711*'BMP P Tracking Table'!$Y434-83.853*'BMP P Tracking Table'!$X434-42.834*'BMP P Tracking Table'!$W434)^2-(4*(149.919*'BMP P Tracking Table'!$W434+236.676*'BMP P Tracking Table'!$X434+726*'BMP P Tracking Table'!$Y434+996.798*'BMP P Tracking Table'!$Z434)*-'BMP P Tracking Table'!$AB434)))/(2*(149.919*'BMP P Tracking Table'!$W434+236.676*'BMP P Tracking Table'!$X434+726*'BMP P Tracking Table'!$Y434+996.798*'BMP P Tracking Table'!$Z434))))),"")</f>
        <v/>
      </c>
      <c r="AF434" s="101" t="str">
        <f>IFERROR((VLOOKUP(CONCATENATE('BMP P Tracking Table'!$T434," ",'BMP P Tracking Table'!$AC434),'Performance Curves'!$C$1:$L$45,MATCH('BMP P Tracking Table'!$AE434,'Performance Curves'!$E$1:$L$1,1)+2,FALSE)-VLOOKUP(CONCATENATE('BMP P Tracking Table'!$T434," ",'BMP P Tracking Table'!$AC434),'Performance Curves'!$C$1:$L$45,MATCH('BMP P Tracking Table'!$AE434,'Performance Curves'!$E$1:$L$1,1)+1,FALSE)),"")</f>
        <v/>
      </c>
      <c r="AG434" s="101" t="str">
        <f>IFERROR(('BMP P Tracking Table'!$AE434-INDEX('Performance Curves'!$E$1:$L$1,1,MATCH('BMP P Tracking Table'!$AE434,'Performance Curves'!$E$1:$L$1,1)))/(INDEX('Performance Curves'!$E$1:$L$1,1,MATCH('BMP P Tracking Table'!$AE434,'Performance Curves'!$E$1:$L$1,1)+1)-INDEX('Performance Curves'!$E$1:$L$1,1,MATCH('BMP P Tracking Table'!$AE434,'Performance Curves'!$E$1:$L$1,1))),"")</f>
        <v/>
      </c>
      <c r="AH434" s="102" t="str">
        <f>IFERROR(IF('BMP P Tracking Table'!$AE434=2,VLOOKUP(CONCATENATE('BMP P Tracking Table'!$T434," ",'BMP P Tracking Table'!$AC434),'Performance Curves'!$C$1:$L$45,MATCH('BMP P Tracking Table'!$AE434,'Performance Curves'!$E$1:$L$1,1)+1,FALSE),'BMP P Tracking Table'!$AF434*'BMP P Tracking Table'!$AG434+VLOOKUP(CONCATENATE('BMP P Tracking Table'!$T434," ",'BMP P Tracking Table'!$AC434),'Performance Curves'!$C$1:$L$45,MATCH('BMP P Tracking Table'!$AE434,'Performance Curves'!$E$1:$L$1,1)+1,FALSE)),"")</f>
        <v/>
      </c>
      <c r="AI434" s="101" t="str">
        <f>IFERROR('BMP P Tracking Table'!$AH434*'BMP P Tracking Table'!$AD434,"")</f>
        <v/>
      </c>
      <c r="AJ434" s="64"/>
      <c r="AK434" s="96"/>
      <c r="AL434" s="96"/>
      <c r="AM434" s="63"/>
      <c r="AN434" s="99" t="str">
        <f t="shared" si="24"/>
        <v/>
      </c>
      <c r="AO434" s="96"/>
      <c r="AP434" s="96"/>
      <c r="AQ434" s="96"/>
      <c r="AR434" s="96"/>
      <c r="AS434" s="96"/>
      <c r="AT434" s="96"/>
      <c r="AU434" s="96"/>
      <c r="AV434" s="64"/>
      <c r="AW434" s="97"/>
      <c r="AX434" s="97"/>
      <c r="AY434" s="101" t="str">
        <f>IF('BMP P Tracking Table'!$AK434="Yes",IF('BMP P Tracking Table'!$AL434="No",'BMP P Tracking Table'!$U434*VLOOKUP('BMP P Tracking Table'!$Q434,'Loading Rates'!$B$1:$L$24,4,FALSE)+IF('BMP P Tracking Table'!$V434="By HSG",'BMP P Tracking Table'!$W434*VLOOKUP('BMP P Tracking Table'!$Q434,'Loading Rates'!$B$1:$L$24,6,FALSE)+'BMP P Tracking Table'!$X434*VLOOKUP('BMP P Tracking Table'!$Q434,'Loading Rates'!$B$1:$L$24,7,FALSE)+'BMP P Tracking Table'!$Y434*VLOOKUP('BMP P Tracking Table'!$Q434,'Loading Rates'!$B$1:$L$24,8,FALSE)+'BMP P Tracking Table'!$Z434*VLOOKUP('BMP P Tracking Table'!$Q434,'Loading Rates'!$B$1:$L$24,9,FALSE),'BMP P Tracking Table'!$AA434*VLOOKUP('BMP P Tracking Table'!$Q434,'Loading Rates'!$B$1:$L$24,10,FALSE)),'BMP P Tracking Table'!$AO434*VLOOKUP('BMP P Tracking Table'!$Q434,'Loading Rates'!$B$1:$L$24,4,FALSE)+IF('BMP P Tracking Table'!$AP434="By HSG",'BMP P Tracking Table'!$AQ434*VLOOKUP('BMP P Tracking Table'!$Q434,'Loading Rates'!$B$1:$L$24,6,FALSE)+'BMP P Tracking Table'!$AR434*VLOOKUP('BMP P Tracking Table'!$Q434,'Loading Rates'!$B$1:$L$24,7,FALSE)+'BMP P Tracking Table'!$AS434*VLOOKUP('BMP P Tracking Table'!$Q434,'Loading Rates'!$B$1:$L$24,8,FALSE)+'BMP P Tracking Table'!$AT434*VLOOKUP('BMP P Tracking Table'!$Q434,'Loading Rates'!$B$1:$L$24,9,FALSE),'BMP P Tracking Table'!$AU434*VLOOKUP('BMP P Tracking Table'!$Q434,'Loading Rates'!$B$1:$L$24,10,FALSE))),"")</f>
        <v/>
      </c>
      <c r="AZ434" s="101" t="str">
        <f>IFERROR(IF('BMP P Tracking Table'!$AL434="Yes",MIN(2,IF('BMP P Tracking Table'!$AP434="Total Pervious",(-(3630*'BMP P Tracking Table'!$AO434+20.691*'BMP P Tracking Table'!$AU434)+SQRT((3630*'BMP P Tracking Table'!$AO434+20.691*'BMP P Tracking Table'!$AU434)^2-(4*(996.798*'BMP P Tracking Table'!$AU434)*-'BMP P Tracking Table'!$AW434)))/(2*(996.798*'BMP P Tracking Table'!$AU434)),IF(SUM('BMP P Tracking Table'!$AQ434:$AT434)=0,'BMP P Tracking Table'!$AU434/(-3630*'BMP P Tracking Table'!$AO434),(-(3630*'BMP P Tracking Table'!$AO434+20.691*'BMP P Tracking Table'!$AT434-216.711*'BMP P Tracking Table'!$AS434-83.853*'BMP P Tracking Table'!$AR434-42.834*'BMP P Tracking Table'!$AQ434)+SQRT((3630*'BMP P Tracking Table'!$AO434+20.691*'BMP P Tracking Table'!$AT434-216.711*'BMP P Tracking Table'!$AS434-83.853*'BMP P Tracking Table'!$AR434-42.834*'BMP P Tracking Table'!$AQ434)^2-(4*(149.919*'BMP P Tracking Table'!$AQ434+236.676*'BMP P Tracking Table'!$AR434+726*'BMP P Tracking Table'!$AS434+996.798*'BMP P Tracking Table'!$AT434)*-'BMP P Tracking Table'!$AW434)))/(2*(149.919*'BMP P Tracking Table'!$AQ434+236.676*'BMP P Tracking Table'!$AR434+726*'BMP P Tracking Table'!$AS434+996.798*'BMP P Tracking Table'!$AT434))))),MIN(2,IF('BMP P Tracking Table'!$AP434="Total Pervious",(-(3630*'BMP P Tracking Table'!$U434+20.691*'BMP P Tracking Table'!$AA434)+SQRT((3630*'BMP P Tracking Table'!$U434+20.691*'BMP P Tracking Table'!$AA434)^2-(4*(996.798*'BMP P Tracking Table'!$AA434)*-'BMP P Tracking Table'!$AW434)))/(2*(996.798*'BMP P Tracking Table'!$AA434)),IF(SUM('BMP P Tracking Table'!$W434:$Z434)=0,'BMP P Tracking Table'!$AW434/(-3630*'BMP P Tracking Table'!$U434),(-(3630*'BMP P Tracking Table'!$U434+20.691*'BMP P Tracking Table'!$Z434-216.711*'BMP P Tracking Table'!$Y434-83.853*'BMP P Tracking Table'!$X434-42.834*'BMP P Tracking Table'!$W434)+SQRT((3630*'BMP P Tracking Table'!$U434+20.691*'BMP P Tracking Table'!$Z434-216.711*'BMP P Tracking Table'!$Y434-83.853*'BMP P Tracking Table'!$X434-42.834*'BMP P Tracking Table'!$W434)^2-(4*(149.919*'BMP P Tracking Table'!$W434+236.676*'BMP P Tracking Table'!$X434+726*'BMP P Tracking Table'!$Y434+996.798*'BMP P Tracking Table'!$Z434)*-'BMP P Tracking Table'!$AW434)))/(2*(149.919*'BMP P Tracking Table'!$W434+236.676*'BMP P Tracking Table'!$X434+726*'BMP P Tracking Table'!$Y434+996.798*'BMP P Tracking Table'!$Z434)))))),"")</f>
        <v/>
      </c>
      <c r="BA434" s="101" t="str">
        <f>IFERROR((VLOOKUP(CONCATENATE('BMP P Tracking Table'!$AV434," ",'BMP P Tracking Table'!$AX434),'Performance Curves'!$C$1:$L$45,MATCH('BMP P Tracking Table'!$AZ434,'Performance Curves'!$E$1:$L$1,1)+2,FALSE)-VLOOKUP(CONCATENATE('BMP P Tracking Table'!$AV434," ",'BMP P Tracking Table'!$AX434),'Performance Curves'!$C$1:$L$45,MATCH('BMP P Tracking Table'!$AZ434,'Performance Curves'!$E$1:$L$1,1)+1,FALSE)),"")</f>
        <v/>
      </c>
      <c r="BB434" s="101" t="str">
        <f>IFERROR(('BMP P Tracking Table'!$AZ434-INDEX('Performance Curves'!$E$1:$L$1,1,MATCH('BMP P Tracking Table'!$AZ434,'Performance Curves'!$E$1:$L$1,1)))/(INDEX('Performance Curves'!$E$1:$L$1,1,MATCH('BMP P Tracking Table'!$AZ434,'Performance Curves'!$E$1:$L$1,1)+1)-INDEX('Performance Curves'!$E$1:$L$1,1,MATCH('BMP P Tracking Table'!$AZ434,'Performance Curves'!$E$1:$L$1,1))),"")</f>
        <v/>
      </c>
      <c r="BC434" s="102" t="str">
        <f>IFERROR(IF('BMP P Tracking Table'!$AZ434=2,VLOOKUP(CONCATENATE('BMP P Tracking Table'!$AV434," ",'BMP P Tracking Table'!$AX434),'Performance Curves'!$C$1:$L$44,MATCH('BMP P Tracking Table'!$AZ434,'Performance Curves'!$E$1:$L$1,1)+1,FALSE),'BMP P Tracking Table'!$BA434*'BMP P Tracking Table'!$BB434+VLOOKUP(CONCATENATE('BMP P Tracking Table'!$AV434," ",'BMP P Tracking Table'!$AX434),'Performance Curves'!$C$1:$L$44,MATCH('BMP P Tracking Table'!$AZ434,'Performance Curves'!$E$1:$L$1,1)+1,FALSE)),"")</f>
        <v/>
      </c>
      <c r="BD434" s="101" t="str">
        <f>IFERROR('BMP P Tracking Table'!$BC434*'BMP P Tracking Table'!$AY434,"")</f>
        <v/>
      </c>
      <c r="BE434" s="96"/>
      <c r="BF434" s="37">
        <f t="shared" si="25"/>
        <v>0</v>
      </c>
    </row>
    <row r="435" spans="1:58" x14ac:dyDescent="0.3">
      <c r="A435" s="64"/>
      <c r="B435" s="64"/>
      <c r="C435" s="64"/>
      <c r="D435" s="64"/>
      <c r="E435" s="93"/>
      <c r="F435" s="93"/>
      <c r="G435" s="64"/>
      <c r="H435" s="64"/>
      <c r="I435" s="64"/>
      <c r="J435" s="94"/>
      <c r="K435" s="64"/>
      <c r="L435" s="64"/>
      <c r="M435" s="64"/>
      <c r="N435" s="64"/>
      <c r="O435" s="64"/>
      <c r="P435" s="64"/>
      <c r="Q435" s="64" t="str">
        <f>IFERROR(VLOOKUP('BMP P Tracking Table'!$P435,Dropdowns!$C$2:$E$15,3,FALSE),"")</f>
        <v/>
      </c>
      <c r="R435" s="64" t="str">
        <f>IFERROR(VLOOKUP('BMP P Tracking Table'!$Q435,Dropdowns!$P$3:$Q$23,2,FALSE),"")</f>
        <v/>
      </c>
      <c r="S435" s="64"/>
      <c r="T435" s="64"/>
      <c r="U435" s="64"/>
      <c r="V435" s="64"/>
      <c r="W435" s="64"/>
      <c r="X435" s="64"/>
      <c r="Y435" s="64"/>
      <c r="Z435" s="64"/>
      <c r="AA435" s="64"/>
      <c r="AB435" s="95"/>
      <c r="AC435" s="64"/>
      <c r="AD435" s="101" t="str">
        <f>IFERROR('BMP P Tracking Table'!$U435*VLOOKUP('BMP P Tracking Table'!$Q435,'Loading Rates'!$B$1:$L$24,4,FALSE)+IF('BMP P Tracking Table'!$V435="By HSG",'BMP P Tracking Table'!$W435*VLOOKUP('BMP P Tracking Table'!$Q435,'Loading Rates'!$B$1:$L$24,6,FALSE)+'BMP P Tracking Table'!$X435*VLOOKUP('BMP P Tracking Table'!$Q435,'Loading Rates'!$B$1:$L$24,7,FALSE)+'BMP P Tracking Table'!$Y435*VLOOKUP('BMP P Tracking Table'!$Q435,'Loading Rates'!$B$1:$L$24,8,FALSE)+'BMP P Tracking Table'!$Z435*VLOOKUP('BMP P Tracking Table'!$Q435,'Loading Rates'!$B$1:$L$24,9,FALSE),'BMP P Tracking Table'!$AA435*VLOOKUP('BMP P Tracking Table'!$Q435,'Loading Rates'!$B$1:$L$24,10,FALSE)),"")</f>
        <v/>
      </c>
      <c r="AE435" s="101" t="str">
        <f>IFERROR(MIN(2,IF('BMP P Tracking Table'!$V435="Total Pervious",(-(3630*'BMP P Tracking Table'!$U435+20.691*'BMP P Tracking Table'!$AA435)+SQRT((3630*'BMP P Tracking Table'!$U435+20.691*'BMP P Tracking Table'!$AA435)^2-(4*(996.798*'BMP P Tracking Table'!$AA435)*-'BMP P Tracking Table'!$AB435)))/(2*(996.798*'BMP P Tracking Table'!$AA435)),IF(SUM('BMP P Tracking Table'!$W435:$Z435)=0,'BMP P Tracking Table'!$AB435/(-3630*'BMP P Tracking Table'!$U435),(-(3630*'BMP P Tracking Table'!$U435+20.691*'BMP P Tracking Table'!$Z435-216.711*'BMP P Tracking Table'!$Y435-83.853*'BMP P Tracking Table'!$X435-42.834*'BMP P Tracking Table'!$W435)+SQRT((3630*'BMP P Tracking Table'!$U435+20.691*'BMP P Tracking Table'!$Z435-216.711*'BMP P Tracking Table'!$Y435-83.853*'BMP P Tracking Table'!$X435-42.834*'BMP P Tracking Table'!$W435)^2-(4*(149.919*'BMP P Tracking Table'!$W435+236.676*'BMP P Tracking Table'!$X435+726*'BMP P Tracking Table'!$Y435+996.798*'BMP P Tracking Table'!$Z435)*-'BMP P Tracking Table'!$AB435)))/(2*(149.919*'BMP P Tracking Table'!$W435+236.676*'BMP P Tracking Table'!$X435+726*'BMP P Tracking Table'!$Y435+996.798*'BMP P Tracking Table'!$Z435))))),"")</f>
        <v/>
      </c>
      <c r="AF435" s="101" t="str">
        <f>IFERROR((VLOOKUP(CONCATENATE('BMP P Tracking Table'!$T435," ",'BMP P Tracking Table'!$AC435),'Performance Curves'!$C$1:$L$45,MATCH('BMP P Tracking Table'!$AE435,'Performance Curves'!$E$1:$L$1,1)+2,FALSE)-VLOOKUP(CONCATENATE('BMP P Tracking Table'!$T435," ",'BMP P Tracking Table'!$AC435),'Performance Curves'!$C$1:$L$45,MATCH('BMP P Tracking Table'!$AE435,'Performance Curves'!$E$1:$L$1,1)+1,FALSE)),"")</f>
        <v/>
      </c>
      <c r="AG435" s="101" t="str">
        <f>IFERROR(('BMP P Tracking Table'!$AE435-INDEX('Performance Curves'!$E$1:$L$1,1,MATCH('BMP P Tracking Table'!$AE435,'Performance Curves'!$E$1:$L$1,1)))/(INDEX('Performance Curves'!$E$1:$L$1,1,MATCH('BMP P Tracking Table'!$AE435,'Performance Curves'!$E$1:$L$1,1)+1)-INDEX('Performance Curves'!$E$1:$L$1,1,MATCH('BMP P Tracking Table'!$AE435,'Performance Curves'!$E$1:$L$1,1))),"")</f>
        <v/>
      </c>
      <c r="AH435" s="102" t="str">
        <f>IFERROR(IF('BMP P Tracking Table'!$AE435=2,VLOOKUP(CONCATENATE('BMP P Tracking Table'!$T435," ",'BMP P Tracking Table'!$AC435),'Performance Curves'!$C$1:$L$45,MATCH('BMP P Tracking Table'!$AE435,'Performance Curves'!$E$1:$L$1,1)+1,FALSE),'BMP P Tracking Table'!$AF435*'BMP P Tracking Table'!$AG435+VLOOKUP(CONCATENATE('BMP P Tracking Table'!$T435," ",'BMP P Tracking Table'!$AC435),'Performance Curves'!$C$1:$L$45,MATCH('BMP P Tracking Table'!$AE435,'Performance Curves'!$E$1:$L$1,1)+1,FALSE)),"")</f>
        <v/>
      </c>
      <c r="AI435" s="101" t="str">
        <f>IFERROR('BMP P Tracking Table'!$AH435*'BMP P Tracking Table'!$AD435,"")</f>
        <v/>
      </c>
      <c r="AJ435" s="64"/>
      <c r="AK435" s="96"/>
      <c r="AL435" s="96"/>
      <c r="AM435" s="63"/>
      <c r="AN435" s="99" t="str">
        <f t="shared" si="24"/>
        <v/>
      </c>
      <c r="AO435" s="96"/>
      <c r="AP435" s="96"/>
      <c r="AQ435" s="96"/>
      <c r="AR435" s="96"/>
      <c r="AS435" s="96"/>
      <c r="AT435" s="96"/>
      <c r="AU435" s="96"/>
      <c r="AV435" s="64"/>
      <c r="AW435" s="97"/>
      <c r="AX435" s="97"/>
      <c r="AY435" s="101" t="str">
        <f>IF('BMP P Tracking Table'!$AK435="Yes",IF('BMP P Tracking Table'!$AL435="No",'BMP P Tracking Table'!$U435*VLOOKUP('BMP P Tracking Table'!$Q435,'Loading Rates'!$B$1:$L$24,4,FALSE)+IF('BMP P Tracking Table'!$V435="By HSG",'BMP P Tracking Table'!$W435*VLOOKUP('BMP P Tracking Table'!$Q435,'Loading Rates'!$B$1:$L$24,6,FALSE)+'BMP P Tracking Table'!$X435*VLOOKUP('BMP P Tracking Table'!$Q435,'Loading Rates'!$B$1:$L$24,7,FALSE)+'BMP P Tracking Table'!$Y435*VLOOKUP('BMP P Tracking Table'!$Q435,'Loading Rates'!$B$1:$L$24,8,FALSE)+'BMP P Tracking Table'!$Z435*VLOOKUP('BMP P Tracking Table'!$Q435,'Loading Rates'!$B$1:$L$24,9,FALSE),'BMP P Tracking Table'!$AA435*VLOOKUP('BMP P Tracking Table'!$Q435,'Loading Rates'!$B$1:$L$24,10,FALSE)),'BMP P Tracking Table'!$AO435*VLOOKUP('BMP P Tracking Table'!$Q435,'Loading Rates'!$B$1:$L$24,4,FALSE)+IF('BMP P Tracking Table'!$AP435="By HSG",'BMP P Tracking Table'!$AQ435*VLOOKUP('BMP P Tracking Table'!$Q435,'Loading Rates'!$B$1:$L$24,6,FALSE)+'BMP P Tracking Table'!$AR435*VLOOKUP('BMP P Tracking Table'!$Q435,'Loading Rates'!$B$1:$L$24,7,FALSE)+'BMP P Tracking Table'!$AS435*VLOOKUP('BMP P Tracking Table'!$Q435,'Loading Rates'!$B$1:$L$24,8,FALSE)+'BMP P Tracking Table'!$AT435*VLOOKUP('BMP P Tracking Table'!$Q435,'Loading Rates'!$B$1:$L$24,9,FALSE),'BMP P Tracking Table'!$AU435*VLOOKUP('BMP P Tracking Table'!$Q435,'Loading Rates'!$B$1:$L$24,10,FALSE))),"")</f>
        <v/>
      </c>
      <c r="AZ435" s="101" t="str">
        <f>IFERROR(IF('BMP P Tracking Table'!$AL435="Yes",MIN(2,IF('BMP P Tracking Table'!$AP435="Total Pervious",(-(3630*'BMP P Tracking Table'!$AO435+20.691*'BMP P Tracking Table'!$AU435)+SQRT((3630*'BMP P Tracking Table'!$AO435+20.691*'BMP P Tracking Table'!$AU435)^2-(4*(996.798*'BMP P Tracking Table'!$AU435)*-'BMP P Tracking Table'!$AW435)))/(2*(996.798*'BMP P Tracking Table'!$AU435)),IF(SUM('BMP P Tracking Table'!$AQ435:$AT435)=0,'BMP P Tracking Table'!$AU435/(-3630*'BMP P Tracking Table'!$AO435),(-(3630*'BMP P Tracking Table'!$AO435+20.691*'BMP P Tracking Table'!$AT435-216.711*'BMP P Tracking Table'!$AS435-83.853*'BMP P Tracking Table'!$AR435-42.834*'BMP P Tracking Table'!$AQ435)+SQRT((3630*'BMP P Tracking Table'!$AO435+20.691*'BMP P Tracking Table'!$AT435-216.711*'BMP P Tracking Table'!$AS435-83.853*'BMP P Tracking Table'!$AR435-42.834*'BMP P Tracking Table'!$AQ435)^2-(4*(149.919*'BMP P Tracking Table'!$AQ435+236.676*'BMP P Tracking Table'!$AR435+726*'BMP P Tracking Table'!$AS435+996.798*'BMP P Tracking Table'!$AT435)*-'BMP P Tracking Table'!$AW435)))/(2*(149.919*'BMP P Tracking Table'!$AQ435+236.676*'BMP P Tracking Table'!$AR435+726*'BMP P Tracking Table'!$AS435+996.798*'BMP P Tracking Table'!$AT435))))),MIN(2,IF('BMP P Tracking Table'!$AP435="Total Pervious",(-(3630*'BMP P Tracking Table'!$U435+20.691*'BMP P Tracking Table'!$AA435)+SQRT((3630*'BMP P Tracking Table'!$U435+20.691*'BMP P Tracking Table'!$AA435)^2-(4*(996.798*'BMP P Tracking Table'!$AA435)*-'BMP P Tracking Table'!$AW435)))/(2*(996.798*'BMP P Tracking Table'!$AA435)),IF(SUM('BMP P Tracking Table'!$W435:$Z435)=0,'BMP P Tracking Table'!$AW435/(-3630*'BMP P Tracking Table'!$U435),(-(3630*'BMP P Tracking Table'!$U435+20.691*'BMP P Tracking Table'!$Z435-216.711*'BMP P Tracking Table'!$Y435-83.853*'BMP P Tracking Table'!$X435-42.834*'BMP P Tracking Table'!$W435)+SQRT((3630*'BMP P Tracking Table'!$U435+20.691*'BMP P Tracking Table'!$Z435-216.711*'BMP P Tracking Table'!$Y435-83.853*'BMP P Tracking Table'!$X435-42.834*'BMP P Tracking Table'!$W435)^2-(4*(149.919*'BMP P Tracking Table'!$W435+236.676*'BMP P Tracking Table'!$X435+726*'BMP P Tracking Table'!$Y435+996.798*'BMP P Tracking Table'!$Z435)*-'BMP P Tracking Table'!$AW435)))/(2*(149.919*'BMP P Tracking Table'!$W435+236.676*'BMP P Tracking Table'!$X435+726*'BMP P Tracking Table'!$Y435+996.798*'BMP P Tracking Table'!$Z435)))))),"")</f>
        <v/>
      </c>
      <c r="BA435" s="101" t="str">
        <f>IFERROR((VLOOKUP(CONCATENATE('BMP P Tracking Table'!$AV435," ",'BMP P Tracking Table'!$AX435),'Performance Curves'!$C$1:$L$45,MATCH('BMP P Tracking Table'!$AZ435,'Performance Curves'!$E$1:$L$1,1)+2,FALSE)-VLOOKUP(CONCATENATE('BMP P Tracking Table'!$AV435," ",'BMP P Tracking Table'!$AX435),'Performance Curves'!$C$1:$L$45,MATCH('BMP P Tracking Table'!$AZ435,'Performance Curves'!$E$1:$L$1,1)+1,FALSE)),"")</f>
        <v/>
      </c>
      <c r="BB435" s="101" t="str">
        <f>IFERROR(('BMP P Tracking Table'!$AZ435-INDEX('Performance Curves'!$E$1:$L$1,1,MATCH('BMP P Tracking Table'!$AZ435,'Performance Curves'!$E$1:$L$1,1)))/(INDEX('Performance Curves'!$E$1:$L$1,1,MATCH('BMP P Tracking Table'!$AZ435,'Performance Curves'!$E$1:$L$1,1)+1)-INDEX('Performance Curves'!$E$1:$L$1,1,MATCH('BMP P Tracking Table'!$AZ435,'Performance Curves'!$E$1:$L$1,1))),"")</f>
        <v/>
      </c>
      <c r="BC435" s="102" t="str">
        <f>IFERROR(IF('BMP P Tracking Table'!$AZ435=2,VLOOKUP(CONCATENATE('BMP P Tracking Table'!$AV435," ",'BMP P Tracking Table'!$AX435),'Performance Curves'!$C$1:$L$44,MATCH('BMP P Tracking Table'!$AZ435,'Performance Curves'!$E$1:$L$1,1)+1,FALSE),'BMP P Tracking Table'!$BA435*'BMP P Tracking Table'!$BB435+VLOOKUP(CONCATENATE('BMP P Tracking Table'!$AV435," ",'BMP P Tracking Table'!$AX435),'Performance Curves'!$C$1:$L$44,MATCH('BMP P Tracking Table'!$AZ435,'Performance Curves'!$E$1:$L$1,1)+1,FALSE)),"")</f>
        <v/>
      </c>
      <c r="BD435" s="101" t="str">
        <f>IFERROR('BMP P Tracking Table'!$BC435*'BMP P Tracking Table'!$AY435,"")</f>
        <v/>
      </c>
      <c r="BE435" s="96"/>
      <c r="BF435" s="37">
        <f t="shared" si="25"/>
        <v>0</v>
      </c>
    </row>
    <row r="436" spans="1:58" x14ac:dyDescent="0.3">
      <c r="A436" s="64"/>
      <c r="B436" s="64"/>
      <c r="C436" s="64"/>
      <c r="D436" s="64"/>
      <c r="E436" s="93"/>
      <c r="F436" s="93"/>
      <c r="G436" s="64"/>
      <c r="H436" s="64"/>
      <c r="I436" s="64"/>
      <c r="J436" s="94"/>
      <c r="K436" s="64"/>
      <c r="L436" s="64"/>
      <c r="M436" s="64"/>
      <c r="N436" s="64"/>
      <c r="O436" s="64"/>
      <c r="P436" s="64"/>
      <c r="Q436" s="64" t="str">
        <f>IFERROR(VLOOKUP('BMP P Tracking Table'!$P436,Dropdowns!$C$2:$E$15,3,FALSE),"")</f>
        <v/>
      </c>
      <c r="R436" s="64" t="str">
        <f>IFERROR(VLOOKUP('BMP P Tracking Table'!$Q436,Dropdowns!$P$3:$Q$23,2,FALSE),"")</f>
        <v/>
      </c>
      <c r="S436" s="64"/>
      <c r="T436" s="64"/>
      <c r="U436" s="64"/>
      <c r="V436" s="64"/>
      <c r="W436" s="64"/>
      <c r="X436" s="64"/>
      <c r="Y436" s="64"/>
      <c r="Z436" s="64"/>
      <c r="AA436" s="64"/>
      <c r="AB436" s="95"/>
      <c r="AC436" s="64"/>
      <c r="AD436" s="101" t="str">
        <f>IFERROR('BMP P Tracking Table'!$U436*VLOOKUP('BMP P Tracking Table'!$Q436,'Loading Rates'!$B$1:$L$24,4,FALSE)+IF('BMP P Tracking Table'!$V436="By HSG",'BMP P Tracking Table'!$W436*VLOOKUP('BMP P Tracking Table'!$Q436,'Loading Rates'!$B$1:$L$24,6,FALSE)+'BMP P Tracking Table'!$X436*VLOOKUP('BMP P Tracking Table'!$Q436,'Loading Rates'!$B$1:$L$24,7,FALSE)+'BMP P Tracking Table'!$Y436*VLOOKUP('BMP P Tracking Table'!$Q436,'Loading Rates'!$B$1:$L$24,8,FALSE)+'BMP P Tracking Table'!$Z436*VLOOKUP('BMP P Tracking Table'!$Q436,'Loading Rates'!$B$1:$L$24,9,FALSE),'BMP P Tracking Table'!$AA436*VLOOKUP('BMP P Tracking Table'!$Q436,'Loading Rates'!$B$1:$L$24,10,FALSE)),"")</f>
        <v/>
      </c>
      <c r="AE436" s="101" t="str">
        <f>IFERROR(MIN(2,IF('BMP P Tracking Table'!$V436="Total Pervious",(-(3630*'BMP P Tracking Table'!$U436+20.691*'BMP P Tracking Table'!$AA436)+SQRT((3630*'BMP P Tracking Table'!$U436+20.691*'BMP P Tracking Table'!$AA436)^2-(4*(996.798*'BMP P Tracking Table'!$AA436)*-'BMP P Tracking Table'!$AB436)))/(2*(996.798*'BMP P Tracking Table'!$AA436)),IF(SUM('BMP P Tracking Table'!$W436:$Z436)=0,'BMP P Tracking Table'!$AB436/(-3630*'BMP P Tracking Table'!$U436),(-(3630*'BMP P Tracking Table'!$U436+20.691*'BMP P Tracking Table'!$Z436-216.711*'BMP P Tracking Table'!$Y436-83.853*'BMP P Tracking Table'!$X436-42.834*'BMP P Tracking Table'!$W436)+SQRT((3630*'BMP P Tracking Table'!$U436+20.691*'BMP P Tracking Table'!$Z436-216.711*'BMP P Tracking Table'!$Y436-83.853*'BMP P Tracking Table'!$X436-42.834*'BMP P Tracking Table'!$W436)^2-(4*(149.919*'BMP P Tracking Table'!$W436+236.676*'BMP P Tracking Table'!$X436+726*'BMP P Tracking Table'!$Y436+996.798*'BMP P Tracking Table'!$Z436)*-'BMP P Tracking Table'!$AB436)))/(2*(149.919*'BMP P Tracking Table'!$W436+236.676*'BMP P Tracking Table'!$X436+726*'BMP P Tracking Table'!$Y436+996.798*'BMP P Tracking Table'!$Z436))))),"")</f>
        <v/>
      </c>
      <c r="AF436" s="101" t="str">
        <f>IFERROR((VLOOKUP(CONCATENATE('BMP P Tracking Table'!$T436," ",'BMP P Tracking Table'!$AC436),'Performance Curves'!$C$1:$L$45,MATCH('BMP P Tracking Table'!$AE436,'Performance Curves'!$E$1:$L$1,1)+2,FALSE)-VLOOKUP(CONCATENATE('BMP P Tracking Table'!$T436," ",'BMP P Tracking Table'!$AC436),'Performance Curves'!$C$1:$L$45,MATCH('BMP P Tracking Table'!$AE436,'Performance Curves'!$E$1:$L$1,1)+1,FALSE)),"")</f>
        <v/>
      </c>
      <c r="AG436" s="101" t="str">
        <f>IFERROR(('BMP P Tracking Table'!$AE436-INDEX('Performance Curves'!$E$1:$L$1,1,MATCH('BMP P Tracking Table'!$AE436,'Performance Curves'!$E$1:$L$1,1)))/(INDEX('Performance Curves'!$E$1:$L$1,1,MATCH('BMP P Tracking Table'!$AE436,'Performance Curves'!$E$1:$L$1,1)+1)-INDEX('Performance Curves'!$E$1:$L$1,1,MATCH('BMP P Tracking Table'!$AE436,'Performance Curves'!$E$1:$L$1,1))),"")</f>
        <v/>
      </c>
      <c r="AH436" s="102" t="str">
        <f>IFERROR(IF('BMP P Tracking Table'!$AE436=2,VLOOKUP(CONCATENATE('BMP P Tracking Table'!$T436," ",'BMP P Tracking Table'!$AC436),'Performance Curves'!$C$1:$L$45,MATCH('BMP P Tracking Table'!$AE436,'Performance Curves'!$E$1:$L$1,1)+1,FALSE),'BMP P Tracking Table'!$AF436*'BMP P Tracking Table'!$AG436+VLOOKUP(CONCATENATE('BMP P Tracking Table'!$T436," ",'BMP P Tracking Table'!$AC436),'Performance Curves'!$C$1:$L$45,MATCH('BMP P Tracking Table'!$AE436,'Performance Curves'!$E$1:$L$1,1)+1,FALSE)),"")</f>
        <v/>
      </c>
      <c r="AI436" s="101" t="str">
        <f>IFERROR('BMP P Tracking Table'!$AH436*'BMP P Tracking Table'!$AD436,"")</f>
        <v/>
      </c>
      <c r="AJ436" s="64"/>
      <c r="AK436" s="96"/>
      <c r="AL436" s="96"/>
      <c r="AM436" s="63"/>
      <c r="AN436" s="99" t="str">
        <f t="shared" si="24"/>
        <v/>
      </c>
      <c r="AO436" s="96"/>
      <c r="AP436" s="96"/>
      <c r="AQ436" s="96"/>
      <c r="AR436" s="96"/>
      <c r="AS436" s="96"/>
      <c r="AT436" s="96"/>
      <c r="AU436" s="96"/>
      <c r="AV436" s="64"/>
      <c r="AW436" s="97"/>
      <c r="AX436" s="97"/>
      <c r="AY436" s="101" t="str">
        <f>IF('BMP P Tracking Table'!$AK436="Yes",IF('BMP P Tracking Table'!$AL436="No",'BMP P Tracking Table'!$U436*VLOOKUP('BMP P Tracking Table'!$Q436,'Loading Rates'!$B$1:$L$24,4,FALSE)+IF('BMP P Tracking Table'!$V436="By HSG",'BMP P Tracking Table'!$W436*VLOOKUP('BMP P Tracking Table'!$Q436,'Loading Rates'!$B$1:$L$24,6,FALSE)+'BMP P Tracking Table'!$X436*VLOOKUP('BMP P Tracking Table'!$Q436,'Loading Rates'!$B$1:$L$24,7,FALSE)+'BMP P Tracking Table'!$Y436*VLOOKUP('BMP P Tracking Table'!$Q436,'Loading Rates'!$B$1:$L$24,8,FALSE)+'BMP P Tracking Table'!$Z436*VLOOKUP('BMP P Tracking Table'!$Q436,'Loading Rates'!$B$1:$L$24,9,FALSE),'BMP P Tracking Table'!$AA436*VLOOKUP('BMP P Tracking Table'!$Q436,'Loading Rates'!$B$1:$L$24,10,FALSE)),'BMP P Tracking Table'!$AO436*VLOOKUP('BMP P Tracking Table'!$Q436,'Loading Rates'!$B$1:$L$24,4,FALSE)+IF('BMP P Tracking Table'!$AP436="By HSG",'BMP P Tracking Table'!$AQ436*VLOOKUP('BMP P Tracking Table'!$Q436,'Loading Rates'!$B$1:$L$24,6,FALSE)+'BMP P Tracking Table'!$AR436*VLOOKUP('BMP P Tracking Table'!$Q436,'Loading Rates'!$B$1:$L$24,7,FALSE)+'BMP P Tracking Table'!$AS436*VLOOKUP('BMP P Tracking Table'!$Q436,'Loading Rates'!$B$1:$L$24,8,FALSE)+'BMP P Tracking Table'!$AT436*VLOOKUP('BMP P Tracking Table'!$Q436,'Loading Rates'!$B$1:$L$24,9,FALSE),'BMP P Tracking Table'!$AU436*VLOOKUP('BMP P Tracking Table'!$Q436,'Loading Rates'!$B$1:$L$24,10,FALSE))),"")</f>
        <v/>
      </c>
      <c r="AZ436" s="101" t="str">
        <f>IFERROR(IF('BMP P Tracking Table'!$AL436="Yes",MIN(2,IF('BMP P Tracking Table'!$AP436="Total Pervious",(-(3630*'BMP P Tracking Table'!$AO436+20.691*'BMP P Tracking Table'!$AU436)+SQRT((3630*'BMP P Tracking Table'!$AO436+20.691*'BMP P Tracking Table'!$AU436)^2-(4*(996.798*'BMP P Tracking Table'!$AU436)*-'BMP P Tracking Table'!$AW436)))/(2*(996.798*'BMP P Tracking Table'!$AU436)),IF(SUM('BMP P Tracking Table'!$AQ436:$AT436)=0,'BMP P Tracking Table'!$AU436/(-3630*'BMP P Tracking Table'!$AO436),(-(3630*'BMP P Tracking Table'!$AO436+20.691*'BMP P Tracking Table'!$AT436-216.711*'BMP P Tracking Table'!$AS436-83.853*'BMP P Tracking Table'!$AR436-42.834*'BMP P Tracking Table'!$AQ436)+SQRT((3630*'BMP P Tracking Table'!$AO436+20.691*'BMP P Tracking Table'!$AT436-216.711*'BMP P Tracking Table'!$AS436-83.853*'BMP P Tracking Table'!$AR436-42.834*'BMP P Tracking Table'!$AQ436)^2-(4*(149.919*'BMP P Tracking Table'!$AQ436+236.676*'BMP P Tracking Table'!$AR436+726*'BMP P Tracking Table'!$AS436+996.798*'BMP P Tracking Table'!$AT436)*-'BMP P Tracking Table'!$AW436)))/(2*(149.919*'BMP P Tracking Table'!$AQ436+236.676*'BMP P Tracking Table'!$AR436+726*'BMP P Tracking Table'!$AS436+996.798*'BMP P Tracking Table'!$AT436))))),MIN(2,IF('BMP P Tracking Table'!$AP436="Total Pervious",(-(3630*'BMP P Tracking Table'!$U436+20.691*'BMP P Tracking Table'!$AA436)+SQRT((3630*'BMP P Tracking Table'!$U436+20.691*'BMP P Tracking Table'!$AA436)^2-(4*(996.798*'BMP P Tracking Table'!$AA436)*-'BMP P Tracking Table'!$AW436)))/(2*(996.798*'BMP P Tracking Table'!$AA436)),IF(SUM('BMP P Tracking Table'!$W436:$Z436)=0,'BMP P Tracking Table'!$AW436/(-3630*'BMP P Tracking Table'!$U436),(-(3630*'BMP P Tracking Table'!$U436+20.691*'BMP P Tracking Table'!$Z436-216.711*'BMP P Tracking Table'!$Y436-83.853*'BMP P Tracking Table'!$X436-42.834*'BMP P Tracking Table'!$W436)+SQRT((3630*'BMP P Tracking Table'!$U436+20.691*'BMP P Tracking Table'!$Z436-216.711*'BMP P Tracking Table'!$Y436-83.853*'BMP P Tracking Table'!$X436-42.834*'BMP P Tracking Table'!$W436)^2-(4*(149.919*'BMP P Tracking Table'!$W436+236.676*'BMP P Tracking Table'!$X436+726*'BMP P Tracking Table'!$Y436+996.798*'BMP P Tracking Table'!$Z436)*-'BMP P Tracking Table'!$AW436)))/(2*(149.919*'BMP P Tracking Table'!$W436+236.676*'BMP P Tracking Table'!$X436+726*'BMP P Tracking Table'!$Y436+996.798*'BMP P Tracking Table'!$Z436)))))),"")</f>
        <v/>
      </c>
      <c r="BA436" s="101" t="str">
        <f>IFERROR((VLOOKUP(CONCATENATE('BMP P Tracking Table'!$AV436," ",'BMP P Tracking Table'!$AX436),'Performance Curves'!$C$1:$L$45,MATCH('BMP P Tracking Table'!$AZ436,'Performance Curves'!$E$1:$L$1,1)+2,FALSE)-VLOOKUP(CONCATENATE('BMP P Tracking Table'!$AV436," ",'BMP P Tracking Table'!$AX436),'Performance Curves'!$C$1:$L$45,MATCH('BMP P Tracking Table'!$AZ436,'Performance Curves'!$E$1:$L$1,1)+1,FALSE)),"")</f>
        <v/>
      </c>
      <c r="BB436" s="101" t="str">
        <f>IFERROR(('BMP P Tracking Table'!$AZ436-INDEX('Performance Curves'!$E$1:$L$1,1,MATCH('BMP P Tracking Table'!$AZ436,'Performance Curves'!$E$1:$L$1,1)))/(INDEX('Performance Curves'!$E$1:$L$1,1,MATCH('BMP P Tracking Table'!$AZ436,'Performance Curves'!$E$1:$L$1,1)+1)-INDEX('Performance Curves'!$E$1:$L$1,1,MATCH('BMP P Tracking Table'!$AZ436,'Performance Curves'!$E$1:$L$1,1))),"")</f>
        <v/>
      </c>
      <c r="BC436" s="102" t="str">
        <f>IFERROR(IF('BMP P Tracking Table'!$AZ436=2,VLOOKUP(CONCATENATE('BMP P Tracking Table'!$AV436," ",'BMP P Tracking Table'!$AX436),'Performance Curves'!$C$1:$L$44,MATCH('BMP P Tracking Table'!$AZ436,'Performance Curves'!$E$1:$L$1,1)+1,FALSE),'BMP P Tracking Table'!$BA436*'BMP P Tracking Table'!$BB436+VLOOKUP(CONCATENATE('BMP P Tracking Table'!$AV436," ",'BMP P Tracking Table'!$AX436),'Performance Curves'!$C$1:$L$44,MATCH('BMP P Tracking Table'!$AZ436,'Performance Curves'!$E$1:$L$1,1)+1,FALSE)),"")</f>
        <v/>
      </c>
      <c r="BD436" s="101" t="str">
        <f>IFERROR('BMP P Tracking Table'!$BC436*'BMP P Tracking Table'!$AY436,"")</f>
        <v/>
      </c>
      <c r="BE436" s="96"/>
      <c r="BF436" s="37">
        <f t="shared" si="25"/>
        <v>0</v>
      </c>
    </row>
    <row r="437" spans="1:58" x14ac:dyDescent="0.3">
      <c r="A437" s="64"/>
      <c r="B437" s="64"/>
      <c r="C437" s="64"/>
      <c r="D437" s="64"/>
      <c r="E437" s="93"/>
      <c r="F437" s="93"/>
      <c r="G437" s="64"/>
      <c r="H437" s="64"/>
      <c r="I437" s="64"/>
      <c r="J437" s="94"/>
      <c r="K437" s="64"/>
      <c r="L437" s="64"/>
      <c r="M437" s="64"/>
      <c r="N437" s="64"/>
      <c r="O437" s="64"/>
      <c r="P437" s="64"/>
      <c r="Q437" s="64" t="str">
        <f>IFERROR(VLOOKUP('BMP P Tracking Table'!$P437,Dropdowns!$C$2:$E$15,3,FALSE),"")</f>
        <v/>
      </c>
      <c r="R437" s="64" t="str">
        <f>IFERROR(VLOOKUP('BMP P Tracking Table'!$Q437,Dropdowns!$P$3:$Q$23,2,FALSE),"")</f>
        <v/>
      </c>
      <c r="S437" s="64"/>
      <c r="T437" s="64"/>
      <c r="U437" s="64"/>
      <c r="V437" s="64"/>
      <c r="W437" s="64"/>
      <c r="X437" s="64"/>
      <c r="Y437" s="64"/>
      <c r="Z437" s="64"/>
      <c r="AA437" s="64"/>
      <c r="AB437" s="95"/>
      <c r="AC437" s="64"/>
      <c r="AD437" s="101" t="str">
        <f>IFERROR('BMP P Tracking Table'!$U437*VLOOKUP('BMP P Tracking Table'!$Q437,'Loading Rates'!$B$1:$L$24,4,FALSE)+IF('BMP P Tracking Table'!$V437="By HSG",'BMP P Tracking Table'!$W437*VLOOKUP('BMP P Tracking Table'!$Q437,'Loading Rates'!$B$1:$L$24,6,FALSE)+'BMP P Tracking Table'!$X437*VLOOKUP('BMP P Tracking Table'!$Q437,'Loading Rates'!$B$1:$L$24,7,FALSE)+'BMP P Tracking Table'!$Y437*VLOOKUP('BMP P Tracking Table'!$Q437,'Loading Rates'!$B$1:$L$24,8,FALSE)+'BMP P Tracking Table'!$Z437*VLOOKUP('BMP P Tracking Table'!$Q437,'Loading Rates'!$B$1:$L$24,9,FALSE),'BMP P Tracking Table'!$AA437*VLOOKUP('BMP P Tracking Table'!$Q437,'Loading Rates'!$B$1:$L$24,10,FALSE)),"")</f>
        <v/>
      </c>
      <c r="AE437" s="101" t="str">
        <f>IFERROR(MIN(2,IF('BMP P Tracking Table'!$V437="Total Pervious",(-(3630*'BMP P Tracking Table'!$U437+20.691*'BMP P Tracking Table'!$AA437)+SQRT((3630*'BMP P Tracking Table'!$U437+20.691*'BMP P Tracking Table'!$AA437)^2-(4*(996.798*'BMP P Tracking Table'!$AA437)*-'BMP P Tracking Table'!$AB437)))/(2*(996.798*'BMP P Tracking Table'!$AA437)),IF(SUM('BMP P Tracking Table'!$W437:$Z437)=0,'BMP P Tracking Table'!$AB437/(-3630*'BMP P Tracking Table'!$U437),(-(3630*'BMP P Tracking Table'!$U437+20.691*'BMP P Tracking Table'!$Z437-216.711*'BMP P Tracking Table'!$Y437-83.853*'BMP P Tracking Table'!$X437-42.834*'BMP P Tracking Table'!$W437)+SQRT((3630*'BMP P Tracking Table'!$U437+20.691*'BMP P Tracking Table'!$Z437-216.711*'BMP P Tracking Table'!$Y437-83.853*'BMP P Tracking Table'!$X437-42.834*'BMP P Tracking Table'!$W437)^2-(4*(149.919*'BMP P Tracking Table'!$W437+236.676*'BMP P Tracking Table'!$X437+726*'BMP P Tracking Table'!$Y437+996.798*'BMP P Tracking Table'!$Z437)*-'BMP P Tracking Table'!$AB437)))/(2*(149.919*'BMP P Tracking Table'!$W437+236.676*'BMP P Tracking Table'!$X437+726*'BMP P Tracking Table'!$Y437+996.798*'BMP P Tracking Table'!$Z437))))),"")</f>
        <v/>
      </c>
      <c r="AF437" s="101" t="str">
        <f>IFERROR((VLOOKUP(CONCATENATE('BMP P Tracking Table'!$T437," ",'BMP P Tracking Table'!$AC437),'Performance Curves'!$C$1:$L$45,MATCH('BMP P Tracking Table'!$AE437,'Performance Curves'!$E$1:$L$1,1)+2,FALSE)-VLOOKUP(CONCATENATE('BMP P Tracking Table'!$T437," ",'BMP P Tracking Table'!$AC437),'Performance Curves'!$C$1:$L$45,MATCH('BMP P Tracking Table'!$AE437,'Performance Curves'!$E$1:$L$1,1)+1,FALSE)),"")</f>
        <v/>
      </c>
      <c r="AG437" s="101" t="str">
        <f>IFERROR(('BMP P Tracking Table'!$AE437-INDEX('Performance Curves'!$E$1:$L$1,1,MATCH('BMP P Tracking Table'!$AE437,'Performance Curves'!$E$1:$L$1,1)))/(INDEX('Performance Curves'!$E$1:$L$1,1,MATCH('BMP P Tracking Table'!$AE437,'Performance Curves'!$E$1:$L$1,1)+1)-INDEX('Performance Curves'!$E$1:$L$1,1,MATCH('BMP P Tracking Table'!$AE437,'Performance Curves'!$E$1:$L$1,1))),"")</f>
        <v/>
      </c>
      <c r="AH437" s="102" t="str">
        <f>IFERROR(IF('BMP P Tracking Table'!$AE437=2,VLOOKUP(CONCATENATE('BMP P Tracking Table'!$T437," ",'BMP P Tracking Table'!$AC437),'Performance Curves'!$C$1:$L$45,MATCH('BMP P Tracking Table'!$AE437,'Performance Curves'!$E$1:$L$1,1)+1,FALSE),'BMP P Tracking Table'!$AF437*'BMP P Tracking Table'!$AG437+VLOOKUP(CONCATENATE('BMP P Tracking Table'!$T437," ",'BMP P Tracking Table'!$AC437),'Performance Curves'!$C$1:$L$45,MATCH('BMP P Tracking Table'!$AE437,'Performance Curves'!$E$1:$L$1,1)+1,FALSE)),"")</f>
        <v/>
      </c>
      <c r="AI437" s="101" t="str">
        <f>IFERROR('BMP P Tracking Table'!$AH437*'BMP P Tracking Table'!$AD437,"")</f>
        <v/>
      </c>
      <c r="AJ437" s="64"/>
      <c r="AK437" s="96"/>
      <c r="AL437" s="96"/>
      <c r="AM437" s="63"/>
      <c r="AN437" s="99" t="str">
        <f t="shared" si="24"/>
        <v/>
      </c>
      <c r="AO437" s="96"/>
      <c r="AP437" s="96"/>
      <c r="AQ437" s="96"/>
      <c r="AR437" s="96"/>
      <c r="AS437" s="96"/>
      <c r="AT437" s="96"/>
      <c r="AU437" s="96"/>
      <c r="AV437" s="64"/>
      <c r="AW437" s="97"/>
      <c r="AX437" s="97"/>
      <c r="AY437" s="101" t="str">
        <f>IF('BMP P Tracking Table'!$AK437="Yes",IF('BMP P Tracking Table'!$AL437="No",'BMP P Tracking Table'!$U437*VLOOKUP('BMP P Tracking Table'!$Q437,'Loading Rates'!$B$1:$L$24,4,FALSE)+IF('BMP P Tracking Table'!$V437="By HSG",'BMP P Tracking Table'!$W437*VLOOKUP('BMP P Tracking Table'!$Q437,'Loading Rates'!$B$1:$L$24,6,FALSE)+'BMP P Tracking Table'!$X437*VLOOKUP('BMP P Tracking Table'!$Q437,'Loading Rates'!$B$1:$L$24,7,FALSE)+'BMP P Tracking Table'!$Y437*VLOOKUP('BMP P Tracking Table'!$Q437,'Loading Rates'!$B$1:$L$24,8,FALSE)+'BMP P Tracking Table'!$Z437*VLOOKUP('BMP P Tracking Table'!$Q437,'Loading Rates'!$B$1:$L$24,9,FALSE),'BMP P Tracking Table'!$AA437*VLOOKUP('BMP P Tracking Table'!$Q437,'Loading Rates'!$B$1:$L$24,10,FALSE)),'BMP P Tracking Table'!$AO437*VLOOKUP('BMP P Tracking Table'!$Q437,'Loading Rates'!$B$1:$L$24,4,FALSE)+IF('BMP P Tracking Table'!$AP437="By HSG",'BMP P Tracking Table'!$AQ437*VLOOKUP('BMP P Tracking Table'!$Q437,'Loading Rates'!$B$1:$L$24,6,FALSE)+'BMP P Tracking Table'!$AR437*VLOOKUP('BMP P Tracking Table'!$Q437,'Loading Rates'!$B$1:$L$24,7,FALSE)+'BMP P Tracking Table'!$AS437*VLOOKUP('BMP P Tracking Table'!$Q437,'Loading Rates'!$B$1:$L$24,8,FALSE)+'BMP P Tracking Table'!$AT437*VLOOKUP('BMP P Tracking Table'!$Q437,'Loading Rates'!$B$1:$L$24,9,FALSE),'BMP P Tracking Table'!$AU437*VLOOKUP('BMP P Tracking Table'!$Q437,'Loading Rates'!$B$1:$L$24,10,FALSE))),"")</f>
        <v/>
      </c>
      <c r="AZ437" s="101" t="str">
        <f>IFERROR(IF('BMP P Tracking Table'!$AL437="Yes",MIN(2,IF('BMP P Tracking Table'!$AP437="Total Pervious",(-(3630*'BMP P Tracking Table'!$AO437+20.691*'BMP P Tracking Table'!$AU437)+SQRT((3630*'BMP P Tracking Table'!$AO437+20.691*'BMP P Tracking Table'!$AU437)^2-(4*(996.798*'BMP P Tracking Table'!$AU437)*-'BMP P Tracking Table'!$AW437)))/(2*(996.798*'BMP P Tracking Table'!$AU437)),IF(SUM('BMP P Tracking Table'!$AQ437:$AT437)=0,'BMP P Tracking Table'!$AU437/(-3630*'BMP P Tracking Table'!$AO437),(-(3630*'BMP P Tracking Table'!$AO437+20.691*'BMP P Tracking Table'!$AT437-216.711*'BMP P Tracking Table'!$AS437-83.853*'BMP P Tracking Table'!$AR437-42.834*'BMP P Tracking Table'!$AQ437)+SQRT((3630*'BMP P Tracking Table'!$AO437+20.691*'BMP P Tracking Table'!$AT437-216.711*'BMP P Tracking Table'!$AS437-83.853*'BMP P Tracking Table'!$AR437-42.834*'BMP P Tracking Table'!$AQ437)^2-(4*(149.919*'BMP P Tracking Table'!$AQ437+236.676*'BMP P Tracking Table'!$AR437+726*'BMP P Tracking Table'!$AS437+996.798*'BMP P Tracking Table'!$AT437)*-'BMP P Tracking Table'!$AW437)))/(2*(149.919*'BMP P Tracking Table'!$AQ437+236.676*'BMP P Tracking Table'!$AR437+726*'BMP P Tracking Table'!$AS437+996.798*'BMP P Tracking Table'!$AT437))))),MIN(2,IF('BMP P Tracking Table'!$AP437="Total Pervious",(-(3630*'BMP P Tracking Table'!$U437+20.691*'BMP P Tracking Table'!$AA437)+SQRT((3630*'BMP P Tracking Table'!$U437+20.691*'BMP P Tracking Table'!$AA437)^2-(4*(996.798*'BMP P Tracking Table'!$AA437)*-'BMP P Tracking Table'!$AW437)))/(2*(996.798*'BMP P Tracking Table'!$AA437)),IF(SUM('BMP P Tracking Table'!$W437:$Z437)=0,'BMP P Tracking Table'!$AW437/(-3630*'BMP P Tracking Table'!$U437),(-(3630*'BMP P Tracking Table'!$U437+20.691*'BMP P Tracking Table'!$Z437-216.711*'BMP P Tracking Table'!$Y437-83.853*'BMP P Tracking Table'!$X437-42.834*'BMP P Tracking Table'!$W437)+SQRT((3630*'BMP P Tracking Table'!$U437+20.691*'BMP P Tracking Table'!$Z437-216.711*'BMP P Tracking Table'!$Y437-83.853*'BMP P Tracking Table'!$X437-42.834*'BMP P Tracking Table'!$W437)^2-(4*(149.919*'BMP P Tracking Table'!$W437+236.676*'BMP P Tracking Table'!$X437+726*'BMP P Tracking Table'!$Y437+996.798*'BMP P Tracking Table'!$Z437)*-'BMP P Tracking Table'!$AW437)))/(2*(149.919*'BMP P Tracking Table'!$W437+236.676*'BMP P Tracking Table'!$X437+726*'BMP P Tracking Table'!$Y437+996.798*'BMP P Tracking Table'!$Z437)))))),"")</f>
        <v/>
      </c>
      <c r="BA437" s="101" t="str">
        <f>IFERROR((VLOOKUP(CONCATENATE('BMP P Tracking Table'!$AV437," ",'BMP P Tracking Table'!$AX437),'Performance Curves'!$C$1:$L$45,MATCH('BMP P Tracking Table'!$AZ437,'Performance Curves'!$E$1:$L$1,1)+2,FALSE)-VLOOKUP(CONCATENATE('BMP P Tracking Table'!$AV437," ",'BMP P Tracking Table'!$AX437),'Performance Curves'!$C$1:$L$45,MATCH('BMP P Tracking Table'!$AZ437,'Performance Curves'!$E$1:$L$1,1)+1,FALSE)),"")</f>
        <v/>
      </c>
      <c r="BB437" s="101" t="str">
        <f>IFERROR(('BMP P Tracking Table'!$AZ437-INDEX('Performance Curves'!$E$1:$L$1,1,MATCH('BMP P Tracking Table'!$AZ437,'Performance Curves'!$E$1:$L$1,1)))/(INDEX('Performance Curves'!$E$1:$L$1,1,MATCH('BMP P Tracking Table'!$AZ437,'Performance Curves'!$E$1:$L$1,1)+1)-INDEX('Performance Curves'!$E$1:$L$1,1,MATCH('BMP P Tracking Table'!$AZ437,'Performance Curves'!$E$1:$L$1,1))),"")</f>
        <v/>
      </c>
      <c r="BC437" s="102" t="str">
        <f>IFERROR(IF('BMP P Tracking Table'!$AZ437=2,VLOOKUP(CONCATENATE('BMP P Tracking Table'!$AV437," ",'BMP P Tracking Table'!$AX437),'Performance Curves'!$C$1:$L$44,MATCH('BMP P Tracking Table'!$AZ437,'Performance Curves'!$E$1:$L$1,1)+1,FALSE),'BMP P Tracking Table'!$BA437*'BMP P Tracking Table'!$BB437+VLOOKUP(CONCATENATE('BMP P Tracking Table'!$AV437," ",'BMP P Tracking Table'!$AX437),'Performance Curves'!$C$1:$L$44,MATCH('BMP P Tracking Table'!$AZ437,'Performance Curves'!$E$1:$L$1,1)+1,FALSE)),"")</f>
        <v/>
      </c>
      <c r="BD437" s="101" t="str">
        <f>IFERROR('BMP P Tracking Table'!$BC437*'BMP P Tracking Table'!$AY437,"")</f>
        <v/>
      </c>
      <c r="BE437" s="96"/>
      <c r="BF437" s="37">
        <f t="shared" si="25"/>
        <v>0</v>
      </c>
    </row>
    <row r="438" spans="1:58" x14ac:dyDescent="0.3">
      <c r="A438" s="64"/>
      <c r="B438" s="64"/>
      <c r="C438" s="64"/>
      <c r="D438" s="64"/>
      <c r="E438" s="93"/>
      <c r="F438" s="93"/>
      <c r="G438" s="64"/>
      <c r="H438" s="64"/>
      <c r="I438" s="64"/>
      <c r="J438" s="94"/>
      <c r="K438" s="64"/>
      <c r="L438" s="64"/>
      <c r="M438" s="64"/>
      <c r="N438" s="64"/>
      <c r="O438" s="64"/>
      <c r="P438" s="64"/>
      <c r="Q438" s="64" t="str">
        <f>IFERROR(VLOOKUP('BMP P Tracking Table'!$P438,Dropdowns!$C$2:$E$15,3,FALSE),"")</f>
        <v/>
      </c>
      <c r="R438" s="64" t="str">
        <f>IFERROR(VLOOKUP('BMP P Tracking Table'!$Q438,Dropdowns!$P$3:$Q$23,2,FALSE),"")</f>
        <v/>
      </c>
      <c r="S438" s="64"/>
      <c r="T438" s="64"/>
      <c r="U438" s="64"/>
      <c r="V438" s="64"/>
      <c r="W438" s="64"/>
      <c r="X438" s="64"/>
      <c r="Y438" s="64"/>
      <c r="Z438" s="64"/>
      <c r="AA438" s="64"/>
      <c r="AB438" s="95"/>
      <c r="AC438" s="64"/>
      <c r="AD438" s="101" t="str">
        <f>IFERROR('BMP P Tracking Table'!$U438*VLOOKUP('BMP P Tracking Table'!$Q438,'Loading Rates'!$B$1:$L$24,4,FALSE)+IF('BMP P Tracking Table'!$V438="By HSG",'BMP P Tracking Table'!$W438*VLOOKUP('BMP P Tracking Table'!$Q438,'Loading Rates'!$B$1:$L$24,6,FALSE)+'BMP P Tracking Table'!$X438*VLOOKUP('BMP P Tracking Table'!$Q438,'Loading Rates'!$B$1:$L$24,7,FALSE)+'BMP P Tracking Table'!$Y438*VLOOKUP('BMP P Tracking Table'!$Q438,'Loading Rates'!$B$1:$L$24,8,FALSE)+'BMP P Tracking Table'!$Z438*VLOOKUP('BMP P Tracking Table'!$Q438,'Loading Rates'!$B$1:$L$24,9,FALSE),'BMP P Tracking Table'!$AA438*VLOOKUP('BMP P Tracking Table'!$Q438,'Loading Rates'!$B$1:$L$24,10,FALSE)),"")</f>
        <v/>
      </c>
      <c r="AE438" s="101" t="str">
        <f>IFERROR(MIN(2,IF('BMP P Tracking Table'!$V438="Total Pervious",(-(3630*'BMP P Tracking Table'!$U438+20.691*'BMP P Tracking Table'!$AA438)+SQRT((3630*'BMP P Tracking Table'!$U438+20.691*'BMP P Tracking Table'!$AA438)^2-(4*(996.798*'BMP P Tracking Table'!$AA438)*-'BMP P Tracking Table'!$AB438)))/(2*(996.798*'BMP P Tracking Table'!$AA438)),IF(SUM('BMP P Tracking Table'!$W438:$Z438)=0,'BMP P Tracking Table'!$AB438/(-3630*'BMP P Tracking Table'!$U438),(-(3630*'BMP P Tracking Table'!$U438+20.691*'BMP P Tracking Table'!$Z438-216.711*'BMP P Tracking Table'!$Y438-83.853*'BMP P Tracking Table'!$X438-42.834*'BMP P Tracking Table'!$W438)+SQRT((3630*'BMP P Tracking Table'!$U438+20.691*'BMP P Tracking Table'!$Z438-216.711*'BMP P Tracking Table'!$Y438-83.853*'BMP P Tracking Table'!$X438-42.834*'BMP P Tracking Table'!$W438)^2-(4*(149.919*'BMP P Tracking Table'!$W438+236.676*'BMP P Tracking Table'!$X438+726*'BMP P Tracking Table'!$Y438+996.798*'BMP P Tracking Table'!$Z438)*-'BMP P Tracking Table'!$AB438)))/(2*(149.919*'BMP P Tracking Table'!$W438+236.676*'BMP P Tracking Table'!$X438+726*'BMP P Tracking Table'!$Y438+996.798*'BMP P Tracking Table'!$Z438))))),"")</f>
        <v/>
      </c>
      <c r="AF438" s="101" t="str">
        <f>IFERROR((VLOOKUP(CONCATENATE('BMP P Tracking Table'!$T438," ",'BMP P Tracking Table'!$AC438),'Performance Curves'!$C$1:$L$45,MATCH('BMP P Tracking Table'!$AE438,'Performance Curves'!$E$1:$L$1,1)+2,FALSE)-VLOOKUP(CONCATENATE('BMP P Tracking Table'!$T438," ",'BMP P Tracking Table'!$AC438),'Performance Curves'!$C$1:$L$45,MATCH('BMP P Tracking Table'!$AE438,'Performance Curves'!$E$1:$L$1,1)+1,FALSE)),"")</f>
        <v/>
      </c>
      <c r="AG438" s="101" t="str">
        <f>IFERROR(('BMP P Tracking Table'!$AE438-INDEX('Performance Curves'!$E$1:$L$1,1,MATCH('BMP P Tracking Table'!$AE438,'Performance Curves'!$E$1:$L$1,1)))/(INDEX('Performance Curves'!$E$1:$L$1,1,MATCH('BMP P Tracking Table'!$AE438,'Performance Curves'!$E$1:$L$1,1)+1)-INDEX('Performance Curves'!$E$1:$L$1,1,MATCH('BMP P Tracking Table'!$AE438,'Performance Curves'!$E$1:$L$1,1))),"")</f>
        <v/>
      </c>
      <c r="AH438" s="102" t="str">
        <f>IFERROR(IF('BMP P Tracking Table'!$AE438=2,VLOOKUP(CONCATENATE('BMP P Tracking Table'!$T438," ",'BMP P Tracking Table'!$AC438),'Performance Curves'!$C$1:$L$45,MATCH('BMP P Tracking Table'!$AE438,'Performance Curves'!$E$1:$L$1,1)+1,FALSE),'BMP P Tracking Table'!$AF438*'BMP P Tracking Table'!$AG438+VLOOKUP(CONCATENATE('BMP P Tracking Table'!$T438," ",'BMP P Tracking Table'!$AC438),'Performance Curves'!$C$1:$L$45,MATCH('BMP P Tracking Table'!$AE438,'Performance Curves'!$E$1:$L$1,1)+1,FALSE)),"")</f>
        <v/>
      </c>
      <c r="AI438" s="101" t="str">
        <f>IFERROR('BMP P Tracking Table'!$AH438*'BMP P Tracking Table'!$AD438,"")</f>
        <v/>
      </c>
      <c r="AJ438" s="64"/>
      <c r="AK438" s="96"/>
      <c r="AL438" s="96"/>
      <c r="AM438" s="63"/>
      <c r="AN438" s="99" t="str">
        <f t="shared" si="24"/>
        <v/>
      </c>
      <c r="AO438" s="96"/>
      <c r="AP438" s="96"/>
      <c r="AQ438" s="96"/>
      <c r="AR438" s="96"/>
      <c r="AS438" s="96"/>
      <c r="AT438" s="96"/>
      <c r="AU438" s="96"/>
      <c r="AV438" s="64"/>
      <c r="AW438" s="97"/>
      <c r="AX438" s="97"/>
      <c r="AY438" s="101" t="str">
        <f>IF('BMP P Tracking Table'!$AK438="Yes",IF('BMP P Tracking Table'!$AL438="No",'BMP P Tracking Table'!$U438*VLOOKUP('BMP P Tracking Table'!$Q438,'Loading Rates'!$B$1:$L$24,4,FALSE)+IF('BMP P Tracking Table'!$V438="By HSG",'BMP P Tracking Table'!$W438*VLOOKUP('BMP P Tracking Table'!$Q438,'Loading Rates'!$B$1:$L$24,6,FALSE)+'BMP P Tracking Table'!$X438*VLOOKUP('BMP P Tracking Table'!$Q438,'Loading Rates'!$B$1:$L$24,7,FALSE)+'BMP P Tracking Table'!$Y438*VLOOKUP('BMP P Tracking Table'!$Q438,'Loading Rates'!$B$1:$L$24,8,FALSE)+'BMP P Tracking Table'!$Z438*VLOOKUP('BMP P Tracking Table'!$Q438,'Loading Rates'!$B$1:$L$24,9,FALSE),'BMP P Tracking Table'!$AA438*VLOOKUP('BMP P Tracking Table'!$Q438,'Loading Rates'!$B$1:$L$24,10,FALSE)),'BMP P Tracking Table'!$AO438*VLOOKUP('BMP P Tracking Table'!$Q438,'Loading Rates'!$B$1:$L$24,4,FALSE)+IF('BMP P Tracking Table'!$AP438="By HSG",'BMP P Tracking Table'!$AQ438*VLOOKUP('BMP P Tracking Table'!$Q438,'Loading Rates'!$B$1:$L$24,6,FALSE)+'BMP P Tracking Table'!$AR438*VLOOKUP('BMP P Tracking Table'!$Q438,'Loading Rates'!$B$1:$L$24,7,FALSE)+'BMP P Tracking Table'!$AS438*VLOOKUP('BMP P Tracking Table'!$Q438,'Loading Rates'!$B$1:$L$24,8,FALSE)+'BMP P Tracking Table'!$AT438*VLOOKUP('BMP P Tracking Table'!$Q438,'Loading Rates'!$B$1:$L$24,9,FALSE),'BMP P Tracking Table'!$AU438*VLOOKUP('BMP P Tracking Table'!$Q438,'Loading Rates'!$B$1:$L$24,10,FALSE))),"")</f>
        <v/>
      </c>
      <c r="AZ438" s="101" t="str">
        <f>IFERROR(IF('BMP P Tracking Table'!$AL438="Yes",MIN(2,IF('BMP P Tracking Table'!$AP438="Total Pervious",(-(3630*'BMP P Tracking Table'!$AO438+20.691*'BMP P Tracking Table'!$AU438)+SQRT((3630*'BMP P Tracking Table'!$AO438+20.691*'BMP P Tracking Table'!$AU438)^2-(4*(996.798*'BMP P Tracking Table'!$AU438)*-'BMP P Tracking Table'!$AW438)))/(2*(996.798*'BMP P Tracking Table'!$AU438)),IF(SUM('BMP P Tracking Table'!$AQ438:$AT438)=0,'BMP P Tracking Table'!$AU438/(-3630*'BMP P Tracking Table'!$AO438),(-(3630*'BMP P Tracking Table'!$AO438+20.691*'BMP P Tracking Table'!$AT438-216.711*'BMP P Tracking Table'!$AS438-83.853*'BMP P Tracking Table'!$AR438-42.834*'BMP P Tracking Table'!$AQ438)+SQRT((3630*'BMP P Tracking Table'!$AO438+20.691*'BMP P Tracking Table'!$AT438-216.711*'BMP P Tracking Table'!$AS438-83.853*'BMP P Tracking Table'!$AR438-42.834*'BMP P Tracking Table'!$AQ438)^2-(4*(149.919*'BMP P Tracking Table'!$AQ438+236.676*'BMP P Tracking Table'!$AR438+726*'BMP P Tracking Table'!$AS438+996.798*'BMP P Tracking Table'!$AT438)*-'BMP P Tracking Table'!$AW438)))/(2*(149.919*'BMP P Tracking Table'!$AQ438+236.676*'BMP P Tracking Table'!$AR438+726*'BMP P Tracking Table'!$AS438+996.798*'BMP P Tracking Table'!$AT438))))),MIN(2,IF('BMP P Tracking Table'!$AP438="Total Pervious",(-(3630*'BMP P Tracking Table'!$U438+20.691*'BMP P Tracking Table'!$AA438)+SQRT((3630*'BMP P Tracking Table'!$U438+20.691*'BMP P Tracking Table'!$AA438)^2-(4*(996.798*'BMP P Tracking Table'!$AA438)*-'BMP P Tracking Table'!$AW438)))/(2*(996.798*'BMP P Tracking Table'!$AA438)),IF(SUM('BMP P Tracking Table'!$W438:$Z438)=0,'BMP P Tracking Table'!$AW438/(-3630*'BMP P Tracking Table'!$U438),(-(3630*'BMP P Tracking Table'!$U438+20.691*'BMP P Tracking Table'!$Z438-216.711*'BMP P Tracking Table'!$Y438-83.853*'BMP P Tracking Table'!$X438-42.834*'BMP P Tracking Table'!$W438)+SQRT((3630*'BMP P Tracking Table'!$U438+20.691*'BMP P Tracking Table'!$Z438-216.711*'BMP P Tracking Table'!$Y438-83.853*'BMP P Tracking Table'!$X438-42.834*'BMP P Tracking Table'!$W438)^2-(4*(149.919*'BMP P Tracking Table'!$W438+236.676*'BMP P Tracking Table'!$X438+726*'BMP P Tracking Table'!$Y438+996.798*'BMP P Tracking Table'!$Z438)*-'BMP P Tracking Table'!$AW438)))/(2*(149.919*'BMP P Tracking Table'!$W438+236.676*'BMP P Tracking Table'!$X438+726*'BMP P Tracking Table'!$Y438+996.798*'BMP P Tracking Table'!$Z438)))))),"")</f>
        <v/>
      </c>
      <c r="BA438" s="101" t="str">
        <f>IFERROR((VLOOKUP(CONCATENATE('BMP P Tracking Table'!$AV438," ",'BMP P Tracking Table'!$AX438),'Performance Curves'!$C$1:$L$45,MATCH('BMP P Tracking Table'!$AZ438,'Performance Curves'!$E$1:$L$1,1)+2,FALSE)-VLOOKUP(CONCATENATE('BMP P Tracking Table'!$AV438," ",'BMP P Tracking Table'!$AX438),'Performance Curves'!$C$1:$L$45,MATCH('BMP P Tracking Table'!$AZ438,'Performance Curves'!$E$1:$L$1,1)+1,FALSE)),"")</f>
        <v/>
      </c>
      <c r="BB438" s="101" t="str">
        <f>IFERROR(('BMP P Tracking Table'!$AZ438-INDEX('Performance Curves'!$E$1:$L$1,1,MATCH('BMP P Tracking Table'!$AZ438,'Performance Curves'!$E$1:$L$1,1)))/(INDEX('Performance Curves'!$E$1:$L$1,1,MATCH('BMP P Tracking Table'!$AZ438,'Performance Curves'!$E$1:$L$1,1)+1)-INDEX('Performance Curves'!$E$1:$L$1,1,MATCH('BMP P Tracking Table'!$AZ438,'Performance Curves'!$E$1:$L$1,1))),"")</f>
        <v/>
      </c>
      <c r="BC438" s="102" t="str">
        <f>IFERROR(IF('BMP P Tracking Table'!$AZ438=2,VLOOKUP(CONCATENATE('BMP P Tracking Table'!$AV438," ",'BMP P Tracking Table'!$AX438),'Performance Curves'!$C$1:$L$44,MATCH('BMP P Tracking Table'!$AZ438,'Performance Curves'!$E$1:$L$1,1)+1,FALSE),'BMP P Tracking Table'!$BA438*'BMP P Tracking Table'!$BB438+VLOOKUP(CONCATENATE('BMP P Tracking Table'!$AV438," ",'BMP P Tracking Table'!$AX438),'Performance Curves'!$C$1:$L$44,MATCH('BMP P Tracking Table'!$AZ438,'Performance Curves'!$E$1:$L$1,1)+1,FALSE)),"")</f>
        <v/>
      </c>
      <c r="BD438" s="101" t="str">
        <f>IFERROR('BMP P Tracking Table'!$BC438*'BMP P Tracking Table'!$AY438,"")</f>
        <v/>
      </c>
      <c r="BE438" s="96"/>
      <c r="BF438" s="37">
        <f t="shared" si="25"/>
        <v>0</v>
      </c>
    </row>
    <row r="439" spans="1:58" x14ac:dyDescent="0.3">
      <c r="A439" s="64"/>
      <c r="B439" s="64"/>
      <c r="C439" s="64"/>
      <c r="D439" s="64"/>
      <c r="E439" s="93"/>
      <c r="F439" s="93"/>
      <c r="G439" s="64"/>
      <c r="H439" s="64"/>
      <c r="I439" s="64"/>
      <c r="J439" s="94"/>
      <c r="K439" s="64"/>
      <c r="L439" s="64"/>
      <c r="M439" s="64"/>
      <c r="N439" s="64"/>
      <c r="O439" s="64"/>
      <c r="P439" s="64"/>
      <c r="Q439" s="64" t="str">
        <f>IFERROR(VLOOKUP('BMP P Tracking Table'!$P439,Dropdowns!$C$2:$E$15,3,FALSE),"")</f>
        <v/>
      </c>
      <c r="R439" s="64" t="str">
        <f>IFERROR(VLOOKUP('BMP P Tracking Table'!$Q439,Dropdowns!$P$3:$Q$23,2,FALSE),"")</f>
        <v/>
      </c>
      <c r="S439" s="64"/>
      <c r="T439" s="64"/>
      <c r="U439" s="64"/>
      <c r="V439" s="64"/>
      <c r="W439" s="64"/>
      <c r="X439" s="64"/>
      <c r="Y439" s="64"/>
      <c r="Z439" s="64"/>
      <c r="AA439" s="64"/>
      <c r="AB439" s="95"/>
      <c r="AC439" s="64"/>
      <c r="AD439" s="101" t="str">
        <f>IFERROR('BMP P Tracking Table'!$U439*VLOOKUP('BMP P Tracking Table'!$Q439,'Loading Rates'!$B$1:$L$24,4,FALSE)+IF('BMP P Tracking Table'!$V439="By HSG",'BMP P Tracking Table'!$W439*VLOOKUP('BMP P Tracking Table'!$Q439,'Loading Rates'!$B$1:$L$24,6,FALSE)+'BMP P Tracking Table'!$X439*VLOOKUP('BMP P Tracking Table'!$Q439,'Loading Rates'!$B$1:$L$24,7,FALSE)+'BMP P Tracking Table'!$Y439*VLOOKUP('BMP P Tracking Table'!$Q439,'Loading Rates'!$B$1:$L$24,8,FALSE)+'BMP P Tracking Table'!$Z439*VLOOKUP('BMP P Tracking Table'!$Q439,'Loading Rates'!$B$1:$L$24,9,FALSE),'BMP P Tracking Table'!$AA439*VLOOKUP('BMP P Tracking Table'!$Q439,'Loading Rates'!$B$1:$L$24,10,FALSE)),"")</f>
        <v/>
      </c>
      <c r="AE439" s="101" t="str">
        <f>IFERROR(MIN(2,IF('BMP P Tracking Table'!$V439="Total Pervious",(-(3630*'BMP P Tracking Table'!$U439+20.691*'BMP P Tracking Table'!$AA439)+SQRT((3630*'BMP P Tracking Table'!$U439+20.691*'BMP P Tracking Table'!$AA439)^2-(4*(996.798*'BMP P Tracking Table'!$AA439)*-'BMP P Tracking Table'!$AB439)))/(2*(996.798*'BMP P Tracking Table'!$AA439)),IF(SUM('BMP P Tracking Table'!$W439:$Z439)=0,'BMP P Tracking Table'!$AB439/(-3630*'BMP P Tracking Table'!$U439),(-(3630*'BMP P Tracking Table'!$U439+20.691*'BMP P Tracking Table'!$Z439-216.711*'BMP P Tracking Table'!$Y439-83.853*'BMP P Tracking Table'!$X439-42.834*'BMP P Tracking Table'!$W439)+SQRT((3630*'BMP P Tracking Table'!$U439+20.691*'BMP P Tracking Table'!$Z439-216.711*'BMP P Tracking Table'!$Y439-83.853*'BMP P Tracking Table'!$X439-42.834*'BMP P Tracking Table'!$W439)^2-(4*(149.919*'BMP P Tracking Table'!$W439+236.676*'BMP P Tracking Table'!$X439+726*'BMP P Tracking Table'!$Y439+996.798*'BMP P Tracking Table'!$Z439)*-'BMP P Tracking Table'!$AB439)))/(2*(149.919*'BMP P Tracking Table'!$W439+236.676*'BMP P Tracking Table'!$X439+726*'BMP P Tracking Table'!$Y439+996.798*'BMP P Tracking Table'!$Z439))))),"")</f>
        <v/>
      </c>
      <c r="AF439" s="101" t="str">
        <f>IFERROR((VLOOKUP(CONCATENATE('BMP P Tracking Table'!$T439," ",'BMP P Tracking Table'!$AC439),'Performance Curves'!$C$1:$L$45,MATCH('BMP P Tracking Table'!$AE439,'Performance Curves'!$E$1:$L$1,1)+2,FALSE)-VLOOKUP(CONCATENATE('BMP P Tracking Table'!$T439," ",'BMP P Tracking Table'!$AC439),'Performance Curves'!$C$1:$L$45,MATCH('BMP P Tracking Table'!$AE439,'Performance Curves'!$E$1:$L$1,1)+1,FALSE)),"")</f>
        <v/>
      </c>
      <c r="AG439" s="101" t="str">
        <f>IFERROR(('BMP P Tracking Table'!$AE439-INDEX('Performance Curves'!$E$1:$L$1,1,MATCH('BMP P Tracking Table'!$AE439,'Performance Curves'!$E$1:$L$1,1)))/(INDEX('Performance Curves'!$E$1:$L$1,1,MATCH('BMP P Tracking Table'!$AE439,'Performance Curves'!$E$1:$L$1,1)+1)-INDEX('Performance Curves'!$E$1:$L$1,1,MATCH('BMP P Tracking Table'!$AE439,'Performance Curves'!$E$1:$L$1,1))),"")</f>
        <v/>
      </c>
      <c r="AH439" s="102" t="str">
        <f>IFERROR(IF('BMP P Tracking Table'!$AE439=2,VLOOKUP(CONCATENATE('BMP P Tracking Table'!$T439," ",'BMP P Tracking Table'!$AC439),'Performance Curves'!$C$1:$L$45,MATCH('BMP P Tracking Table'!$AE439,'Performance Curves'!$E$1:$L$1,1)+1,FALSE),'BMP P Tracking Table'!$AF439*'BMP P Tracking Table'!$AG439+VLOOKUP(CONCATENATE('BMP P Tracking Table'!$T439," ",'BMP P Tracking Table'!$AC439),'Performance Curves'!$C$1:$L$45,MATCH('BMP P Tracking Table'!$AE439,'Performance Curves'!$E$1:$L$1,1)+1,FALSE)),"")</f>
        <v/>
      </c>
      <c r="AI439" s="101" t="str">
        <f>IFERROR('BMP P Tracking Table'!$AH439*'BMP P Tracking Table'!$AD439,"")</f>
        <v/>
      </c>
      <c r="AJ439" s="64"/>
      <c r="AK439" s="96"/>
      <c r="AL439" s="96"/>
      <c r="AM439" s="63"/>
      <c r="AN439" s="99" t="str">
        <f t="shared" si="24"/>
        <v/>
      </c>
      <c r="AO439" s="96"/>
      <c r="AP439" s="96"/>
      <c r="AQ439" s="96"/>
      <c r="AR439" s="96"/>
      <c r="AS439" s="96"/>
      <c r="AT439" s="96"/>
      <c r="AU439" s="96"/>
      <c r="AV439" s="64"/>
      <c r="AW439" s="97"/>
      <c r="AX439" s="97"/>
      <c r="AY439" s="101" t="str">
        <f>IF('BMP P Tracking Table'!$AK439="Yes",IF('BMP P Tracking Table'!$AL439="No",'BMP P Tracking Table'!$U439*VLOOKUP('BMP P Tracking Table'!$Q439,'Loading Rates'!$B$1:$L$24,4,FALSE)+IF('BMP P Tracking Table'!$V439="By HSG",'BMP P Tracking Table'!$W439*VLOOKUP('BMP P Tracking Table'!$Q439,'Loading Rates'!$B$1:$L$24,6,FALSE)+'BMP P Tracking Table'!$X439*VLOOKUP('BMP P Tracking Table'!$Q439,'Loading Rates'!$B$1:$L$24,7,FALSE)+'BMP P Tracking Table'!$Y439*VLOOKUP('BMP P Tracking Table'!$Q439,'Loading Rates'!$B$1:$L$24,8,FALSE)+'BMP P Tracking Table'!$Z439*VLOOKUP('BMP P Tracking Table'!$Q439,'Loading Rates'!$B$1:$L$24,9,FALSE),'BMP P Tracking Table'!$AA439*VLOOKUP('BMP P Tracking Table'!$Q439,'Loading Rates'!$B$1:$L$24,10,FALSE)),'BMP P Tracking Table'!$AO439*VLOOKUP('BMP P Tracking Table'!$Q439,'Loading Rates'!$B$1:$L$24,4,FALSE)+IF('BMP P Tracking Table'!$AP439="By HSG",'BMP P Tracking Table'!$AQ439*VLOOKUP('BMP P Tracking Table'!$Q439,'Loading Rates'!$B$1:$L$24,6,FALSE)+'BMP P Tracking Table'!$AR439*VLOOKUP('BMP P Tracking Table'!$Q439,'Loading Rates'!$B$1:$L$24,7,FALSE)+'BMP P Tracking Table'!$AS439*VLOOKUP('BMP P Tracking Table'!$Q439,'Loading Rates'!$B$1:$L$24,8,FALSE)+'BMP P Tracking Table'!$AT439*VLOOKUP('BMP P Tracking Table'!$Q439,'Loading Rates'!$B$1:$L$24,9,FALSE),'BMP P Tracking Table'!$AU439*VLOOKUP('BMP P Tracking Table'!$Q439,'Loading Rates'!$B$1:$L$24,10,FALSE))),"")</f>
        <v/>
      </c>
      <c r="AZ439" s="101" t="str">
        <f>IFERROR(IF('BMP P Tracking Table'!$AL439="Yes",MIN(2,IF('BMP P Tracking Table'!$AP439="Total Pervious",(-(3630*'BMP P Tracking Table'!$AO439+20.691*'BMP P Tracking Table'!$AU439)+SQRT((3630*'BMP P Tracking Table'!$AO439+20.691*'BMP P Tracking Table'!$AU439)^2-(4*(996.798*'BMP P Tracking Table'!$AU439)*-'BMP P Tracking Table'!$AW439)))/(2*(996.798*'BMP P Tracking Table'!$AU439)),IF(SUM('BMP P Tracking Table'!$AQ439:$AT439)=0,'BMP P Tracking Table'!$AU439/(-3630*'BMP P Tracking Table'!$AO439),(-(3630*'BMP P Tracking Table'!$AO439+20.691*'BMP P Tracking Table'!$AT439-216.711*'BMP P Tracking Table'!$AS439-83.853*'BMP P Tracking Table'!$AR439-42.834*'BMP P Tracking Table'!$AQ439)+SQRT((3630*'BMP P Tracking Table'!$AO439+20.691*'BMP P Tracking Table'!$AT439-216.711*'BMP P Tracking Table'!$AS439-83.853*'BMP P Tracking Table'!$AR439-42.834*'BMP P Tracking Table'!$AQ439)^2-(4*(149.919*'BMP P Tracking Table'!$AQ439+236.676*'BMP P Tracking Table'!$AR439+726*'BMP P Tracking Table'!$AS439+996.798*'BMP P Tracking Table'!$AT439)*-'BMP P Tracking Table'!$AW439)))/(2*(149.919*'BMP P Tracking Table'!$AQ439+236.676*'BMP P Tracking Table'!$AR439+726*'BMP P Tracking Table'!$AS439+996.798*'BMP P Tracking Table'!$AT439))))),MIN(2,IF('BMP P Tracking Table'!$AP439="Total Pervious",(-(3630*'BMP P Tracking Table'!$U439+20.691*'BMP P Tracking Table'!$AA439)+SQRT((3630*'BMP P Tracking Table'!$U439+20.691*'BMP P Tracking Table'!$AA439)^2-(4*(996.798*'BMP P Tracking Table'!$AA439)*-'BMP P Tracking Table'!$AW439)))/(2*(996.798*'BMP P Tracking Table'!$AA439)),IF(SUM('BMP P Tracking Table'!$W439:$Z439)=0,'BMP P Tracking Table'!$AW439/(-3630*'BMP P Tracking Table'!$U439),(-(3630*'BMP P Tracking Table'!$U439+20.691*'BMP P Tracking Table'!$Z439-216.711*'BMP P Tracking Table'!$Y439-83.853*'BMP P Tracking Table'!$X439-42.834*'BMP P Tracking Table'!$W439)+SQRT((3630*'BMP P Tracking Table'!$U439+20.691*'BMP P Tracking Table'!$Z439-216.711*'BMP P Tracking Table'!$Y439-83.853*'BMP P Tracking Table'!$X439-42.834*'BMP P Tracking Table'!$W439)^2-(4*(149.919*'BMP P Tracking Table'!$W439+236.676*'BMP P Tracking Table'!$X439+726*'BMP P Tracking Table'!$Y439+996.798*'BMP P Tracking Table'!$Z439)*-'BMP P Tracking Table'!$AW439)))/(2*(149.919*'BMP P Tracking Table'!$W439+236.676*'BMP P Tracking Table'!$X439+726*'BMP P Tracking Table'!$Y439+996.798*'BMP P Tracking Table'!$Z439)))))),"")</f>
        <v/>
      </c>
      <c r="BA439" s="101" t="str">
        <f>IFERROR((VLOOKUP(CONCATENATE('BMP P Tracking Table'!$AV439," ",'BMP P Tracking Table'!$AX439),'Performance Curves'!$C$1:$L$45,MATCH('BMP P Tracking Table'!$AZ439,'Performance Curves'!$E$1:$L$1,1)+2,FALSE)-VLOOKUP(CONCATENATE('BMP P Tracking Table'!$AV439," ",'BMP P Tracking Table'!$AX439),'Performance Curves'!$C$1:$L$45,MATCH('BMP P Tracking Table'!$AZ439,'Performance Curves'!$E$1:$L$1,1)+1,FALSE)),"")</f>
        <v/>
      </c>
      <c r="BB439" s="101" t="str">
        <f>IFERROR(('BMP P Tracking Table'!$AZ439-INDEX('Performance Curves'!$E$1:$L$1,1,MATCH('BMP P Tracking Table'!$AZ439,'Performance Curves'!$E$1:$L$1,1)))/(INDEX('Performance Curves'!$E$1:$L$1,1,MATCH('BMP P Tracking Table'!$AZ439,'Performance Curves'!$E$1:$L$1,1)+1)-INDEX('Performance Curves'!$E$1:$L$1,1,MATCH('BMP P Tracking Table'!$AZ439,'Performance Curves'!$E$1:$L$1,1))),"")</f>
        <v/>
      </c>
      <c r="BC439" s="102" t="str">
        <f>IFERROR(IF('BMP P Tracking Table'!$AZ439=2,VLOOKUP(CONCATENATE('BMP P Tracking Table'!$AV439," ",'BMP P Tracking Table'!$AX439),'Performance Curves'!$C$1:$L$44,MATCH('BMP P Tracking Table'!$AZ439,'Performance Curves'!$E$1:$L$1,1)+1,FALSE),'BMP P Tracking Table'!$BA439*'BMP P Tracking Table'!$BB439+VLOOKUP(CONCATENATE('BMP P Tracking Table'!$AV439," ",'BMP P Tracking Table'!$AX439),'Performance Curves'!$C$1:$L$44,MATCH('BMP P Tracking Table'!$AZ439,'Performance Curves'!$E$1:$L$1,1)+1,FALSE)),"")</f>
        <v/>
      </c>
      <c r="BD439" s="101" t="str">
        <f>IFERROR('BMP P Tracking Table'!$BC439*'BMP P Tracking Table'!$AY439,"")</f>
        <v/>
      </c>
      <c r="BE439" s="96"/>
      <c r="BF439" s="37">
        <f t="shared" si="25"/>
        <v>0</v>
      </c>
    </row>
    <row r="440" spans="1:58" x14ac:dyDescent="0.3">
      <c r="A440" s="64"/>
      <c r="B440" s="64"/>
      <c r="C440" s="64"/>
      <c r="D440" s="64"/>
      <c r="E440" s="93"/>
      <c r="F440" s="93"/>
      <c r="G440" s="64"/>
      <c r="H440" s="64"/>
      <c r="I440" s="64"/>
      <c r="J440" s="94"/>
      <c r="K440" s="64"/>
      <c r="L440" s="64"/>
      <c r="M440" s="64"/>
      <c r="N440" s="64"/>
      <c r="O440" s="64"/>
      <c r="P440" s="64"/>
      <c r="Q440" s="64" t="str">
        <f>IFERROR(VLOOKUP('BMP P Tracking Table'!$P440,Dropdowns!$C$2:$E$15,3,FALSE),"")</f>
        <v/>
      </c>
      <c r="R440" s="64" t="str">
        <f>IFERROR(VLOOKUP('BMP P Tracking Table'!$Q440,Dropdowns!$P$3:$Q$23,2,FALSE),"")</f>
        <v/>
      </c>
      <c r="S440" s="64"/>
      <c r="T440" s="64"/>
      <c r="U440" s="64"/>
      <c r="V440" s="64"/>
      <c r="W440" s="64"/>
      <c r="X440" s="64"/>
      <c r="Y440" s="64"/>
      <c r="Z440" s="64"/>
      <c r="AA440" s="64"/>
      <c r="AB440" s="95"/>
      <c r="AC440" s="64"/>
      <c r="AD440" s="101" t="str">
        <f>IFERROR('BMP P Tracking Table'!$U440*VLOOKUP('BMP P Tracking Table'!$Q440,'Loading Rates'!$B$1:$L$24,4,FALSE)+IF('BMP P Tracking Table'!$V440="By HSG",'BMP P Tracking Table'!$W440*VLOOKUP('BMP P Tracking Table'!$Q440,'Loading Rates'!$B$1:$L$24,6,FALSE)+'BMP P Tracking Table'!$X440*VLOOKUP('BMP P Tracking Table'!$Q440,'Loading Rates'!$B$1:$L$24,7,FALSE)+'BMP P Tracking Table'!$Y440*VLOOKUP('BMP P Tracking Table'!$Q440,'Loading Rates'!$B$1:$L$24,8,FALSE)+'BMP P Tracking Table'!$Z440*VLOOKUP('BMP P Tracking Table'!$Q440,'Loading Rates'!$B$1:$L$24,9,FALSE),'BMP P Tracking Table'!$AA440*VLOOKUP('BMP P Tracking Table'!$Q440,'Loading Rates'!$B$1:$L$24,10,FALSE)),"")</f>
        <v/>
      </c>
      <c r="AE440" s="101" t="str">
        <f>IFERROR(MIN(2,IF('BMP P Tracking Table'!$V440="Total Pervious",(-(3630*'BMP P Tracking Table'!$U440+20.691*'BMP P Tracking Table'!$AA440)+SQRT((3630*'BMP P Tracking Table'!$U440+20.691*'BMP P Tracking Table'!$AA440)^2-(4*(996.798*'BMP P Tracking Table'!$AA440)*-'BMP P Tracking Table'!$AB440)))/(2*(996.798*'BMP P Tracking Table'!$AA440)),IF(SUM('BMP P Tracking Table'!$W440:$Z440)=0,'BMP P Tracking Table'!$AB440/(-3630*'BMP P Tracking Table'!$U440),(-(3630*'BMP P Tracking Table'!$U440+20.691*'BMP P Tracking Table'!$Z440-216.711*'BMP P Tracking Table'!$Y440-83.853*'BMP P Tracking Table'!$X440-42.834*'BMP P Tracking Table'!$W440)+SQRT((3630*'BMP P Tracking Table'!$U440+20.691*'BMP P Tracking Table'!$Z440-216.711*'BMP P Tracking Table'!$Y440-83.853*'BMP P Tracking Table'!$X440-42.834*'BMP P Tracking Table'!$W440)^2-(4*(149.919*'BMP P Tracking Table'!$W440+236.676*'BMP P Tracking Table'!$X440+726*'BMP P Tracking Table'!$Y440+996.798*'BMP P Tracking Table'!$Z440)*-'BMP P Tracking Table'!$AB440)))/(2*(149.919*'BMP P Tracking Table'!$W440+236.676*'BMP P Tracking Table'!$X440+726*'BMP P Tracking Table'!$Y440+996.798*'BMP P Tracking Table'!$Z440))))),"")</f>
        <v/>
      </c>
      <c r="AF440" s="101" t="str">
        <f>IFERROR((VLOOKUP(CONCATENATE('BMP P Tracking Table'!$T440," ",'BMP P Tracking Table'!$AC440),'Performance Curves'!$C$1:$L$45,MATCH('BMP P Tracking Table'!$AE440,'Performance Curves'!$E$1:$L$1,1)+2,FALSE)-VLOOKUP(CONCATENATE('BMP P Tracking Table'!$T440," ",'BMP P Tracking Table'!$AC440),'Performance Curves'!$C$1:$L$45,MATCH('BMP P Tracking Table'!$AE440,'Performance Curves'!$E$1:$L$1,1)+1,FALSE)),"")</f>
        <v/>
      </c>
      <c r="AG440" s="101" t="str">
        <f>IFERROR(('BMP P Tracking Table'!$AE440-INDEX('Performance Curves'!$E$1:$L$1,1,MATCH('BMP P Tracking Table'!$AE440,'Performance Curves'!$E$1:$L$1,1)))/(INDEX('Performance Curves'!$E$1:$L$1,1,MATCH('BMP P Tracking Table'!$AE440,'Performance Curves'!$E$1:$L$1,1)+1)-INDEX('Performance Curves'!$E$1:$L$1,1,MATCH('BMP P Tracking Table'!$AE440,'Performance Curves'!$E$1:$L$1,1))),"")</f>
        <v/>
      </c>
      <c r="AH440" s="102" t="str">
        <f>IFERROR(IF('BMP P Tracking Table'!$AE440=2,VLOOKUP(CONCATENATE('BMP P Tracking Table'!$T440," ",'BMP P Tracking Table'!$AC440),'Performance Curves'!$C$1:$L$45,MATCH('BMP P Tracking Table'!$AE440,'Performance Curves'!$E$1:$L$1,1)+1,FALSE),'BMP P Tracking Table'!$AF440*'BMP P Tracking Table'!$AG440+VLOOKUP(CONCATENATE('BMP P Tracking Table'!$T440," ",'BMP P Tracking Table'!$AC440),'Performance Curves'!$C$1:$L$45,MATCH('BMP P Tracking Table'!$AE440,'Performance Curves'!$E$1:$L$1,1)+1,FALSE)),"")</f>
        <v/>
      </c>
      <c r="AI440" s="101" t="str">
        <f>IFERROR('BMP P Tracking Table'!$AH440*'BMP P Tracking Table'!$AD440,"")</f>
        <v/>
      </c>
      <c r="AJ440" s="64"/>
      <c r="AK440" s="96"/>
      <c r="AL440" s="96"/>
      <c r="AM440" s="63"/>
      <c r="AN440" s="99" t="str">
        <f t="shared" si="24"/>
        <v/>
      </c>
      <c r="AO440" s="96"/>
      <c r="AP440" s="96"/>
      <c r="AQ440" s="96"/>
      <c r="AR440" s="96"/>
      <c r="AS440" s="96"/>
      <c r="AT440" s="96"/>
      <c r="AU440" s="96"/>
      <c r="AV440" s="64"/>
      <c r="AW440" s="97"/>
      <c r="AX440" s="97"/>
      <c r="AY440" s="101" t="str">
        <f>IF('BMP P Tracking Table'!$AK440="Yes",IF('BMP P Tracking Table'!$AL440="No",'BMP P Tracking Table'!$U440*VLOOKUP('BMP P Tracking Table'!$Q440,'Loading Rates'!$B$1:$L$24,4,FALSE)+IF('BMP P Tracking Table'!$V440="By HSG",'BMP P Tracking Table'!$W440*VLOOKUP('BMP P Tracking Table'!$Q440,'Loading Rates'!$B$1:$L$24,6,FALSE)+'BMP P Tracking Table'!$X440*VLOOKUP('BMP P Tracking Table'!$Q440,'Loading Rates'!$B$1:$L$24,7,FALSE)+'BMP P Tracking Table'!$Y440*VLOOKUP('BMP P Tracking Table'!$Q440,'Loading Rates'!$B$1:$L$24,8,FALSE)+'BMP P Tracking Table'!$Z440*VLOOKUP('BMP P Tracking Table'!$Q440,'Loading Rates'!$B$1:$L$24,9,FALSE),'BMP P Tracking Table'!$AA440*VLOOKUP('BMP P Tracking Table'!$Q440,'Loading Rates'!$B$1:$L$24,10,FALSE)),'BMP P Tracking Table'!$AO440*VLOOKUP('BMP P Tracking Table'!$Q440,'Loading Rates'!$B$1:$L$24,4,FALSE)+IF('BMP P Tracking Table'!$AP440="By HSG",'BMP P Tracking Table'!$AQ440*VLOOKUP('BMP P Tracking Table'!$Q440,'Loading Rates'!$B$1:$L$24,6,FALSE)+'BMP P Tracking Table'!$AR440*VLOOKUP('BMP P Tracking Table'!$Q440,'Loading Rates'!$B$1:$L$24,7,FALSE)+'BMP P Tracking Table'!$AS440*VLOOKUP('BMP P Tracking Table'!$Q440,'Loading Rates'!$B$1:$L$24,8,FALSE)+'BMP P Tracking Table'!$AT440*VLOOKUP('BMP P Tracking Table'!$Q440,'Loading Rates'!$B$1:$L$24,9,FALSE),'BMP P Tracking Table'!$AU440*VLOOKUP('BMP P Tracking Table'!$Q440,'Loading Rates'!$B$1:$L$24,10,FALSE))),"")</f>
        <v/>
      </c>
      <c r="AZ440" s="101" t="str">
        <f>IFERROR(IF('BMP P Tracking Table'!$AL440="Yes",MIN(2,IF('BMP P Tracking Table'!$AP440="Total Pervious",(-(3630*'BMP P Tracking Table'!$AO440+20.691*'BMP P Tracking Table'!$AU440)+SQRT((3630*'BMP P Tracking Table'!$AO440+20.691*'BMP P Tracking Table'!$AU440)^2-(4*(996.798*'BMP P Tracking Table'!$AU440)*-'BMP P Tracking Table'!$AW440)))/(2*(996.798*'BMP P Tracking Table'!$AU440)),IF(SUM('BMP P Tracking Table'!$AQ440:$AT440)=0,'BMP P Tracking Table'!$AU440/(-3630*'BMP P Tracking Table'!$AO440),(-(3630*'BMP P Tracking Table'!$AO440+20.691*'BMP P Tracking Table'!$AT440-216.711*'BMP P Tracking Table'!$AS440-83.853*'BMP P Tracking Table'!$AR440-42.834*'BMP P Tracking Table'!$AQ440)+SQRT((3630*'BMP P Tracking Table'!$AO440+20.691*'BMP P Tracking Table'!$AT440-216.711*'BMP P Tracking Table'!$AS440-83.853*'BMP P Tracking Table'!$AR440-42.834*'BMP P Tracking Table'!$AQ440)^2-(4*(149.919*'BMP P Tracking Table'!$AQ440+236.676*'BMP P Tracking Table'!$AR440+726*'BMP P Tracking Table'!$AS440+996.798*'BMP P Tracking Table'!$AT440)*-'BMP P Tracking Table'!$AW440)))/(2*(149.919*'BMP P Tracking Table'!$AQ440+236.676*'BMP P Tracking Table'!$AR440+726*'BMP P Tracking Table'!$AS440+996.798*'BMP P Tracking Table'!$AT440))))),MIN(2,IF('BMP P Tracking Table'!$AP440="Total Pervious",(-(3630*'BMP P Tracking Table'!$U440+20.691*'BMP P Tracking Table'!$AA440)+SQRT((3630*'BMP P Tracking Table'!$U440+20.691*'BMP P Tracking Table'!$AA440)^2-(4*(996.798*'BMP P Tracking Table'!$AA440)*-'BMP P Tracking Table'!$AW440)))/(2*(996.798*'BMP P Tracking Table'!$AA440)),IF(SUM('BMP P Tracking Table'!$W440:$Z440)=0,'BMP P Tracking Table'!$AW440/(-3630*'BMP P Tracking Table'!$U440),(-(3630*'BMP P Tracking Table'!$U440+20.691*'BMP P Tracking Table'!$Z440-216.711*'BMP P Tracking Table'!$Y440-83.853*'BMP P Tracking Table'!$X440-42.834*'BMP P Tracking Table'!$W440)+SQRT((3630*'BMP P Tracking Table'!$U440+20.691*'BMP P Tracking Table'!$Z440-216.711*'BMP P Tracking Table'!$Y440-83.853*'BMP P Tracking Table'!$X440-42.834*'BMP P Tracking Table'!$W440)^2-(4*(149.919*'BMP P Tracking Table'!$W440+236.676*'BMP P Tracking Table'!$X440+726*'BMP P Tracking Table'!$Y440+996.798*'BMP P Tracking Table'!$Z440)*-'BMP P Tracking Table'!$AW440)))/(2*(149.919*'BMP P Tracking Table'!$W440+236.676*'BMP P Tracking Table'!$X440+726*'BMP P Tracking Table'!$Y440+996.798*'BMP P Tracking Table'!$Z440)))))),"")</f>
        <v/>
      </c>
      <c r="BA440" s="101" t="str">
        <f>IFERROR((VLOOKUP(CONCATENATE('BMP P Tracking Table'!$AV440," ",'BMP P Tracking Table'!$AX440),'Performance Curves'!$C$1:$L$45,MATCH('BMP P Tracking Table'!$AZ440,'Performance Curves'!$E$1:$L$1,1)+2,FALSE)-VLOOKUP(CONCATENATE('BMP P Tracking Table'!$AV440," ",'BMP P Tracking Table'!$AX440),'Performance Curves'!$C$1:$L$45,MATCH('BMP P Tracking Table'!$AZ440,'Performance Curves'!$E$1:$L$1,1)+1,FALSE)),"")</f>
        <v/>
      </c>
      <c r="BB440" s="101" t="str">
        <f>IFERROR(('BMP P Tracking Table'!$AZ440-INDEX('Performance Curves'!$E$1:$L$1,1,MATCH('BMP P Tracking Table'!$AZ440,'Performance Curves'!$E$1:$L$1,1)))/(INDEX('Performance Curves'!$E$1:$L$1,1,MATCH('BMP P Tracking Table'!$AZ440,'Performance Curves'!$E$1:$L$1,1)+1)-INDEX('Performance Curves'!$E$1:$L$1,1,MATCH('BMP P Tracking Table'!$AZ440,'Performance Curves'!$E$1:$L$1,1))),"")</f>
        <v/>
      </c>
      <c r="BC440" s="102" t="str">
        <f>IFERROR(IF('BMP P Tracking Table'!$AZ440=2,VLOOKUP(CONCATENATE('BMP P Tracking Table'!$AV440," ",'BMP P Tracking Table'!$AX440),'Performance Curves'!$C$1:$L$44,MATCH('BMP P Tracking Table'!$AZ440,'Performance Curves'!$E$1:$L$1,1)+1,FALSE),'BMP P Tracking Table'!$BA440*'BMP P Tracking Table'!$BB440+VLOOKUP(CONCATENATE('BMP P Tracking Table'!$AV440," ",'BMP P Tracking Table'!$AX440),'Performance Curves'!$C$1:$L$44,MATCH('BMP P Tracking Table'!$AZ440,'Performance Curves'!$E$1:$L$1,1)+1,FALSE)),"")</f>
        <v/>
      </c>
      <c r="BD440" s="101" t="str">
        <f>IFERROR('BMP P Tracking Table'!$BC440*'BMP P Tracking Table'!$AY440,"")</f>
        <v/>
      </c>
      <c r="BE440" s="96"/>
      <c r="BF440" s="37">
        <f t="shared" si="25"/>
        <v>0</v>
      </c>
    </row>
    <row r="441" spans="1:58" x14ac:dyDescent="0.3">
      <c r="A441" s="64"/>
      <c r="B441" s="64"/>
      <c r="C441" s="64"/>
      <c r="D441" s="64"/>
      <c r="E441" s="93"/>
      <c r="F441" s="93"/>
      <c r="G441" s="64"/>
      <c r="H441" s="64"/>
      <c r="I441" s="64"/>
      <c r="J441" s="94"/>
      <c r="K441" s="64"/>
      <c r="L441" s="64"/>
      <c r="M441" s="64"/>
      <c r="N441" s="64"/>
      <c r="O441" s="64"/>
      <c r="P441" s="64"/>
      <c r="Q441" s="64" t="str">
        <f>IFERROR(VLOOKUP('BMP P Tracking Table'!$P441,Dropdowns!$C$2:$E$15,3,FALSE),"")</f>
        <v/>
      </c>
      <c r="R441" s="64" t="str">
        <f>IFERROR(VLOOKUP('BMP P Tracking Table'!$Q441,Dropdowns!$P$3:$Q$23,2,FALSE),"")</f>
        <v/>
      </c>
      <c r="S441" s="64"/>
      <c r="T441" s="64"/>
      <c r="U441" s="64"/>
      <c r="V441" s="64"/>
      <c r="W441" s="64"/>
      <c r="X441" s="64"/>
      <c r="Y441" s="64"/>
      <c r="Z441" s="64"/>
      <c r="AA441" s="64"/>
      <c r="AB441" s="95"/>
      <c r="AC441" s="64"/>
      <c r="AD441" s="101" t="str">
        <f>IFERROR('BMP P Tracking Table'!$U441*VLOOKUP('BMP P Tracking Table'!$Q441,'Loading Rates'!$B$1:$L$24,4,FALSE)+IF('BMP P Tracking Table'!$V441="By HSG",'BMP P Tracking Table'!$W441*VLOOKUP('BMP P Tracking Table'!$Q441,'Loading Rates'!$B$1:$L$24,6,FALSE)+'BMP P Tracking Table'!$X441*VLOOKUP('BMP P Tracking Table'!$Q441,'Loading Rates'!$B$1:$L$24,7,FALSE)+'BMP P Tracking Table'!$Y441*VLOOKUP('BMP P Tracking Table'!$Q441,'Loading Rates'!$B$1:$L$24,8,FALSE)+'BMP P Tracking Table'!$Z441*VLOOKUP('BMP P Tracking Table'!$Q441,'Loading Rates'!$B$1:$L$24,9,FALSE),'BMP P Tracking Table'!$AA441*VLOOKUP('BMP P Tracking Table'!$Q441,'Loading Rates'!$B$1:$L$24,10,FALSE)),"")</f>
        <v/>
      </c>
      <c r="AE441" s="101" t="str">
        <f>IFERROR(MIN(2,IF('BMP P Tracking Table'!$V441="Total Pervious",(-(3630*'BMP P Tracking Table'!$U441+20.691*'BMP P Tracking Table'!$AA441)+SQRT((3630*'BMP P Tracking Table'!$U441+20.691*'BMP P Tracking Table'!$AA441)^2-(4*(996.798*'BMP P Tracking Table'!$AA441)*-'BMP P Tracking Table'!$AB441)))/(2*(996.798*'BMP P Tracking Table'!$AA441)),IF(SUM('BMP P Tracking Table'!$W441:$Z441)=0,'BMP P Tracking Table'!$AB441/(-3630*'BMP P Tracking Table'!$U441),(-(3630*'BMP P Tracking Table'!$U441+20.691*'BMP P Tracking Table'!$Z441-216.711*'BMP P Tracking Table'!$Y441-83.853*'BMP P Tracking Table'!$X441-42.834*'BMP P Tracking Table'!$W441)+SQRT((3630*'BMP P Tracking Table'!$U441+20.691*'BMP P Tracking Table'!$Z441-216.711*'BMP P Tracking Table'!$Y441-83.853*'BMP P Tracking Table'!$X441-42.834*'BMP P Tracking Table'!$W441)^2-(4*(149.919*'BMP P Tracking Table'!$W441+236.676*'BMP P Tracking Table'!$X441+726*'BMP P Tracking Table'!$Y441+996.798*'BMP P Tracking Table'!$Z441)*-'BMP P Tracking Table'!$AB441)))/(2*(149.919*'BMP P Tracking Table'!$W441+236.676*'BMP P Tracking Table'!$X441+726*'BMP P Tracking Table'!$Y441+996.798*'BMP P Tracking Table'!$Z441))))),"")</f>
        <v/>
      </c>
      <c r="AF441" s="101" t="str">
        <f>IFERROR((VLOOKUP(CONCATENATE('BMP P Tracking Table'!$T441," ",'BMP P Tracking Table'!$AC441),'Performance Curves'!$C$1:$L$45,MATCH('BMP P Tracking Table'!$AE441,'Performance Curves'!$E$1:$L$1,1)+2,FALSE)-VLOOKUP(CONCATENATE('BMP P Tracking Table'!$T441," ",'BMP P Tracking Table'!$AC441),'Performance Curves'!$C$1:$L$45,MATCH('BMP P Tracking Table'!$AE441,'Performance Curves'!$E$1:$L$1,1)+1,FALSE)),"")</f>
        <v/>
      </c>
      <c r="AG441" s="101" t="str">
        <f>IFERROR(('BMP P Tracking Table'!$AE441-INDEX('Performance Curves'!$E$1:$L$1,1,MATCH('BMP P Tracking Table'!$AE441,'Performance Curves'!$E$1:$L$1,1)))/(INDEX('Performance Curves'!$E$1:$L$1,1,MATCH('BMP P Tracking Table'!$AE441,'Performance Curves'!$E$1:$L$1,1)+1)-INDEX('Performance Curves'!$E$1:$L$1,1,MATCH('BMP P Tracking Table'!$AE441,'Performance Curves'!$E$1:$L$1,1))),"")</f>
        <v/>
      </c>
      <c r="AH441" s="102" t="str">
        <f>IFERROR(IF('BMP P Tracking Table'!$AE441=2,VLOOKUP(CONCATENATE('BMP P Tracking Table'!$T441," ",'BMP P Tracking Table'!$AC441),'Performance Curves'!$C$1:$L$45,MATCH('BMP P Tracking Table'!$AE441,'Performance Curves'!$E$1:$L$1,1)+1,FALSE),'BMP P Tracking Table'!$AF441*'BMP P Tracking Table'!$AG441+VLOOKUP(CONCATENATE('BMP P Tracking Table'!$T441," ",'BMP P Tracking Table'!$AC441),'Performance Curves'!$C$1:$L$45,MATCH('BMP P Tracking Table'!$AE441,'Performance Curves'!$E$1:$L$1,1)+1,FALSE)),"")</f>
        <v/>
      </c>
      <c r="AI441" s="101" t="str">
        <f>IFERROR('BMP P Tracking Table'!$AH441*'BMP P Tracking Table'!$AD441,"")</f>
        <v/>
      </c>
      <c r="AJ441" s="64"/>
      <c r="AK441" s="96"/>
      <c r="AL441" s="96"/>
      <c r="AM441" s="63"/>
      <c r="AN441" s="99" t="str">
        <f t="shared" si="24"/>
        <v/>
      </c>
      <c r="AO441" s="96"/>
      <c r="AP441" s="96"/>
      <c r="AQ441" s="96"/>
      <c r="AR441" s="96"/>
      <c r="AS441" s="96"/>
      <c r="AT441" s="96"/>
      <c r="AU441" s="96"/>
      <c r="AV441" s="64"/>
      <c r="AW441" s="97"/>
      <c r="AX441" s="97"/>
      <c r="AY441" s="101" t="str">
        <f>IF('BMP P Tracking Table'!$AK441="Yes",IF('BMP P Tracking Table'!$AL441="No",'BMP P Tracking Table'!$U441*VLOOKUP('BMP P Tracking Table'!$Q441,'Loading Rates'!$B$1:$L$24,4,FALSE)+IF('BMP P Tracking Table'!$V441="By HSG",'BMP P Tracking Table'!$W441*VLOOKUP('BMP P Tracking Table'!$Q441,'Loading Rates'!$B$1:$L$24,6,FALSE)+'BMP P Tracking Table'!$X441*VLOOKUP('BMP P Tracking Table'!$Q441,'Loading Rates'!$B$1:$L$24,7,FALSE)+'BMP P Tracking Table'!$Y441*VLOOKUP('BMP P Tracking Table'!$Q441,'Loading Rates'!$B$1:$L$24,8,FALSE)+'BMP P Tracking Table'!$Z441*VLOOKUP('BMP P Tracking Table'!$Q441,'Loading Rates'!$B$1:$L$24,9,FALSE),'BMP P Tracking Table'!$AA441*VLOOKUP('BMP P Tracking Table'!$Q441,'Loading Rates'!$B$1:$L$24,10,FALSE)),'BMP P Tracking Table'!$AO441*VLOOKUP('BMP P Tracking Table'!$Q441,'Loading Rates'!$B$1:$L$24,4,FALSE)+IF('BMP P Tracking Table'!$AP441="By HSG",'BMP P Tracking Table'!$AQ441*VLOOKUP('BMP P Tracking Table'!$Q441,'Loading Rates'!$B$1:$L$24,6,FALSE)+'BMP P Tracking Table'!$AR441*VLOOKUP('BMP P Tracking Table'!$Q441,'Loading Rates'!$B$1:$L$24,7,FALSE)+'BMP P Tracking Table'!$AS441*VLOOKUP('BMP P Tracking Table'!$Q441,'Loading Rates'!$B$1:$L$24,8,FALSE)+'BMP P Tracking Table'!$AT441*VLOOKUP('BMP P Tracking Table'!$Q441,'Loading Rates'!$B$1:$L$24,9,FALSE),'BMP P Tracking Table'!$AU441*VLOOKUP('BMP P Tracking Table'!$Q441,'Loading Rates'!$B$1:$L$24,10,FALSE))),"")</f>
        <v/>
      </c>
      <c r="AZ441" s="101" t="str">
        <f>IFERROR(IF('BMP P Tracking Table'!$AL441="Yes",MIN(2,IF('BMP P Tracking Table'!$AP441="Total Pervious",(-(3630*'BMP P Tracking Table'!$AO441+20.691*'BMP P Tracking Table'!$AU441)+SQRT((3630*'BMP P Tracking Table'!$AO441+20.691*'BMP P Tracking Table'!$AU441)^2-(4*(996.798*'BMP P Tracking Table'!$AU441)*-'BMP P Tracking Table'!$AW441)))/(2*(996.798*'BMP P Tracking Table'!$AU441)),IF(SUM('BMP P Tracking Table'!$AQ441:$AT441)=0,'BMP P Tracking Table'!$AU441/(-3630*'BMP P Tracking Table'!$AO441),(-(3630*'BMP P Tracking Table'!$AO441+20.691*'BMP P Tracking Table'!$AT441-216.711*'BMP P Tracking Table'!$AS441-83.853*'BMP P Tracking Table'!$AR441-42.834*'BMP P Tracking Table'!$AQ441)+SQRT((3630*'BMP P Tracking Table'!$AO441+20.691*'BMP P Tracking Table'!$AT441-216.711*'BMP P Tracking Table'!$AS441-83.853*'BMP P Tracking Table'!$AR441-42.834*'BMP P Tracking Table'!$AQ441)^2-(4*(149.919*'BMP P Tracking Table'!$AQ441+236.676*'BMP P Tracking Table'!$AR441+726*'BMP P Tracking Table'!$AS441+996.798*'BMP P Tracking Table'!$AT441)*-'BMP P Tracking Table'!$AW441)))/(2*(149.919*'BMP P Tracking Table'!$AQ441+236.676*'BMP P Tracking Table'!$AR441+726*'BMP P Tracking Table'!$AS441+996.798*'BMP P Tracking Table'!$AT441))))),MIN(2,IF('BMP P Tracking Table'!$AP441="Total Pervious",(-(3630*'BMP P Tracking Table'!$U441+20.691*'BMP P Tracking Table'!$AA441)+SQRT((3630*'BMP P Tracking Table'!$U441+20.691*'BMP P Tracking Table'!$AA441)^2-(4*(996.798*'BMP P Tracking Table'!$AA441)*-'BMP P Tracking Table'!$AW441)))/(2*(996.798*'BMP P Tracking Table'!$AA441)),IF(SUM('BMP P Tracking Table'!$W441:$Z441)=0,'BMP P Tracking Table'!$AW441/(-3630*'BMP P Tracking Table'!$U441),(-(3630*'BMP P Tracking Table'!$U441+20.691*'BMP P Tracking Table'!$Z441-216.711*'BMP P Tracking Table'!$Y441-83.853*'BMP P Tracking Table'!$X441-42.834*'BMP P Tracking Table'!$W441)+SQRT((3630*'BMP P Tracking Table'!$U441+20.691*'BMP P Tracking Table'!$Z441-216.711*'BMP P Tracking Table'!$Y441-83.853*'BMP P Tracking Table'!$X441-42.834*'BMP P Tracking Table'!$W441)^2-(4*(149.919*'BMP P Tracking Table'!$W441+236.676*'BMP P Tracking Table'!$X441+726*'BMP P Tracking Table'!$Y441+996.798*'BMP P Tracking Table'!$Z441)*-'BMP P Tracking Table'!$AW441)))/(2*(149.919*'BMP P Tracking Table'!$W441+236.676*'BMP P Tracking Table'!$X441+726*'BMP P Tracking Table'!$Y441+996.798*'BMP P Tracking Table'!$Z441)))))),"")</f>
        <v/>
      </c>
      <c r="BA441" s="101" t="str">
        <f>IFERROR((VLOOKUP(CONCATENATE('BMP P Tracking Table'!$AV441," ",'BMP P Tracking Table'!$AX441),'Performance Curves'!$C$1:$L$45,MATCH('BMP P Tracking Table'!$AZ441,'Performance Curves'!$E$1:$L$1,1)+2,FALSE)-VLOOKUP(CONCATENATE('BMP P Tracking Table'!$AV441," ",'BMP P Tracking Table'!$AX441),'Performance Curves'!$C$1:$L$45,MATCH('BMP P Tracking Table'!$AZ441,'Performance Curves'!$E$1:$L$1,1)+1,FALSE)),"")</f>
        <v/>
      </c>
      <c r="BB441" s="101" t="str">
        <f>IFERROR(('BMP P Tracking Table'!$AZ441-INDEX('Performance Curves'!$E$1:$L$1,1,MATCH('BMP P Tracking Table'!$AZ441,'Performance Curves'!$E$1:$L$1,1)))/(INDEX('Performance Curves'!$E$1:$L$1,1,MATCH('BMP P Tracking Table'!$AZ441,'Performance Curves'!$E$1:$L$1,1)+1)-INDEX('Performance Curves'!$E$1:$L$1,1,MATCH('BMP P Tracking Table'!$AZ441,'Performance Curves'!$E$1:$L$1,1))),"")</f>
        <v/>
      </c>
      <c r="BC441" s="102" t="str">
        <f>IFERROR(IF('BMP P Tracking Table'!$AZ441=2,VLOOKUP(CONCATENATE('BMP P Tracking Table'!$AV441," ",'BMP P Tracking Table'!$AX441),'Performance Curves'!$C$1:$L$44,MATCH('BMP P Tracking Table'!$AZ441,'Performance Curves'!$E$1:$L$1,1)+1,FALSE),'BMP P Tracking Table'!$BA441*'BMP P Tracking Table'!$BB441+VLOOKUP(CONCATENATE('BMP P Tracking Table'!$AV441," ",'BMP P Tracking Table'!$AX441),'Performance Curves'!$C$1:$L$44,MATCH('BMP P Tracking Table'!$AZ441,'Performance Curves'!$E$1:$L$1,1)+1,FALSE)),"")</f>
        <v/>
      </c>
      <c r="BD441" s="101" t="str">
        <f>IFERROR('BMP P Tracking Table'!$BC441*'BMP P Tracking Table'!$AY441,"")</f>
        <v/>
      </c>
      <c r="BE441" s="96"/>
      <c r="BF441" s="37">
        <f t="shared" si="25"/>
        <v>0</v>
      </c>
    </row>
    <row r="442" spans="1:58" x14ac:dyDescent="0.3">
      <c r="A442" s="64"/>
      <c r="B442" s="64"/>
      <c r="C442" s="64"/>
      <c r="D442" s="64"/>
      <c r="E442" s="93"/>
      <c r="F442" s="93"/>
      <c r="G442" s="64"/>
      <c r="H442" s="64"/>
      <c r="I442" s="64"/>
      <c r="J442" s="94"/>
      <c r="K442" s="64"/>
      <c r="L442" s="64"/>
      <c r="M442" s="64"/>
      <c r="N442" s="64"/>
      <c r="O442" s="64"/>
      <c r="P442" s="64"/>
      <c r="Q442" s="64" t="str">
        <f>IFERROR(VLOOKUP('BMP P Tracking Table'!$P442,Dropdowns!$C$2:$E$15,3,FALSE),"")</f>
        <v/>
      </c>
      <c r="R442" s="64" t="str">
        <f>IFERROR(VLOOKUP('BMP P Tracking Table'!$Q442,Dropdowns!$P$3:$Q$23,2,FALSE),"")</f>
        <v/>
      </c>
      <c r="S442" s="64"/>
      <c r="T442" s="64"/>
      <c r="U442" s="64"/>
      <c r="V442" s="64"/>
      <c r="W442" s="64"/>
      <c r="X442" s="64"/>
      <c r="Y442" s="64"/>
      <c r="Z442" s="64"/>
      <c r="AA442" s="64"/>
      <c r="AB442" s="95"/>
      <c r="AC442" s="64"/>
      <c r="AD442" s="101" t="str">
        <f>IFERROR('BMP P Tracking Table'!$U442*VLOOKUP('BMP P Tracking Table'!$Q442,'Loading Rates'!$B$1:$L$24,4,FALSE)+IF('BMP P Tracking Table'!$V442="By HSG",'BMP P Tracking Table'!$W442*VLOOKUP('BMP P Tracking Table'!$Q442,'Loading Rates'!$B$1:$L$24,6,FALSE)+'BMP P Tracking Table'!$X442*VLOOKUP('BMP P Tracking Table'!$Q442,'Loading Rates'!$B$1:$L$24,7,FALSE)+'BMP P Tracking Table'!$Y442*VLOOKUP('BMP P Tracking Table'!$Q442,'Loading Rates'!$B$1:$L$24,8,FALSE)+'BMP P Tracking Table'!$Z442*VLOOKUP('BMP P Tracking Table'!$Q442,'Loading Rates'!$B$1:$L$24,9,FALSE),'BMP P Tracking Table'!$AA442*VLOOKUP('BMP P Tracking Table'!$Q442,'Loading Rates'!$B$1:$L$24,10,FALSE)),"")</f>
        <v/>
      </c>
      <c r="AE442" s="101" t="str">
        <f>IFERROR(MIN(2,IF('BMP P Tracking Table'!$V442="Total Pervious",(-(3630*'BMP P Tracking Table'!$U442+20.691*'BMP P Tracking Table'!$AA442)+SQRT((3630*'BMP P Tracking Table'!$U442+20.691*'BMP P Tracking Table'!$AA442)^2-(4*(996.798*'BMP P Tracking Table'!$AA442)*-'BMP P Tracking Table'!$AB442)))/(2*(996.798*'BMP P Tracking Table'!$AA442)),IF(SUM('BMP P Tracking Table'!$W442:$Z442)=0,'BMP P Tracking Table'!$AB442/(-3630*'BMP P Tracking Table'!$U442),(-(3630*'BMP P Tracking Table'!$U442+20.691*'BMP P Tracking Table'!$Z442-216.711*'BMP P Tracking Table'!$Y442-83.853*'BMP P Tracking Table'!$X442-42.834*'BMP P Tracking Table'!$W442)+SQRT((3630*'BMP P Tracking Table'!$U442+20.691*'BMP P Tracking Table'!$Z442-216.711*'BMP P Tracking Table'!$Y442-83.853*'BMP P Tracking Table'!$X442-42.834*'BMP P Tracking Table'!$W442)^2-(4*(149.919*'BMP P Tracking Table'!$W442+236.676*'BMP P Tracking Table'!$X442+726*'BMP P Tracking Table'!$Y442+996.798*'BMP P Tracking Table'!$Z442)*-'BMP P Tracking Table'!$AB442)))/(2*(149.919*'BMP P Tracking Table'!$W442+236.676*'BMP P Tracking Table'!$X442+726*'BMP P Tracking Table'!$Y442+996.798*'BMP P Tracking Table'!$Z442))))),"")</f>
        <v/>
      </c>
      <c r="AF442" s="101" t="str">
        <f>IFERROR((VLOOKUP(CONCATENATE('BMP P Tracking Table'!$T442," ",'BMP P Tracking Table'!$AC442),'Performance Curves'!$C$1:$L$45,MATCH('BMP P Tracking Table'!$AE442,'Performance Curves'!$E$1:$L$1,1)+2,FALSE)-VLOOKUP(CONCATENATE('BMP P Tracking Table'!$T442," ",'BMP P Tracking Table'!$AC442),'Performance Curves'!$C$1:$L$45,MATCH('BMP P Tracking Table'!$AE442,'Performance Curves'!$E$1:$L$1,1)+1,FALSE)),"")</f>
        <v/>
      </c>
      <c r="AG442" s="101" t="str">
        <f>IFERROR(('BMP P Tracking Table'!$AE442-INDEX('Performance Curves'!$E$1:$L$1,1,MATCH('BMP P Tracking Table'!$AE442,'Performance Curves'!$E$1:$L$1,1)))/(INDEX('Performance Curves'!$E$1:$L$1,1,MATCH('BMP P Tracking Table'!$AE442,'Performance Curves'!$E$1:$L$1,1)+1)-INDEX('Performance Curves'!$E$1:$L$1,1,MATCH('BMP P Tracking Table'!$AE442,'Performance Curves'!$E$1:$L$1,1))),"")</f>
        <v/>
      </c>
      <c r="AH442" s="102" t="str">
        <f>IFERROR(IF('BMP P Tracking Table'!$AE442=2,VLOOKUP(CONCATENATE('BMP P Tracking Table'!$T442," ",'BMP P Tracking Table'!$AC442),'Performance Curves'!$C$1:$L$45,MATCH('BMP P Tracking Table'!$AE442,'Performance Curves'!$E$1:$L$1,1)+1,FALSE),'BMP P Tracking Table'!$AF442*'BMP P Tracking Table'!$AG442+VLOOKUP(CONCATENATE('BMP P Tracking Table'!$T442," ",'BMP P Tracking Table'!$AC442),'Performance Curves'!$C$1:$L$45,MATCH('BMP P Tracking Table'!$AE442,'Performance Curves'!$E$1:$L$1,1)+1,FALSE)),"")</f>
        <v/>
      </c>
      <c r="AI442" s="101" t="str">
        <f>IFERROR('BMP P Tracking Table'!$AH442*'BMP P Tracking Table'!$AD442,"")</f>
        <v/>
      </c>
      <c r="AJ442" s="64"/>
      <c r="AK442" s="96"/>
      <c r="AL442" s="96"/>
      <c r="AM442" s="63"/>
      <c r="AN442" s="99" t="str">
        <f t="shared" si="24"/>
        <v/>
      </c>
      <c r="AO442" s="96"/>
      <c r="AP442" s="96"/>
      <c r="AQ442" s="96"/>
      <c r="AR442" s="96"/>
      <c r="AS442" s="96"/>
      <c r="AT442" s="96"/>
      <c r="AU442" s="96"/>
      <c r="AV442" s="64"/>
      <c r="AW442" s="97"/>
      <c r="AX442" s="97"/>
      <c r="AY442" s="101" t="str">
        <f>IF('BMP P Tracking Table'!$AK442="Yes",IF('BMP P Tracking Table'!$AL442="No",'BMP P Tracking Table'!$U442*VLOOKUP('BMP P Tracking Table'!$Q442,'Loading Rates'!$B$1:$L$24,4,FALSE)+IF('BMP P Tracking Table'!$V442="By HSG",'BMP P Tracking Table'!$W442*VLOOKUP('BMP P Tracking Table'!$Q442,'Loading Rates'!$B$1:$L$24,6,FALSE)+'BMP P Tracking Table'!$X442*VLOOKUP('BMP P Tracking Table'!$Q442,'Loading Rates'!$B$1:$L$24,7,FALSE)+'BMP P Tracking Table'!$Y442*VLOOKUP('BMP P Tracking Table'!$Q442,'Loading Rates'!$B$1:$L$24,8,FALSE)+'BMP P Tracking Table'!$Z442*VLOOKUP('BMP P Tracking Table'!$Q442,'Loading Rates'!$B$1:$L$24,9,FALSE),'BMP P Tracking Table'!$AA442*VLOOKUP('BMP P Tracking Table'!$Q442,'Loading Rates'!$B$1:$L$24,10,FALSE)),'BMP P Tracking Table'!$AO442*VLOOKUP('BMP P Tracking Table'!$Q442,'Loading Rates'!$B$1:$L$24,4,FALSE)+IF('BMP P Tracking Table'!$AP442="By HSG",'BMP P Tracking Table'!$AQ442*VLOOKUP('BMP P Tracking Table'!$Q442,'Loading Rates'!$B$1:$L$24,6,FALSE)+'BMP P Tracking Table'!$AR442*VLOOKUP('BMP P Tracking Table'!$Q442,'Loading Rates'!$B$1:$L$24,7,FALSE)+'BMP P Tracking Table'!$AS442*VLOOKUP('BMP P Tracking Table'!$Q442,'Loading Rates'!$B$1:$L$24,8,FALSE)+'BMP P Tracking Table'!$AT442*VLOOKUP('BMP P Tracking Table'!$Q442,'Loading Rates'!$B$1:$L$24,9,FALSE),'BMP P Tracking Table'!$AU442*VLOOKUP('BMP P Tracking Table'!$Q442,'Loading Rates'!$B$1:$L$24,10,FALSE))),"")</f>
        <v/>
      </c>
      <c r="AZ442" s="101" t="str">
        <f>IFERROR(IF('BMP P Tracking Table'!$AL442="Yes",MIN(2,IF('BMP P Tracking Table'!$AP442="Total Pervious",(-(3630*'BMP P Tracking Table'!$AO442+20.691*'BMP P Tracking Table'!$AU442)+SQRT((3630*'BMP P Tracking Table'!$AO442+20.691*'BMP P Tracking Table'!$AU442)^2-(4*(996.798*'BMP P Tracking Table'!$AU442)*-'BMP P Tracking Table'!$AW442)))/(2*(996.798*'BMP P Tracking Table'!$AU442)),IF(SUM('BMP P Tracking Table'!$AQ442:$AT442)=0,'BMP P Tracking Table'!$AU442/(-3630*'BMP P Tracking Table'!$AO442),(-(3630*'BMP P Tracking Table'!$AO442+20.691*'BMP P Tracking Table'!$AT442-216.711*'BMP P Tracking Table'!$AS442-83.853*'BMP P Tracking Table'!$AR442-42.834*'BMP P Tracking Table'!$AQ442)+SQRT((3630*'BMP P Tracking Table'!$AO442+20.691*'BMP P Tracking Table'!$AT442-216.711*'BMP P Tracking Table'!$AS442-83.853*'BMP P Tracking Table'!$AR442-42.834*'BMP P Tracking Table'!$AQ442)^2-(4*(149.919*'BMP P Tracking Table'!$AQ442+236.676*'BMP P Tracking Table'!$AR442+726*'BMP P Tracking Table'!$AS442+996.798*'BMP P Tracking Table'!$AT442)*-'BMP P Tracking Table'!$AW442)))/(2*(149.919*'BMP P Tracking Table'!$AQ442+236.676*'BMP P Tracking Table'!$AR442+726*'BMP P Tracking Table'!$AS442+996.798*'BMP P Tracking Table'!$AT442))))),MIN(2,IF('BMP P Tracking Table'!$AP442="Total Pervious",(-(3630*'BMP P Tracking Table'!$U442+20.691*'BMP P Tracking Table'!$AA442)+SQRT((3630*'BMP P Tracking Table'!$U442+20.691*'BMP P Tracking Table'!$AA442)^2-(4*(996.798*'BMP P Tracking Table'!$AA442)*-'BMP P Tracking Table'!$AW442)))/(2*(996.798*'BMP P Tracking Table'!$AA442)),IF(SUM('BMP P Tracking Table'!$W442:$Z442)=0,'BMP P Tracking Table'!$AW442/(-3630*'BMP P Tracking Table'!$U442),(-(3630*'BMP P Tracking Table'!$U442+20.691*'BMP P Tracking Table'!$Z442-216.711*'BMP P Tracking Table'!$Y442-83.853*'BMP P Tracking Table'!$X442-42.834*'BMP P Tracking Table'!$W442)+SQRT((3630*'BMP P Tracking Table'!$U442+20.691*'BMP P Tracking Table'!$Z442-216.711*'BMP P Tracking Table'!$Y442-83.853*'BMP P Tracking Table'!$X442-42.834*'BMP P Tracking Table'!$W442)^2-(4*(149.919*'BMP P Tracking Table'!$W442+236.676*'BMP P Tracking Table'!$X442+726*'BMP P Tracking Table'!$Y442+996.798*'BMP P Tracking Table'!$Z442)*-'BMP P Tracking Table'!$AW442)))/(2*(149.919*'BMP P Tracking Table'!$W442+236.676*'BMP P Tracking Table'!$X442+726*'BMP P Tracking Table'!$Y442+996.798*'BMP P Tracking Table'!$Z442)))))),"")</f>
        <v/>
      </c>
      <c r="BA442" s="101" t="str">
        <f>IFERROR((VLOOKUP(CONCATENATE('BMP P Tracking Table'!$AV442," ",'BMP P Tracking Table'!$AX442),'Performance Curves'!$C$1:$L$45,MATCH('BMP P Tracking Table'!$AZ442,'Performance Curves'!$E$1:$L$1,1)+2,FALSE)-VLOOKUP(CONCATENATE('BMP P Tracking Table'!$AV442," ",'BMP P Tracking Table'!$AX442),'Performance Curves'!$C$1:$L$45,MATCH('BMP P Tracking Table'!$AZ442,'Performance Curves'!$E$1:$L$1,1)+1,FALSE)),"")</f>
        <v/>
      </c>
      <c r="BB442" s="101" t="str">
        <f>IFERROR(('BMP P Tracking Table'!$AZ442-INDEX('Performance Curves'!$E$1:$L$1,1,MATCH('BMP P Tracking Table'!$AZ442,'Performance Curves'!$E$1:$L$1,1)))/(INDEX('Performance Curves'!$E$1:$L$1,1,MATCH('BMP P Tracking Table'!$AZ442,'Performance Curves'!$E$1:$L$1,1)+1)-INDEX('Performance Curves'!$E$1:$L$1,1,MATCH('BMP P Tracking Table'!$AZ442,'Performance Curves'!$E$1:$L$1,1))),"")</f>
        <v/>
      </c>
      <c r="BC442" s="102" t="str">
        <f>IFERROR(IF('BMP P Tracking Table'!$AZ442=2,VLOOKUP(CONCATENATE('BMP P Tracking Table'!$AV442," ",'BMP P Tracking Table'!$AX442),'Performance Curves'!$C$1:$L$44,MATCH('BMP P Tracking Table'!$AZ442,'Performance Curves'!$E$1:$L$1,1)+1,FALSE),'BMP P Tracking Table'!$BA442*'BMP P Tracking Table'!$BB442+VLOOKUP(CONCATENATE('BMP P Tracking Table'!$AV442," ",'BMP P Tracking Table'!$AX442),'Performance Curves'!$C$1:$L$44,MATCH('BMP P Tracking Table'!$AZ442,'Performance Curves'!$E$1:$L$1,1)+1,FALSE)),"")</f>
        <v/>
      </c>
      <c r="BD442" s="101" t="str">
        <f>IFERROR('BMP P Tracking Table'!$BC442*'BMP P Tracking Table'!$AY442,"")</f>
        <v/>
      </c>
      <c r="BE442" s="96"/>
      <c r="BF442" s="37">
        <f t="shared" si="25"/>
        <v>0</v>
      </c>
    </row>
    <row r="443" spans="1:58" x14ac:dyDescent="0.3">
      <c r="A443" s="64"/>
      <c r="B443" s="64"/>
      <c r="C443" s="64"/>
      <c r="D443" s="64"/>
      <c r="E443" s="93"/>
      <c r="F443" s="93"/>
      <c r="G443" s="64"/>
      <c r="H443" s="64"/>
      <c r="I443" s="64"/>
      <c r="J443" s="94"/>
      <c r="K443" s="64"/>
      <c r="L443" s="64"/>
      <c r="M443" s="64"/>
      <c r="N443" s="64"/>
      <c r="O443" s="64"/>
      <c r="P443" s="64"/>
      <c r="Q443" s="64" t="str">
        <f>IFERROR(VLOOKUP('BMP P Tracking Table'!$P443,Dropdowns!$C$2:$E$15,3,FALSE),"")</f>
        <v/>
      </c>
      <c r="R443" s="64" t="str">
        <f>IFERROR(VLOOKUP('BMP P Tracking Table'!$Q443,Dropdowns!$P$3:$Q$23,2,FALSE),"")</f>
        <v/>
      </c>
      <c r="S443" s="64"/>
      <c r="T443" s="64"/>
      <c r="U443" s="64"/>
      <c r="V443" s="64"/>
      <c r="W443" s="64"/>
      <c r="X443" s="64"/>
      <c r="Y443" s="64"/>
      <c r="Z443" s="64"/>
      <c r="AA443" s="64"/>
      <c r="AB443" s="95"/>
      <c r="AC443" s="64"/>
      <c r="AD443" s="101" t="str">
        <f>IFERROR('BMP P Tracking Table'!$U443*VLOOKUP('BMP P Tracking Table'!$Q443,'Loading Rates'!$B$1:$L$24,4,FALSE)+IF('BMP P Tracking Table'!$V443="By HSG",'BMP P Tracking Table'!$W443*VLOOKUP('BMP P Tracking Table'!$Q443,'Loading Rates'!$B$1:$L$24,6,FALSE)+'BMP P Tracking Table'!$X443*VLOOKUP('BMP P Tracking Table'!$Q443,'Loading Rates'!$B$1:$L$24,7,FALSE)+'BMP P Tracking Table'!$Y443*VLOOKUP('BMP P Tracking Table'!$Q443,'Loading Rates'!$B$1:$L$24,8,FALSE)+'BMP P Tracking Table'!$Z443*VLOOKUP('BMP P Tracking Table'!$Q443,'Loading Rates'!$B$1:$L$24,9,FALSE),'BMP P Tracking Table'!$AA443*VLOOKUP('BMP P Tracking Table'!$Q443,'Loading Rates'!$B$1:$L$24,10,FALSE)),"")</f>
        <v/>
      </c>
      <c r="AE443" s="101" t="str">
        <f>IFERROR(MIN(2,IF('BMP P Tracking Table'!$V443="Total Pervious",(-(3630*'BMP P Tracking Table'!$U443+20.691*'BMP P Tracking Table'!$AA443)+SQRT((3630*'BMP P Tracking Table'!$U443+20.691*'BMP P Tracking Table'!$AA443)^2-(4*(996.798*'BMP P Tracking Table'!$AA443)*-'BMP P Tracking Table'!$AB443)))/(2*(996.798*'BMP P Tracking Table'!$AA443)),IF(SUM('BMP P Tracking Table'!$W443:$Z443)=0,'BMP P Tracking Table'!$AB443/(-3630*'BMP P Tracking Table'!$U443),(-(3630*'BMP P Tracking Table'!$U443+20.691*'BMP P Tracking Table'!$Z443-216.711*'BMP P Tracking Table'!$Y443-83.853*'BMP P Tracking Table'!$X443-42.834*'BMP P Tracking Table'!$W443)+SQRT((3630*'BMP P Tracking Table'!$U443+20.691*'BMP P Tracking Table'!$Z443-216.711*'BMP P Tracking Table'!$Y443-83.853*'BMP P Tracking Table'!$X443-42.834*'BMP P Tracking Table'!$W443)^2-(4*(149.919*'BMP P Tracking Table'!$W443+236.676*'BMP P Tracking Table'!$X443+726*'BMP P Tracking Table'!$Y443+996.798*'BMP P Tracking Table'!$Z443)*-'BMP P Tracking Table'!$AB443)))/(2*(149.919*'BMP P Tracking Table'!$W443+236.676*'BMP P Tracking Table'!$X443+726*'BMP P Tracking Table'!$Y443+996.798*'BMP P Tracking Table'!$Z443))))),"")</f>
        <v/>
      </c>
      <c r="AF443" s="101" t="str">
        <f>IFERROR((VLOOKUP(CONCATENATE('BMP P Tracking Table'!$T443," ",'BMP P Tracking Table'!$AC443),'Performance Curves'!$C$1:$L$45,MATCH('BMP P Tracking Table'!$AE443,'Performance Curves'!$E$1:$L$1,1)+2,FALSE)-VLOOKUP(CONCATENATE('BMP P Tracking Table'!$T443," ",'BMP P Tracking Table'!$AC443),'Performance Curves'!$C$1:$L$45,MATCH('BMP P Tracking Table'!$AE443,'Performance Curves'!$E$1:$L$1,1)+1,FALSE)),"")</f>
        <v/>
      </c>
      <c r="AG443" s="101" t="str">
        <f>IFERROR(('BMP P Tracking Table'!$AE443-INDEX('Performance Curves'!$E$1:$L$1,1,MATCH('BMP P Tracking Table'!$AE443,'Performance Curves'!$E$1:$L$1,1)))/(INDEX('Performance Curves'!$E$1:$L$1,1,MATCH('BMP P Tracking Table'!$AE443,'Performance Curves'!$E$1:$L$1,1)+1)-INDEX('Performance Curves'!$E$1:$L$1,1,MATCH('BMP P Tracking Table'!$AE443,'Performance Curves'!$E$1:$L$1,1))),"")</f>
        <v/>
      </c>
      <c r="AH443" s="102" t="str">
        <f>IFERROR(IF('BMP P Tracking Table'!$AE443=2,VLOOKUP(CONCATENATE('BMP P Tracking Table'!$T443," ",'BMP P Tracking Table'!$AC443),'Performance Curves'!$C$1:$L$45,MATCH('BMP P Tracking Table'!$AE443,'Performance Curves'!$E$1:$L$1,1)+1,FALSE),'BMP P Tracking Table'!$AF443*'BMP P Tracking Table'!$AG443+VLOOKUP(CONCATENATE('BMP P Tracking Table'!$T443," ",'BMP P Tracking Table'!$AC443),'Performance Curves'!$C$1:$L$45,MATCH('BMP P Tracking Table'!$AE443,'Performance Curves'!$E$1:$L$1,1)+1,FALSE)),"")</f>
        <v/>
      </c>
      <c r="AI443" s="101" t="str">
        <f>IFERROR('BMP P Tracking Table'!$AH443*'BMP P Tracking Table'!$AD443,"")</f>
        <v/>
      </c>
      <c r="AJ443" s="64"/>
      <c r="AK443" s="96"/>
      <c r="AL443" s="96"/>
      <c r="AM443" s="63"/>
      <c r="AN443" s="99" t="str">
        <f t="shared" si="24"/>
        <v/>
      </c>
      <c r="AO443" s="96"/>
      <c r="AP443" s="96"/>
      <c r="AQ443" s="96"/>
      <c r="AR443" s="96"/>
      <c r="AS443" s="96"/>
      <c r="AT443" s="96"/>
      <c r="AU443" s="96"/>
      <c r="AV443" s="64"/>
      <c r="AW443" s="97"/>
      <c r="AX443" s="97"/>
      <c r="AY443" s="101" t="str">
        <f>IF('BMP P Tracking Table'!$AK443="Yes",IF('BMP P Tracking Table'!$AL443="No",'BMP P Tracking Table'!$U443*VLOOKUP('BMP P Tracking Table'!$Q443,'Loading Rates'!$B$1:$L$24,4,FALSE)+IF('BMP P Tracking Table'!$V443="By HSG",'BMP P Tracking Table'!$W443*VLOOKUP('BMP P Tracking Table'!$Q443,'Loading Rates'!$B$1:$L$24,6,FALSE)+'BMP P Tracking Table'!$X443*VLOOKUP('BMP P Tracking Table'!$Q443,'Loading Rates'!$B$1:$L$24,7,FALSE)+'BMP P Tracking Table'!$Y443*VLOOKUP('BMP P Tracking Table'!$Q443,'Loading Rates'!$B$1:$L$24,8,FALSE)+'BMP P Tracking Table'!$Z443*VLOOKUP('BMP P Tracking Table'!$Q443,'Loading Rates'!$B$1:$L$24,9,FALSE),'BMP P Tracking Table'!$AA443*VLOOKUP('BMP P Tracking Table'!$Q443,'Loading Rates'!$B$1:$L$24,10,FALSE)),'BMP P Tracking Table'!$AO443*VLOOKUP('BMP P Tracking Table'!$Q443,'Loading Rates'!$B$1:$L$24,4,FALSE)+IF('BMP P Tracking Table'!$AP443="By HSG",'BMP P Tracking Table'!$AQ443*VLOOKUP('BMP P Tracking Table'!$Q443,'Loading Rates'!$B$1:$L$24,6,FALSE)+'BMP P Tracking Table'!$AR443*VLOOKUP('BMP P Tracking Table'!$Q443,'Loading Rates'!$B$1:$L$24,7,FALSE)+'BMP P Tracking Table'!$AS443*VLOOKUP('BMP P Tracking Table'!$Q443,'Loading Rates'!$B$1:$L$24,8,FALSE)+'BMP P Tracking Table'!$AT443*VLOOKUP('BMP P Tracking Table'!$Q443,'Loading Rates'!$B$1:$L$24,9,FALSE),'BMP P Tracking Table'!$AU443*VLOOKUP('BMP P Tracking Table'!$Q443,'Loading Rates'!$B$1:$L$24,10,FALSE))),"")</f>
        <v/>
      </c>
      <c r="AZ443" s="101" t="str">
        <f>IFERROR(IF('BMP P Tracking Table'!$AL443="Yes",MIN(2,IF('BMP P Tracking Table'!$AP443="Total Pervious",(-(3630*'BMP P Tracking Table'!$AO443+20.691*'BMP P Tracking Table'!$AU443)+SQRT((3630*'BMP P Tracking Table'!$AO443+20.691*'BMP P Tracking Table'!$AU443)^2-(4*(996.798*'BMP P Tracking Table'!$AU443)*-'BMP P Tracking Table'!$AW443)))/(2*(996.798*'BMP P Tracking Table'!$AU443)),IF(SUM('BMP P Tracking Table'!$AQ443:$AT443)=0,'BMP P Tracking Table'!$AU443/(-3630*'BMP P Tracking Table'!$AO443),(-(3630*'BMP P Tracking Table'!$AO443+20.691*'BMP P Tracking Table'!$AT443-216.711*'BMP P Tracking Table'!$AS443-83.853*'BMP P Tracking Table'!$AR443-42.834*'BMP P Tracking Table'!$AQ443)+SQRT((3630*'BMP P Tracking Table'!$AO443+20.691*'BMP P Tracking Table'!$AT443-216.711*'BMP P Tracking Table'!$AS443-83.853*'BMP P Tracking Table'!$AR443-42.834*'BMP P Tracking Table'!$AQ443)^2-(4*(149.919*'BMP P Tracking Table'!$AQ443+236.676*'BMP P Tracking Table'!$AR443+726*'BMP P Tracking Table'!$AS443+996.798*'BMP P Tracking Table'!$AT443)*-'BMP P Tracking Table'!$AW443)))/(2*(149.919*'BMP P Tracking Table'!$AQ443+236.676*'BMP P Tracking Table'!$AR443+726*'BMP P Tracking Table'!$AS443+996.798*'BMP P Tracking Table'!$AT443))))),MIN(2,IF('BMP P Tracking Table'!$AP443="Total Pervious",(-(3630*'BMP P Tracking Table'!$U443+20.691*'BMP P Tracking Table'!$AA443)+SQRT((3630*'BMP P Tracking Table'!$U443+20.691*'BMP P Tracking Table'!$AA443)^2-(4*(996.798*'BMP P Tracking Table'!$AA443)*-'BMP P Tracking Table'!$AW443)))/(2*(996.798*'BMP P Tracking Table'!$AA443)),IF(SUM('BMP P Tracking Table'!$W443:$Z443)=0,'BMP P Tracking Table'!$AW443/(-3630*'BMP P Tracking Table'!$U443),(-(3630*'BMP P Tracking Table'!$U443+20.691*'BMP P Tracking Table'!$Z443-216.711*'BMP P Tracking Table'!$Y443-83.853*'BMP P Tracking Table'!$X443-42.834*'BMP P Tracking Table'!$W443)+SQRT((3630*'BMP P Tracking Table'!$U443+20.691*'BMP P Tracking Table'!$Z443-216.711*'BMP P Tracking Table'!$Y443-83.853*'BMP P Tracking Table'!$X443-42.834*'BMP P Tracking Table'!$W443)^2-(4*(149.919*'BMP P Tracking Table'!$W443+236.676*'BMP P Tracking Table'!$X443+726*'BMP P Tracking Table'!$Y443+996.798*'BMP P Tracking Table'!$Z443)*-'BMP P Tracking Table'!$AW443)))/(2*(149.919*'BMP P Tracking Table'!$W443+236.676*'BMP P Tracking Table'!$X443+726*'BMP P Tracking Table'!$Y443+996.798*'BMP P Tracking Table'!$Z443)))))),"")</f>
        <v/>
      </c>
      <c r="BA443" s="101" t="str">
        <f>IFERROR((VLOOKUP(CONCATENATE('BMP P Tracking Table'!$AV443," ",'BMP P Tracking Table'!$AX443),'Performance Curves'!$C$1:$L$45,MATCH('BMP P Tracking Table'!$AZ443,'Performance Curves'!$E$1:$L$1,1)+2,FALSE)-VLOOKUP(CONCATENATE('BMP P Tracking Table'!$AV443," ",'BMP P Tracking Table'!$AX443),'Performance Curves'!$C$1:$L$45,MATCH('BMP P Tracking Table'!$AZ443,'Performance Curves'!$E$1:$L$1,1)+1,FALSE)),"")</f>
        <v/>
      </c>
      <c r="BB443" s="101" t="str">
        <f>IFERROR(('BMP P Tracking Table'!$AZ443-INDEX('Performance Curves'!$E$1:$L$1,1,MATCH('BMP P Tracking Table'!$AZ443,'Performance Curves'!$E$1:$L$1,1)))/(INDEX('Performance Curves'!$E$1:$L$1,1,MATCH('BMP P Tracking Table'!$AZ443,'Performance Curves'!$E$1:$L$1,1)+1)-INDEX('Performance Curves'!$E$1:$L$1,1,MATCH('BMP P Tracking Table'!$AZ443,'Performance Curves'!$E$1:$L$1,1))),"")</f>
        <v/>
      </c>
      <c r="BC443" s="102" t="str">
        <f>IFERROR(IF('BMP P Tracking Table'!$AZ443=2,VLOOKUP(CONCATENATE('BMP P Tracking Table'!$AV443," ",'BMP P Tracking Table'!$AX443),'Performance Curves'!$C$1:$L$44,MATCH('BMP P Tracking Table'!$AZ443,'Performance Curves'!$E$1:$L$1,1)+1,FALSE),'BMP P Tracking Table'!$BA443*'BMP P Tracking Table'!$BB443+VLOOKUP(CONCATENATE('BMP P Tracking Table'!$AV443," ",'BMP P Tracking Table'!$AX443),'Performance Curves'!$C$1:$L$44,MATCH('BMP P Tracking Table'!$AZ443,'Performance Curves'!$E$1:$L$1,1)+1,FALSE)),"")</f>
        <v/>
      </c>
      <c r="BD443" s="101" t="str">
        <f>IFERROR('BMP P Tracking Table'!$BC443*'BMP P Tracking Table'!$AY443,"")</f>
        <v/>
      </c>
      <c r="BE443" s="96"/>
      <c r="BF443" s="37">
        <f t="shared" si="25"/>
        <v>0</v>
      </c>
    </row>
    <row r="444" spans="1:58" x14ac:dyDescent="0.3">
      <c r="A444" s="64"/>
      <c r="B444" s="64"/>
      <c r="C444" s="64"/>
      <c r="D444" s="64"/>
      <c r="E444" s="93"/>
      <c r="F444" s="93"/>
      <c r="G444" s="64"/>
      <c r="H444" s="64"/>
      <c r="I444" s="64"/>
      <c r="J444" s="94"/>
      <c r="K444" s="64"/>
      <c r="L444" s="64"/>
      <c r="M444" s="64"/>
      <c r="N444" s="64"/>
      <c r="O444" s="64"/>
      <c r="P444" s="64"/>
      <c r="Q444" s="64" t="str">
        <f>IFERROR(VLOOKUP('BMP P Tracking Table'!$P444,Dropdowns!$C$2:$E$15,3,FALSE),"")</f>
        <v/>
      </c>
      <c r="R444" s="64" t="str">
        <f>IFERROR(VLOOKUP('BMP P Tracking Table'!$Q444,Dropdowns!$P$3:$Q$23,2,FALSE),"")</f>
        <v/>
      </c>
      <c r="S444" s="64"/>
      <c r="T444" s="64"/>
      <c r="U444" s="64"/>
      <c r="V444" s="64"/>
      <c r="W444" s="64"/>
      <c r="X444" s="64"/>
      <c r="Y444" s="64"/>
      <c r="Z444" s="64"/>
      <c r="AA444" s="64"/>
      <c r="AB444" s="95"/>
      <c r="AC444" s="64"/>
      <c r="AD444" s="101" t="str">
        <f>IFERROR('BMP P Tracking Table'!$U444*VLOOKUP('BMP P Tracking Table'!$Q444,'Loading Rates'!$B$1:$L$24,4,FALSE)+IF('BMP P Tracking Table'!$V444="By HSG",'BMP P Tracking Table'!$W444*VLOOKUP('BMP P Tracking Table'!$Q444,'Loading Rates'!$B$1:$L$24,6,FALSE)+'BMP P Tracking Table'!$X444*VLOOKUP('BMP P Tracking Table'!$Q444,'Loading Rates'!$B$1:$L$24,7,FALSE)+'BMP P Tracking Table'!$Y444*VLOOKUP('BMP P Tracking Table'!$Q444,'Loading Rates'!$B$1:$L$24,8,FALSE)+'BMP P Tracking Table'!$Z444*VLOOKUP('BMP P Tracking Table'!$Q444,'Loading Rates'!$B$1:$L$24,9,FALSE),'BMP P Tracking Table'!$AA444*VLOOKUP('BMP P Tracking Table'!$Q444,'Loading Rates'!$B$1:$L$24,10,FALSE)),"")</f>
        <v/>
      </c>
      <c r="AE444" s="101" t="str">
        <f>IFERROR(MIN(2,IF('BMP P Tracking Table'!$V444="Total Pervious",(-(3630*'BMP P Tracking Table'!$U444+20.691*'BMP P Tracking Table'!$AA444)+SQRT((3630*'BMP P Tracking Table'!$U444+20.691*'BMP P Tracking Table'!$AA444)^2-(4*(996.798*'BMP P Tracking Table'!$AA444)*-'BMP P Tracking Table'!$AB444)))/(2*(996.798*'BMP P Tracking Table'!$AA444)),IF(SUM('BMP P Tracking Table'!$W444:$Z444)=0,'BMP P Tracking Table'!$AB444/(-3630*'BMP P Tracking Table'!$U444),(-(3630*'BMP P Tracking Table'!$U444+20.691*'BMP P Tracking Table'!$Z444-216.711*'BMP P Tracking Table'!$Y444-83.853*'BMP P Tracking Table'!$X444-42.834*'BMP P Tracking Table'!$W444)+SQRT((3630*'BMP P Tracking Table'!$U444+20.691*'BMP P Tracking Table'!$Z444-216.711*'BMP P Tracking Table'!$Y444-83.853*'BMP P Tracking Table'!$X444-42.834*'BMP P Tracking Table'!$W444)^2-(4*(149.919*'BMP P Tracking Table'!$W444+236.676*'BMP P Tracking Table'!$X444+726*'BMP P Tracking Table'!$Y444+996.798*'BMP P Tracking Table'!$Z444)*-'BMP P Tracking Table'!$AB444)))/(2*(149.919*'BMP P Tracking Table'!$W444+236.676*'BMP P Tracking Table'!$X444+726*'BMP P Tracking Table'!$Y444+996.798*'BMP P Tracking Table'!$Z444))))),"")</f>
        <v/>
      </c>
      <c r="AF444" s="101" t="str">
        <f>IFERROR((VLOOKUP(CONCATENATE('BMP P Tracking Table'!$T444," ",'BMP P Tracking Table'!$AC444),'Performance Curves'!$C$1:$L$45,MATCH('BMP P Tracking Table'!$AE444,'Performance Curves'!$E$1:$L$1,1)+2,FALSE)-VLOOKUP(CONCATENATE('BMP P Tracking Table'!$T444," ",'BMP P Tracking Table'!$AC444),'Performance Curves'!$C$1:$L$45,MATCH('BMP P Tracking Table'!$AE444,'Performance Curves'!$E$1:$L$1,1)+1,FALSE)),"")</f>
        <v/>
      </c>
      <c r="AG444" s="101" t="str">
        <f>IFERROR(('BMP P Tracking Table'!$AE444-INDEX('Performance Curves'!$E$1:$L$1,1,MATCH('BMP P Tracking Table'!$AE444,'Performance Curves'!$E$1:$L$1,1)))/(INDEX('Performance Curves'!$E$1:$L$1,1,MATCH('BMP P Tracking Table'!$AE444,'Performance Curves'!$E$1:$L$1,1)+1)-INDEX('Performance Curves'!$E$1:$L$1,1,MATCH('BMP P Tracking Table'!$AE444,'Performance Curves'!$E$1:$L$1,1))),"")</f>
        <v/>
      </c>
      <c r="AH444" s="102" t="str">
        <f>IFERROR(IF('BMP P Tracking Table'!$AE444=2,VLOOKUP(CONCATENATE('BMP P Tracking Table'!$T444," ",'BMP P Tracking Table'!$AC444),'Performance Curves'!$C$1:$L$45,MATCH('BMP P Tracking Table'!$AE444,'Performance Curves'!$E$1:$L$1,1)+1,FALSE),'BMP P Tracking Table'!$AF444*'BMP P Tracking Table'!$AG444+VLOOKUP(CONCATENATE('BMP P Tracking Table'!$T444," ",'BMP P Tracking Table'!$AC444),'Performance Curves'!$C$1:$L$45,MATCH('BMP P Tracking Table'!$AE444,'Performance Curves'!$E$1:$L$1,1)+1,FALSE)),"")</f>
        <v/>
      </c>
      <c r="AI444" s="101" t="str">
        <f>IFERROR('BMP P Tracking Table'!$AH444*'BMP P Tracking Table'!$AD444,"")</f>
        <v/>
      </c>
      <c r="AJ444" s="64"/>
      <c r="AK444" s="96"/>
      <c r="AL444" s="96"/>
      <c r="AM444" s="63"/>
      <c r="AN444" s="99" t="str">
        <f t="shared" si="24"/>
        <v/>
      </c>
      <c r="AO444" s="96"/>
      <c r="AP444" s="96"/>
      <c r="AQ444" s="96"/>
      <c r="AR444" s="96"/>
      <c r="AS444" s="96"/>
      <c r="AT444" s="96"/>
      <c r="AU444" s="96"/>
      <c r="AV444" s="64"/>
      <c r="AW444" s="97"/>
      <c r="AX444" s="97"/>
      <c r="AY444" s="101" t="str">
        <f>IF('BMP P Tracking Table'!$AK444="Yes",IF('BMP P Tracking Table'!$AL444="No",'BMP P Tracking Table'!$U444*VLOOKUP('BMP P Tracking Table'!$Q444,'Loading Rates'!$B$1:$L$24,4,FALSE)+IF('BMP P Tracking Table'!$V444="By HSG",'BMP P Tracking Table'!$W444*VLOOKUP('BMP P Tracking Table'!$Q444,'Loading Rates'!$B$1:$L$24,6,FALSE)+'BMP P Tracking Table'!$X444*VLOOKUP('BMP P Tracking Table'!$Q444,'Loading Rates'!$B$1:$L$24,7,FALSE)+'BMP P Tracking Table'!$Y444*VLOOKUP('BMP P Tracking Table'!$Q444,'Loading Rates'!$B$1:$L$24,8,FALSE)+'BMP P Tracking Table'!$Z444*VLOOKUP('BMP P Tracking Table'!$Q444,'Loading Rates'!$B$1:$L$24,9,FALSE),'BMP P Tracking Table'!$AA444*VLOOKUP('BMP P Tracking Table'!$Q444,'Loading Rates'!$B$1:$L$24,10,FALSE)),'BMP P Tracking Table'!$AO444*VLOOKUP('BMP P Tracking Table'!$Q444,'Loading Rates'!$B$1:$L$24,4,FALSE)+IF('BMP P Tracking Table'!$AP444="By HSG",'BMP P Tracking Table'!$AQ444*VLOOKUP('BMP P Tracking Table'!$Q444,'Loading Rates'!$B$1:$L$24,6,FALSE)+'BMP P Tracking Table'!$AR444*VLOOKUP('BMP P Tracking Table'!$Q444,'Loading Rates'!$B$1:$L$24,7,FALSE)+'BMP P Tracking Table'!$AS444*VLOOKUP('BMP P Tracking Table'!$Q444,'Loading Rates'!$B$1:$L$24,8,FALSE)+'BMP P Tracking Table'!$AT444*VLOOKUP('BMP P Tracking Table'!$Q444,'Loading Rates'!$B$1:$L$24,9,FALSE),'BMP P Tracking Table'!$AU444*VLOOKUP('BMP P Tracking Table'!$Q444,'Loading Rates'!$B$1:$L$24,10,FALSE))),"")</f>
        <v/>
      </c>
      <c r="AZ444" s="101" t="str">
        <f>IFERROR(IF('BMP P Tracking Table'!$AL444="Yes",MIN(2,IF('BMP P Tracking Table'!$AP444="Total Pervious",(-(3630*'BMP P Tracking Table'!$AO444+20.691*'BMP P Tracking Table'!$AU444)+SQRT((3630*'BMP P Tracking Table'!$AO444+20.691*'BMP P Tracking Table'!$AU444)^2-(4*(996.798*'BMP P Tracking Table'!$AU444)*-'BMP P Tracking Table'!$AW444)))/(2*(996.798*'BMP P Tracking Table'!$AU444)),IF(SUM('BMP P Tracking Table'!$AQ444:$AT444)=0,'BMP P Tracking Table'!$AU444/(-3630*'BMP P Tracking Table'!$AO444),(-(3630*'BMP P Tracking Table'!$AO444+20.691*'BMP P Tracking Table'!$AT444-216.711*'BMP P Tracking Table'!$AS444-83.853*'BMP P Tracking Table'!$AR444-42.834*'BMP P Tracking Table'!$AQ444)+SQRT((3630*'BMP P Tracking Table'!$AO444+20.691*'BMP P Tracking Table'!$AT444-216.711*'BMP P Tracking Table'!$AS444-83.853*'BMP P Tracking Table'!$AR444-42.834*'BMP P Tracking Table'!$AQ444)^2-(4*(149.919*'BMP P Tracking Table'!$AQ444+236.676*'BMP P Tracking Table'!$AR444+726*'BMP P Tracking Table'!$AS444+996.798*'BMP P Tracking Table'!$AT444)*-'BMP P Tracking Table'!$AW444)))/(2*(149.919*'BMP P Tracking Table'!$AQ444+236.676*'BMP P Tracking Table'!$AR444+726*'BMP P Tracking Table'!$AS444+996.798*'BMP P Tracking Table'!$AT444))))),MIN(2,IF('BMP P Tracking Table'!$AP444="Total Pervious",(-(3630*'BMP P Tracking Table'!$U444+20.691*'BMP P Tracking Table'!$AA444)+SQRT((3630*'BMP P Tracking Table'!$U444+20.691*'BMP P Tracking Table'!$AA444)^2-(4*(996.798*'BMP P Tracking Table'!$AA444)*-'BMP P Tracking Table'!$AW444)))/(2*(996.798*'BMP P Tracking Table'!$AA444)),IF(SUM('BMP P Tracking Table'!$W444:$Z444)=0,'BMP P Tracking Table'!$AW444/(-3630*'BMP P Tracking Table'!$U444),(-(3630*'BMP P Tracking Table'!$U444+20.691*'BMP P Tracking Table'!$Z444-216.711*'BMP P Tracking Table'!$Y444-83.853*'BMP P Tracking Table'!$X444-42.834*'BMP P Tracking Table'!$W444)+SQRT((3630*'BMP P Tracking Table'!$U444+20.691*'BMP P Tracking Table'!$Z444-216.711*'BMP P Tracking Table'!$Y444-83.853*'BMP P Tracking Table'!$X444-42.834*'BMP P Tracking Table'!$W444)^2-(4*(149.919*'BMP P Tracking Table'!$W444+236.676*'BMP P Tracking Table'!$X444+726*'BMP P Tracking Table'!$Y444+996.798*'BMP P Tracking Table'!$Z444)*-'BMP P Tracking Table'!$AW444)))/(2*(149.919*'BMP P Tracking Table'!$W444+236.676*'BMP P Tracking Table'!$X444+726*'BMP P Tracking Table'!$Y444+996.798*'BMP P Tracking Table'!$Z444)))))),"")</f>
        <v/>
      </c>
      <c r="BA444" s="101" t="str">
        <f>IFERROR((VLOOKUP(CONCATENATE('BMP P Tracking Table'!$AV444," ",'BMP P Tracking Table'!$AX444),'Performance Curves'!$C$1:$L$45,MATCH('BMP P Tracking Table'!$AZ444,'Performance Curves'!$E$1:$L$1,1)+2,FALSE)-VLOOKUP(CONCATENATE('BMP P Tracking Table'!$AV444," ",'BMP P Tracking Table'!$AX444),'Performance Curves'!$C$1:$L$45,MATCH('BMP P Tracking Table'!$AZ444,'Performance Curves'!$E$1:$L$1,1)+1,FALSE)),"")</f>
        <v/>
      </c>
      <c r="BB444" s="101" t="str">
        <f>IFERROR(('BMP P Tracking Table'!$AZ444-INDEX('Performance Curves'!$E$1:$L$1,1,MATCH('BMP P Tracking Table'!$AZ444,'Performance Curves'!$E$1:$L$1,1)))/(INDEX('Performance Curves'!$E$1:$L$1,1,MATCH('BMP P Tracking Table'!$AZ444,'Performance Curves'!$E$1:$L$1,1)+1)-INDEX('Performance Curves'!$E$1:$L$1,1,MATCH('BMP P Tracking Table'!$AZ444,'Performance Curves'!$E$1:$L$1,1))),"")</f>
        <v/>
      </c>
      <c r="BC444" s="102" t="str">
        <f>IFERROR(IF('BMP P Tracking Table'!$AZ444=2,VLOOKUP(CONCATENATE('BMP P Tracking Table'!$AV444," ",'BMP P Tracking Table'!$AX444),'Performance Curves'!$C$1:$L$44,MATCH('BMP P Tracking Table'!$AZ444,'Performance Curves'!$E$1:$L$1,1)+1,FALSE),'BMP P Tracking Table'!$BA444*'BMP P Tracking Table'!$BB444+VLOOKUP(CONCATENATE('BMP P Tracking Table'!$AV444," ",'BMP P Tracking Table'!$AX444),'Performance Curves'!$C$1:$L$44,MATCH('BMP P Tracking Table'!$AZ444,'Performance Curves'!$E$1:$L$1,1)+1,FALSE)),"")</f>
        <v/>
      </c>
      <c r="BD444" s="101" t="str">
        <f>IFERROR('BMP P Tracking Table'!$BC444*'BMP P Tracking Table'!$AY444,"")</f>
        <v/>
      </c>
      <c r="BE444" s="96"/>
      <c r="BF444" s="37">
        <f t="shared" si="25"/>
        <v>0</v>
      </c>
    </row>
    <row r="445" spans="1:58" x14ac:dyDescent="0.3">
      <c r="A445" s="64"/>
      <c r="B445" s="64"/>
      <c r="C445" s="64"/>
      <c r="D445" s="64"/>
      <c r="E445" s="93"/>
      <c r="F445" s="93"/>
      <c r="G445" s="64"/>
      <c r="H445" s="64"/>
      <c r="I445" s="64"/>
      <c r="J445" s="94"/>
      <c r="K445" s="64"/>
      <c r="L445" s="64"/>
      <c r="M445" s="64"/>
      <c r="N445" s="64"/>
      <c r="O445" s="64"/>
      <c r="P445" s="64"/>
      <c r="Q445" s="64" t="str">
        <f>IFERROR(VLOOKUP('BMP P Tracking Table'!$P445,Dropdowns!$C$2:$E$15,3,FALSE),"")</f>
        <v/>
      </c>
      <c r="R445" s="64" t="str">
        <f>IFERROR(VLOOKUP('BMP P Tracking Table'!$Q445,Dropdowns!$P$3:$Q$23,2,FALSE),"")</f>
        <v/>
      </c>
      <c r="S445" s="64"/>
      <c r="T445" s="64"/>
      <c r="U445" s="64"/>
      <c r="V445" s="64"/>
      <c r="W445" s="64"/>
      <c r="X445" s="64"/>
      <c r="Y445" s="64"/>
      <c r="Z445" s="64"/>
      <c r="AA445" s="64"/>
      <c r="AB445" s="95"/>
      <c r="AC445" s="64"/>
      <c r="AD445" s="101" t="str">
        <f>IFERROR('BMP P Tracking Table'!$U445*VLOOKUP('BMP P Tracking Table'!$Q445,'Loading Rates'!$B$1:$L$24,4,FALSE)+IF('BMP P Tracking Table'!$V445="By HSG",'BMP P Tracking Table'!$W445*VLOOKUP('BMP P Tracking Table'!$Q445,'Loading Rates'!$B$1:$L$24,6,FALSE)+'BMP P Tracking Table'!$X445*VLOOKUP('BMP P Tracking Table'!$Q445,'Loading Rates'!$B$1:$L$24,7,FALSE)+'BMP P Tracking Table'!$Y445*VLOOKUP('BMP P Tracking Table'!$Q445,'Loading Rates'!$B$1:$L$24,8,FALSE)+'BMP P Tracking Table'!$Z445*VLOOKUP('BMP P Tracking Table'!$Q445,'Loading Rates'!$B$1:$L$24,9,FALSE),'BMP P Tracking Table'!$AA445*VLOOKUP('BMP P Tracking Table'!$Q445,'Loading Rates'!$B$1:$L$24,10,FALSE)),"")</f>
        <v/>
      </c>
      <c r="AE445" s="101" t="str">
        <f>IFERROR(MIN(2,IF('BMP P Tracking Table'!$V445="Total Pervious",(-(3630*'BMP P Tracking Table'!$U445+20.691*'BMP P Tracking Table'!$AA445)+SQRT((3630*'BMP P Tracking Table'!$U445+20.691*'BMP P Tracking Table'!$AA445)^2-(4*(996.798*'BMP P Tracking Table'!$AA445)*-'BMP P Tracking Table'!$AB445)))/(2*(996.798*'BMP P Tracking Table'!$AA445)),IF(SUM('BMP P Tracking Table'!$W445:$Z445)=0,'BMP P Tracking Table'!$AB445/(-3630*'BMP P Tracking Table'!$U445),(-(3630*'BMP P Tracking Table'!$U445+20.691*'BMP P Tracking Table'!$Z445-216.711*'BMP P Tracking Table'!$Y445-83.853*'BMP P Tracking Table'!$X445-42.834*'BMP P Tracking Table'!$W445)+SQRT((3630*'BMP P Tracking Table'!$U445+20.691*'BMP P Tracking Table'!$Z445-216.711*'BMP P Tracking Table'!$Y445-83.853*'BMP P Tracking Table'!$X445-42.834*'BMP P Tracking Table'!$W445)^2-(4*(149.919*'BMP P Tracking Table'!$W445+236.676*'BMP P Tracking Table'!$X445+726*'BMP P Tracking Table'!$Y445+996.798*'BMP P Tracking Table'!$Z445)*-'BMP P Tracking Table'!$AB445)))/(2*(149.919*'BMP P Tracking Table'!$W445+236.676*'BMP P Tracking Table'!$X445+726*'BMP P Tracking Table'!$Y445+996.798*'BMP P Tracking Table'!$Z445))))),"")</f>
        <v/>
      </c>
      <c r="AF445" s="101" t="str">
        <f>IFERROR((VLOOKUP(CONCATENATE('BMP P Tracking Table'!$T445," ",'BMP P Tracking Table'!$AC445),'Performance Curves'!$C$1:$L$45,MATCH('BMP P Tracking Table'!$AE445,'Performance Curves'!$E$1:$L$1,1)+2,FALSE)-VLOOKUP(CONCATENATE('BMP P Tracking Table'!$T445," ",'BMP P Tracking Table'!$AC445),'Performance Curves'!$C$1:$L$45,MATCH('BMP P Tracking Table'!$AE445,'Performance Curves'!$E$1:$L$1,1)+1,FALSE)),"")</f>
        <v/>
      </c>
      <c r="AG445" s="101" t="str">
        <f>IFERROR(('BMP P Tracking Table'!$AE445-INDEX('Performance Curves'!$E$1:$L$1,1,MATCH('BMP P Tracking Table'!$AE445,'Performance Curves'!$E$1:$L$1,1)))/(INDEX('Performance Curves'!$E$1:$L$1,1,MATCH('BMP P Tracking Table'!$AE445,'Performance Curves'!$E$1:$L$1,1)+1)-INDEX('Performance Curves'!$E$1:$L$1,1,MATCH('BMP P Tracking Table'!$AE445,'Performance Curves'!$E$1:$L$1,1))),"")</f>
        <v/>
      </c>
      <c r="AH445" s="102" t="str">
        <f>IFERROR(IF('BMP P Tracking Table'!$AE445=2,VLOOKUP(CONCATENATE('BMP P Tracking Table'!$T445," ",'BMP P Tracking Table'!$AC445),'Performance Curves'!$C$1:$L$45,MATCH('BMP P Tracking Table'!$AE445,'Performance Curves'!$E$1:$L$1,1)+1,FALSE),'BMP P Tracking Table'!$AF445*'BMP P Tracking Table'!$AG445+VLOOKUP(CONCATENATE('BMP P Tracking Table'!$T445," ",'BMP P Tracking Table'!$AC445),'Performance Curves'!$C$1:$L$45,MATCH('BMP P Tracking Table'!$AE445,'Performance Curves'!$E$1:$L$1,1)+1,FALSE)),"")</f>
        <v/>
      </c>
      <c r="AI445" s="101" t="str">
        <f>IFERROR('BMP P Tracking Table'!$AH445*'BMP P Tracking Table'!$AD445,"")</f>
        <v/>
      </c>
      <c r="AJ445" s="64"/>
      <c r="AK445" s="96"/>
      <c r="AL445" s="96"/>
      <c r="AM445" s="63"/>
      <c r="AN445" s="99" t="str">
        <f t="shared" si="24"/>
        <v/>
      </c>
      <c r="AO445" s="96"/>
      <c r="AP445" s="96"/>
      <c r="AQ445" s="96"/>
      <c r="AR445" s="96"/>
      <c r="AS445" s="96"/>
      <c r="AT445" s="96"/>
      <c r="AU445" s="96"/>
      <c r="AV445" s="64"/>
      <c r="AW445" s="97"/>
      <c r="AX445" s="97"/>
      <c r="AY445" s="101" t="str">
        <f>IF('BMP P Tracking Table'!$AK445="Yes",IF('BMP P Tracking Table'!$AL445="No",'BMP P Tracking Table'!$U445*VLOOKUP('BMP P Tracking Table'!$Q445,'Loading Rates'!$B$1:$L$24,4,FALSE)+IF('BMP P Tracking Table'!$V445="By HSG",'BMP P Tracking Table'!$W445*VLOOKUP('BMP P Tracking Table'!$Q445,'Loading Rates'!$B$1:$L$24,6,FALSE)+'BMP P Tracking Table'!$X445*VLOOKUP('BMP P Tracking Table'!$Q445,'Loading Rates'!$B$1:$L$24,7,FALSE)+'BMP P Tracking Table'!$Y445*VLOOKUP('BMP P Tracking Table'!$Q445,'Loading Rates'!$B$1:$L$24,8,FALSE)+'BMP P Tracking Table'!$Z445*VLOOKUP('BMP P Tracking Table'!$Q445,'Loading Rates'!$B$1:$L$24,9,FALSE),'BMP P Tracking Table'!$AA445*VLOOKUP('BMP P Tracking Table'!$Q445,'Loading Rates'!$B$1:$L$24,10,FALSE)),'BMP P Tracking Table'!$AO445*VLOOKUP('BMP P Tracking Table'!$Q445,'Loading Rates'!$B$1:$L$24,4,FALSE)+IF('BMP P Tracking Table'!$AP445="By HSG",'BMP P Tracking Table'!$AQ445*VLOOKUP('BMP P Tracking Table'!$Q445,'Loading Rates'!$B$1:$L$24,6,FALSE)+'BMP P Tracking Table'!$AR445*VLOOKUP('BMP P Tracking Table'!$Q445,'Loading Rates'!$B$1:$L$24,7,FALSE)+'BMP P Tracking Table'!$AS445*VLOOKUP('BMP P Tracking Table'!$Q445,'Loading Rates'!$B$1:$L$24,8,FALSE)+'BMP P Tracking Table'!$AT445*VLOOKUP('BMP P Tracking Table'!$Q445,'Loading Rates'!$B$1:$L$24,9,FALSE),'BMP P Tracking Table'!$AU445*VLOOKUP('BMP P Tracking Table'!$Q445,'Loading Rates'!$B$1:$L$24,10,FALSE))),"")</f>
        <v/>
      </c>
      <c r="AZ445" s="101" t="str">
        <f>IFERROR(IF('BMP P Tracking Table'!$AL445="Yes",MIN(2,IF('BMP P Tracking Table'!$AP445="Total Pervious",(-(3630*'BMP P Tracking Table'!$AO445+20.691*'BMP P Tracking Table'!$AU445)+SQRT((3630*'BMP P Tracking Table'!$AO445+20.691*'BMP P Tracking Table'!$AU445)^2-(4*(996.798*'BMP P Tracking Table'!$AU445)*-'BMP P Tracking Table'!$AW445)))/(2*(996.798*'BMP P Tracking Table'!$AU445)),IF(SUM('BMP P Tracking Table'!$AQ445:$AT445)=0,'BMP P Tracking Table'!$AU445/(-3630*'BMP P Tracking Table'!$AO445),(-(3630*'BMP P Tracking Table'!$AO445+20.691*'BMP P Tracking Table'!$AT445-216.711*'BMP P Tracking Table'!$AS445-83.853*'BMP P Tracking Table'!$AR445-42.834*'BMP P Tracking Table'!$AQ445)+SQRT((3630*'BMP P Tracking Table'!$AO445+20.691*'BMP P Tracking Table'!$AT445-216.711*'BMP P Tracking Table'!$AS445-83.853*'BMP P Tracking Table'!$AR445-42.834*'BMP P Tracking Table'!$AQ445)^2-(4*(149.919*'BMP P Tracking Table'!$AQ445+236.676*'BMP P Tracking Table'!$AR445+726*'BMP P Tracking Table'!$AS445+996.798*'BMP P Tracking Table'!$AT445)*-'BMP P Tracking Table'!$AW445)))/(2*(149.919*'BMP P Tracking Table'!$AQ445+236.676*'BMP P Tracking Table'!$AR445+726*'BMP P Tracking Table'!$AS445+996.798*'BMP P Tracking Table'!$AT445))))),MIN(2,IF('BMP P Tracking Table'!$AP445="Total Pervious",(-(3630*'BMP P Tracking Table'!$U445+20.691*'BMP P Tracking Table'!$AA445)+SQRT((3630*'BMP P Tracking Table'!$U445+20.691*'BMP P Tracking Table'!$AA445)^2-(4*(996.798*'BMP P Tracking Table'!$AA445)*-'BMP P Tracking Table'!$AW445)))/(2*(996.798*'BMP P Tracking Table'!$AA445)),IF(SUM('BMP P Tracking Table'!$W445:$Z445)=0,'BMP P Tracking Table'!$AW445/(-3630*'BMP P Tracking Table'!$U445),(-(3630*'BMP P Tracking Table'!$U445+20.691*'BMP P Tracking Table'!$Z445-216.711*'BMP P Tracking Table'!$Y445-83.853*'BMP P Tracking Table'!$X445-42.834*'BMP P Tracking Table'!$W445)+SQRT((3630*'BMP P Tracking Table'!$U445+20.691*'BMP P Tracking Table'!$Z445-216.711*'BMP P Tracking Table'!$Y445-83.853*'BMP P Tracking Table'!$X445-42.834*'BMP P Tracking Table'!$W445)^2-(4*(149.919*'BMP P Tracking Table'!$W445+236.676*'BMP P Tracking Table'!$X445+726*'BMP P Tracking Table'!$Y445+996.798*'BMP P Tracking Table'!$Z445)*-'BMP P Tracking Table'!$AW445)))/(2*(149.919*'BMP P Tracking Table'!$W445+236.676*'BMP P Tracking Table'!$X445+726*'BMP P Tracking Table'!$Y445+996.798*'BMP P Tracking Table'!$Z445)))))),"")</f>
        <v/>
      </c>
      <c r="BA445" s="101" t="str">
        <f>IFERROR((VLOOKUP(CONCATENATE('BMP P Tracking Table'!$AV445," ",'BMP P Tracking Table'!$AX445),'Performance Curves'!$C$1:$L$45,MATCH('BMP P Tracking Table'!$AZ445,'Performance Curves'!$E$1:$L$1,1)+2,FALSE)-VLOOKUP(CONCATENATE('BMP P Tracking Table'!$AV445," ",'BMP P Tracking Table'!$AX445),'Performance Curves'!$C$1:$L$45,MATCH('BMP P Tracking Table'!$AZ445,'Performance Curves'!$E$1:$L$1,1)+1,FALSE)),"")</f>
        <v/>
      </c>
      <c r="BB445" s="101" t="str">
        <f>IFERROR(('BMP P Tracking Table'!$AZ445-INDEX('Performance Curves'!$E$1:$L$1,1,MATCH('BMP P Tracking Table'!$AZ445,'Performance Curves'!$E$1:$L$1,1)))/(INDEX('Performance Curves'!$E$1:$L$1,1,MATCH('BMP P Tracking Table'!$AZ445,'Performance Curves'!$E$1:$L$1,1)+1)-INDEX('Performance Curves'!$E$1:$L$1,1,MATCH('BMP P Tracking Table'!$AZ445,'Performance Curves'!$E$1:$L$1,1))),"")</f>
        <v/>
      </c>
      <c r="BC445" s="102" t="str">
        <f>IFERROR(IF('BMP P Tracking Table'!$AZ445=2,VLOOKUP(CONCATENATE('BMP P Tracking Table'!$AV445," ",'BMP P Tracking Table'!$AX445),'Performance Curves'!$C$1:$L$44,MATCH('BMP P Tracking Table'!$AZ445,'Performance Curves'!$E$1:$L$1,1)+1,FALSE),'BMP P Tracking Table'!$BA445*'BMP P Tracking Table'!$BB445+VLOOKUP(CONCATENATE('BMP P Tracking Table'!$AV445," ",'BMP P Tracking Table'!$AX445),'Performance Curves'!$C$1:$L$44,MATCH('BMP P Tracking Table'!$AZ445,'Performance Curves'!$E$1:$L$1,1)+1,FALSE)),"")</f>
        <v/>
      </c>
      <c r="BD445" s="101" t="str">
        <f>IFERROR('BMP P Tracking Table'!$BC445*'BMP P Tracking Table'!$AY445,"")</f>
        <v/>
      </c>
      <c r="BE445" s="96"/>
      <c r="BF445" s="37">
        <f t="shared" si="25"/>
        <v>0</v>
      </c>
    </row>
    <row r="446" spans="1:58" x14ac:dyDescent="0.3">
      <c r="A446" s="64"/>
      <c r="B446" s="64"/>
      <c r="C446" s="64"/>
      <c r="D446" s="64"/>
      <c r="E446" s="93"/>
      <c r="F446" s="93"/>
      <c r="G446" s="64"/>
      <c r="H446" s="64"/>
      <c r="I446" s="64"/>
      <c r="J446" s="94"/>
      <c r="K446" s="64"/>
      <c r="L446" s="64"/>
      <c r="M446" s="64"/>
      <c r="N446" s="64"/>
      <c r="O446" s="64"/>
      <c r="P446" s="64"/>
      <c r="Q446" s="64" t="str">
        <f>IFERROR(VLOOKUP('BMP P Tracking Table'!$P446,Dropdowns!$C$2:$E$15,3,FALSE),"")</f>
        <v/>
      </c>
      <c r="R446" s="64" t="str">
        <f>IFERROR(VLOOKUP('BMP P Tracking Table'!$Q446,Dropdowns!$P$3:$Q$23,2,FALSE),"")</f>
        <v/>
      </c>
      <c r="S446" s="64"/>
      <c r="T446" s="64"/>
      <c r="U446" s="64"/>
      <c r="V446" s="64"/>
      <c r="W446" s="64"/>
      <c r="X446" s="64"/>
      <c r="Y446" s="64"/>
      <c r="Z446" s="64"/>
      <c r="AA446" s="64"/>
      <c r="AB446" s="95"/>
      <c r="AC446" s="64"/>
      <c r="AD446" s="101" t="str">
        <f>IFERROR('BMP P Tracking Table'!$U446*VLOOKUP('BMP P Tracking Table'!$Q446,'Loading Rates'!$B$1:$L$24,4,FALSE)+IF('BMP P Tracking Table'!$V446="By HSG",'BMP P Tracking Table'!$W446*VLOOKUP('BMP P Tracking Table'!$Q446,'Loading Rates'!$B$1:$L$24,6,FALSE)+'BMP P Tracking Table'!$X446*VLOOKUP('BMP P Tracking Table'!$Q446,'Loading Rates'!$B$1:$L$24,7,FALSE)+'BMP P Tracking Table'!$Y446*VLOOKUP('BMP P Tracking Table'!$Q446,'Loading Rates'!$B$1:$L$24,8,FALSE)+'BMP P Tracking Table'!$Z446*VLOOKUP('BMP P Tracking Table'!$Q446,'Loading Rates'!$B$1:$L$24,9,FALSE),'BMP P Tracking Table'!$AA446*VLOOKUP('BMP P Tracking Table'!$Q446,'Loading Rates'!$B$1:$L$24,10,FALSE)),"")</f>
        <v/>
      </c>
      <c r="AE446" s="101" t="str">
        <f>IFERROR(MIN(2,IF('BMP P Tracking Table'!$V446="Total Pervious",(-(3630*'BMP P Tracking Table'!$U446+20.691*'BMP P Tracking Table'!$AA446)+SQRT((3630*'BMP P Tracking Table'!$U446+20.691*'BMP P Tracking Table'!$AA446)^2-(4*(996.798*'BMP P Tracking Table'!$AA446)*-'BMP P Tracking Table'!$AB446)))/(2*(996.798*'BMP P Tracking Table'!$AA446)),IF(SUM('BMP P Tracking Table'!$W446:$Z446)=0,'BMP P Tracking Table'!$AB446/(-3630*'BMP P Tracking Table'!$U446),(-(3630*'BMP P Tracking Table'!$U446+20.691*'BMP P Tracking Table'!$Z446-216.711*'BMP P Tracking Table'!$Y446-83.853*'BMP P Tracking Table'!$X446-42.834*'BMP P Tracking Table'!$W446)+SQRT((3630*'BMP P Tracking Table'!$U446+20.691*'BMP P Tracking Table'!$Z446-216.711*'BMP P Tracking Table'!$Y446-83.853*'BMP P Tracking Table'!$X446-42.834*'BMP P Tracking Table'!$W446)^2-(4*(149.919*'BMP P Tracking Table'!$W446+236.676*'BMP P Tracking Table'!$X446+726*'BMP P Tracking Table'!$Y446+996.798*'BMP P Tracking Table'!$Z446)*-'BMP P Tracking Table'!$AB446)))/(2*(149.919*'BMP P Tracking Table'!$W446+236.676*'BMP P Tracking Table'!$X446+726*'BMP P Tracking Table'!$Y446+996.798*'BMP P Tracking Table'!$Z446))))),"")</f>
        <v/>
      </c>
      <c r="AF446" s="101" t="str">
        <f>IFERROR((VLOOKUP(CONCATENATE('BMP P Tracking Table'!$T446," ",'BMP P Tracking Table'!$AC446),'Performance Curves'!$C$1:$L$45,MATCH('BMP P Tracking Table'!$AE446,'Performance Curves'!$E$1:$L$1,1)+2,FALSE)-VLOOKUP(CONCATENATE('BMP P Tracking Table'!$T446," ",'BMP P Tracking Table'!$AC446),'Performance Curves'!$C$1:$L$45,MATCH('BMP P Tracking Table'!$AE446,'Performance Curves'!$E$1:$L$1,1)+1,FALSE)),"")</f>
        <v/>
      </c>
      <c r="AG446" s="101" t="str">
        <f>IFERROR(('BMP P Tracking Table'!$AE446-INDEX('Performance Curves'!$E$1:$L$1,1,MATCH('BMP P Tracking Table'!$AE446,'Performance Curves'!$E$1:$L$1,1)))/(INDEX('Performance Curves'!$E$1:$L$1,1,MATCH('BMP P Tracking Table'!$AE446,'Performance Curves'!$E$1:$L$1,1)+1)-INDEX('Performance Curves'!$E$1:$L$1,1,MATCH('BMP P Tracking Table'!$AE446,'Performance Curves'!$E$1:$L$1,1))),"")</f>
        <v/>
      </c>
      <c r="AH446" s="102" t="str">
        <f>IFERROR(IF('BMP P Tracking Table'!$AE446=2,VLOOKUP(CONCATENATE('BMP P Tracking Table'!$T446," ",'BMP P Tracking Table'!$AC446),'Performance Curves'!$C$1:$L$45,MATCH('BMP P Tracking Table'!$AE446,'Performance Curves'!$E$1:$L$1,1)+1,FALSE),'BMP P Tracking Table'!$AF446*'BMP P Tracking Table'!$AG446+VLOOKUP(CONCATENATE('BMP P Tracking Table'!$T446," ",'BMP P Tracking Table'!$AC446),'Performance Curves'!$C$1:$L$45,MATCH('BMP P Tracking Table'!$AE446,'Performance Curves'!$E$1:$L$1,1)+1,FALSE)),"")</f>
        <v/>
      </c>
      <c r="AI446" s="101" t="str">
        <f>IFERROR('BMP P Tracking Table'!$AH446*'BMP P Tracking Table'!$AD446,"")</f>
        <v/>
      </c>
      <c r="AJ446" s="64"/>
      <c r="AK446" s="96"/>
      <c r="AL446" s="96"/>
      <c r="AM446" s="63"/>
      <c r="AN446" s="99" t="str">
        <f t="shared" si="24"/>
        <v/>
      </c>
      <c r="AO446" s="96"/>
      <c r="AP446" s="96"/>
      <c r="AQ446" s="96"/>
      <c r="AR446" s="96"/>
      <c r="AS446" s="96"/>
      <c r="AT446" s="96"/>
      <c r="AU446" s="96"/>
      <c r="AV446" s="64"/>
      <c r="AW446" s="97"/>
      <c r="AX446" s="97"/>
      <c r="AY446" s="101" t="str">
        <f>IF('BMP P Tracking Table'!$AK446="Yes",IF('BMP P Tracking Table'!$AL446="No",'BMP P Tracking Table'!$U446*VLOOKUP('BMP P Tracking Table'!$Q446,'Loading Rates'!$B$1:$L$24,4,FALSE)+IF('BMP P Tracking Table'!$V446="By HSG",'BMP P Tracking Table'!$W446*VLOOKUP('BMP P Tracking Table'!$Q446,'Loading Rates'!$B$1:$L$24,6,FALSE)+'BMP P Tracking Table'!$X446*VLOOKUP('BMP P Tracking Table'!$Q446,'Loading Rates'!$B$1:$L$24,7,FALSE)+'BMP P Tracking Table'!$Y446*VLOOKUP('BMP P Tracking Table'!$Q446,'Loading Rates'!$B$1:$L$24,8,FALSE)+'BMP P Tracking Table'!$Z446*VLOOKUP('BMP P Tracking Table'!$Q446,'Loading Rates'!$B$1:$L$24,9,FALSE),'BMP P Tracking Table'!$AA446*VLOOKUP('BMP P Tracking Table'!$Q446,'Loading Rates'!$B$1:$L$24,10,FALSE)),'BMP P Tracking Table'!$AO446*VLOOKUP('BMP P Tracking Table'!$Q446,'Loading Rates'!$B$1:$L$24,4,FALSE)+IF('BMP P Tracking Table'!$AP446="By HSG",'BMP P Tracking Table'!$AQ446*VLOOKUP('BMP P Tracking Table'!$Q446,'Loading Rates'!$B$1:$L$24,6,FALSE)+'BMP P Tracking Table'!$AR446*VLOOKUP('BMP P Tracking Table'!$Q446,'Loading Rates'!$B$1:$L$24,7,FALSE)+'BMP P Tracking Table'!$AS446*VLOOKUP('BMP P Tracking Table'!$Q446,'Loading Rates'!$B$1:$L$24,8,FALSE)+'BMP P Tracking Table'!$AT446*VLOOKUP('BMP P Tracking Table'!$Q446,'Loading Rates'!$B$1:$L$24,9,FALSE),'BMP P Tracking Table'!$AU446*VLOOKUP('BMP P Tracking Table'!$Q446,'Loading Rates'!$B$1:$L$24,10,FALSE))),"")</f>
        <v/>
      </c>
      <c r="AZ446" s="101" t="str">
        <f>IFERROR(IF('BMP P Tracking Table'!$AL446="Yes",MIN(2,IF('BMP P Tracking Table'!$AP446="Total Pervious",(-(3630*'BMP P Tracking Table'!$AO446+20.691*'BMP P Tracking Table'!$AU446)+SQRT((3630*'BMP P Tracking Table'!$AO446+20.691*'BMP P Tracking Table'!$AU446)^2-(4*(996.798*'BMP P Tracking Table'!$AU446)*-'BMP P Tracking Table'!$AW446)))/(2*(996.798*'BMP P Tracking Table'!$AU446)),IF(SUM('BMP P Tracking Table'!$AQ446:$AT446)=0,'BMP P Tracking Table'!$AU446/(-3630*'BMP P Tracking Table'!$AO446),(-(3630*'BMP P Tracking Table'!$AO446+20.691*'BMP P Tracking Table'!$AT446-216.711*'BMP P Tracking Table'!$AS446-83.853*'BMP P Tracking Table'!$AR446-42.834*'BMP P Tracking Table'!$AQ446)+SQRT((3630*'BMP P Tracking Table'!$AO446+20.691*'BMP P Tracking Table'!$AT446-216.711*'BMP P Tracking Table'!$AS446-83.853*'BMP P Tracking Table'!$AR446-42.834*'BMP P Tracking Table'!$AQ446)^2-(4*(149.919*'BMP P Tracking Table'!$AQ446+236.676*'BMP P Tracking Table'!$AR446+726*'BMP P Tracking Table'!$AS446+996.798*'BMP P Tracking Table'!$AT446)*-'BMP P Tracking Table'!$AW446)))/(2*(149.919*'BMP P Tracking Table'!$AQ446+236.676*'BMP P Tracking Table'!$AR446+726*'BMP P Tracking Table'!$AS446+996.798*'BMP P Tracking Table'!$AT446))))),MIN(2,IF('BMP P Tracking Table'!$AP446="Total Pervious",(-(3630*'BMP P Tracking Table'!$U446+20.691*'BMP P Tracking Table'!$AA446)+SQRT((3630*'BMP P Tracking Table'!$U446+20.691*'BMP P Tracking Table'!$AA446)^2-(4*(996.798*'BMP P Tracking Table'!$AA446)*-'BMP P Tracking Table'!$AW446)))/(2*(996.798*'BMP P Tracking Table'!$AA446)),IF(SUM('BMP P Tracking Table'!$W446:$Z446)=0,'BMP P Tracking Table'!$AW446/(-3630*'BMP P Tracking Table'!$U446),(-(3630*'BMP P Tracking Table'!$U446+20.691*'BMP P Tracking Table'!$Z446-216.711*'BMP P Tracking Table'!$Y446-83.853*'BMP P Tracking Table'!$X446-42.834*'BMP P Tracking Table'!$W446)+SQRT((3630*'BMP P Tracking Table'!$U446+20.691*'BMP P Tracking Table'!$Z446-216.711*'BMP P Tracking Table'!$Y446-83.853*'BMP P Tracking Table'!$X446-42.834*'BMP P Tracking Table'!$W446)^2-(4*(149.919*'BMP P Tracking Table'!$W446+236.676*'BMP P Tracking Table'!$X446+726*'BMP P Tracking Table'!$Y446+996.798*'BMP P Tracking Table'!$Z446)*-'BMP P Tracking Table'!$AW446)))/(2*(149.919*'BMP P Tracking Table'!$W446+236.676*'BMP P Tracking Table'!$X446+726*'BMP P Tracking Table'!$Y446+996.798*'BMP P Tracking Table'!$Z446)))))),"")</f>
        <v/>
      </c>
      <c r="BA446" s="101" t="str">
        <f>IFERROR((VLOOKUP(CONCATENATE('BMP P Tracking Table'!$AV446," ",'BMP P Tracking Table'!$AX446),'Performance Curves'!$C$1:$L$45,MATCH('BMP P Tracking Table'!$AZ446,'Performance Curves'!$E$1:$L$1,1)+2,FALSE)-VLOOKUP(CONCATENATE('BMP P Tracking Table'!$AV446," ",'BMP P Tracking Table'!$AX446),'Performance Curves'!$C$1:$L$45,MATCH('BMP P Tracking Table'!$AZ446,'Performance Curves'!$E$1:$L$1,1)+1,FALSE)),"")</f>
        <v/>
      </c>
      <c r="BB446" s="101" t="str">
        <f>IFERROR(('BMP P Tracking Table'!$AZ446-INDEX('Performance Curves'!$E$1:$L$1,1,MATCH('BMP P Tracking Table'!$AZ446,'Performance Curves'!$E$1:$L$1,1)))/(INDEX('Performance Curves'!$E$1:$L$1,1,MATCH('BMP P Tracking Table'!$AZ446,'Performance Curves'!$E$1:$L$1,1)+1)-INDEX('Performance Curves'!$E$1:$L$1,1,MATCH('BMP P Tracking Table'!$AZ446,'Performance Curves'!$E$1:$L$1,1))),"")</f>
        <v/>
      </c>
      <c r="BC446" s="102" t="str">
        <f>IFERROR(IF('BMP P Tracking Table'!$AZ446=2,VLOOKUP(CONCATENATE('BMP P Tracking Table'!$AV446," ",'BMP P Tracking Table'!$AX446),'Performance Curves'!$C$1:$L$44,MATCH('BMP P Tracking Table'!$AZ446,'Performance Curves'!$E$1:$L$1,1)+1,FALSE),'BMP P Tracking Table'!$BA446*'BMP P Tracking Table'!$BB446+VLOOKUP(CONCATENATE('BMP P Tracking Table'!$AV446," ",'BMP P Tracking Table'!$AX446),'Performance Curves'!$C$1:$L$44,MATCH('BMP P Tracking Table'!$AZ446,'Performance Curves'!$E$1:$L$1,1)+1,FALSE)),"")</f>
        <v/>
      </c>
      <c r="BD446" s="101" t="str">
        <f>IFERROR('BMP P Tracking Table'!$BC446*'BMP P Tracking Table'!$AY446,"")</f>
        <v/>
      </c>
      <c r="BE446" s="91"/>
      <c r="BF446" s="37">
        <f t="shared" si="25"/>
        <v>0</v>
      </c>
    </row>
    <row r="447" spans="1:58" x14ac:dyDescent="0.3">
      <c r="A447" s="64"/>
      <c r="B447" s="64"/>
      <c r="C447" s="64"/>
      <c r="D447" s="64"/>
      <c r="E447" s="93"/>
      <c r="F447" s="93"/>
      <c r="G447" s="64"/>
      <c r="H447" s="64"/>
      <c r="I447" s="64"/>
      <c r="J447" s="94"/>
      <c r="K447" s="64"/>
      <c r="L447" s="64"/>
      <c r="M447" s="64"/>
      <c r="N447" s="64"/>
      <c r="O447" s="64"/>
      <c r="P447" s="64"/>
      <c r="Q447" s="64" t="str">
        <f>IFERROR(VLOOKUP('BMP P Tracking Table'!$P447,Dropdowns!$C$2:$E$15,3,FALSE),"")</f>
        <v/>
      </c>
      <c r="R447" s="64" t="str">
        <f>IFERROR(VLOOKUP('BMP P Tracking Table'!$Q447,Dropdowns!$P$3:$Q$23,2,FALSE),"")</f>
        <v/>
      </c>
      <c r="S447" s="64"/>
      <c r="T447" s="64"/>
      <c r="U447" s="64"/>
      <c r="V447" s="64"/>
      <c r="W447" s="64"/>
      <c r="X447" s="64"/>
      <c r="Y447" s="64"/>
      <c r="Z447" s="64"/>
      <c r="AA447" s="64"/>
      <c r="AB447" s="95"/>
      <c r="AC447" s="64"/>
      <c r="AD447" s="101" t="str">
        <f>IFERROR('BMP P Tracking Table'!$U447*VLOOKUP('BMP P Tracking Table'!$Q447,'Loading Rates'!$B$1:$L$24,4,FALSE)+IF('BMP P Tracking Table'!$V447="By HSG",'BMP P Tracking Table'!$W447*VLOOKUP('BMP P Tracking Table'!$Q447,'Loading Rates'!$B$1:$L$24,6,FALSE)+'BMP P Tracking Table'!$X447*VLOOKUP('BMP P Tracking Table'!$Q447,'Loading Rates'!$B$1:$L$24,7,FALSE)+'BMP P Tracking Table'!$Y447*VLOOKUP('BMP P Tracking Table'!$Q447,'Loading Rates'!$B$1:$L$24,8,FALSE)+'BMP P Tracking Table'!$Z447*VLOOKUP('BMP P Tracking Table'!$Q447,'Loading Rates'!$B$1:$L$24,9,FALSE),'BMP P Tracking Table'!$AA447*VLOOKUP('BMP P Tracking Table'!$Q447,'Loading Rates'!$B$1:$L$24,10,FALSE)),"")</f>
        <v/>
      </c>
      <c r="AE447" s="101" t="str">
        <f>IFERROR(MIN(2,IF('BMP P Tracking Table'!$V447="Total Pervious",(-(3630*'BMP P Tracking Table'!$U447+20.691*'BMP P Tracking Table'!$AA447)+SQRT((3630*'BMP P Tracking Table'!$U447+20.691*'BMP P Tracking Table'!$AA447)^2-(4*(996.798*'BMP P Tracking Table'!$AA447)*-'BMP P Tracking Table'!$AB447)))/(2*(996.798*'BMP P Tracking Table'!$AA447)),IF(SUM('BMP P Tracking Table'!$W447:$Z447)=0,'BMP P Tracking Table'!$AB447/(-3630*'BMP P Tracking Table'!$U447),(-(3630*'BMP P Tracking Table'!$U447+20.691*'BMP P Tracking Table'!$Z447-216.711*'BMP P Tracking Table'!$Y447-83.853*'BMP P Tracking Table'!$X447-42.834*'BMP P Tracking Table'!$W447)+SQRT((3630*'BMP P Tracking Table'!$U447+20.691*'BMP P Tracking Table'!$Z447-216.711*'BMP P Tracking Table'!$Y447-83.853*'BMP P Tracking Table'!$X447-42.834*'BMP P Tracking Table'!$W447)^2-(4*(149.919*'BMP P Tracking Table'!$W447+236.676*'BMP P Tracking Table'!$X447+726*'BMP P Tracking Table'!$Y447+996.798*'BMP P Tracking Table'!$Z447)*-'BMP P Tracking Table'!$AB447)))/(2*(149.919*'BMP P Tracking Table'!$W447+236.676*'BMP P Tracking Table'!$X447+726*'BMP P Tracking Table'!$Y447+996.798*'BMP P Tracking Table'!$Z447))))),"")</f>
        <v/>
      </c>
      <c r="AF447" s="101" t="str">
        <f>IFERROR((VLOOKUP(CONCATENATE('BMP P Tracking Table'!$T447," ",'BMP P Tracking Table'!$AC447),'Performance Curves'!$C$1:$L$45,MATCH('BMP P Tracking Table'!$AE447,'Performance Curves'!$E$1:$L$1,1)+2,FALSE)-VLOOKUP(CONCATENATE('BMP P Tracking Table'!$T447," ",'BMP P Tracking Table'!$AC447),'Performance Curves'!$C$1:$L$45,MATCH('BMP P Tracking Table'!$AE447,'Performance Curves'!$E$1:$L$1,1)+1,FALSE)),"")</f>
        <v/>
      </c>
      <c r="AG447" s="101" t="str">
        <f>IFERROR(('BMP P Tracking Table'!$AE447-INDEX('Performance Curves'!$E$1:$L$1,1,MATCH('BMP P Tracking Table'!$AE447,'Performance Curves'!$E$1:$L$1,1)))/(INDEX('Performance Curves'!$E$1:$L$1,1,MATCH('BMP P Tracking Table'!$AE447,'Performance Curves'!$E$1:$L$1,1)+1)-INDEX('Performance Curves'!$E$1:$L$1,1,MATCH('BMP P Tracking Table'!$AE447,'Performance Curves'!$E$1:$L$1,1))),"")</f>
        <v/>
      </c>
      <c r="AH447" s="102" t="str">
        <f>IFERROR(IF('BMP P Tracking Table'!$AE447=2,VLOOKUP(CONCATENATE('BMP P Tracking Table'!$T447," ",'BMP P Tracking Table'!$AC447),'Performance Curves'!$C$1:$L$45,MATCH('BMP P Tracking Table'!$AE447,'Performance Curves'!$E$1:$L$1,1)+1,FALSE),'BMP P Tracking Table'!$AF447*'BMP P Tracking Table'!$AG447+VLOOKUP(CONCATENATE('BMP P Tracking Table'!$T447," ",'BMP P Tracking Table'!$AC447),'Performance Curves'!$C$1:$L$45,MATCH('BMP P Tracking Table'!$AE447,'Performance Curves'!$E$1:$L$1,1)+1,FALSE)),"")</f>
        <v/>
      </c>
      <c r="AI447" s="101" t="str">
        <f>IFERROR('BMP P Tracking Table'!$AH447*'BMP P Tracking Table'!$AD447,"")</f>
        <v/>
      </c>
      <c r="AJ447" s="64"/>
      <c r="AK447" s="96"/>
      <c r="AL447" s="96"/>
      <c r="AM447" s="63"/>
      <c r="AN447" s="99" t="str">
        <f t="shared" si="24"/>
        <v/>
      </c>
      <c r="AO447" s="96"/>
      <c r="AP447" s="96"/>
      <c r="AQ447" s="96"/>
      <c r="AR447" s="96"/>
      <c r="AS447" s="96"/>
      <c r="AT447" s="96"/>
      <c r="AU447" s="96"/>
      <c r="AV447" s="64"/>
      <c r="AW447" s="97"/>
      <c r="AX447" s="97"/>
      <c r="AY447" s="101" t="str">
        <f>IF('BMP P Tracking Table'!$AK447="Yes",IF('BMP P Tracking Table'!$AL447="No",'BMP P Tracking Table'!$U447*VLOOKUP('BMP P Tracking Table'!$Q447,'Loading Rates'!$B$1:$L$24,4,FALSE)+IF('BMP P Tracking Table'!$V447="By HSG",'BMP P Tracking Table'!$W447*VLOOKUP('BMP P Tracking Table'!$Q447,'Loading Rates'!$B$1:$L$24,6,FALSE)+'BMP P Tracking Table'!$X447*VLOOKUP('BMP P Tracking Table'!$Q447,'Loading Rates'!$B$1:$L$24,7,FALSE)+'BMP P Tracking Table'!$Y447*VLOOKUP('BMP P Tracking Table'!$Q447,'Loading Rates'!$B$1:$L$24,8,FALSE)+'BMP P Tracking Table'!$Z447*VLOOKUP('BMP P Tracking Table'!$Q447,'Loading Rates'!$B$1:$L$24,9,FALSE),'BMP P Tracking Table'!$AA447*VLOOKUP('BMP P Tracking Table'!$Q447,'Loading Rates'!$B$1:$L$24,10,FALSE)),'BMP P Tracking Table'!$AO447*VLOOKUP('BMP P Tracking Table'!$Q447,'Loading Rates'!$B$1:$L$24,4,FALSE)+IF('BMP P Tracking Table'!$AP447="By HSG",'BMP P Tracking Table'!$AQ447*VLOOKUP('BMP P Tracking Table'!$Q447,'Loading Rates'!$B$1:$L$24,6,FALSE)+'BMP P Tracking Table'!$AR447*VLOOKUP('BMP P Tracking Table'!$Q447,'Loading Rates'!$B$1:$L$24,7,FALSE)+'BMP P Tracking Table'!$AS447*VLOOKUP('BMP P Tracking Table'!$Q447,'Loading Rates'!$B$1:$L$24,8,FALSE)+'BMP P Tracking Table'!$AT447*VLOOKUP('BMP P Tracking Table'!$Q447,'Loading Rates'!$B$1:$L$24,9,FALSE),'BMP P Tracking Table'!$AU447*VLOOKUP('BMP P Tracking Table'!$Q447,'Loading Rates'!$B$1:$L$24,10,FALSE))),"")</f>
        <v/>
      </c>
      <c r="AZ447" s="101" t="str">
        <f>IFERROR(IF('BMP P Tracking Table'!$AL447="Yes",MIN(2,IF('BMP P Tracking Table'!$AP447="Total Pervious",(-(3630*'BMP P Tracking Table'!$AO447+20.691*'BMP P Tracking Table'!$AU447)+SQRT((3630*'BMP P Tracking Table'!$AO447+20.691*'BMP P Tracking Table'!$AU447)^2-(4*(996.798*'BMP P Tracking Table'!$AU447)*-'BMP P Tracking Table'!$AW447)))/(2*(996.798*'BMP P Tracking Table'!$AU447)),IF(SUM('BMP P Tracking Table'!$AQ447:$AT447)=0,'BMP P Tracking Table'!$AU447/(-3630*'BMP P Tracking Table'!$AO447),(-(3630*'BMP P Tracking Table'!$AO447+20.691*'BMP P Tracking Table'!$AT447-216.711*'BMP P Tracking Table'!$AS447-83.853*'BMP P Tracking Table'!$AR447-42.834*'BMP P Tracking Table'!$AQ447)+SQRT((3630*'BMP P Tracking Table'!$AO447+20.691*'BMP P Tracking Table'!$AT447-216.711*'BMP P Tracking Table'!$AS447-83.853*'BMP P Tracking Table'!$AR447-42.834*'BMP P Tracking Table'!$AQ447)^2-(4*(149.919*'BMP P Tracking Table'!$AQ447+236.676*'BMP P Tracking Table'!$AR447+726*'BMP P Tracking Table'!$AS447+996.798*'BMP P Tracking Table'!$AT447)*-'BMP P Tracking Table'!$AW447)))/(2*(149.919*'BMP P Tracking Table'!$AQ447+236.676*'BMP P Tracking Table'!$AR447+726*'BMP P Tracking Table'!$AS447+996.798*'BMP P Tracking Table'!$AT447))))),MIN(2,IF('BMP P Tracking Table'!$AP447="Total Pervious",(-(3630*'BMP P Tracking Table'!$U447+20.691*'BMP P Tracking Table'!$AA447)+SQRT((3630*'BMP P Tracking Table'!$U447+20.691*'BMP P Tracking Table'!$AA447)^2-(4*(996.798*'BMP P Tracking Table'!$AA447)*-'BMP P Tracking Table'!$AW447)))/(2*(996.798*'BMP P Tracking Table'!$AA447)),IF(SUM('BMP P Tracking Table'!$W447:$Z447)=0,'BMP P Tracking Table'!$AW447/(-3630*'BMP P Tracking Table'!$U447),(-(3630*'BMP P Tracking Table'!$U447+20.691*'BMP P Tracking Table'!$Z447-216.711*'BMP P Tracking Table'!$Y447-83.853*'BMP P Tracking Table'!$X447-42.834*'BMP P Tracking Table'!$W447)+SQRT((3630*'BMP P Tracking Table'!$U447+20.691*'BMP P Tracking Table'!$Z447-216.711*'BMP P Tracking Table'!$Y447-83.853*'BMP P Tracking Table'!$X447-42.834*'BMP P Tracking Table'!$W447)^2-(4*(149.919*'BMP P Tracking Table'!$W447+236.676*'BMP P Tracking Table'!$X447+726*'BMP P Tracking Table'!$Y447+996.798*'BMP P Tracking Table'!$Z447)*-'BMP P Tracking Table'!$AW447)))/(2*(149.919*'BMP P Tracking Table'!$W447+236.676*'BMP P Tracking Table'!$X447+726*'BMP P Tracking Table'!$Y447+996.798*'BMP P Tracking Table'!$Z447)))))),"")</f>
        <v/>
      </c>
      <c r="BA447" s="101" t="str">
        <f>IFERROR((VLOOKUP(CONCATENATE('BMP P Tracking Table'!$AV447," ",'BMP P Tracking Table'!$AX447),'Performance Curves'!$C$1:$L$45,MATCH('BMP P Tracking Table'!$AZ447,'Performance Curves'!$E$1:$L$1,1)+2,FALSE)-VLOOKUP(CONCATENATE('BMP P Tracking Table'!$AV447," ",'BMP P Tracking Table'!$AX447),'Performance Curves'!$C$1:$L$45,MATCH('BMP P Tracking Table'!$AZ447,'Performance Curves'!$E$1:$L$1,1)+1,FALSE)),"")</f>
        <v/>
      </c>
      <c r="BB447" s="101" t="str">
        <f>IFERROR(('BMP P Tracking Table'!$AZ447-INDEX('Performance Curves'!$E$1:$L$1,1,MATCH('BMP P Tracking Table'!$AZ447,'Performance Curves'!$E$1:$L$1,1)))/(INDEX('Performance Curves'!$E$1:$L$1,1,MATCH('BMP P Tracking Table'!$AZ447,'Performance Curves'!$E$1:$L$1,1)+1)-INDEX('Performance Curves'!$E$1:$L$1,1,MATCH('BMP P Tracking Table'!$AZ447,'Performance Curves'!$E$1:$L$1,1))),"")</f>
        <v/>
      </c>
      <c r="BC447" s="102" t="str">
        <f>IFERROR(IF('BMP P Tracking Table'!$AZ447=2,VLOOKUP(CONCATENATE('BMP P Tracking Table'!$AV447," ",'BMP P Tracking Table'!$AX447),'Performance Curves'!$C$1:$L$44,MATCH('BMP P Tracking Table'!$AZ447,'Performance Curves'!$E$1:$L$1,1)+1,FALSE),'BMP P Tracking Table'!$BA447*'BMP P Tracking Table'!$BB447+VLOOKUP(CONCATENATE('BMP P Tracking Table'!$AV447," ",'BMP P Tracking Table'!$AX447),'Performance Curves'!$C$1:$L$44,MATCH('BMP P Tracking Table'!$AZ447,'Performance Curves'!$E$1:$L$1,1)+1,FALSE)),"")</f>
        <v/>
      </c>
      <c r="BD447" s="101" t="str">
        <f>IFERROR('BMP P Tracking Table'!$BC447*'BMP P Tracking Table'!$AY447,"")</f>
        <v/>
      </c>
      <c r="BE447" s="96"/>
      <c r="BF447" s="37">
        <f t="shared" si="25"/>
        <v>0</v>
      </c>
    </row>
    <row r="448" spans="1:58" x14ac:dyDescent="0.3">
      <c r="A448" s="64"/>
      <c r="B448" s="64"/>
      <c r="C448" s="64"/>
      <c r="D448" s="64"/>
      <c r="E448" s="93"/>
      <c r="F448" s="93"/>
      <c r="G448" s="64"/>
      <c r="H448" s="64"/>
      <c r="I448" s="64"/>
      <c r="J448" s="94"/>
      <c r="K448" s="64"/>
      <c r="L448" s="64"/>
      <c r="M448" s="64"/>
      <c r="N448" s="64"/>
      <c r="O448" s="64"/>
      <c r="P448" s="64"/>
      <c r="Q448" s="64" t="str">
        <f>IFERROR(VLOOKUP('BMP P Tracking Table'!$P448,Dropdowns!$C$2:$E$15,3,FALSE),"")</f>
        <v/>
      </c>
      <c r="R448" s="64" t="str">
        <f>IFERROR(VLOOKUP('BMP P Tracking Table'!$Q448,Dropdowns!$P$3:$Q$23,2,FALSE),"")</f>
        <v/>
      </c>
      <c r="S448" s="64"/>
      <c r="T448" s="64"/>
      <c r="U448" s="64"/>
      <c r="V448" s="64"/>
      <c r="W448" s="64"/>
      <c r="X448" s="64"/>
      <c r="Y448" s="64"/>
      <c r="Z448" s="64"/>
      <c r="AA448" s="64"/>
      <c r="AB448" s="95"/>
      <c r="AC448" s="64"/>
      <c r="AD448" s="101" t="str">
        <f>IFERROR('BMP P Tracking Table'!$U448*VLOOKUP('BMP P Tracking Table'!$Q448,'Loading Rates'!$B$1:$L$24,4,FALSE)+IF('BMP P Tracking Table'!$V448="By HSG",'BMP P Tracking Table'!$W448*VLOOKUP('BMP P Tracking Table'!$Q448,'Loading Rates'!$B$1:$L$24,6,FALSE)+'BMP P Tracking Table'!$X448*VLOOKUP('BMP P Tracking Table'!$Q448,'Loading Rates'!$B$1:$L$24,7,FALSE)+'BMP P Tracking Table'!$Y448*VLOOKUP('BMP P Tracking Table'!$Q448,'Loading Rates'!$B$1:$L$24,8,FALSE)+'BMP P Tracking Table'!$Z448*VLOOKUP('BMP P Tracking Table'!$Q448,'Loading Rates'!$B$1:$L$24,9,FALSE),'BMP P Tracking Table'!$AA448*VLOOKUP('BMP P Tracking Table'!$Q448,'Loading Rates'!$B$1:$L$24,10,FALSE)),"")</f>
        <v/>
      </c>
      <c r="AE448" s="101" t="str">
        <f>IFERROR(MIN(2,IF('BMP P Tracking Table'!$V448="Total Pervious",(-(3630*'BMP P Tracking Table'!$U448+20.691*'BMP P Tracking Table'!$AA448)+SQRT((3630*'BMP P Tracking Table'!$U448+20.691*'BMP P Tracking Table'!$AA448)^2-(4*(996.798*'BMP P Tracking Table'!$AA448)*-'BMP P Tracking Table'!$AB448)))/(2*(996.798*'BMP P Tracking Table'!$AA448)),IF(SUM('BMP P Tracking Table'!$W448:$Z448)=0,'BMP P Tracking Table'!$AB448/(-3630*'BMP P Tracking Table'!$U448),(-(3630*'BMP P Tracking Table'!$U448+20.691*'BMP P Tracking Table'!$Z448-216.711*'BMP P Tracking Table'!$Y448-83.853*'BMP P Tracking Table'!$X448-42.834*'BMP P Tracking Table'!$W448)+SQRT((3630*'BMP P Tracking Table'!$U448+20.691*'BMP P Tracking Table'!$Z448-216.711*'BMP P Tracking Table'!$Y448-83.853*'BMP P Tracking Table'!$X448-42.834*'BMP P Tracking Table'!$W448)^2-(4*(149.919*'BMP P Tracking Table'!$W448+236.676*'BMP P Tracking Table'!$X448+726*'BMP P Tracking Table'!$Y448+996.798*'BMP P Tracking Table'!$Z448)*-'BMP P Tracking Table'!$AB448)))/(2*(149.919*'BMP P Tracking Table'!$W448+236.676*'BMP P Tracking Table'!$X448+726*'BMP P Tracking Table'!$Y448+996.798*'BMP P Tracking Table'!$Z448))))),"")</f>
        <v/>
      </c>
      <c r="AF448" s="101" t="str">
        <f>IFERROR((VLOOKUP(CONCATENATE('BMP P Tracking Table'!$T448," ",'BMP P Tracking Table'!$AC448),'Performance Curves'!$C$1:$L$45,MATCH('BMP P Tracking Table'!$AE448,'Performance Curves'!$E$1:$L$1,1)+2,FALSE)-VLOOKUP(CONCATENATE('BMP P Tracking Table'!$T448," ",'BMP P Tracking Table'!$AC448),'Performance Curves'!$C$1:$L$45,MATCH('BMP P Tracking Table'!$AE448,'Performance Curves'!$E$1:$L$1,1)+1,FALSE)),"")</f>
        <v/>
      </c>
      <c r="AG448" s="101" t="str">
        <f>IFERROR(('BMP P Tracking Table'!$AE448-INDEX('Performance Curves'!$E$1:$L$1,1,MATCH('BMP P Tracking Table'!$AE448,'Performance Curves'!$E$1:$L$1,1)))/(INDEX('Performance Curves'!$E$1:$L$1,1,MATCH('BMP P Tracking Table'!$AE448,'Performance Curves'!$E$1:$L$1,1)+1)-INDEX('Performance Curves'!$E$1:$L$1,1,MATCH('BMP P Tracking Table'!$AE448,'Performance Curves'!$E$1:$L$1,1))),"")</f>
        <v/>
      </c>
      <c r="AH448" s="102" t="str">
        <f>IFERROR(IF('BMP P Tracking Table'!$AE448=2,VLOOKUP(CONCATENATE('BMP P Tracking Table'!$T448," ",'BMP P Tracking Table'!$AC448),'Performance Curves'!$C$1:$L$45,MATCH('BMP P Tracking Table'!$AE448,'Performance Curves'!$E$1:$L$1,1)+1,FALSE),'BMP P Tracking Table'!$AF448*'BMP P Tracking Table'!$AG448+VLOOKUP(CONCATENATE('BMP P Tracking Table'!$T448," ",'BMP P Tracking Table'!$AC448),'Performance Curves'!$C$1:$L$45,MATCH('BMP P Tracking Table'!$AE448,'Performance Curves'!$E$1:$L$1,1)+1,FALSE)),"")</f>
        <v/>
      </c>
      <c r="AI448" s="101" t="str">
        <f>IFERROR('BMP P Tracking Table'!$AH448*'BMP P Tracking Table'!$AD448,"")</f>
        <v/>
      </c>
      <c r="AJ448" s="64"/>
      <c r="AK448" s="96"/>
      <c r="AL448" s="96"/>
      <c r="AM448" s="63"/>
      <c r="AN448" s="99" t="str">
        <f t="shared" si="24"/>
        <v/>
      </c>
      <c r="AO448" s="96"/>
      <c r="AP448" s="96"/>
      <c r="AQ448" s="96"/>
      <c r="AR448" s="96"/>
      <c r="AS448" s="96"/>
      <c r="AT448" s="96"/>
      <c r="AU448" s="96"/>
      <c r="AV448" s="64"/>
      <c r="AW448" s="97"/>
      <c r="AX448" s="97"/>
      <c r="AY448" s="101" t="str">
        <f>IF('BMP P Tracking Table'!$AK448="Yes",IF('BMP P Tracking Table'!$AL448="No",'BMP P Tracking Table'!$U448*VLOOKUP('BMP P Tracking Table'!$Q448,'Loading Rates'!$B$1:$L$24,4,FALSE)+IF('BMP P Tracking Table'!$V448="By HSG",'BMP P Tracking Table'!$W448*VLOOKUP('BMP P Tracking Table'!$Q448,'Loading Rates'!$B$1:$L$24,6,FALSE)+'BMP P Tracking Table'!$X448*VLOOKUP('BMP P Tracking Table'!$Q448,'Loading Rates'!$B$1:$L$24,7,FALSE)+'BMP P Tracking Table'!$Y448*VLOOKUP('BMP P Tracking Table'!$Q448,'Loading Rates'!$B$1:$L$24,8,FALSE)+'BMP P Tracking Table'!$Z448*VLOOKUP('BMP P Tracking Table'!$Q448,'Loading Rates'!$B$1:$L$24,9,FALSE),'BMP P Tracking Table'!$AA448*VLOOKUP('BMP P Tracking Table'!$Q448,'Loading Rates'!$B$1:$L$24,10,FALSE)),'BMP P Tracking Table'!$AO448*VLOOKUP('BMP P Tracking Table'!$Q448,'Loading Rates'!$B$1:$L$24,4,FALSE)+IF('BMP P Tracking Table'!$AP448="By HSG",'BMP P Tracking Table'!$AQ448*VLOOKUP('BMP P Tracking Table'!$Q448,'Loading Rates'!$B$1:$L$24,6,FALSE)+'BMP P Tracking Table'!$AR448*VLOOKUP('BMP P Tracking Table'!$Q448,'Loading Rates'!$B$1:$L$24,7,FALSE)+'BMP P Tracking Table'!$AS448*VLOOKUP('BMP P Tracking Table'!$Q448,'Loading Rates'!$B$1:$L$24,8,FALSE)+'BMP P Tracking Table'!$AT448*VLOOKUP('BMP P Tracking Table'!$Q448,'Loading Rates'!$B$1:$L$24,9,FALSE),'BMP P Tracking Table'!$AU448*VLOOKUP('BMP P Tracking Table'!$Q448,'Loading Rates'!$B$1:$L$24,10,FALSE))),"")</f>
        <v/>
      </c>
      <c r="AZ448" s="101" t="str">
        <f>IFERROR(IF('BMP P Tracking Table'!$AL448="Yes",MIN(2,IF('BMP P Tracking Table'!$AP448="Total Pervious",(-(3630*'BMP P Tracking Table'!$AO448+20.691*'BMP P Tracking Table'!$AU448)+SQRT((3630*'BMP P Tracking Table'!$AO448+20.691*'BMP P Tracking Table'!$AU448)^2-(4*(996.798*'BMP P Tracking Table'!$AU448)*-'BMP P Tracking Table'!$AW448)))/(2*(996.798*'BMP P Tracking Table'!$AU448)),IF(SUM('BMP P Tracking Table'!$AQ448:$AT448)=0,'BMP P Tracking Table'!$AU448/(-3630*'BMP P Tracking Table'!$AO448),(-(3630*'BMP P Tracking Table'!$AO448+20.691*'BMP P Tracking Table'!$AT448-216.711*'BMP P Tracking Table'!$AS448-83.853*'BMP P Tracking Table'!$AR448-42.834*'BMP P Tracking Table'!$AQ448)+SQRT((3630*'BMP P Tracking Table'!$AO448+20.691*'BMP P Tracking Table'!$AT448-216.711*'BMP P Tracking Table'!$AS448-83.853*'BMP P Tracking Table'!$AR448-42.834*'BMP P Tracking Table'!$AQ448)^2-(4*(149.919*'BMP P Tracking Table'!$AQ448+236.676*'BMP P Tracking Table'!$AR448+726*'BMP P Tracking Table'!$AS448+996.798*'BMP P Tracking Table'!$AT448)*-'BMP P Tracking Table'!$AW448)))/(2*(149.919*'BMP P Tracking Table'!$AQ448+236.676*'BMP P Tracking Table'!$AR448+726*'BMP P Tracking Table'!$AS448+996.798*'BMP P Tracking Table'!$AT448))))),MIN(2,IF('BMP P Tracking Table'!$AP448="Total Pervious",(-(3630*'BMP P Tracking Table'!$U448+20.691*'BMP P Tracking Table'!$AA448)+SQRT((3630*'BMP P Tracking Table'!$U448+20.691*'BMP P Tracking Table'!$AA448)^2-(4*(996.798*'BMP P Tracking Table'!$AA448)*-'BMP P Tracking Table'!$AW448)))/(2*(996.798*'BMP P Tracking Table'!$AA448)),IF(SUM('BMP P Tracking Table'!$W448:$Z448)=0,'BMP P Tracking Table'!$AW448/(-3630*'BMP P Tracking Table'!$U448),(-(3630*'BMP P Tracking Table'!$U448+20.691*'BMP P Tracking Table'!$Z448-216.711*'BMP P Tracking Table'!$Y448-83.853*'BMP P Tracking Table'!$X448-42.834*'BMP P Tracking Table'!$W448)+SQRT((3630*'BMP P Tracking Table'!$U448+20.691*'BMP P Tracking Table'!$Z448-216.711*'BMP P Tracking Table'!$Y448-83.853*'BMP P Tracking Table'!$X448-42.834*'BMP P Tracking Table'!$W448)^2-(4*(149.919*'BMP P Tracking Table'!$W448+236.676*'BMP P Tracking Table'!$X448+726*'BMP P Tracking Table'!$Y448+996.798*'BMP P Tracking Table'!$Z448)*-'BMP P Tracking Table'!$AW448)))/(2*(149.919*'BMP P Tracking Table'!$W448+236.676*'BMP P Tracking Table'!$X448+726*'BMP P Tracking Table'!$Y448+996.798*'BMP P Tracking Table'!$Z448)))))),"")</f>
        <v/>
      </c>
      <c r="BA448" s="101" t="str">
        <f>IFERROR((VLOOKUP(CONCATENATE('BMP P Tracking Table'!$AV448," ",'BMP P Tracking Table'!$AX448),'Performance Curves'!$C$1:$L$45,MATCH('BMP P Tracking Table'!$AZ448,'Performance Curves'!$E$1:$L$1,1)+2,FALSE)-VLOOKUP(CONCATENATE('BMP P Tracking Table'!$AV448," ",'BMP P Tracking Table'!$AX448),'Performance Curves'!$C$1:$L$45,MATCH('BMP P Tracking Table'!$AZ448,'Performance Curves'!$E$1:$L$1,1)+1,FALSE)),"")</f>
        <v/>
      </c>
      <c r="BB448" s="101" t="str">
        <f>IFERROR(('BMP P Tracking Table'!$AZ448-INDEX('Performance Curves'!$E$1:$L$1,1,MATCH('BMP P Tracking Table'!$AZ448,'Performance Curves'!$E$1:$L$1,1)))/(INDEX('Performance Curves'!$E$1:$L$1,1,MATCH('BMP P Tracking Table'!$AZ448,'Performance Curves'!$E$1:$L$1,1)+1)-INDEX('Performance Curves'!$E$1:$L$1,1,MATCH('BMP P Tracking Table'!$AZ448,'Performance Curves'!$E$1:$L$1,1))),"")</f>
        <v/>
      </c>
      <c r="BC448" s="102" t="str">
        <f>IFERROR(IF('BMP P Tracking Table'!$AZ448=2,VLOOKUP(CONCATENATE('BMP P Tracking Table'!$AV448," ",'BMP P Tracking Table'!$AX448),'Performance Curves'!$C$1:$L$44,MATCH('BMP P Tracking Table'!$AZ448,'Performance Curves'!$E$1:$L$1,1)+1,FALSE),'BMP P Tracking Table'!$BA448*'BMP P Tracking Table'!$BB448+VLOOKUP(CONCATENATE('BMP P Tracking Table'!$AV448," ",'BMP P Tracking Table'!$AX448),'Performance Curves'!$C$1:$L$44,MATCH('BMP P Tracking Table'!$AZ448,'Performance Curves'!$E$1:$L$1,1)+1,FALSE)),"")</f>
        <v/>
      </c>
      <c r="BD448" s="101" t="str">
        <f>IFERROR('BMP P Tracking Table'!$BC448*'BMP P Tracking Table'!$AY448,"")</f>
        <v/>
      </c>
      <c r="BE448" s="96"/>
      <c r="BF448" s="37">
        <f t="shared" si="25"/>
        <v>0</v>
      </c>
    </row>
    <row r="449" spans="1:58" x14ac:dyDescent="0.3">
      <c r="A449" s="64"/>
      <c r="B449" s="64"/>
      <c r="C449" s="64"/>
      <c r="D449" s="64"/>
      <c r="E449" s="93"/>
      <c r="F449" s="93"/>
      <c r="G449" s="64"/>
      <c r="H449" s="64"/>
      <c r="I449" s="64"/>
      <c r="J449" s="94"/>
      <c r="K449" s="64"/>
      <c r="L449" s="64"/>
      <c r="M449" s="64"/>
      <c r="N449" s="64"/>
      <c r="O449" s="64"/>
      <c r="P449" s="64"/>
      <c r="Q449" s="64" t="str">
        <f>IFERROR(VLOOKUP('BMP P Tracking Table'!$P449,Dropdowns!$C$2:$E$15,3,FALSE),"")</f>
        <v/>
      </c>
      <c r="R449" s="64" t="str">
        <f>IFERROR(VLOOKUP('BMP P Tracking Table'!$Q449,Dropdowns!$P$3:$Q$23,2,FALSE),"")</f>
        <v/>
      </c>
      <c r="S449" s="64"/>
      <c r="T449" s="64"/>
      <c r="U449" s="64"/>
      <c r="V449" s="64"/>
      <c r="W449" s="64"/>
      <c r="X449" s="64"/>
      <c r="Y449" s="64"/>
      <c r="Z449" s="64"/>
      <c r="AA449" s="64"/>
      <c r="AB449" s="95"/>
      <c r="AC449" s="64"/>
      <c r="AD449" s="101" t="str">
        <f>IFERROR('BMP P Tracking Table'!$U449*VLOOKUP('BMP P Tracking Table'!$Q449,'Loading Rates'!$B$1:$L$24,4,FALSE)+IF('BMP P Tracking Table'!$V449="By HSG",'BMP P Tracking Table'!$W449*VLOOKUP('BMP P Tracking Table'!$Q449,'Loading Rates'!$B$1:$L$24,6,FALSE)+'BMP P Tracking Table'!$X449*VLOOKUP('BMP P Tracking Table'!$Q449,'Loading Rates'!$B$1:$L$24,7,FALSE)+'BMP P Tracking Table'!$Y449*VLOOKUP('BMP P Tracking Table'!$Q449,'Loading Rates'!$B$1:$L$24,8,FALSE)+'BMP P Tracking Table'!$Z449*VLOOKUP('BMP P Tracking Table'!$Q449,'Loading Rates'!$B$1:$L$24,9,FALSE),'BMP P Tracking Table'!$AA449*VLOOKUP('BMP P Tracking Table'!$Q449,'Loading Rates'!$B$1:$L$24,10,FALSE)),"")</f>
        <v/>
      </c>
      <c r="AE449" s="101" t="str">
        <f>IFERROR(MIN(2,IF('BMP P Tracking Table'!$V449="Total Pervious",(-(3630*'BMP P Tracking Table'!$U449+20.691*'BMP P Tracking Table'!$AA449)+SQRT((3630*'BMP P Tracking Table'!$U449+20.691*'BMP P Tracking Table'!$AA449)^2-(4*(996.798*'BMP P Tracking Table'!$AA449)*-'BMP P Tracking Table'!$AB449)))/(2*(996.798*'BMP P Tracking Table'!$AA449)),IF(SUM('BMP P Tracking Table'!$W449:$Z449)=0,'BMP P Tracking Table'!$AB449/(-3630*'BMP P Tracking Table'!$U449),(-(3630*'BMP P Tracking Table'!$U449+20.691*'BMP P Tracking Table'!$Z449-216.711*'BMP P Tracking Table'!$Y449-83.853*'BMP P Tracking Table'!$X449-42.834*'BMP P Tracking Table'!$W449)+SQRT((3630*'BMP P Tracking Table'!$U449+20.691*'BMP P Tracking Table'!$Z449-216.711*'BMP P Tracking Table'!$Y449-83.853*'BMP P Tracking Table'!$X449-42.834*'BMP P Tracking Table'!$W449)^2-(4*(149.919*'BMP P Tracking Table'!$W449+236.676*'BMP P Tracking Table'!$X449+726*'BMP P Tracking Table'!$Y449+996.798*'BMP P Tracking Table'!$Z449)*-'BMP P Tracking Table'!$AB449)))/(2*(149.919*'BMP P Tracking Table'!$W449+236.676*'BMP P Tracking Table'!$X449+726*'BMP P Tracking Table'!$Y449+996.798*'BMP P Tracking Table'!$Z449))))),"")</f>
        <v/>
      </c>
      <c r="AF449" s="101" t="str">
        <f>IFERROR((VLOOKUP(CONCATENATE('BMP P Tracking Table'!$T449," ",'BMP P Tracking Table'!$AC449),'Performance Curves'!$C$1:$L$45,MATCH('BMP P Tracking Table'!$AE449,'Performance Curves'!$E$1:$L$1,1)+2,FALSE)-VLOOKUP(CONCATENATE('BMP P Tracking Table'!$T449," ",'BMP P Tracking Table'!$AC449),'Performance Curves'!$C$1:$L$45,MATCH('BMP P Tracking Table'!$AE449,'Performance Curves'!$E$1:$L$1,1)+1,FALSE)),"")</f>
        <v/>
      </c>
      <c r="AG449" s="101" t="str">
        <f>IFERROR(('BMP P Tracking Table'!$AE449-INDEX('Performance Curves'!$E$1:$L$1,1,MATCH('BMP P Tracking Table'!$AE449,'Performance Curves'!$E$1:$L$1,1)))/(INDEX('Performance Curves'!$E$1:$L$1,1,MATCH('BMP P Tracking Table'!$AE449,'Performance Curves'!$E$1:$L$1,1)+1)-INDEX('Performance Curves'!$E$1:$L$1,1,MATCH('BMP P Tracking Table'!$AE449,'Performance Curves'!$E$1:$L$1,1))),"")</f>
        <v/>
      </c>
      <c r="AH449" s="102" t="str">
        <f>IFERROR(IF('BMP P Tracking Table'!$AE449=2,VLOOKUP(CONCATENATE('BMP P Tracking Table'!$T449," ",'BMP P Tracking Table'!$AC449),'Performance Curves'!$C$1:$L$45,MATCH('BMP P Tracking Table'!$AE449,'Performance Curves'!$E$1:$L$1,1)+1,FALSE),'BMP P Tracking Table'!$AF449*'BMP P Tracking Table'!$AG449+VLOOKUP(CONCATENATE('BMP P Tracking Table'!$T449," ",'BMP P Tracking Table'!$AC449),'Performance Curves'!$C$1:$L$45,MATCH('BMP P Tracking Table'!$AE449,'Performance Curves'!$E$1:$L$1,1)+1,FALSE)),"")</f>
        <v/>
      </c>
      <c r="AI449" s="101" t="str">
        <f>IFERROR('BMP P Tracking Table'!$AH449*'BMP P Tracking Table'!$AD449,"")</f>
        <v/>
      </c>
      <c r="AJ449" s="64"/>
      <c r="AK449" s="96"/>
      <c r="AL449" s="96"/>
      <c r="AM449" s="63"/>
      <c r="AN449" s="99" t="str">
        <f t="shared" si="24"/>
        <v/>
      </c>
      <c r="AO449" s="96"/>
      <c r="AP449" s="96"/>
      <c r="AQ449" s="96"/>
      <c r="AR449" s="96"/>
      <c r="AS449" s="96"/>
      <c r="AT449" s="96"/>
      <c r="AU449" s="96"/>
      <c r="AV449" s="64"/>
      <c r="AW449" s="97"/>
      <c r="AX449" s="97"/>
      <c r="AY449" s="101" t="str">
        <f>IF('BMP P Tracking Table'!$AK449="Yes",IF('BMP P Tracking Table'!$AL449="No",'BMP P Tracking Table'!$U449*VLOOKUP('BMP P Tracking Table'!$Q449,'Loading Rates'!$B$1:$L$24,4,FALSE)+IF('BMP P Tracking Table'!$V449="By HSG",'BMP P Tracking Table'!$W449*VLOOKUP('BMP P Tracking Table'!$Q449,'Loading Rates'!$B$1:$L$24,6,FALSE)+'BMP P Tracking Table'!$X449*VLOOKUP('BMP P Tracking Table'!$Q449,'Loading Rates'!$B$1:$L$24,7,FALSE)+'BMP P Tracking Table'!$Y449*VLOOKUP('BMP P Tracking Table'!$Q449,'Loading Rates'!$B$1:$L$24,8,FALSE)+'BMP P Tracking Table'!$Z449*VLOOKUP('BMP P Tracking Table'!$Q449,'Loading Rates'!$B$1:$L$24,9,FALSE),'BMP P Tracking Table'!$AA449*VLOOKUP('BMP P Tracking Table'!$Q449,'Loading Rates'!$B$1:$L$24,10,FALSE)),'BMP P Tracking Table'!$AO449*VLOOKUP('BMP P Tracking Table'!$Q449,'Loading Rates'!$B$1:$L$24,4,FALSE)+IF('BMP P Tracking Table'!$AP449="By HSG",'BMP P Tracking Table'!$AQ449*VLOOKUP('BMP P Tracking Table'!$Q449,'Loading Rates'!$B$1:$L$24,6,FALSE)+'BMP P Tracking Table'!$AR449*VLOOKUP('BMP P Tracking Table'!$Q449,'Loading Rates'!$B$1:$L$24,7,FALSE)+'BMP P Tracking Table'!$AS449*VLOOKUP('BMP P Tracking Table'!$Q449,'Loading Rates'!$B$1:$L$24,8,FALSE)+'BMP P Tracking Table'!$AT449*VLOOKUP('BMP P Tracking Table'!$Q449,'Loading Rates'!$B$1:$L$24,9,FALSE),'BMP P Tracking Table'!$AU449*VLOOKUP('BMP P Tracking Table'!$Q449,'Loading Rates'!$B$1:$L$24,10,FALSE))),"")</f>
        <v/>
      </c>
      <c r="AZ449" s="101" t="str">
        <f>IFERROR(IF('BMP P Tracking Table'!$AL449="Yes",MIN(2,IF('BMP P Tracking Table'!$AP449="Total Pervious",(-(3630*'BMP P Tracking Table'!$AO449+20.691*'BMP P Tracking Table'!$AU449)+SQRT((3630*'BMP P Tracking Table'!$AO449+20.691*'BMP P Tracking Table'!$AU449)^2-(4*(996.798*'BMP P Tracking Table'!$AU449)*-'BMP P Tracking Table'!$AW449)))/(2*(996.798*'BMP P Tracking Table'!$AU449)),IF(SUM('BMP P Tracking Table'!$AQ449:$AT449)=0,'BMP P Tracking Table'!$AU449/(-3630*'BMP P Tracking Table'!$AO449),(-(3630*'BMP P Tracking Table'!$AO449+20.691*'BMP P Tracking Table'!$AT449-216.711*'BMP P Tracking Table'!$AS449-83.853*'BMP P Tracking Table'!$AR449-42.834*'BMP P Tracking Table'!$AQ449)+SQRT((3630*'BMP P Tracking Table'!$AO449+20.691*'BMP P Tracking Table'!$AT449-216.711*'BMP P Tracking Table'!$AS449-83.853*'BMP P Tracking Table'!$AR449-42.834*'BMP P Tracking Table'!$AQ449)^2-(4*(149.919*'BMP P Tracking Table'!$AQ449+236.676*'BMP P Tracking Table'!$AR449+726*'BMP P Tracking Table'!$AS449+996.798*'BMP P Tracking Table'!$AT449)*-'BMP P Tracking Table'!$AW449)))/(2*(149.919*'BMP P Tracking Table'!$AQ449+236.676*'BMP P Tracking Table'!$AR449+726*'BMP P Tracking Table'!$AS449+996.798*'BMP P Tracking Table'!$AT449))))),MIN(2,IF('BMP P Tracking Table'!$AP449="Total Pervious",(-(3630*'BMP P Tracking Table'!$U449+20.691*'BMP P Tracking Table'!$AA449)+SQRT((3630*'BMP P Tracking Table'!$U449+20.691*'BMP P Tracking Table'!$AA449)^2-(4*(996.798*'BMP P Tracking Table'!$AA449)*-'BMP P Tracking Table'!$AW449)))/(2*(996.798*'BMP P Tracking Table'!$AA449)),IF(SUM('BMP P Tracking Table'!$W449:$Z449)=0,'BMP P Tracking Table'!$AW449/(-3630*'BMP P Tracking Table'!$U449),(-(3630*'BMP P Tracking Table'!$U449+20.691*'BMP P Tracking Table'!$Z449-216.711*'BMP P Tracking Table'!$Y449-83.853*'BMP P Tracking Table'!$X449-42.834*'BMP P Tracking Table'!$W449)+SQRT((3630*'BMP P Tracking Table'!$U449+20.691*'BMP P Tracking Table'!$Z449-216.711*'BMP P Tracking Table'!$Y449-83.853*'BMP P Tracking Table'!$X449-42.834*'BMP P Tracking Table'!$W449)^2-(4*(149.919*'BMP P Tracking Table'!$W449+236.676*'BMP P Tracking Table'!$X449+726*'BMP P Tracking Table'!$Y449+996.798*'BMP P Tracking Table'!$Z449)*-'BMP P Tracking Table'!$AW449)))/(2*(149.919*'BMP P Tracking Table'!$W449+236.676*'BMP P Tracking Table'!$X449+726*'BMP P Tracking Table'!$Y449+996.798*'BMP P Tracking Table'!$Z449)))))),"")</f>
        <v/>
      </c>
      <c r="BA449" s="101" t="str">
        <f>IFERROR((VLOOKUP(CONCATENATE('BMP P Tracking Table'!$AV449," ",'BMP P Tracking Table'!$AX449),'Performance Curves'!$C$1:$L$45,MATCH('BMP P Tracking Table'!$AZ449,'Performance Curves'!$E$1:$L$1,1)+2,FALSE)-VLOOKUP(CONCATENATE('BMP P Tracking Table'!$AV449," ",'BMP P Tracking Table'!$AX449),'Performance Curves'!$C$1:$L$45,MATCH('BMP P Tracking Table'!$AZ449,'Performance Curves'!$E$1:$L$1,1)+1,FALSE)),"")</f>
        <v/>
      </c>
      <c r="BB449" s="101" t="str">
        <f>IFERROR(('BMP P Tracking Table'!$AZ449-INDEX('Performance Curves'!$E$1:$L$1,1,MATCH('BMP P Tracking Table'!$AZ449,'Performance Curves'!$E$1:$L$1,1)))/(INDEX('Performance Curves'!$E$1:$L$1,1,MATCH('BMP P Tracking Table'!$AZ449,'Performance Curves'!$E$1:$L$1,1)+1)-INDEX('Performance Curves'!$E$1:$L$1,1,MATCH('BMP P Tracking Table'!$AZ449,'Performance Curves'!$E$1:$L$1,1))),"")</f>
        <v/>
      </c>
      <c r="BC449" s="102" t="str">
        <f>IFERROR(IF('BMP P Tracking Table'!$AZ449=2,VLOOKUP(CONCATENATE('BMP P Tracking Table'!$AV449," ",'BMP P Tracking Table'!$AX449),'Performance Curves'!$C$1:$L$44,MATCH('BMP P Tracking Table'!$AZ449,'Performance Curves'!$E$1:$L$1,1)+1,FALSE),'BMP P Tracking Table'!$BA449*'BMP P Tracking Table'!$BB449+VLOOKUP(CONCATENATE('BMP P Tracking Table'!$AV449," ",'BMP P Tracking Table'!$AX449),'Performance Curves'!$C$1:$L$44,MATCH('BMP P Tracking Table'!$AZ449,'Performance Curves'!$E$1:$L$1,1)+1,FALSE)),"")</f>
        <v/>
      </c>
      <c r="BD449" s="101" t="str">
        <f>IFERROR('BMP P Tracking Table'!$BC449*'BMP P Tracking Table'!$AY449,"")</f>
        <v/>
      </c>
      <c r="BE449" s="96"/>
      <c r="BF449" s="37">
        <f t="shared" si="25"/>
        <v>0</v>
      </c>
    </row>
    <row r="450" spans="1:58" x14ac:dyDescent="0.3">
      <c r="A450" s="64"/>
      <c r="B450" s="64"/>
      <c r="C450" s="64"/>
      <c r="D450" s="64"/>
      <c r="E450" s="93"/>
      <c r="F450" s="93"/>
      <c r="G450" s="64"/>
      <c r="H450" s="64"/>
      <c r="I450" s="64"/>
      <c r="J450" s="94"/>
      <c r="K450" s="64"/>
      <c r="L450" s="64"/>
      <c r="M450" s="64"/>
      <c r="N450" s="64"/>
      <c r="O450" s="64"/>
      <c r="P450" s="64"/>
      <c r="Q450" s="64" t="str">
        <f>IFERROR(VLOOKUP('BMP P Tracking Table'!$P450,Dropdowns!$C$2:$E$15,3,FALSE),"")</f>
        <v/>
      </c>
      <c r="R450" s="64" t="str">
        <f>IFERROR(VLOOKUP('BMP P Tracking Table'!$Q450,Dropdowns!$P$3:$Q$23,2,FALSE),"")</f>
        <v/>
      </c>
      <c r="S450" s="64"/>
      <c r="T450" s="64"/>
      <c r="U450" s="64"/>
      <c r="V450" s="64"/>
      <c r="W450" s="64"/>
      <c r="X450" s="64"/>
      <c r="Y450" s="64"/>
      <c r="Z450" s="64"/>
      <c r="AA450" s="64"/>
      <c r="AB450" s="95"/>
      <c r="AC450" s="64"/>
      <c r="AD450" s="101" t="str">
        <f>IFERROR('BMP P Tracking Table'!$U450*VLOOKUP('BMP P Tracking Table'!$Q450,'Loading Rates'!$B$1:$L$24,4,FALSE)+IF('BMP P Tracking Table'!$V450="By HSG",'BMP P Tracking Table'!$W450*VLOOKUP('BMP P Tracking Table'!$Q450,'Loading Rates'!$B$1:$L$24,6,FALSE)+'BMP P Tracking Table'!$X450*VLOOKUP('BMP P Tracking Table'!$Q450,'Loading Rates'!$B$1:$L$24,7,FALSE)+'BMP P Tracking Table'!$Y450*VLOOKUP('BMP P Tracking Table'!$Q450,'Loading Rates'!$B$1:$L$24,8,FALSE)+'BMP P Tracking Table'!$Z450*VLOOKUP('BMP P Tracking Table'!$Q450,'Loading Rates'!$B$1:$L$24,9,FALSE),'BMP P Tracking Table'!$AA450*VLOOKUP('BMP P Tracking Table'!$Q450,'Loading Rates'!$B$1:$L$24,10,FALSE)),"")</f>
        <v/>
      </c>
      <c r="AE450" s="101" t="str">
        <f>IFERROR(MIN(2,IF('BMP P Tracking Table'!$V450="Total Pervious",(-(3630*'BMP P Tracking Table'!$U450+20.691*'BMP P Tracking Table'!$AA450)+SQRT((3630*'BMP P Tracking Table'!$U450+20.691*'BMP P Tracking Table'!$AA450)^2-(4*(996.798*'BMP P Tracking Table'!$AA450)*-'BMP P Tracking Table'!$AB450)))/(2*(996.798*'BMP P Tracking Table'!$AA450)),IF(SUM('BMP P Tracking Table'!$W450:$Z450)=0,'BMP P Tracking Table'!$AB450/(-3630*'BMP P Tracking Table'!$U450),(-(3630*'BMP P Tracking Table'!$U450+20.691*'BMP P Tracking Table'!$Z450-216.711*'BMP P Tracking Table'!$Y450-83.853*'BMP P Tracking Table'!$X450-42.834*'BMP P Tracking Table'!$W450)+SQRT((3630*'BMP P Tracking Table'!$U450+20.691*'BMP P Tracking Table'!$Z450-216.711*'BMP P Tracking Table'!$Y450-83.853*'BMP P Tracking Table'!$X450-42.834*'BMP P Tracking Table'!$W450)^2-(4*(149.919*'BMP P Tracking Table'!$W450+236.676*'BMP P Tracking Table'!$X450+726*'BMP P Tracking Table'!$Y450+996.798*'BMP P Tracking Table'!$Z450)*-'BMP P Tracking Table'!$AB450)))/(2*(149.919*'BMP P Tracking Table'!$W450+236.676*'BMP P Tracking Table'!$X450+726*'BMP P Tracking Table'!$Y450+996.798*'BMP P Tracking Table'!$Z450))))),"")</f>
        <v/>
      </c>
      <c r="AF450" s="101" t="str">
        <f>IFERROR((VLOOKUP(CONCATENATE('BMP P Tracking Table'!$T450," ",'BMP P Tracking Table'!$AC450),'Performance Curves'!$C$1:$L$45,MATCH('BMP P Tracking Table'!$AE450,'Performance Curves'!$E$1:$L$1,1)+2,FALSE)-VLOOKUP(CONCATENATE('BMP P Tracking Table'!$T450," ",'BMP P Tracking Table'!$AC450),'Performance Curves'!$C$1:$L$45,MATCH('BMP P Tracking Table'!$AE450,'Performance Curves'!$E$1:$L$1,1)+1,FALSE)),"")</f>
        <v/>
      </c>
      <c r="AG450" s="101" t="str">
        <f>IFERROR(('BMP P Tracking Table'!$AE450-INDEX('Performance Curves'!$E$1:$L$1,1,MATCH('BMP P Tracking Table'!$AE450,'Performance Curves'!$E$1:$L$1,1)))/(INDEX('Performance Curves'!$E$1:$L$1,1,MATCH('BMP P Tracking Table'!$AE450,'Performance Curves'!$E$1:$L$1,1)+1)-INDEX('Performance Curves'!$E$1:$L$1,1,MATCH('BMP P Tracking Table'!$AE450,'Performance Curves'!$E$1:$L$1,1))),"")</f>
        <v/>
      </c>
      <c r="AH450" s="102" t="str">
        <f>IFERROR(IF('BMP P Tracking Table'!$AE450=2,VLOOKUP(CONCATENATE('BMP P Tracking Table'!$T450," ",'BMP P Tracking Table'!$AC450),'Performance Curves'!$C$1:$L$45,MATCH('BMP P Tracking Table'!$AE450,'Performance Curves'!$E$1:$L$1,1)+1,FALSE),'BMP P Tracking Table'!$AF450*'BMP P Tracking Table'!$AG450+VLOOKUP(CONCATENATE('BMP P Tracking Table'!$T450," ",'BMP P Tracking Table'!$AC450),'Performance Curves'!$C$1:$L$45,MATCH('BMP P Tracking Table'!$AE450,'Performance Curves'!$E$1:$L$1,1)+1,FALSE)),"")</f>
        <v/>
      </c>
      <c r="AI450" s="101" t="str">
        <f>IFERROR('BMP P Tracking Table'!$AH450*'BMP P Tracking Table'!$AD450,"")</f>
        <v/>
      </c>
      <c r="AJ450" s="64"/>
      <c r="AK450" s="96"/>
      <c r="AL450" s="96"/>
      <c r="AM450" s="63"/>
      <c r="AN450" s="99" t="str">
        <f t="shared" si="24"/>
        <v/>
      </c>
      <c r="AO450" s="96"/>
      <c r="AP450" s="96"/>
      <c r="AQ450" s="96"/>
      <c r="AR450" s="96"/>
      <c r="AS450" s="96"/>
      <c r="AT450" s="96"/>
      <c r="AU450" s="96"/>
      <c r="AV450" s="64"/>
      <c r="AW450" s="97"/>
      <c r="AX450" s="97"/>
      <c r="AY450" s="101" t="str">
        <f>IF('BMP P Tracking Table'!$AK450="Yes",IF('BMP P Tracking Table'!$AL450="No",'BMP P Tracking Table'!$U450*VLOOKUP('BMP P Tracking Table'!$Q450,'Loading Rates'!$B$1:$L$24,4,FALSE)+IF('BMP P Tracking Table'!$V450="By HSG",'BMP P Tracking Table'!$W450*VLOOKUP('BMP P Tracking Table'!$Q450,'Loading Rates'!$B$1:$L$24,6,FALSE)+'BMP P Tracking Table'!$X450*VLOOKUP('BMP P Tracking Table'!$Q450,'Loading Rates'!$B$1:$L$24,7,FALSE)+'BMP P Tracking Table'!$Y450*VLOOKUP('BMP P Tracking Table'!$Q450,'Loading Rates'!$B$1:$L$24,8,FALSE)+'BMP P Tracking Table'!$Z450*VLOOKUP('BMP P Tracking Table'!$Q450,'Loading Rates'!$B$1:$L$24,9,FALSE),'BMP P Tracking Table'!$AA450*VLOOKUP('BMP P Tracking Table'!$Q450,'Loading Rates'!$B$1:$L$24,10,FALSE)),'BMP P Tracking Table'!$AO450*VLOOKUP('BMP P Tracking Table'!$Q450,'Loading Rates'!$B$1:$L$24,4,FALSE)+IF('BMP P Tracking Table'!$AP450="By HSG",'BMP P Tracking Table'!$AQ450*VLOOKUP('BMP P Tracking Table'!$Q450,'Loading Rates'!$B$1:$L$24,6,FALSE)+'BMP P Tracking Table'!$AR450*VLOOKUP('BMP P Tracking Table'!$Q450,'Loading Rates'!$B$1:$L$24,7,FALSE)+'BMP P Tracking Table'!$AS450*VLOOKUP('BMP P Tracking Table'!$Q450,'Loading Rates'!$B$1:$L$24,8,FALSE)+'BMP P Tracking Table'!$AT450*VLOOKUP('BMP P Tracking Table'!$Q450,'Loading Rates'!$B$1:$L$24,9,FALSE),'BMP P Tracking Table'!$AU450*VLOOKUP('BMP P Tracking Table'!$Q450,'Loading Rates'!$B$1:$L$24,10,FALSE))),"")</f>
        <v/>
      </c>
      <c r="AZ450" s="101" t="str">
        <f>IFERROR(IF('BMP P Tracking Table'!$AL450="Yes",MIN(2,IF('BMP P Tracking Table'!$AP450="Total Pervious",(-(3630*'BMP P Tracking Table'!$AO450+20.691*'BMP P Tracking Table'!$AU450)+SQRT((3630*'BMP P Tracking Table'!$AO450+20.691*'BMP P Tracking Table'!$AU450)^2-(4*(996.798*'BMP P Tracking Table'!$AU450)*-'BMP P Tracking Table'!$AW450)))/(2*(996.798*'BMP P Tracking Table'!$AU450)),IF(SUM('BMP P Tracking Table'!$AQ450:$AT450)=0,'BMP P Tracking Table'!$AU450/(-3630*'BMP P Tracking Table'!$AO450),(-(3630*'BMP P Tracking Table'!$AO450+20.691*'BMP P Tracking Table'!$AT450-216.711*'BMP P Tracking Table'!$AS450-83.853*'BMP P Tracking Table'!$AR450-42.834*'BMP P Tracking Table'!$AQ450)+SQRT((3630*'BMP P Tracking Table'!$AO450+20.691*'BMP P Tracking Table'!$AT450-216.711*'BMP P Tracking Table'!$AS450-83.853*'BMP P Tracking Table'!$AR450-42.834*'BMP P Tracking Table'!$AQ450)^2-(4*(149.919*'BMP P Tracking Table'!$AQ450+236.676*'BMP P Tracking Table'!$AR450+726*'BMP P Tracking Table'!$AS450+996.798*'BMP P Tracking Table'!$AT450)*-'BMP P Tracking Table'!$AW450)))/(2*(149.919*'BMP P Tracking Table'!$AQ450+236.676*'BMP P Tracking Table'!$AR450+726*'BMP P Tracking Table'!$AS450+996.798*'BMP P Tracking Table'!$AT450))))),MIN(2,IF('BMP P Tracking Table'!$AP450="Total Pervious",(-(3630*'BMP P Tracking Table'!$U450+20.691*'BMP P Tracking Table'!$AA450)+SQRT((3630*'BMP P Tracking Table'!$U450+20.691*'BMP P Tracking Table'!$AA450)^2-(4*(996.798*'BMP P Tracking Table'!$AA450)*-'BMP P Tracking Table'!$AW450)))/(2*(996.798*'BMP P Tracking Table'!$AA450)),IF(SUM('BMP P Tracking Table'!$W450:$Z450)=0,'BMP P Tracking Table'!$AW450/(-3630*'BMP P Tracking Table'!$U450),(-(3630*'BMP P Tracking Table'!$U450+20.691*'BMP P Tracking Table'!$Z450-216.711*'BMP P Tracking Table'!$Y450-83.853*'BMP P Tracking Table'!$X450-42.834*'BMP P Tracking Table'!$W450)+SQRT((3630*'BMP P Tracking Table'!$U450+20.691*'BMP P Tracking Table'!$Z450-216.711*'BMP P Tracking Table'!$Y450-83.853*'BMP P Tracking Table'!$X450-42.834*'BMP P Tracking Table'!$W450)^2-(4*(149.919*'BMP P Tracking Table'!$W450+236.676*'BMP P Tracking Table'!$X450+726*'BMP P Tracking Table'!$Y450+996.798*'BMP P Tracking Table'!$Z450)*-'BMP P Tracking Table'!$AW450)))/(2*(149.919*'BMP P Tracking Table'!$W450+236.676*'BMP P Tracking Table'!$X450+726*'BMP P Tracking Table'!$Y450+996.798*'BMP P Tracking Table'!$Z450)))))),"")</f>
        <v/>
      </c>
      <c r="BA450" s="101" t="str">
        <f>IFERROR((VLOOKUP(CONCATENATE('BMP P Tracking Table'!$AV450," ",'BMP P Tracking Table'!$AX450),'Performance Curves'!$C$1:$L$45,MATCH('BMP P Tracking Table'!$AZ450,'Performance Curves'!$E$1:$L$1,1)+2,FALSE)-VLOOKUP(CONCATENATE('BMP P Tracking Table'!$AV450," ",'BMP P Tracking Table'!$AX450),'Performance Curves'!$C$1:$L$45,MATCH('BMP P Tracking Table'!$AZ450,'Performance Curves'!$E$1:$L$1,1)+1,FALSE)),"")</f>
        <v/>
      </c>
      <c r="BB450" s="101" t="str">
        <f>IFERROR(('BMP P Tracking Table'!$AZ450-INDEX('Performance Curves'!$E$1:$L$1,1,MATCH('BMP P Tracking Table'!$AZ450,'Performance Curves'!$E$1:$L$1,1)))/(INDEX('Performance Curves'!$E$1:$L$1,1,MATCH('BMP P Tracking Table'!$AZ450,'Performance Curves'!$E$1:$L$1,1)+1)-INDEX('Performance Curves'!$E$1:$L$1,1,MATCH('BMP P Tracking Table'!$AZ450,'Performance Curves'!$E$1:$L$1,1))),"")</f>
        <v/>
      </c>
      <c r="BC450" s="102" t="str">
        <f>IFERROR(IF('BMP P Tracking Table'!$AZ450=2,VLOOKUP(CONCATENATE('BMP P Tracking Table'!$AV450," ",'BMP P Tracking Table'!$AX450),'Performance Curves'!$C$1:$L$44,MATCH('BMP P Tracking Table'!$AZ450,'Performance Curves'!$E$1:$L$1,1)+1,FALSE),'BMP P Tracking Table'!$BA450*'BMP P Tracking Table'!$BB450+VLOOKUP(CONCATENATE('BMP P Tracking Table'!$AV450," ",'BMP P Tracking Table'!$AX450),'Performance Curves'!$C$1:$L$44,MATCH('BMP P Tracking Table'!$AZ450,'Performance Curves'!$E$1:$L$1,1)+1,FALSE)),"")</f>
        <v/>
      </c>
      <c r="BD450" s="101" t="str">
        <f>IFERROR('BMP P Tracking Table'!$BC450*'BMP P Tracking Table'!$AY450,"")</f>
        <v/>
      </c>
      <c r="BE450" s="96"/>
      <c r="BF450" s="37">
        <f t="shared" si="25"/>
        <v>0</v>
      </c>
    </row>
    <row r="451" spans="1:58" x14ac:dyDescent="0.3">
      <c r="A451" s="64"/>
      <c r="B451" s="64"/>
      <c r="C451" s="64"/>
      <c r="D451" s="64"/>
      <c r="E451" s="93"/>
      <c r="F451" s="93"/>
      <c r="G451" s="64"/>
      <c r="H451" s="64"/>
      <c r="I451" s="64"/>
      <c r="J451" s="94"/>
      <c r="K451" s="64"/>
      <c r="L451" s="64"/>
      <c r="M451" s="64"/>
      <c r="N451" s="64"/>
      <c r="O451" s="64"/>
      <c r="P451" s="64"/>
      <c r="Q451" s="64" t="str">
        <f>IFERROR(VLOOKUP('BMP P Tracking Table'!$P451,Dropdowns!$C$2:$E$15,3,FALSE),"")</f>
        <v/>
      </c>
      <c r="R451" s="64" t="str">
        <f>IFERROR(VLOOKUP('BMP P Tracking Table'!$Q451,Dropdowns!$P$3:$Q$23,2,FALSE),"")</f>
        <v/>
      </c>
      <c r="S451" s="64"/>
      <c r="T451" s="64"/>
      <c r="U451" s="64"/>
      <c r="V451" s="64"/>
      <c r="W451" s="64"/>
      <c r="X451" s="64"/>
      <c r="Y451" s="64"/>
      <c r="Z451" s="64"/>
      <c r="AA451" s="64"/>
      <c r="AB451" s="95"/>
      <c r="AC451" s="64"/>
      <c r="AD451" s="101" t="str">
        <f>IFERROR('BMP P Tracking Table'!$U451*VLOOKUP('BMP P Tracking Table'!$Q451,'Loading Rates'!$B$1:$L$24,4,FALSE)+IF('BMP P Tracking Table'!$V451="By HSG",'BMP P Tracking Table'!$W451*VLOOKUP('BMP P Tracking Table'!$Q451,'Loading Rates'!$B$1:$L$24,6,FALSE)+'BMP P Tracking Table'!$X451*VLOOKUP('BMP P Tracking Table'!$Q451,'Loading Rates'!$B$1:$L$24,7,FALSE)+'BMP P Tracking Table'!$Y451*VLOOKUP('BMP P Tracking Table'!$Q451,'Loading Rates'!$B$1:$L$24,8,FALSE)+'BMP P Tracking Table'!$Z451*VLOOKUP('BMP P Tracking Table'!$Q451,'Loading Rates'!$B$1:$L$24,9,FALSE),'BMP P Tracking Table'!$AA451*VLOOKUP('BMP P Tracking Table'!$Q451,'Loading Rates'!$B$1:$L$24,10,FALSE)),"")</f>
        <v/>
      </c>
      <c r="AE451" s="101" t="str">
        <f>IFERROR(MIN(2,IF('BMP P Tracking Table'!$V451="Total Pervious",(-(3630*'BMP P Tracking Table'!$U451+20.691*'BMP P Tracking Table'!$AA451)+SQRT((3630*'BMP P Tracking Table'!$U451+20.691*'BMP P Tracking Table'!$AA451)^2-(4*(996.798*'BMP P Tracking Table'!$AA451)*-'BMP P Tracking Table'!$AB451)))/(2*(996.798*'BMP P Tracking Table'!$AA451)),IF(SUM('BMP P Tracking Table'!$W451:$Z451)=0,'BMP P Tracking Table'!$AB451/(-3630*'BMP P Tracking Table'!$U451),(-(3630*'BMP P Tracking Table'!$U451+20.691*'BMP P Tracking Table'!$Z451-216.711*'BMP P Tracking Table'!$Y451-83.853*'BMP P Tracking Table'!$X451-42.834*'BMP P Tracking Table'!$W451)+SQRT((3630*'BMP P Tracking Table'!$U451+20.691*'BMP P Tracking Table'!$Z451-216.711*'BMP P Tracking Table'!$Y451-83.853*'BMP P Tracking Table'!$X451-42.834*'BMP P Tracking Table'!$W451)^2-(4*(149.919*'BMP P Tracking Table'!$W451+236.676*'BMP P Tracking Table'!$X451+726*'BMP P Tracking Table'!$Y451+996.798*'BMP P Tracking Table'!$Z451)*-'BMP P Tracking Table'!$AB451)))/(2*(149.919*'BMP P Tracking Table'!$W451+236.676*'BMP P Tracking Table'!$X451+726*'BMP P Tracking Table'!$Y451+996.798*'BMP P Tracking Table'!$Z451))))),"")</f>
        <v/>
      </c>
      <c r="AF451" s="101" t="str">
        <f>IFERROR((VLOOKUP(CONCATENATE('BMP P Tracking Table'!$T451," ",'BMP P Tracking Table'!$AC451),'Performance Curves'!$C$1:$L$45,MATCH('BMP P Tracking Table'!$AE451,'Performance Curves'!$E$1:$L$1,1)+2,FALSE)-VLOOKUP(CONCATENATE('BMP P Tracking Table'!$T451," ",'BMP P Tracking Table'!$AC451),'Performance Curves'!$C$1:$L$45,MATCH('BMP P Tracking Table'!$AE451,'Performance Curves'!$E$1:$L$1,1)+1,FALSE)),"")</f>
        <v/>
      </c>
      <c r="AG451" s="101" t="str">
        <f>IFERROR(('BMP P Tracking Table'!$AE451-INDEX('Performance Curves'!$E$1:$L$1,1,MATCH('BMP P Tracking Table'!$AE451,'Performance Curves'!$E$1:$L$1,1)))/(INDEX('Performance Curves'!$E$1:$L$1,1,MATCH('BMP P Tracking Table'!$AE451,'Performance Curves'!$E$1:$L$1,1)+1)-INDEX('Performance Curves'!$E$1:$L$1,1,MATCH('BMP P Tracking Table'!$AE451,'Performance Curves'!$E$1:$L$1,1))),"")</f>
        <v/>
      </c>
      <c r="AH451" s="102" t="str">
        <f>IFERROR(IF('BMP P Tracking Table'!$AE451=2,VLOOKUP(CONCATENATE('BMP P Tracking Table'!$T451," ",'BMP P Tracking Table'!$AC451),'Performance Curves'!$C$1:$L$45,MATCH('BMP P Tracking Table'!$AE451,'Performance Curves'!$E$1:$L$1,1)+1,FALSE),'BMP P Tracking Table'!$AF451*'BMP P Tracking Table'!$AG451+VLOOKUP(CONCATENATE('BMP P Tracking Table'!$T451," ",'BMP P Tracking Table'!$AC451),'Performance Curves'!$C$1:$L$45,MATCH('BMP P Tracking Table'!$AE451,'Performance Curves'!$E$1:$L$1,1)+1,FALSE)),"")</f>
        <v/>
      </c>
      <c r="AI451" s="101" t="str">
        <f>IFERROR('BMP P Tracking Table'!$AH451*'BMP P Tracking Table'!$AD451,"")</f>
        <v/>
      </c>
      <c r="AJ451" s="64"/>
      <c r="AK451" s="96"/>
      <c r="AL451" s="96"/>
      <c r="AM451" s="63"/>
      <c r="AN451" s="99" t="str">
        <f t="shared" si="24"/>
        <v/>
      </c>
      <c r="AO451" s="96"/>
      <c r="AP451" s="96"/>
      <c r="AQ451" s="96"/>
      <c r="AR451" s="96"/>
      <c r="AS451" s="96"/>
      <c r="AT451" s="96"/>
      <c r="AU451" s="96"/>
      <c r="AV451" s="64"/>
      <c r="AW451" s="97"/>
      <c r="AX451" s="97"/>
      <c r="AY451" s="101" t="str">
        <f>IF('BMP P Tracking Table'!$AK451="Yes",IF('BMP P Tracking Table'!$AL451="No",'BMP P Tracking Table'!$U451*VLOOKUP('BMP P Tracking Table'!$Q451,'Loading Rates'!$B$1:$L$24,4,FALSE)+IF('BMP P Tracking Table'!$V451="By HSG",'BMP P Tracking Table'!$W451*VLOOKUP('BMP P Tracking Table'!$Q451,'Loading Rates'!$B$1:$L$24,6,FALSE)+'BMP P Tracking Table'!$X451*VLOOKUP('BMP P Tracking Table'!$Q451,'Loading Rates'!$B$1:$L$24,7,FALSE)+'BMP P Tracking Table'!$Y451*VLOOKUP('BMP P Tracking Table'!$Q451,'Loading Rates'!$B$1:$L$24,8,FALSE)+'BMP P Tracking Table'!$Z451*VLOOKUP('BMP P Tracking Table'!$Q451,'Loading Rates'!$B$1:$L$24,9,FALSE),'BMP P Tracking Table'!$AA451*VLOOKUP('BMP P Tracking Table'!$Q451,'Loading Rates'!$B$1:$L$24,10,FALSE)),'BMP P Tracking Table'!$AO451*VLOOKUP('BMP P Tracking Table'!$Q451,'Loading Rates'!$B$1:$L$24,4,FALSE)+IF('BMP P Tracking Table'!$AP451="By HSG",'BMP P Tracking Table'!$AQ451*VLOOKUP('BMP P Tracking Table'!$Q451,'Loading Rates'!$B$1:$L$24,6,FALSE)+'BMP P Tracking Table'!$AR451*VLOOKUP('BMP P Tracking Table'!$Q451,'Loading Rates'!$B$1:$L$24,7,FALSE)+'BMP P Tracking Table'!$AS451*VLOOKUP('BMP P Tracking Table'!$Q451,'Loading Rates'!$B$1:$L$24,8,FALSE)+'BMP P Tracking Table'!$AT451*VLOOKUP('BMP P Tracking Table'!$Q451,'Loading Rates'!$B$1:$L$24,9,FALSE),'BMP P Tracking Table'!$AU451*VLOOKUP('BMP P Tracking Table'!$Q451,'Loading Rates'!$B$1:$L$24,10,FALSE))),"")</f>
        <v/>
      </c>
      <c r="AZ451" s="101" t="str">
        <f>IFERROR(IF('BMP P Tracking Table'!$AL451="Yes",MIN(2,IF('BMP P Tracking Table'!$AP451="Total Pervious",(-(3630*'BMP P Tracking Table'!$AO451+20.691*'BMP P Tracking Table'!$AU451)+SQRT((3630*'BMP P Tracking Table'!$AO451+20.691*'BMP P Tracking Table'!$AU451)^2-(4*(996.798*'BMP P Tracking Table'!$AU451)*-'BMP P Tracking Table'!$AW451)))/(2*(996.798*'BMP P Tracking Table'!$AU451)),IF(SUM('BMP P Tracking Table'!$AQ451:$AT451)=0,'BMP P Tracking Table'!$AU451/(-3630*'BMP P Tracking Table'!$AO451),(-(3630*'BMP P Tracking Table'!$AO451+20.691*'BMP P Tracking Table'!$AT451-216.711*'BMP P Tracking Table'!$AS451-83.853*'BMP P Tracking Table'!$AR451-42.834*'BMP P Tracking Table'!$AQ451)+SQRT((3630*'BMP P Tracking Table'!$AO451+20.691*'BMP P Tracking Table'!$AT451-216.711*'BMP P Tracking Table'!$AS451-83.853*'BMP P Tracking Table'!$AR451-42.834*'BMP P Tracking Table'!$AQ451)^2-(4*(149.919*'BMP P Tracking Table'!$AQ451+236.676*'BMP P Tracking Table'!$AR451+726*'BMP P Tracking Table'!$AS451+996.798*'BMP P Tracking Table'!$AT451)*-'BMP P Tracking Table'!$AW451)))/(2*(149.919*'BMP P Tracking Table'!$AQ451+236.676*'BMP P Tracking Table'!$AR451+726*'BMP P Tracking Table'!$AS451+996.798*'BMP P Tracking Table'!$AT451))))),MIN(2,IF('BMP P Tracking Table'!$AP451="Total Pervious",(-(3630*'BMP P Tracking Table'!$U451+20.691*'BMP P Tracking Table'!$AA451)+SQRT((3630*'BMP P Tracking Table'!$U451+20.691*'BMP P Tracking Table'!$AA451)^2-(4*(996.798*'BMP P Tracking Table'!$AA451)*-'BMP P Tracking Table'!$AW451)))/(2*(996.798*'BMP P Tracking Table'!$AA451)),IF(SUM('BMP P Tracking Table'!$W451:$Z451)=0,'BMP P Tracking Table'!$AW451/(-3630*'BMP P Tracking Table'!$U451),(-(3630*'BMP P Tracking Table'!$U451+20.691*'BMP P Tracking Table'!$Z451-216.711*'BMP P Tracking Table'!$Y451-83.853*'BMP P Tracking Table'!$X451-42.834*'BMP P Tracking Table'!$W451)+SQRT((3630*'BMP P Tracking Table'!$U451+20.691*'BMP P Tracking Table'!$Z451-216.711*'BMP P Tracking Table'!$Y451-83.853*'BMP P Tracking Table'!$X451-42.834*'BMP P Tracking Table'!$W451)^2-(4*(149.919*'BMP P Tracking Table'!$W451+236.676*'BMP P Tracking Table'!$X451+726*'BMP P Tracking Table'!$Y451+996.798*'BMP P Tracking Table'!$Z451)*-'BMP P Tracking Table'!$AW451)))/(2*(149.919*'BMP P Tracking Table'!$W451+236.676*'BMP P Tracking Table'!$X451+726*'BMP P Tracking Table'!$Y451+996.798*'BMP P Tracking Table'!$Z451)))))),"")</f>
        <v/>
      </c>
      <c r="BA451" s="101" t="str">
        <f>IFERROR((VLOOKUP(CONCATENATE('BMP P Tracking Table'!$AV451," ",'BMP P Tracking Table'!$AX451),'Performance Curves'!$C$1:$L$45,MATCH('BMP P Tracking Table'!$AZ451,'Performance Curves'!$E$1:$L$1,1)+2,FALSE)-VLOOKUP(CONCATENATE('BMP P Tracking Table'!$AV451," ",'BMP P Tracking Table'!$AX451),'Performance Curves'!$C$1:$L$45,MATCH('BMP P Tracking Table'!$AZ451,'Performance Curves'!$E$1:$L$1,1)+1,FALSE)),"")</f>
        <v/>
      </c>
      <c r="BB451" s="101" t="str">
        <f>IFERROR(('BMP P Tracking Table'!$AZ451-INDEX('Performance Curves'!$E$1:$L$1,1,MATCH('BMP P Tracking Table'!$AZ451,'Performance Curves'!$E$1:$L$1,1)))/(INDEX('Performance Curves'!$E$1:$L$1,1,MATCH('BMP P Tracking Table'!$AZ451,'Performance Curves'!$E$1:$L$1,1)+1)-INDEX('Performance Curves'!$E$1:$L$1,1,MATCH('BMP P Tracking Table'!$AZ451,'Performance Curves'!$E$1:$L$1,1))),"")</f>
        <v/>
      </c>
      <c r="BC451" s="102" t="str">
        <f>IFERROR(IF('BMP P Tracking Table'!$AZ451=2,VLOOKUP(CONCATENATE('BMP P Tracking Table'!$AV451," ",'BMP P Tracking Table'!$AX451),'Performance Curves'!$C$1:$L$44,MATCH('BMP P Tracking Table'!$AZ451,'Performance Curves'!$E$1:$L$1,1)+1,FALSE),'BMP P Tracking Table'!$BA451*'BMP P Tracking Table'!$BB451+VLOOKUP(CONCATENATE('BMP P Tracking Table'!$AV451," ",'BMP P Tracking Table'!$AX451),'Performance Curves'!$C$1:$L$44,MATCH('BMP P Tracking Table'!$AZ451,'Performance Curves'!$E$1:$L$1,1)+1,FALSE)),"")</f>
        <v/>
      </c>
      <c r="BD451" s="101" t="str">
        <f>IFERROR('BMP P Tracking Table'!$BC451*'BMP P Tracking Table'!$AY451,"")</f>
        <v/>
      </c>
      <c r="BE451" s="96"/>
      <c r="BF451" s="37">
        <f t="shared" si="25"/>
        <v>0</v>
      </c>
    </row>
    <row r="452" spans="1:58" x14ac:dyDescent="0.3">
      <c r="A452" s="64"/>
      <c r="B452" s="64"/>
      <c r="C452" s="64"/>
      <c r="D452" s="64"/>
      <c r="E452" s="93"/>
      <c r="F452" s="93"/>
      <c r="G452" s="64"/>
      <c r="H452" s="64"/>
      <c r="I452" s="64"/>
      <c r="J452" s="94"/>
      <c r="K452" s="64"/>
      <c r="L452" s="64"/>
      <c r="M452" s="64"/>
      <c r="N452" s="64"/>
      <c r="O452" s="64"/>
      <c r="P452" s="64"/>
      <c r="Q452" s="64" t="str">
        <f>IFERROR(VLOOKUP('BMP P Tracking Table'!$P452,Dropdowns!$C$2:$E$15,3,FALSE),"")</f>
        <v/>
      </c>
      <c r="R452" s="64" t="str">
        <f>IFERROR(VLOOKUP('BMP P Tracking Table'!$Q452,Dropdowns!$P$3:$Q$23,2,FALSE),"")</f>
        <v/>
      </c>
      <c r="S452" s="64"/>
      <c r="T452" s="64"/>
      <c r="U452" s="64"/>
      <c r="V452" s="64"/>
      <c r="W452" s="64"/>
      <c r="X452" s="64"/>
      <c r="Y452" s="64"/>
      <c r="Z452" s="64"/>
      <c r="AA452" s="64"/>
      <c r="AB452" s="95"/>
      <c r="AC452" s="64"/>
      <c r="AD452" s="101" t="str">
        <f>IFERROR('BMP P Tracking Table'!$U452*VLOOKUP('BMP P Tracking Table'!$Q452,'Loading Rates'!$B$1:$L$24,4,FALSE)+IF('BMP P Tracking Table'!$V452="By HSG",'BMP P Tracking Table'!$W452*VLOOKUP('BMP P Tracking Table'!$Q452,'Loading Rates'!$B$1:$L$24,6,FALSE)+'BMP P Tracking Table'!$X452*VLOOKUP('BMP P Tracking Table'!$Q452,'Loading Rates'!$B$1:$L$24,7,FALSE)+'BMP P Tracking Table'!$Y452*VLOOKUP('BMP P Tracking Table'!$Q452,'Loading Rates'!$B$1:$L$24,8,FALSE)+'BMP P Tracking Table'!$Z452*VLOOKUP('BMP P Tracking Table'!$Q452,'Loading Rates'!$B$1:$L$24,9,FALSE),'BMP P Tracking Table'!$AA452*VLOOKUP('BMP P Tracking Table'!$Q452,'Loading Rates'!$B$1:$L$24,10,FALSE)),"")</f>
        <v/>
      </c>
      <c r="AE452" s="101" t="str">
        <f>IFERROR(MIN(2,IF('BMP P Tracking Table'!$V452="Total Pervious",(-(3630*'BMP P Tracking Table'!$U452+20.691*'BMP P Tracking Table'!$AA452)+SQRT((3630*'BMP P Tracking Table'!$U452+20.691*'BMP P Tracking Table'!$AA452)^2-(4*(996.798*'BMP P Tracking Table'!$AA452)*-'BMP P Tracking Table'!$AB452)))/(2*(996.798*'BMP P Tracking Table'!$AA452)),IF(SUM('BMP P Tracking Table'!$W452:$Z452)=0,'BMP P Tracking Table'!$AB452/(-3630*'BMP P Tracking Table'!$U452),(-(3630*'BMP P Tracking Table'!$U452+20.691*'BMP P Tracking Table'!$Z452-216.711*'BMP P Tracking Table'!$Y452-83.853*'BMP P Tracking Table'!$X452-42.834*'BMP P Tracking Table'!$W452)+SQRT((3630*'BMP P Tracking Table'!$U452+20.691*'BMP P Tracking Table'!$Z452-216.711*'BMP P Tracking Table'!$Y452-83.853*'BMP P Tracking Table'!$X452-42.834*'BMP P Tracking Table'!$W452)^2-(4*(149.919*'BMP P Tracking Table'!$W452+236.676*'BMP P Tracking Table'!$X452+726*'BMP P Tracking Table'!$Y452+996.798*'BMP P Tracking Table'!$Z452)*-'BMP P Tracking Table'!$AB452)))/(2*(149.919*'BMP P Tracking Table'!$W452+236.676*'BMP P Tracking Table'!$X452+726*'BMP P Tracking Table'!$Y452+996.798*'BMP P Tracking Table'!$Z452))))),"")</f>
        <v/>
      </c>
      <c r="AF452" s="101" t="str">
        <f>IFERROR((VLOOKUP(CONCATENATE('BMP P Tracking Table'!$T452," ",'BMP P Tracking Table'!$AC452),'Performance Curves'!$C$1:$L$45,MATCH('BMP P Tracking Table'!$AE452,'Performance Curves'!$E$1:$L$1,1)+2,FALSE)-VLOOKUP(CONCATENATE('BMP P Tracking Table'!$T452," ",'BMP P Tracking Table'!$AC452),'Performance Curves'!$C$1:$L$45,MATCH('BMP P Tracking Table'!$AE452,'Performance Curves'!$E$1:$L$1,1)+1,FALSE)),"")</f>
        <v/>
      </c>
      <c r="AG452" s="101" t="str">
        <f>IFERROR(('BMP P Tracking Table'!$AE452-INDEX('Performance Curves'!$E$1:$L$1,1,MATCH('BMP P Tracking Table'!$AE452,'Performance Curves'!$E$1:$L$1,1)))/(INDEX('Performance Curves'!$E$1:$L$1,1,MATCH('BMP P Tracking Table'!$AE452,'Performance Curves'!$E$1:$L$1,1)+1)-INDEX('Performance Curves'!$E$1:$L$1,1,MATCH('BMP P Tracking Table'!$AE452,'Performance Curves'!$E$1:$L$1,1))),"")</f>
        <v/>
      </c>
      <c r="AH452" s="102" t="str">
        <f>IFERROR(IF('BMP P Tracking Table'!$AE452=2,VLOOKUP(CONCATENATE('BMP P Tracking Table'!$T452," ",'BMP P Tracking Table'!$AC452),'Performance Curves'!$C$1:$L$45,MATCH('BMP P Tracking Table'!$AE452,'Performance Curves'!$E$1:$L$1,1)+1,FALSE),'BMP P Tracking Table'!$AF452*'BMP P Tracking Table'!$AG452+VLOOKUP(CONCATENATE('BMP P Tracking Table'!$T452," ",'BMP P Tracking Table'!$AC452),'Performance Curves'!$C$1:$L$45,MATCH('BMP P Tracking Table'!$AE452,'Performance Curves'!$E$1:$L$1,1)+1,FALSE)),"")</f>
        <v/>
      </c>
      <c r="AI452" s="101" t="str">
        <f>IFERROR('BMP P Tracking Table'!$AH452*'BMP P Tracking Table'!$AD452,"")</f>
        <v/>
      </c>
      <c r="AJ452" s="64"/>
      <c r="AK452" s="96"/>
      <c r="AL452" s="96"/>
      <c r="AM452" s="63"/>
      <c r="AN452" s="99" t="str">
        <f t="shared" si="24"/>
        <v/>
      </c>
      <c r="AO452" s="96"/>
      <c r="AP452" s="96"/>
      <c r="AQ452" s="96"/>
      <c r="AR452" s="96"/>
      <c r="AS452" s="96"/>
      <c r="AT452" s="96"/>
      <c r="AU452" s="96"/>
      <c r="AV452" s="64"/>
      <c r="AW452" s="97"/>
      <c r="AX452" s="97"/>
      <c r="AY452" s="101" t="str">
        <f>IF('BMP P Tracking Table'!$AK452="Yes",IF('BMP P Tracking Table'!$AL452="No",'BMP P Tracking Table'!$U452*VLOOKUP('BMP P Tracking Table'!$Q452,'Loading Rates'!$B$1:$L$24,4,FALSE)+IF('BMP P Tracking Table'!$V452="By HSG",'BMP P Tracking Table'!$W452*VLOOKUP('BMP P Tracking Table'!$Q452,'Loading Rates'!$B$1:$L$24,6,FALSE)+'BMP P Tracking Table'!$X452*VLOOKUP('BMP P Tracking Table'!$Q452,'Loading Rates'!$B$1:$L$24,7,FALSE)+'BMP P Tracking Table'!$Y452*VLOOKUP('BMP P Tracking Table'!$Q452,'Loading Rates'!$B$1:$L$24,8,FALSE)+'BMP P Tracking Table'!$Z452*VLOOKUP('BMP P Tracking Table'!$Q452,'Loading Rates'!$B$1:$L$24,9,FALSE),'BMP P Tracking Table'!$AA452*VLOOKUP('BMP P Tracking Table'!$Q452,'Loading Rates'!$B$1:$L$24,10,FALSE)),'BMP P Tracking Table'!$AO452*VLOOKUP('BMP P Tracking Table'!$Q452,'Loading Rates'!$B$1:$L$24,4,FALSE)+IF('BMP P Tracking Table'!$AP452="By HSG",'BMP P Tracking Table'!$AQ452*VLOOKUP('BMP P Tracking Table'!$Q452,'Loading Rates'!$B$1:$L$24,6,FALSE)+'BMP P Tracking Table'!$AR452*VLOOKUP('BMP P Tracking Table'!$Q452,'Loading Rates'!$B$1:$L$24,7,FALSE)+'BMP P Tracking Table'!$AS452*VLOOKUP('BMP P Tracking Table'!$Q452,'Loading Rates'!$B$1:$L$24,8,FALSE)+'BMP P Tracking Table'!$AT452*VLOOKUP('BMP P Tracking Table'!$Q452,'Loading Rates'!$B$1:$L$24,9,FALSE),'BMP P Tracking Table'!$AU452*VLOOKUP('BMP P Tracking Table'!$Q452,'Loading Rates'!$B$1:$L$24,10,FALSE))),"")</f>
        <v/>
      </c>
      <c r="AZ452" s="101" t="str">
        <f>IFERROR(IF('BMP P Tracking Table'!$AL452="Yes",MIN(2,IF('BMP P Tracking Table'!$AP452="Total Pervious",(-(3630*'BMP P Tracking Table'!$AO452+20.691*'BMP P Tracking Table'!$AU452)+SQRT((3630*'BMP P Tracking Table'!$AO452+20.691*'BMP P Tracking Table'!$AU452)^2-(4*(996.798*'BMP P Tracking Table'!$AU452)*-'BMP P Tracking Table'!$AW452)))/(2*(996.798*'BMP P Tracking Table'!$AU452)),IF(SUM('BMP P Tracking Table'!$AQ452:$AT452)=0,'BMP P Tracking Table'!$AU452/(-3630*'BMP P Tracking Table'!$AO452),(-(3630*'BMP P Tracking Table'!$AO452+20.691*'BMP P Tracking Table'!$AT452-216.711*'BMP P Tracking Table'!$AS452-83.853*'BMP P Tracking Table'!$AR452-42.834*'BMP P Tracking Table'!$AQ452)+SQRT((3630*'BMP P Tracking Table'!$AO452+20.691*'BMP P Tracking Table'!$AT452-216.711*'BMP P Tracking Table'!$AS452-83.853*'BMP P Tracking Table'!$AR452-42.834*'BMP P Tracking Table'!$AQ452)^2-(4*(149.919*'BMP P Tracking Table'!$AQ452+236.676*'BMP P Tracking Table'!$AR452+726*'BMP P Tracking Table'!$AS452+996.798*'BMP P Tracking Table'!$AT452)*-'BMP P Tracking Table'!$AW452)))/(2*(149.919*'BMP P Tracking Table'!$AQ452+236.676*'BMP P Tracking Table'!$AR452+726*'BMP P Tracking Table'!$AS452+996.798*'BMP P Tracking Table'!$AT452))))),MIN(2,IF('BMP P Tracking Table'!$AP452="Total Pervious",(-(3630*'BMP P Tracking Table'!$U452+20.691*'BMP P Tracking Table'!$AA452)+SQRT((3630*'BMP P Tracking Table'!$U452+20.691*'BMP P Tracking Table'!$AA452)^2-(4*(996.798*'BMP P Tracking Table'!$AA452)*-'BMP P Tracking Table'!$AW452)))/(2*(996.798*'BMP P Tracking Table'!$AA452)),IF(SUM('BMP P Tracking Table'!$W452:$Z452)=0,'BMP P Tracking Table'!$AW452/(-3630*'BMP P Tracking Table'!$U452),(-(3630*'BMP P Tracking Table'!$U452+20.691*'BMP P Tracking Table'!$Z452-216.711*'BMP P Tracking Table'!$Y452-83.853*'BMP P Tracking Table'!$X452-42.834*'BMP P Tracking Table'!$W452)+SQRT((3630*'BMP P Tracking Table'!$U452+20.691*'BMP P Tracking Table'!$Z452-216.711*'BMP P Tracking Table'!$Y452-83.853*'BMP P Tracking Table'!$X452-42.834*'BMP P Tracking Table'!$W452)^2-(4*(149.919*'BMP P Tracking Table'!$W452+236.676*'BMP P Tracking Table'!$X452+726*'BMP P Tracking Table'!$Y452+996.798*'BMP P Tracking Table'!$Z452)*-'BMP P Tracking Table'!$AW452)))/(2*(149.919*'BMP P Tracking Table'!$W452+236.676*'BMP P Tracking Table'!$X452+726*'BMP P Tracking Table'!$Y452+996.798*'BMP P Tracking Table'!$Z452)))))),"")</f>
        <v/>
      </c>
      <c r="BA452" s="101" t="str">
        <f>IFERROR((VLOOKUP(CONCATENATE('BMP P Tracking Table'!$AV452," ",'BMP P Tracking Table'!$AX452),'Performance Curves'!$C$1:$L$45,MATCH('BMP P Tracking Table'!$AZ452,'Performance Curves'!$E$1:$L$1,1)+2,FALSE)-VLOOKUP(CONCATENATE('BMP P Tracking Table'!$AV452," ",'BMP P Tracking Table'!$AX452),'Performance Curves'!$C$1:$L$45,MATCH('BMP P Tracking Table'!$AZ452,'Performance Curves'!$E$1:$L$1,1)+1,FALSE)),"")</f>
        <v/>
      </c>
      <c r="BB452" s="101" t="str">
        <f>IFERROR(('BMP P Tracking Table'!$AZ452-INDEX('Performance Curves'!$E$1:$L$1,1,MATCH('BMP P Tracking Table'!$AZ452,'Performance Curves'!$E$1:$L$1,1)))/(INDEX('Performance Curves'!$E$1:$L$1,1,MATCH('BMP P Tracking Table'!$AZ452,'Performance Curves'!$E$1:$L$1,1)+1)-INDEX('Performance Curves'!$E$1:$L$1,1,MATCH('BMP P Tracking Table'!$AZ452,'Performance Curves'!$E$1:$L$1,1))),"")</f>
        <v/>
      </c>
      <c r="BC452" s="102" t="str">
        <f>IFERROR(IF('BMP P Tracking Table'!$AZ452=2,VLOOKUP(CONCATENATE('BMP P Tracking Table'!$AV452," ",'BMP P Tracking Table'!$AX452),'Performance Curves'!$C$1:$L$44,MATCH('BMP P Tracking Table'!$AZ452,'Performance Curves'!$E$1:$L$1,1)+1,FALSE),'BMP P Tracking Table'!$BA452*'BMP P Tracking Table'!$BB452+VLOOKUP(CONCATENATE('BMP P Tracking Table'!$AV452," ",'BMP P Tracking Table'!$AX452),'Performance Curves'!$C$1:$L$44,MATCH('BMP P Tracking Table'!$AZ452,'Performance Curves'!$E$1:$L$1,1)+1,FALSE)),"")</f>
        <v/>
      </c>
      <c r="BD452" s="101" t="str">
        <f>IFERROR('BMP P Tracking Table'!$BC452*'BMP P Tracking Table'!$AY452,"")</f>
        <v/>
      </c>
      <c r="BE452" s="96"/>
      <c r="BF452" s="37">
        <f t="shared" si="25"/>
        <v>0</v>
      </c>
    </row>
    <row r="453" spans="1:58" x14ac:dyDescent="0.3">
      <c r="A453" s="64"/>
      <c r="B453" s="64"/>
      <c r="C453" s="64"/>
      <c r="D453" s="64"/>
      <c r="E453" s="93"/>
      <c r="F453" s="93"/>
      <c r="G453" s="64"/>
      <c r="H453" s="64"/>
      <c r="I453" s="64"/>
      <c r="J453" s="94"/>
      <c r="K453" s="64"/>
      <c r="L453" s="64"/>
      <c r="M453" s="64"/>
      <c r="N453" s="64"/>
      <c r="O453" s="64"/>
      <c r="P453" s="64"/>
      <c r="Q453" s="64" t="str">
        <f>IFERROR(VLOOKUP('BMP P Tracking Table'!$P453,Dropdowns!$C$2:$E$15,3,FALSE),"")</f>
        <v/>
      </c>
      <c r="R453" s="64" t="str">
        <f>IFERROR(VLOOKUP('BMP P Tracking Table'!$Q453,Dropdowns!$P$3:$Q$23,2,FALSE),"")</f>
        <v/>
      </c>
      <c r="S453" s="64"/>
      <c r="T453" s="64"/>
      <c r="U453" s="64"/>
      <c r="V453" s="64"/>
      <c r="W453" s="64"/>
      <c r="X453" s="64"/>
      <c r="Y453" s="64"/>
      <c r="Z453" s="64"/>
      <c r="AA453" s="64"/>
      <c r="AB453" s="95"/>
      <c r="AC453" s="64"/>
      <c r="AD453" s="101" t="str">
        <f>IFERROR('BMP P Tracking Table'!$U453*VLOOKUP('BMP P Tracking Table'!$Q453,'Loading Rates'!$B$1:$L$24,4,FALSE)+IF('BMP P Tracking Table'!$V453="By HSG",'BMP P Tracking Table'!$W453*VLOOKUP('BMP P Tracking Table'!$Q453,'Loading Rates'!$B$1:$L$24,6,FALSE)+'BMP P Tracking Table'!$X453*VLOOKUP('BMP P Tracking Table'!$Q453,'Loading Rates'!$B$1:$L$24,7,FALSE)+'BMP P Tracking Table'!$Y453*VLOOKUP('BMP P Tracking Table'!$Q453,'Loading Rates'!$B$1:$L$24,8,FALSE)+'BMP P Tracking Table'!$Z453*VLOOKUP('BMP P Tracking Table'!$Q453,'Loading Rates'!$B$1:$L$24,9,FALSE),'BMP P Tracking Table'!$AA453*VLOOKUP('BMP P Tracking Table'!$Q453,'Loading Rates'!$B$1:$L$24,10,FALSE)),"")</f>
        <v/>
      </c>
      <c r="AE453" s="101" t="str">
        <f>IFERROR(MIN(2,IF('BMP P Tracking Table'!$V453="Total Pervious",(-(3630*'BMP P Tracking Table'!$U453+20.691*'BMP P Tracking Table'!$AA453)+SQRT((3630*'BMP P Tracking Table'!$U453+20.691*'BMP P Tracking Table'!$AA453)^2-(4*(996.798*'BMP P Tracking Table'!$AA453)*-'BMP P Tracking Table'!$AB453)))/(2*(996.798*'BMP P Tracking Table'!$AA453)),IF(SUM('BMP P Tracking Table'!$W453:$Z453)=0,'BMP P Tracking Table'!$AB453/(-3630*'BMP P Tracking Table'!$U453),(-(3630*'BMP P Tracking Table'!$U453+20.691*'BMP P Tracking Table'!$Z453-216.711*'BMP P Tracking Table'!$Y453-83.853*'BMP P Tracking Table'!$X453-42.834*'BMP P Tracking Table'!$W453)+SQRT((3630*'BMP P Tracking Table'!$U453+20.691*'BMP P Tracking Table'!$Z453-216.711*'BMP P Tracking Table'!$Y453-83.853*'BMP P Tracking Table'!$X453-42.834*'BMP P Tracking Table'!$W453)^2-(4*(149.919*'BMP P Tracking Table'!$W453+236.676*'BMP P Tracking Table'!$X453+726*'BMP P Tracking Table'!$Y453+996.798*'BMP P Tracking Table'!$Z453)*-'BMP P Tracking Table'!$AB453)))/(2*(149.919*'BMP P Tracking Table'!$W453+236.676*'BMP P Tracking Table'!$X453+726*'BMP P Tracking Table'!$Y453+996.798*'BMP P Tracking Table'!$Z453))))),"")</f>
        <v/>
      </c>
      <c r="AF453" s="101" t="str">
        <f>IFERROR((VLOOKUP(CONCATENATE('BMP P Tracking Table'!$T453," ",'BMP P Tracking Table'!$AC453),'Performance Curves'!$C$1:$L$45,MATCH('BMP P Tracking Table'!$AE453,'Performance Curves'!$E$1:$L$1,1)+2,FALSE)-VLOOKUP(CONCATENATE('BMP P Tracking Table'!$T453," ",'BMP P Tracking Table'!$AC453),'Performance Curves'!$C$1:$L$45,MATCH('BMP P Tracking Table'!$AE453,'Performance Curves'!$E$1:$L$1,1)+1,FALSE)),"")</f>
        <v/>
      </c>
      <c r="AG453" s="101" t="str">
        <f>IFERROR(('BMP P Tracking Table'!$AE453-INDEX('Performance Curves'!$E$1:$L$1,1,MATCH('BMP P Tracking Table'!$AE453,'Performance Curves'!$E$1:$L$1,1)))/(INDEX('Performance Curves'!$E$1:$L$1,1,MATCH('BMP P Tracking Table'!$AE453,'Performance Curves'!$E$1:$L$1,1)+1)-INDEX('Performance Curves'!$E$1:$L$1,1,MATCH('BMP P Tracking Table'!$AE453,'Performance Curves'!$E$1:$L$1,1))),"")</f>
        <v/>
      </c>
      <c r="AH453" s="102" t="str">
        <f>IFERROR(IF('BMP P Tracking Table'!$AE453=2,VLOOKUP(CONCATENATE('BMP P Tracking Table'!$T453," ",'BMP P Tracking Table'!$AC453),'Performance Curves'!$C$1:$L$45,MATCH('BMP P Tracking Table'!$AE453,'Performance Curves'!$E$1:$L$1,1)+1,FALSE),'BMP P Tracking Table'!$AF453*'BMP P Tracking Table'!$AG453+VLOOKUP(CONCATENATE('BMP P Tracking Table'!$T453," ",'BMP P Tracking Table'!$AC453),'Performance Curves'!$C$1:$L$45,MATCH('BMP P Tracking Table'!$AE453,'Performance Curves'!$E$1:$L$1,1)+1,FALSE)),"")</f>
        <v/>
      </c>
      <c r="AI453" s="101" t="str">
        <f>IFERROR('BMP P Tracking Table'!$AH453*'BMP P Tracking Table'!$AD453,"")</f>
        <v/>
      </c>
      <c r="AJ453" s="64"/>
      <c r="AK453" s="96"/>
      <c r="AL453" s="96"/>
      <c r="AM453" s="63"/>
      <c r="AN453" s="99" t="str">
        <f t="shared" si="24"/>
        <v/>
      </c>
      <c r="AO453" s="96"/>
      <c r="AP453" s="96"/>
      <c r="AQ453" s="96"/>
      <c r="AR453" s="96"/>
      <c r="AS453" s="96"/>
      <c r="AT453" s="96"/>
      <c r="AU453" s="96"/>
      <c r="AV453" s="64"/>
      <c r="AW453" s="97"/>
      <c r="AX453" s="97"/>
      <c r="AY453" s="101" t="str">
        <f>IF('BMP P Tracking Table'!$AK453="Yes",IF('BMP P Tracking Table'!$AL453="No",'BMP P Tracking Table'!$U453*VLOOKUP('BMP P Tracking Table'!$Q453,'Loading Rates'!$B$1:$L$24,4,FALSE)+IF('BMP P Tracking Table'!$V453="By HSG",'BMP P Tracking Table'!$W453*VLOOKUP('BMP P Tracking Table'!$Q453,'Loading Rates'!$B$1:$L$24,6,FALSE)+'BMP P Tracking Table'!$X453*VLOOKUP('BMP P Tracking Table'!$Q453,'Loading Rates'!$B$1:$L$24,7,FALSE)+'BMP P Tracking Table'!$Y453*VLOOKUP('BMP P Tracking Table'!$Q453,'Loading Rates'!$B$1:$L$24,8,FALSE)+'BMP P Tracking Table'!$Z453*VLOOKUP('BMP P Tracking Table'!$Q453,'Loading Rates'!$B$1:$L$24,9,FALSE),'BMP P Tracking Table'!$AA453*VLOOKUP('BMP P Tracking Table'!$Q453,'Loading Rates'!$B$1:$L$24,10,FALSE)),'BMP P Tracking Table'!$AO453*VLOOKUP('BMP P Tracking Table'!$Q453,'Loading Rates'!$B$1:$L$24,4,FALSE)+IF('BMP P Tracking Table'!$AP453="By HSG",'BMP P Tracking Table'!$AQ453*VLOOKUP('BMP P Tracking Table'!$Q453,'Loading Rates'!$B$1:$L$24,6,FALSE)+'BMP P Tracking Table'!$AR453*VLOOKUP('BMP P Tracking Table'!$Q453,'Loading Rates'!$B$1:$L$24,7,FALSE)+'BMP P Tracking Table'!$AS453*VLOOKUP('BMP P Tracking Table'!$Q453,'Loading Rates'!$B$1:$L$24,8,FALSE)+'BMP P Tracking Table'!$AT453*VLOOKUP('BMP P Tracking Table'!$Q453,'Loading Rates'!$B$1:$L$24,9,FALSE),'BMP P Tracking Table'!$AU453*VLOOKUP('BMP P Tracking Table'!$Q453,'Loading Rates'!$B$1:$L$24,10,FALSE))),"")</f>
        <v/>
      </c>
      <c r="AZ453" s="101" t="str">
        <f>IFERROR(IF('BMP P Tracking Table'!$AL453="Yes",MIN(2,IF('BMP P Tracking Table'!$AP453="Total Pervious",(-(3630*'BMP P Tracking Table'!$AO453+20.691*'BMP P Tracking Table'!$AU453)+SQRT((3630*'BMP P Tracking Table'!$AO453+20.691*'BMP P Tracking Table'!$AU453)^2-(4*(996.798*'BMP P Tracking Table'!$AU453)*-'BMP P Tracking Table'!$AW453)))/(2*(996.798*'BMP P Tracking Table'!$AU453)),IF(SUM('BMP P Tracking Table'!$AQ453:$AT453)=0,'BMP P Tracking Table'!$AU453/(-3630*'BMP P Tracking Table'!$AO453),(-(3630*'BMP P Tracking Table'!$AO453+20.691*'BMP P Tracking Table'!$AT453-216.711*'BMP P Tracking Table'!$AS453-83.853*'BMP P Tracking Table'!$AR453-42.834*'BMP P Tracking Table'!$AQ453)+SQRT((3630*'BMP P Tracking Table'!$AO453+20.691*'BMP P Tracking Table'!$AT453-216.711*'BMP P Tracking Table'!$AS453-83.853*'BMP P Tracking Table'!$AR453-42.834*'BMP P Tracking Table'!$AQ453)^2-(4*(149.919*'BMP P Tracking Table'!$AQ453+236.676*'BMP P Tracking Table'!$AR453+726*'BMP P Tracking Table'!$AS453+996.798*'BMP P Tracking Table'!$AT453)*-'BMP P Tracking Table'!$AW453)))/(2*(149.919*'BMP P Tracking Table'!$AQ453+236.676*'BMP P Tracking Table'!$AR453+726*'BMP P Tracking Table'!$AS453+996.798*'BMP P Tracking Table'!$AT453))))),MIN(2,IF('BMP P Tracking Table'!$AP453="Total Pervious",(-(3630*'BMP P Tracking Table'!$U453+20.691*'BMP P Tracking Table'!$AA453)+SQRT((3630*'BMP P Tracking Table'!$U453+20.691*'BMP P Tracking Table'!$AA453)^2-(4*(996.798*'BMP P Tracking Table'!$AA453)*-'BMP P Tracking Table'!$AW453)))/(2*(996.798*'BMP P Tracking Table'!$AA453)),IF(SUM('BMP P Tracking Table'!$W453:$Z453)=0,'BMP P Tracking Table'!$AW453/(-3630*'BMP P Tracking Table'!$U453),(-(3630*'BMP P Tracking Table'!$U453+20.691*'BMP P Tracking Table'!$Z453-216.711*'BMP P Tracking Table'!$Y453-83.853*'BMP P Tracking Table'!$X453-42.834*'BMP P Tracking Table'!$W453)+SQRT((3630*'BMP P Tracking Table'!$U453+20.691*'BMP P Tracking Table'!$Z453-216.711*'BMP P Tracking Table'!$Y453-83.853*'BMP P Tracking Table'!$X453-42.834*'BMP P Tracking Table'!$W453)^2-(4*(149.919*'BMP P Tracking Table'!$W453+236.676*'BMP P Tracking Table'!$X453+726*'BMP P Tracking Table'!$Y453+996.798*'BMP P Tracking Table'!$Z453)*-'BMP P Tracking Table'!$AW453)))/(2*(149.919*'BMP P Tracking Table'!$W453+236.676*'BMP P Tracking Table'!$X453+726*'BMP P Tracking Table'!$Y453+996.798*'BMP P Tracking Table'!$Z453)))))),"")</f>
        <v/>
      </c>
      <c r="BA453" s="101" t="str">
        <f>IFERROR((VLOOKUP(CONCATENATE('BMP P Tracking Table'!$AV453," ",'BMP P Tracking Table'!$AX453),'Performance Curves'!$C$1:$L$45,MATCH('BMP P Tracking Table'!$AZ453,'Performance Curves'!$E$1:$L$1,1)+2,FALSE)-VLOOKUP(CONCATENATE('BMP P Tracking Table'!$AV453," ",'BMP P Tracking Table'!$AX453),'Performance Curves'!$C$1:$L$45,MATCH('BMP P Tracking Table'!$AZ453,'Performance Curves'!$E$1:$L$1,1)+1,FALSE)),"")</f>
        <v/>
      </c>
      <c r="BB453" s="101" t="str">
        <f>IFERROR(('BMP P Tracking Table'!$AZ453-INDEX('Performance Curves'!$E$1:$L$1,1,MATCH('BMP P Tracking Table'!$AZ453,'Performance Curves'!$E$1:$L$1,1)))/(INDEX('Performance Curves'!$E$1:$L$1,1,MATCH('BMP P Tracking Table'!$AZ453,'Performance Curves'!$E$1:$L$1,1)+1)-INDEX('Performance Curves'!$E$1:$L$1,1,MATCH('BMP P Tracking Table'!$AZ453,'Performance Curves'!$E$1:$L$1,1))),"")</f>
        <v/>
      </c>
      <c r="BC453" s="102" t="str">
        <f>IFERROR(IF('BMP P Tracking Table'!$AZ453=2,VLOOKUP(CONCATENATE('BMP P Tracking Table'!$AV453," ",'BMP P Tracking Table'!$AX453),'Performance Curves'!$C$1:$L$44,MATCH('BMP P Tracking Table'!$AZ453,'Performance Curves'!$E$1:$L$1,1)+1,FALSE),'BMP P Tracking Table'!$BA453*'BMP P Tracking Table'!$BB453+VLOOKUP(CONCATENATE('BMP P Tracking Table'!$AV453," ",'BMP P Tracking Table'!$AX453),'Performance Curves'!$C$1:$L$44,MATCH('BMP P Tracking Table'!$AZ453,'Performance Curves'!$E$1:$L$1,1)+1,FALSE)),"")</f>
        <v/>
      </c>
      <c r="BD453" s="101" t="str">
        <f>IFERROR('BMP P Tracking Table'!$BC453*'BMP P Tracking Table'!$AY453,"")</f>
        <v/>
      </c>
      <c r="BE453" s="96"/>
      <c r="BF453" s="37">
        <f t="shared" si="25"/>
        <v>0</v>
      </c>
    </row>
    <row r="454" spans="1:58" x14ac:dyDescent="0.3">
      <c r="A454" s="64"/>
      <c r="B454" s="64"/>
      <c r="C454" s="64"/>
      <c r="D454" s="64"/>
      <c r="E454" s="93"/>
      <c r="F454" s="93"/>
      <c r="G454" s="64"/>
      <c r="H454" s="64"/>
      <c r="I454" s="64"/>
      <c r="J454" s="94"/>
      <c r="K454" s="64"/>
      <c r="L454" s="64"/>
      <c r="M454" s="64"/>
      <c r="N454" s="64"/>
      <c r="O454" s="64"/>
      <c r="P454" s="64"/>
      <c r="Q454" s="64" t="str">
        <f>IFERROR(VLOOKUP('BMP P Tracking Table'!$P454,Dropdowns!$C$2:$E$15,3,FALSE),"")</f>
        <v/>
      </c>
      <c r="R454" s="64" t="str">
        <f>IFERROR(VLOOKUP('BMP P Tracking Table'!$Q454,Dropdowns!$P$3:$Q$23,2,FALSE),"")</f>
        <v/>
      </c>
      <c r="S454" s="64"/>
      <c r="T454" s="64"/>
      <c r="U454" s="64"/>
      <c r="V454" s="64"/>
      <c r="W454" s="64"/>
      <c r="X454" s="64"/>
      <c r="Y454" s="64"/>
      <c r="Z454" s="64"/>
      <c r="AA454" s="64"/>
      <c r="AB454" s="95"/>
      <c r="AC454" s="64"/>
      <c r="AD454" s="101" t="str">
        <f>IFERROR('BMP P Tracking Table'!$U454*VLOOKUP('BMP P Tracking Table'!$Q454,'Loading Rates'!$B$1:$L$24,4,FALSE)+IF('BMP P Tracking Table'!$V454="By HSG",'BMP P Tracking Table'!$W454*VLOOKUP('BMP P Tracking Table'!$Q454,'Loading Rates'!$B$1:$L$24,6,FALSE)+'BMP P Tracking Table'!$X454*VLOOKUP('BMP P Tracking Table'!$Q454,'Loading Rates'!$B$1:$L$24,7,FALSE)+'BMP P Tracking Table'!$Y454*VLOOKUP('BMP P Tracking Table'!$Q454,'Loading Rates'!$B$1:$L$24,8,FALSE)+'BMP P Tracking Table'!$Z454*VLOOKUP('BMP P Tracking Table'!$Q454,'Loading Rates'!$B$1:$L$24,9,FALSE),'BMP P Tracking Table'!$AA454*VLOOKUP('BMP P Tracking Table'!$Q454,'Loading Rates'!$B$1:$L$24,10,FALSE)),"")</f>
        <v/>
      </c>
      <c r="AE454" s="101" t="str">
        <f>IFERROR(MIN(2,IF('BMP P Tracking Table'!$V454="Total Pervious",(-(3630*'BMP P Tracking Table'!$U454+20.691*'BMP P Tracking Table'!$AA454)+SQRT((3630*'BMP P Tracking Table'!$U454+20.691*'BMP P Tracking Table'!$AA454)^2-(4*(996.798*'BMP P Tracking Table'!$AA454)*-'BMP P Tracking Table'!$AB454)))/(2*(996.798*'BMP P Tracking Table'!$AA454)),IF(SUM('BMP P Tracking Table'!$W454:$Z454)=0,'BMP P Tracking Table'!$AB454/(-3630*'BMP P Tracking Table'!$U454),(-(3630*'BMP P Tracking Table'!$U454+20.691*'BMP P Tracking Table'!$Z454-216.711*'BMP P Tracking Table'!$Y454-83.853*'BMP P Tracking Table'!$X454-42.834*'BMP P Tracking Table'!$W454)+SQRT((3630*'BMP P Tracking Table'!$U454+20.691*'BMP P Tracking Table'!$Z454-216.711*'BMP P Tracking Table'!$Y454-83.853*'BMP P Tracking Table'!$X454-42.834*'BMP P Tracking Table'!$W454)^2-(4*(149.919*'BMP P Tracking Table'!$W454+236.676*'BMP P Tracking Table'!$X454+726*'BMP P Tracking Table'!$Y454+996.798*'BMP P Tracking Table'!$Z454)*-'BMP P Tracking Table'!$AB454)))/(2*(149.919*'BMP P Tracking Table'!$W454+236.676*'BMP P Tracking Table'!$X454+726*'BMP P Tracking Table'!$Y454+996.798*'BMP P Tracking Table'!$Z454))))),"")</f>
        <v/>
      </c>
      <c r="AF454" s="101" t="str">
        <f>IFERROR((VLOOKUP(CONCATENATE('BMP P Tracking Table'!$T454," ",'BMP P Tracking Table'!$AC454),'Performance Curves'!$C$1:$L$45,MATCH('BMP P Tracking Table'!$AE454,'Performance Curves'!$E$1:$L$1,1)+2,FALSE)-VLOOKUP(CONCATENATE('BMP P Tracking Table'!$T454," ",'BMP P Tracking Table'!$AC454),'Performance Curves'!$C$1:$L$45,MATCH('BMP P Tracking Table'!$AE454,'Performance Curves'!$E$1:$L$1,1)+1,FALSE)),"")</f>
        <v/>
      </c>
      <c r="AG454" s="101" t="str">
        <f>IFERROR(('BMP P Tracking Table'!$AE454-INDEX('Performance Curves'!$E$1:$L$1,1,MATCH('BMP P Tracking Table'!$AE454,'Performance Curves'!$E$1:$L$1,1)))/(INDEX('Performance Curves'!$E$1:$L$1,1,MATCH('BMP P Tracking Table'!$AE454,'Performance Curves'!$E$1:$L$1,1)+1)-INDEX('Performance Curves'!$E$1:$L$1,1,MATCH('BMP P Tracking Table'!$AE454,'Performance Curves'!$E$1:$L$1,1))),"")</f>
        <v/>
      </c>
      <c r="AH454" s="102" t="str">
        <f>IFERROR(IF('BMP P Tracking Table'!$AE454=2,VLOOKUP(CONCATENATE('BMP P Tracking Table'!$T454," ",'BMP P Tracking Table'!$AC454),'Performance Curves'!$C$1:$L$45,MATCH('BMP P Tracking Table'!$AE454,'Performance Curves'!$E$1:$L$1,1)+1,FALSE),'BMP P Tracking Table'!$AF454*'BMP P Tracking Table'!$AG454+VLOOKUP(CONCATENATE('BMP P Tracking Table'!$T454," ",'BMP P Tracking Table'!$AC454),'Performance Curves'!$C$1:$L$45,MATCH('BMP P Tracking Table'!$AE454,'Performance Curves'!$E$1:$L$1,1)+1,FALSE)),"")</f>
        <v/>
      </c>
      <c r="AI454" s="101" t="str">
        <f>IFERROR('BMP P Tracking Table'!$AH454*'BMP P Tracking Table'!$AD454,"")</f>
        <v/>
      </c>
      <c r="AJ454" s="64"/>
      <c r="AK454" s="96"/>
      <c r="AL454" s="96"/>
      <c r="AM454" s="63"/>
      <c r="AN454" s="99" t="str">
        <f t="shared" si="24"/>
        <v/>
      </c>
      <c r="AO454" s="96"/>
      <c r="AP454" s="96"/>
      <c r="AQ454" s="96"/>
      <c r="AR454" s="96"/>
      <c r="AS454" s="96"/>
      <c r="AT454" s="96"/>
      <c r="AU454" s="96"/>
      <c r="AV454" s="64"/>
      <c r="AW454" s="97"/>
      <c r="AX454" s="97"/>
      <c r="AY454" s="101" t="str">
        <f>IF('BMP P Tracking Table'!$AK454="Yes",IF('BMP P Tracking Table'!$AL454="No",'BMP P Tracking Table'!$U454*VLOOKUP('BMP P Tracking Table'!$Q454,'Loading Rates'!$B$1:$L$24,4,FALSE)+IF('BMP P Tracking Table'!$V454="By HSG",'BMP P Tracking Table'!$W454*VLOOKUP('BMP P Tracking Table'!$Q454,'Loading Rates'!$B$1:$L$24,6,FALSE)+'BMP P Tracking Table'!$X454*VLOOKUP('BMP P Tracking Table'!$Q454,'Loading Rates'!$B$1:$L$24,7,FALSE)+'BMP P Tracking Table'!$Y454*VLOOKUP('BMP P Tracking Table'!$Q454,'Loading Rates'!$B$1:$L$24,8,FALSE)+'BMP P Tracking Table'!$Z454*VLOOKUP('BMP P Tracking Table'!$Q454,'Loading Rates'!$B$1:$L$24,9,FALSE),'BMP P Tracking Table'!$AA454*VLOOKUP('BMP P Tracking Table'!$Q454,'Loading Rates'!$B$1:$L$24,10,FALSE)),'BMP P Tracking Table'!$AO454*VLOOKUP('BMP P Tracking Table'!$Q454,'Loading Rates'!$B$1:$L$24,4,FALSE)+IF('BMP P Tracking Table'!$AP454="By HSG",'BMP P Tracking Table'!$AQ454*VLOOKUP('BMP P Tracking Table'!$Q454,'Loading Rates'!$B$1:$L$24,6,FALSE)+'BMP P Tracking Table'!$AR454*VLOOKUP('BMP P Tracking Table'!$Q454,'Loading Rates'!$B$1:$L$24,7,FALSE)+'BMP P Tracking Table'!$AS454*VLOOKUP('BMP P Tracking Table'!$Q454,'Loading Rates'!$B$1:$L$24,8,FALSE)+'BMP P Tracking Table'!$AT454*VLOOKUP('BMP P Tracking Table'!$Q454,'Loading Rates'!$B$1:$L$24,9,FALSE),'BMP P Tracking Table'!$AU454*VLOOKUP('BMP P Tracking Table'!$Q454,'Loading Rates'!$B$1:$L$24,10,FALSE))),"")</f>
        <v/>
      </c>
      <c r="AZ454" s="101" t="str">
        <f>IFERROR(IF('BMP P Tracking Table'!$AL454="Yes",MIN(2,IF('BMP P Tracking Table'!$AP454="Total Pervious",(-(3630*'BMP P Tracking Table'!$AO454+20.691*'BMP P Tracking Table'!$AU454)+SQRT((3630*'BMP P Tracking Table'!$AO454+20.691*'BMP P Tracking Table'!$AU454)^2-(4*(996.798*'BMP P Tracking Table'!$AU454)*-'BMP P Tracking Table'!$AW454)))/(2*(996.798*'BMP P Tracking Table'!$AU454)),IF(SUM('BMP P Tracking Table'!$AQ454:$AT454)=0,'BMP P Tracking Table'!$AU454/(-3630*'BMP P Tracking Table'!$AO454),(-(3630*'BMP P Tracking Table'!$AO454+20.691*'BMP P Tracking Table'!$AT454-216.711*'BMP P Tracking Table'!$AS454-83.853*'BMP P Tracking Table'!$AR454-42.834*'BMP P Tracking Table'!$AQ454)+SQRT((3630*'BMP P Tracking Table'!$AO454+20.691*'BMP P Tracking Table'!$AT454-216.711*'BMP P Tracking Table'!$AS454-83.853*'BMP P Tracking Table'!$AR454-42.834*'BMP P Tracking Table'!$AQ454)^2-(4*(149.919*'BMP P Tracking Table'!$AQ454+236.676*'BMP P Tracking Table'!$AR454+726*'BMP P Tracking Table'!$AS454+996.798*'BMP P Tracking Table'!$AT454)*-'BMP P Tracking Table'!$AW454)))/(2*(149.919*'BMP P Tracking Table'!$AQ454+236.676*'BMP P Tracking Table'!$AR454+726*'BMP P Tracking Table'!$AS454+996.798*'BMP P Tracking Table'!$AT454))))),MIN(2,IF('BMP P Tracking Table'!$AP454="Total Pervious",(-(3630*'BMP P Tracking Table'!$U454+20.691*'BMP P Tracking Table'!$AA454)+SQRT((3630*'BMP P Tracking Table'!$U454+20.691*'BMP P Tracking Table'!$AA454)^2-(4*(996.798*'BMP P Tracking Table'!$AA454)*-'BMP P Tracking Table'!$AW454)))/(2*(996.798*'BMP P Tracking Table'!$AA454)),IF(SUM('BMP P Tracking Table'!$W454:$Z454)=0,'BMP P Tracking Table'!$AW454/(-3630*'BMP P Tracking Table'!$U454),(-(3630*'BMP P Tracking Table'!$U454+20.691*'BMP P Tracking Table'!$Z454-216.711*'BMP P Tracking Table'!$Y454-83.853*'BMP P Tracking Table'!$X454-42.834*'BMP P Tracking Table'!$W454)+SQRT((3630*'BMP P Tracking Table'!$U454+20.691*'BMP P Tracking Table'!$Z454-216.711*'BMP P Tracking Table'!$Y454-83.853*'BMP P Tracking Table'!$X454-42.834*'BMP P Tracking Table'!$W454)^2-(4*(149.919*'BMP P Tracking Table'!$W454+236.676*'BMP P Tracking Table'!$X454+726*'BMP P Tracking Table'!$Y454+996.798*'BMP P Tracking Table'!$Z454)*-'BMP P Tracking Table'!$AW454)))/(2*(149.919*'BMP P Tracking Table'!$W454+236.676*'BMP P Tracking Table'!$X454+726*'BMP P Tracking Table'!$Y454+996.798*'BMP P Tracking Table'!$Z454)))))),"")</f>
        <v/>
      </c>
      <c r="BA454" s="101" t="str">
        <f>IFERROR((VLOOKUP(CONCATENATE('BMP P Tracking Table'!$AV454," ",'BMP P Tracking Table'!$AX454),'Performance Curves'!$C$1:$L$45,MATCH('BMP P Tracking Table'!$AZ454,'Performance Curves'!$E$1:$L$1,1)+2,FALSE)-VLOOKUP(CONCATENATE('BMP P Tracking Table'!$AV454," ",'BMP P Tracking Table'!$AX454),'Performance Curves'!$C$1:$L$45,MATCH('BMP P Tracking Table'!$AZ454,'Performance Curves'!$E$1:$L$1,1)+1,FALSE)),"")</f>
        <v/>
      </c>
      <c r="BB454" s="101" t="str">
        <f>IFERROR(('BMP P Tracking Table'!$AZ454-INDEX('Performance Curves'!$E$1:$L$1,1,MATCH('BMP P Tracking Table'!$AZ454,'Performance Curves'!$E$1:$L$1,1)))/(INDEX('Performance Curves'!$E$1:$L$1,1,MATCH('BMP P Tracking Table'!$AZ454,'Performance Curves'!$E$1:$L$1,1)+1)-INDEX('Performance Curves'!$E$1:$L$1,1,MATCH('BMP P Tracking Table'!$AZ454,'Performance Curves'!$E$1:$L$1,1))),"")</f>
        <v/>
      </c>
      <c r="BC454" s="102" t="str">
        <f>IFERROR(IF('BMP P Tracking Table'!$AZ454=2,VLOOKUP(CONCATENATE('BMP P Tracking Table'!$AV454," ",'BMP P Tracking Table'!$AX454),'Performance Curves'!$C$1:$L$44,MATCH('BMP P Tracking Table'!$AZ454,'Performance Curves'!$E$1:$L$1,1)+1,FALSE),'BMP P Tracking Table'!$BA454*'BMP P Tracking Table'!$BB454+VLOOKUP(CONCATENATE('BMP P Tracking Table'!$AV454," ",'BMP P Tracking Table'!$AX454),'Performance Curves'!$C$1:$L$44,MATCH('BMP P Tracking Table'!$AZ454,'Performance Curves'!$E$1:$L$1,1)+1,FALSE)),"")</f>
        <v/>
      </c>
      <c r="BD454" s="101" t="str">
        <f>IFERROR('BMP P Tracking Table'!$BC454*'BMP P Tracking Table'!$AY454,"")</f>
        <v/>
      </c>
      <c r="BE454" s="96"/>
      <c r="BF454" s="37">
        <f t="shared" si="25"/>
        <v>0</v>
      </c>
    </row>
    <row r="455" spans="1:58" x14ac:dyDescent="0.3">
      <c r="A455" s="64"/>
      <c r="B455" s="64"/>
      <c r="C455" s="64"/>
      <c r="D455" s="64"/>
      <c r="E455" s="93"/>
      <c r="F455" s="93"/>
      <c r="G455" s="64"/>
      <c r="H455" s="64"/>
      <c r="I455" s="64"/>
      <c r="J455" s="94"/>
      <c r="K455" s="64"/>
      <c r="L455" s="64"/>
      <c r="M455" s="64"/>
      <c r="N455" s="64"/>
      <c r="O455" s="64"/>
      <c r="P455" s="64"/>
      <c r="Q455" s="64" t="str">
        <f>IFERROR(VLOOKUP('BMP P Tracking Table'!$P455,Dropdowns!$C$2:$E$15,3,FALSE),"")</f>
        <v/>
      </c>
      <c r="R455" s="64" t="str">
        <f>IFERROR(VLOOKUP('BMP P Tracking Table'!$Q455,Dropdowns!$P$3:$Q$23,2,FALSE),"")</f>
        <v/>
      </c>
      <c r="S455" s="64"/>
      <c r="T455" s="64"/>
      <c r="U455" s="64"/>
      <c r="V455" s="64"/>
      <c r="W455" s="64"/>
      <c r="X455" s="64"/>
      <c r="Y455" s="64"/>
      <c r="Z455" s="64"/>
      <c r="AA455" s="64"/>
      <c r="AB455" s="95"/>
      <c r="AC455" s="64"/>
      <c r="AD455" s="101" t="str">
        <f>IFERROR('BMP P Tracking Table'!$U455*VLOOKUP('BMP P Tracking Table'!$Q455,'Loading Rates'!$B$1:$L$24,4,FALSE)+IF('BMP P Tracking Table'!$V455="By HSG",'BMP P Tracking Table'!$W455*VLOOKUP('BMP P Tracking Table'!$Q455,'Loading Rates'!$B$1:$L$24,6,FALSE)+'BMP P Tracking Table'!$X455*VLOOKUP('BMP P Tracking Table'!$Q455,'Loading Rates'!$B$1:$L$24,7,FALSE)+'BMP P Tracking Table'!$Y455*VLOOKUP('BMP P Tracking Table'!$Q455,'Loading Rates'!$B$1:$L$24,8,FALSE)+'BMP P Tracking Table'!$Z455*VLOOKUP('BMP P Tracking Table'!$Q455,'Loading Rates'!$B$1:$L$24,9,FALSE),'BMP P Tracking Table'!$AA455*VLOOKUP('BMP P Tracking Table'!$Q455,'Loading Rates'!$B$1:$L$24,10,FALSE)),"")</f>
        <v/>
      </c>
      <c r="AE455" s="101" t="str">
        <f>IFERROR(MIN(2,IF('BMP P Tracking Table'!$V455="Total Pervious",(-(3630*'BMP P Tracking Table'!$U455+20.691*'BMP P Tracking Table'!$AA455)+SQRT((3630*'BMP P Tracking Table'!$U455+20.691*'BMP P Tracking Table'!$AA455)^2-(4*(996.798*'BMP P Tracking Table'!$AA455)*-'BMP P Tracking Table'!$AB455)))/(2*(996.798*'BMP P Tracking Table'!$AA455)),IF(SUM('BMP P Tracking Table'!$W455:$Z455)=0,'BMP P Tracking Table'!$AB455/(-3630*'BMP P Tracking Table'!$U455),(-(3630*'BMP P Tracking Table'!$U455+20.691*'BMP P Tracking Table'!$Z455-216.711*'BMP P Tracking Table'!$Y455-83.853*'BMP P Tracking Table'!$X455-42.834*'BMP P Tracking Table'!$W455)+SQRT((3630*'BMP P Tracking Table'!$U455+20.691*'BMP P Tracking Table'!$Z455-216.711*'BMP P Tracking Table'!$Y455-83.853*'BMP P Tracking Table'!$X455-42.834*'BMP P Tracking Table'!$W455)^2-(4*(149.919*'BMP P Tracking Table'!$W455+236.676*'BMP P Tracking Table'!$X455+726*'BMP P Tracking Table'!$Y455+996.798*'BMP P Tracking Table'!$Z455)*-'BMP P Tracking Table'!$AB455)))/(2*(149.919*'BMP P Tracking Table'!$W455+236.676*'BMP P Tracking Table'!$X455+726*'BMP P Tracking Table'!$Y455+996.798*'BMP P Tracking Table'!$Z455))))),"")</f>
        <v/>
      </c>
      <c r="AF455" s="101" t="str">
        <f>IFERROR((VLOOKUP(CONCATENATE('BMP P Tracking Table'!$T455," ",'BMP P Tracking Table'!$AC455),'Performance Curves'!$C$1:$L$45,MATCH('BMP P Tracking Table'!$AE455,'Performance Curves'!$E$1:$L$1,1)+2,FALSE)-VLOOKUP(CONCATENATE('BMP P Tracking Table'!$T455," ",'BMP P Tracking Table'!$AC455),'Performance Curves'!$C$1:$L$45,MATCH('BMP P Tracking Table'!$AE455,'Performance Curves'!$E$1:$L$1,1)+1,FALSE)),"")</f>
        <v/>
      </c>
      <c r="AG455" s="101" t="str">
        <f>IFERROR(('BMP P Tracking Table'!$AE455-INDEX('Performance Curves'!$E$1:$L$1,1,MATCH('BMP P Tracking Table'!$AE455,'Performance Curves'!$E$1:$L$1,1)))/(INDEX('Performance Curves'!$E$1:$L$1,1,MATCH('BMP P Tracking Table'!$AE455,'Performance Curves'!$E$1:$L$1,1)+1)-INDEX('Performance Curves'!$E$1:$L$1,1,MATCH('BMP P Tracking Table'!$AE455,'Performance Curves'!$E$1:$L$1,1))),"")</f>
        <v/>
      </c>
      <c r="AH455" s="102" t="str">
        <f>IFERROR(IF('BMP P Tracking Table'!$AE455=2,VLOOKUP(CONCATENATE('BMP P Tracking Table'!$T455," ",'BMP P Tracking Table'!$AC455),'Performance Curves'!$C$1:$L$45,MATCH('BMP P Tracking Table'!$AE455,'Performance Curves'!$E$1:$L$1,1)+1,FALSE),'BMP P Tracking Table'!$AF455*'BMP P Tracking Table'!$AG455+VLOOKUP(CONCATENATE('BMP P Tracking Table'!$T455," ",'BMP P Tracking Table'!$AC455),'Performance Curves'!$C$1:$L$45,MATCH('BMP P Tracking Table'!$AE455,'Performance Curves'!$E$1:$L$1,1)+1,FALSE)),"")</f>
        <v/>
      </c>
      <c r="AI455" s="101" t="str">
        <f>IFERROR('BMP P Tracking Table'!$AH455*'BMP P Tracking Table'!$AD455,"")</f>
        <v/>
      </c>
      <c r="AJ455" s="64"/>
      <c r="AK455" s="96"/>
      <c r="AL455" s="96"/>
      <c r="AM455" s="63"/>
      <c r="AN455" s="99" t="str">
        <f t="shared" si="24"/>
        <v/>
      </c>
      <c r="AO455" s="96"/>
      <c r="AP455" s="96"/>
      <c r="AQ455" s="96"/>
      <c r="AR455" s="96"/>
      <c r="AS455" s="96"/>
      <c r="AT455" s="96"/>
      <c r="AU455" s="96"/>
      <c r="AV455" s="64"/>
      <c r="AW455" s="97"/>
      <c r="AX455" s="97"/>
      <c r="AY455" s="101" t="str">
        <f>IF('BMP P Tracking Table'!$AK455="Yes",IF('BMP P Tracking Table'!$AL455="No",'BMP P Tracking Table'!$U455*VLOOKUP('BMP P Tracking Table'!$Q455,'Loading Rates'!$B$1:$L$24,4,FALSE)+IF('BMP P Tracking Table'!$V455="By HSG",'BMP P Tracking Table'!$W455*VLOOKUP('BMP P Tracking Table'!$Q455,'Loading Rates'!$B$1:$L$24,6,FALSE)+'BMP P Tracking Table'!$X455*VLOOKUP('BMP P Tracking Table'!$Q455,'Loading Rates'!$B$1:$L$24,7,FALSE)+'BMP P Tracking Table'!$Y455*VLOOKUP('BMP P Tracking Table'!$Q455,'Loading Rates'!$B$1:$L$24,8,FALSE)+'BMP P Tracking Table'!$Z455*VLOOKUP('BMP P Tracking Table'!$Q455,'Loading Rates'!$B$1:$L$24,9,FALSE),'BMP P Tracking Table'!$AA455*VLOOKUP('BMP P Tracking Table'!$Q455,'Loading Rates'!$B$1:$L$24,10,FALSE)),'BMP P Tracking Table'!$AO455*VLOOKUP('BMP P Tracking Table'!$Q455,'Loading Rates'!$B$1:$L$24,4,FALSE)+IF('BMP P Tracking Table'!$AP455="By HSG",'BMP P Tracking Table'!$AQ455*VLOOKUP('BMP P Tracking Table'!$Q455,'Loading Rates'!$B$1:$L$24,6,FALSE)+'BMP P Tracking Table'!$AR455*VLOOKUP('BMP P Tracking Table'!$Q455,'Loading Rates'!$B$1:$L$24,7,FALSE)+'BMP P Tracking Table'!$AS455*VLOOKUP('BMP P Tracking Table'!$Q455,'Loading Rates'!$B$1:$L$24,8,FALSE)+'BMP P Tracking Table'!$AT455*VLOOKUP('BMP P Tracking Table'!$Q455,'Loading Rates'!$B$1:$L$24,9,FALSE),'BMP P Tracking Table'!$AU455*VLOOKUP('BMP P Tracking Table'!$Q455,'Loading Rates'!$B$1:$L$24,10,FALSE))),"")</f>
        <v/>
      </c>
      <c r="AZ455" s="101" t="str">
        <f>IFERROR(IF('BMP P Tracking Table'!$AL455="Yes",MIN(2,IF('BMP P Tracking Table'!$AP455="Total Pervious",(-(3630*'BMP P Tracking Table'!$AO455+20.691*'BMP P Tracking Table'!$AU455)+SQRT((3630*'BMP P Tracking Table'!$AO455+20.691*'BMP P Tracking Table'!$AU455)^2-(4*(996.798*'BMP P Tracking Table'!$AU455)*-'BMP P Tracking Table'!$AW455)))/(2*(996.798*'BMP P Tracking Table'!$AU455)),IF(SUM('BMP P Tracking Table'!$AQ455:$AT455)=0,'BMP P Tracking Table'!$AU455/(-3630*'BMP P Tracking Table'!$AO455),(-(3630*'BMP P Tracking Table'!$AO455+20.691*'BMP P Tracking Table'!$AT455-216.711*'BMP P Tracking Table'!$AS455-83.853*'BMP P Tracking Table'!$AR455-42.834*'BMP P Tracking Table'!$AQ455)+SQRT((3630*'BMP P Tracking Table'!$AO455+20.691*'BMP P Tracking Table'!$AT455-216.711*'BMP P Tracking Table'!$AS455-83.853*'BMP P Tracking Table'!$AR455-42.834*'BMP P Tracking Table'!$AQ455)^2-(4*(149.919*'BMP P Tracking Table'!$AQ455+236.676*'BMP P Tracking Table'!$AR455+726*'BMP P Tracking Table'!$AS455+996.798*'BMP P Tracking Table'!$AT455)*-'BMP P Tracking Table'!$AW455)))/(2*(149.919*'BMP P Tracking Table'!$AQ455+236.676*'BMP P Tracking Table'!$AR455+726*'BMP P Tracking Table'!$AS455+996.798*'BMP P Tracking Table'!$AT455))))),MIN(2,IF('BMP P Tracking Table'!$AP455="Total Pervious",(-(3630*'BMP P Tracking Table'!$U455+20.691*'BMP P Tracking Table'!$AA455)+SQRT((3630*'BMP P Tracking Table'!$U455+20.691*'BMP P Tracking Table'!$AA455)^2-(4*(996.798*'BMP P Tracking Table'!$AA455)*-'BMP P Tracking Table'!$AW455)))/(2*(996.798*'BMP P Tracking Table'!$AA455)),IF(SUM('BMP P Tracking Table'!$W455:$Z455)=0,'BMP P Tracking Table'!$AW455/(-3630*'BMP P Tracking Table'!$U455),(-(3630*'BMP P Tracking Table'!$U455+20.691*'BMP P Tracking Table'!$Z455-216.711*'BMP P Tracking Table'!$Y455-83.853*'BMP P Tracking Table'!$X455-42.834*'BMP P Tracking Table'!$W455)+SQRT((3630*'BMP P Tracking Table'!$U455+20.691*'BMP P Tracking Table'!$Z455-216.711*'BMP P Tracking Table'!$Y455-83.853*'BMP P Tracking Table'!$X455-42.834*'BMP P Tracking Table'!$W455)^2-(4*(149.919*'BMP P Tracking Table'!$W455+236.676*'BMP P Tracking Table'!$X455+726*'BMP P Tracking Table'!$Y455+996.798*'BMP P Tracking Table'!$Z455)*-'BMP P Tracking Table'!$AW455)))/(2*(149.919*'BMP P Tracking Table'!$W455+236.676*'BMP P Tracking Table'!$X455+726*'BMP P Tracking Table'!$Y455+996.798*'BMP P Tracking Table'!$Z455)))))),"")</f>
        <v/>
      </c>
      <c r="BA455" s="101" t="str">
        <f>IFERROR((VLOOKUP(CONCATENATE('BMP P Tracking Table'!$AV455," ",'BMP P Tracking Table'!$AX455),'Performance Curves'!$C$1:$L$45,MATCH('BMP P Tracking Table'!$AZ455,'Performance Curves'!$E$1:$L$1,1)+2,FALSE)-VLOOKUP(CONCATENATE('BMP P Tracking Table'!$AV455," ",'BMP P Tracking Table'!$AX455),'Performance Curves'!$C$1:$L$45,MATCH('BMP P Tracking Table'!$AZ455,'Performance Curves'!$E$1:$L$1,1)+1,FALSE)),"")</f>
        <v/>
      </c>
      <c r="BB455" s="101" t="str">
        <f>IFERROR(('BMP P Tracking Table'!$AZ455-INDEX('Performance Curves'!$E$1:$L$1,1,MATCH('BMP P Tracking Table'!$AZ455,'Performance Curves'!$E$1:$L$1,1)))/(INDEX('Performance Curves'!$E$1:$L$1,1,MATCH('BMP P Tracking Table'!$AZ455,'Performance Curves'!$E$1:$L$1,1)+1)-INDEX('Performance Curves'!$E$1:$L$1,1,MATCH('BMP P Tracking Table'!$AZ455,'Performance Curves'!$E$1:$L$1,1))),"")</f>
        <v/>
      </c>
      <c r="BC455" s="102" t="str">
        <f>IFERROR(IF('BMP P Tracking Table'!$AZ455=2,VLOOKUP(CONCATENATE('BMP P Tracking Table'!$AV455," ",'BMP P Tracking Table'!$AX455),'Performance Curves'!$C$1:$L$44,MATCH('BMP P Tracking Table'!$AZ455,'Performance Curves'!$E$1:$L$1,1)+1,FALSE),'BMP P Tracking Table'!$BA455*'BMP P Tracking Table'!$BB455+VLOOKUP(CONCATENATE('BMP P Tracking Table'!$AV455," ",'BMP P Tracking Table'!$AX455),'Performance Curves'!$C$1:$L$44,MATCH('BMP P Tracking Table'!$AZ455,'Performance Curves'!$E$1:$L$1,1)+1,FALSE)),"")</f>
        <v/>
      </c>
      <c r="BD455" s="101" t="str">
        <f>IFERROR('BMP P Tracking Table'!$BC455*'BMP P Tracking Table'!$AY455,"")</f>
        <v/>
      </c>
      <c r="BE455" s="96"/>
      <c r="BF455" s="37">
        <f t="shared" si="25"/>
        <v>0</v>
      </c>
    </row>
    <row r="456" spans="1:58" x14ac:dyDescent="0.3">
      <c r="A456" s="64"/>
      <c r="B456" s="64"/>
      <c r="C456" s="64"/>
      <c r="D456" s="64"/>
      <c r="E456" s="93"/>
      <c r="F456" s="93"/>
      <c r="G456" s="64"/>
      <c r="H456" s="64"/>
      <c r="I456" s="64"/>
      <c r="J456" s="94"/>
      <c r="K456" s="64"/>
      <c r="L456" s="64"/>
      <c r="M456" s="64"/>
      <c r="N456" s="64"/>
      <c r="O456" s="64"/>
      <c r="P456" s="64"/>
      <c r="Q456" s="64" t="str">
        <f>IFERROR(VLOOKUP('BMP P Tracking Table'!$P456,Dropdowns!$C$2:$E$15,3,FALSE),"")</f>
        <v/>
      </c>
      <c r="R456" s="64" t="str">
        <f>IFERROR(VLOOKUP('BMP P Tracking Table'!$Q456,Dropdowns!$P$3:$Q$23,2,FALSE),"")</f>
        <v/>
      </c>
      <c r="S456" s="64"/>
      <c r="T456" s="64"/>
      <c r="U456" s="64"/>
      <c r="V456" s="64"/>
      <c r="W456" s="64"/>
      <c r="X456" s="64"/>
      <c r="Y456" s="64"/>
      <c r="Z456" s="64"/>
      <c r="AA456" s="64"/>
      <c r="AB456" s="95"/>
      <c r="AC456" s="64"/>
      <c r="AD456" s="101" t="str">
        <f>IFERROR('BMP P Tracking Table'!$U456*VLOOKUP('BMP P Tracking Table'!$Q456,'Loading Rates'!$B$1:$L$24,4,FALSE)+IF('BMP P Tracking Table'!$V456="By HSG",'BMP P Tracking Table'!$W456*VLOOKUP('BMP P Tracking Table'!$Q456,'Loading Rates'!$B$1:$L$24,6,FALSE)+'BMP P Tracking Table'!$X456*VLOOKUP('BMP P Tracking Table'!$Q456,'Loading Rates'!$B$1:$L$24,7,FALSE)+'BMP P Tracking Table'!$Y456*VLOOKUP('BMP P Tracking Table'!$Q456,'Loading Rates'!$B$1:$L$24,8,FALSE)+'BMP P Tracking Table'!$Z456*VLOOKUP('BMP P Tracking Table'!$Q456,'Loading Rates'!$B$1:$L$24,9,FALSE),'BMP P Tracking Table'!$AA456*VLOOKUP('BMP P Tracking Table'!$Q456,'Loading Rates'!$B$1:$L$24,10,FALSE)),"")</f>
        <v/>
      </c>
      <c r="AE456" s="101" t="str">
        <f>IFERROR(MIN(2,IF('BMP P Tracking Table'!$V456="Total Pervious",(-(3630*'BMP P Tracking Table'!$U456+20.691*'BMP P Tracking Table'!$AA456)+SQRT((3630*'BMP P Tracking Table'!$U456+20.691*'BMP P Tracking Table'!$AA456)^2-(4*(996.798*'BMP P Tracking Table'!$AA456)*-'BMP P Tracking Table'!$AB456)))/(2*(996.798*'BMP P Tracking Table'!$AA456)),IF(SUM('BMP P Tracking Table'!$W456:$Z456)=0,'BMP P Tracking Table'!$AB456/(-3630*'BMP P Tracking Table'!$U456),(-(3630*'BMP P Tracking Table'!$U456+20.691*'BMP P Tracking Table'!$Z456-216.711*'BMP P Tracking Table'!$Y456-83.853*'BMP P Tracking Table'!$X456-42.834*'BMP P Tracking Table'!$W456)+SQRT((3630*'BMP P Tracking Table'!$U456+20.691*'BMP P Tracking Table'!$Z456-216.711*'BMP P Tracking Table'!$Y456-83.853*'BMP P Tracking Table'!$X456-42.834*'BMP P Tracking Table'!$W456)^2-(4*(149.919*'BMP P Tracking Table'!$W456+236.676*'BMP P Tracking Table'!$X456+726*'BMP P Tracking Table'!$Y456+996.798*'BMP P Tracking Table'!$Z456)*-'BMP P Tracking Table'!$AB456)))/(2*(149.919*'BMP P Tracking Table'!$W456+236.676*'BMP P Tracking Table'!$X456+726*'BMP P Tracking Table'!$Y456+996.798*'BMP P Tracking Table'!$Z456))))),"")</f>
        <v/>
      </c>
      <c r="AF456" s="101" t="str">
        <f>IFERROR((VLOOKUP(CONCATENATE('BMP P Tracking Table'!$T456," ",'BMP P Tracking Table'!$AC456),'Performance Curves'!$C$1:$L$45,MATCH('BMP P Tracking Table'!$AE456,'Performance Curves'!$E$1:$L$1,1)+2,FALSE)-VLOOKUP(CONCATENATE('BMP P Tracking Table'!$T456," ",'BMP P Tracking Table'!$AC456),'Performance Curves'!$C$1:$L$45,MATCH('BMP P Tracking Table'!$AE456,'Performance Curves'!$E$1:$L$1,1)+1,FALSE)),"")</f>
        <v/>
      </c>
      <c r="AG456" s="101" t="str">
        <f>IFERROR(('BMP P Tracking Table'!$AE456-INDEX('Performance Curves'!$E$1:$L$1,1,MATCH('BMP P Tracking Table'!$AE456,'Performance Curves'!$E$1:$L$1,1)))/(INDEX('Performance Curves'!$E$1:$L$1,1,MATCH('BMP P Tracking Table'!$AE456,'Performance Curves'!$E$1:$L$1,1)+1)-INDEX('Performance Curves'!$E$1:$L$1,1,MATCH('BMP P Tracking Table'!$AE456,'Performance Curves'!$E$1:$L$1,1))),"")</f>
        <v/>
      </c>
      <c r="AH456" s="102" t="str">
        <f>IFERROR(IF('BMP P Tracking Table'!$AE456=2,VLOOKUP(CONCATENATE('BMP P Tracking Table'!$T456," ",'BMP P Tracking Table'!$AC456),'Performance Curves'!$C$1:$L$45,MATCH('BMP P Tracking Table'!$AE456,'Performance Curves'!$E$1:$L$1,1)+1,FALSE),'BMP P Tracking Table'!$AF456*'BMP P Tracking Table'!$AG456+VLOOKUP(CONCATENATE('BMP P Tracking Table'!$T456," ",'BMP P Tracking Table'!$AC456),'Performance Curves'!$C$1:$L$45,MATCH('BMP P Tracking Table'!$AE456,'Performance Curves'!$E$1:$L$1,1)+1,FALSE)),"")</f>
        <v/>
      </c>
      <c r="AI456" s="101" t="str">
        <f>IFERROR('BMP P Tracking Table'!$AH456*'BMP P Tracking Table'!$AD456,"")</f>
        <v/>
      </c>
      <c r="AJ456" s="64"/>
      <c r="AK456" s="96"/>
      <c r="AL456" s="96"/>
      <c r="AM456" s="63"/>
      <c r="AN456" s="99" t="str">
        <f t="shared" si="24"/>
        <v/>
      </c>
      <c r="AO456" s="96"/>
      <c r="AP456" s="96"/>
      <c r="AQ456" s="96"/>
      <c r="AR456" s="96"/>
      <c r="AS456" s="96"/>
      <c r="AT456" s="96"/>
      <c r="AU456" s="96"/>
      <c r="AV456" s="64"/>
      <c r="AW456" s="97"/>
      <c r="AX456" s="97"/>
      <c r="AY456" s="101" t="str">
        <f>IF('BMP P Tracking Table'!$AK456="Yes",IF('BMP P Tracking Table'!$AL456="No",'BMP P Tracking Table'!$U456*VLOOKUP('BMP P Tracking Table'!$Q456,'Loading Rates'!$B$1:$L$24,4,FALSE)+IF('BMP P Tracking Table'!$V456="By HSG",'BMP P Tracking Table'!$W456*VLOOKUP('BMP P Tracking Table'!$Q456,'Loading Rates'!$B$1:$L$24,6,FALSE)+'BMP P Tracking Table'!$X456*VLOOKUP('BMP P Tracking Table'!$Q456,'Loading Rates'!$B$1:$L$24,7,FALSE)+'BMP P Tracking Table'!$Y456*VLOOKUP('BMP P Tracking Table'!$Q456,'Loading Rates'!$B$1:$L$24,8,FALSE)+'BMP P Tracking Table'!$Z456*VLOOKUP('BMP P Tracking Table'!$Q456,'Loading Rates'!$B$1:$L$24,9,FALSE),'BMP P Tracking Table'!$AA456*VLOOKUP('BMP P Tracking Table'!$Q456,'Loading Rates'!$B$1:$L$24,10,FALSE)),'BMP P Tracking Table'!$AO456*VLOOKUP('BMP P Tracking Table'!$Q456,'Loading Rates'!$B$1:$L$24,4,FALSE)+IF('BMP P Tracking Table'!$AP456="By HSG",'BMP P Tracking Table'!$AQ456*VLOOKUP('BMP P Tracking Table'!$Q456,'Loading Rates'!$B$1:$L$24,6,FALSE)+'BMP P Tracking Table'!$AR456*VLOOKUP('BMP P Tracking Table'!$Q456,'Loading Rates'!$B$1:$L$24,7,FALSE)+'BMP P Tracking Table'!$AS456*VLOOKUP('BMP P Tracking Table'!$Q456,'Loading Rates'!$B$1:$L$24,8,FALSE)+'BMP P Tracking Table'!$AT456*VLOOKUP('BMP P Tracking Table'!$Q456,'Loading Rates'!$B$1:$L$24,9,FALSE),'BMP P Tracking Table'!$AU456*VLOOKUP('BMP P Tracking Table'!$Q456,'Loading Rates'!$B$1:$L$24,10,FALSE))),"")</f>
        <v/>
      </c>
      <c r="AZ456" s="101" t="str">
        <f>IFERROR(IF('BMP P Tracking Table'!$AL456="Yes",MIN(2,IF('BMP P Tracking Table'!$AP456="Total Pervious",(-(3630*'BMP P Tracking Table'!$AO456+20.691*'BMP P Tracking Table'!$AU456)+SQRT((3630*'BMP P Tracking Table'!$AO456+20.691*'BMP P Tracking Table'!$AU456)^2-(4*(996.798*'BMP P Tracking Table'!$AU456)*-'BMP P Tracking Table'!$AW456)))/(2*(996.798*'BMP P Tracking Table'!$AU456)),IF(SUM('BMP P Tracking Table'!$AQ456:$AT456)=0,'BMP P Tracking Table'!$AU456/(-3630*'BMP P Tracking Table'!$AO456),(-(3630*'BMP P Tracking Table'!$AO456+20.691*'BMP P Tracking Table'!$AT456-216.711*'BMP P Tracking Table'!$AS456-83.853*'BMP P Tracking Table'!$AR456-42.834*'BMP P Tracking Table'!$AQ456)+SQRT((3630*'BMP P Tracking Table'!$AO456+20.691*'BMP P Tracking Table'!$AT456-216.711*'BMP P Tracking Table'!$AS456-83.853*'BMP P Tracking Table'!$AR456-42.834*'BMP P Tracking Table'!$AQ456)^2-(4*(149.919*'BMP P Tracking Table'!$AQ456+236.676*'BMP P Tracking Table'!$AR456+726*'BMP P Tracking Table'!$AS456+996.798*'BMP P Tracking Table'!$AT456)*-'BMP P Tracking Table'!$AW456)))/(2*(149.919*'BMP P Tracking Table'!$AQ456+236.676*'BMP P Tracking Table'!$AR456+726*'BMP P Tracking Table'!$AS456+996.798*'BMP P Tracking Table'!$AT456))))),MIN(2,IF('BMP P Tracking Table'!$AP456="Total Pervious",(-(3630*'BMP P Tracking Table'!$U456+20.691*'BMP P Tracking Table'!$AA456)+SQRT((3630*'BMP P Tracking Table'!$U456+20.691*'BMP P Tracking Table'!$AA456)^2-(4*(996.798*'BMP P Tracking Table'!$AA456)*-'BMP P Tracking Table'!$AW456)))/(2*(996.798*'BMP P Tracking Table'!$AA456)),IF(SUM('BMP P Tracking Table'!$W456:$Z456)=0,'BMP P Tracking Table'!$AW456/(-3630*'BMP P Tracking Table'!$U456),(-(3630*'BMP P Tracking Table'!$U456+20.691*'BMP P Tracking Table'!$Z456-216.711*'BMP P Tracking Table'!$Y456-83.853*'BMP P Tracking Table'!$X456-42.834*'BMP P Tracking Table'!$W456)+SQRT((3630*'BMP P Tracking Table'!$U456+20.691*'BMP P Tracking Table'!$Z456-216.711*'BMP P Tracking Table'!$Y456-83.853*'BMP P Tracking Table'!$X456-42.834*'BMP P Tracking Table'!$W456)^2-(4*(149.919*'BMP P Tracking Table'!$W456+236.676*'BMP P Tracking Table'!$X456+726*'BMP P Tracking Table'!$Y456+996.798*'BMP P Tracking Table'!$Z456)*-'BMP P Tracking Table'!$AW456)))/(2*(149.919*'BMP P Tracking Table'!$W456+236.676*'BMP P Tracking Table'!$X456+726*'BMP P Tracking Table'!$Y456+996.798*'BMP P Tracking Table'!$Z456)))))),"")</f>
        <v/>
      </c>
      <c r="BA456" s="101" t="str">
        <f>IFERROR((VLOOKUP(CONCATENATE('BMP P Tracking Table'!$AV456," ",'BMP P Tracking Table'!$AX456),'Performance Curves'!$C$1:$L$45,MATCH('BMP P Tracking Table'!$AZ456,'Performance Curves'!$E$1:$L$1,1)+2,FALSE)-VLOOKUP(CONCATENATE('BMP P Tracking Table'!$AV456," ",'BMP P Tracking Table'!$AX456),'Performance Curves'!$C$1:$L$45,MATCH('BMP P Tracking Table'!$AZ456,'Performance Curves'!$E$1:$L$1,1)+1,FALSE)),"")</f>
        <v/>
      </c>
      <c r="BB456" s="101" t="str">
        <f>IFERROR(('BMP P Tracking Table'!$AZ456-INDEX('Performance Curves'!$E$1:$L$1,1,MATCH('BMP P Tracking Table'!$AZ456,'Performance Curves'!$E$1:$L$1,1)))/(INDEX('Performance Curves'!$E$1:$L$1,1,MATCH('BMP P Tracking Table'!$AZ456,'Performance Curves'!$E$1:$L$1,1)+1)-INDEX('Performance Curves'!$E$1:$L$1,1,MATCH('BMP P Tracking Table'!$AZ456,'Performance Curves'!$E$1:$L$1,1))),"")</f>
        <v/>
      </c>
      <c r="BC456" s="102" t="str">
        <f>IFERROR(IF('BMP P Tracking Table'!$AZ456=2,VLOOKUP(CONCATENATE('BMP P Tracking Table'!$AV456," ",'BMP P Tracking Table'!$AX456),'Performance Curves'!$C$1:$L$44,MATCH('BMP P Tracking Table'!$AZ456,'Performance Curves'!$E$1:$L$1,1)+1,FALSE),'BMP P Tracking Table'!$BA456*'BMP P Tracking Table'!$BB456+VLOOKUP(CONCATENATE('BMP P Tracking Table'!$AV456," ",'BMP P Tracking Table'!$AX456),'Performance Curves'!$C$1:$L$44,MATCH('BMP P Tracking Table'!$AZ456,'Performance Curves'!$E$1:$L$1,1)+1,FALSE)),"")</f>
        <v/>
      </c>
      <c r="BD456" s="101" t="str">
        <f>IFERROR('BMP P Tracking Table'!$BC456*'BMP P Tracking Table'!$AY456,"")</f>
        <v/>
      </c>
      <c r="BE456" s="96"/>
      <c r="BF456" s="37">
        <f t="shared" si="25"/>
        <v>0</v>
      </c>
    </row>
    <row r="457" spans="1:58" x14ac:dyDescent="0.3">
      <c r="A457" s="64"/>
      <c r="B457" s="64"/>
      <c r="C457" s="64"/>
      <c r="D457" s="64"/>
      <c r="E457" s="93"/>
      <c r="F457" s="93"/>
      <c r="G457" s="64"/>
      <c r="H457" s="64"/>
      <c r="I457" s="64"/>
      <c r="J457" s="94"/>
      <c r="K457" s="64"/>
      <c r="L457" s="64"/>
      <c r="M457" s="64"/>
      <c r="N457" s="64"/>
      <c r="O457" s="64"/>
      <c r="P457" s="64"/>
      <c r="Q457" s="64" t="str">
        <f>IFERROR(VLOOKUP('BMP P Tracking Table'!$P457,Dropdowns!$C$2:$E$15,3,FALSE),"")</f>
        <v/>
      </c>
      <c r="R457" s="64" t="str">
        <f>IFERROR(VLOOKUP('BMP P Tracking Table'!$Q457,Dropdowns!$P$3:$Q$23,2,FALSE),"")</f>
        <v/>
      </c>
      <c r="S457" s="64"/>
      <c r="T457" s="64"/>
      <c r="U457" s="64"/>
      <c r="V457" s="64"/>
      <c r="W457" s="64"/>
      <c r="X457" s="64"/>
      <c r="Y457" s="64"/>
      <c r="Z457" s="64"/>
      <c r="AA457" s="64"/>
      <c r="AB457" s="95"/>
      <c r="AC457" s="64"/>
      <c r="AD457" s="101" t="str">
        <f>IFERROR('BMP P Tracking Table'!$U457*VLOOKUP('BMP P Tracking Table'!$Q457,'Loading Rates'!$B$1:$L$24,4,FALSE)+IF('BMP P Tracking Table'!$V457="By HSG",'BMP P Tracking Table'!$W457*VLOOKUP('BMP P Tracking Table'!$Q457,'Loading Rates'!$B$1:$L$24,6,FALSE)+'BMP P Tracking Table'!$X457*VLOOKUP('BMP P Tracking Table'!$Q457,'Loading Rates'!$B$1:$L$24,7,FALSE)+'BMP P Tracking Table'!$Y457*VLOOKUP('BMP P Tracking Table'!$Q457,'Loading Rates'!$B$1:$L$24,8,FALSE)+'BMP P Tracking Table'!$Z457*VLOOKUP('BMP P Tracking Table'!$Q457,'Loading Rates'!$B$1:$L$24,9,FALSE),'BMP P Tracking Table'!$AA457*VLOOKUP('BMP P Tracking Table'!$Q457,'Loading Rates'!$B$1:$L$24,10,FALSE)),"")</f>
        <v/>
      </c>
      <c r="AE457" s="101" t="str">
        <f>IFERROR(MIN(2,IF('BMP P Tracking Table'!$V457="Total Pervious",(-(3630*'BMP P Tracking Table'!$U457+20.691*'BMP P Tracking Table'!$AA457)+SQRT((3630*'BMP P Tracking Table'!$U457+20.691*'BMP P Tracking Table'!$AA457)^2-(4*(996.798*'BMP P Tracking Table'!$AA457)*-'BMP P Tracking Table'!$AB457)))/(2*(996.798*'BMP P Tracking Table'!$AA457)),IF(SUM('BMP P Tracking Table'!$W457:$Z457)=0,'BMP P Tracking Table'!$AB457/(-3630*'BMP P Tracking Table'!$U457),(-(3630*'BMP P Tracking Table'!$U457+20.691*'BMP P Tracking Table'!$Z457-216.711*'BMP P Tracking Table'!$Y457-83.853*'BMP P Tracking Table'!$X457-42.834*'BMP P Tracking Table'!$W457)+SQRT((3630*'BMP P Tracking Table'!$U457+20.691*'BMP P Tracking Table'!$Z457-216.711*'BMP P Tracking Table'!$Y457-83.853*'BMP P Tracking Table'!$X457-42.834*'BMP P Tracking Table'!$W457)^2-(4*(149.919*'BMP P Tracking Table'!$W457+236.676*'BMP P Tracking Table'!$X457+726*'BMP P Tracking Table'!$Y457+996.798*'BMP P Tracking Table'!$Z457)*-'BMP P Tracking Table'!$AB457)))/(2*(149.919*'BMP P Tracking Table'!$W457+236.676*'BMP P Tracking Table'!$X457+726*'BMP P Tracking Table'!$Y457+996.798*'BMP P Tracking Table'!$Z457))))),"")</f>
        <v/>
      </c>
      <c r="AF457" s="101" t="str">
        <f>IFERROR((VLOOKUP(CONCATENATE('BMP P Tracking Table'!$T457," ",'BMP P Tracking Table'!$AC457),'Performance Curves'!$C$1:$L$45,MATCH('BMP P Tracking Table'!$AE457,'Performance Curves'!$E$1:$L$1,1)+2,FALSE)-VLOOKUP(CONCATENATE('BMP P Tracking Table'!$T457," ",'BMP P Tracking Table'!$AC457),'Performance Curves'!$C$1:$L$45,MATCH('BMP P Tracking Table'!$AE457,'Performance Curves'!$E$1:$L$1,1)+1,FALSE)),"")</f>
        <v/>
      </c>
      <c r="AG457" s="101" t="str">
        <f>IFERROR(('BMP P Tracking Table'!$AE457-INDEX('Performance Curves'!$E$1:$L$1,1,MATCH('BMP P Tracking Table'!$AE457,'Performance Curves'!$E$1:$L$1,1)))/(INDEX('Performance Curves'!$E$1:$L$1,1,MATCH('BMP P Tracking Table'!$AE457,'Performance Curves'!$E$1:$L$1,1)+1)-INDEX('Performance Curves'!$E$1:$L$1,1,MATCH('BMP P Tracking Table'!$AE457,'Performance Curves'!$E$1:$L$1,1))),"")</f>
        <v/>
      </c>
      <c r="AH457" s="102" t="str">
        <f>IFERROR(IF('BMP P Tracking Table'!$AE457=2,VLOOKUP(CONCATENATE('BMP P Tracking Table'!$T457," ",'BMP P Tracking Table'!$AC457),'Performance Curves'!$C$1:$L$45,MATCH('BMP P Tracking Table'!$AE457,'Performance Curves'!$E$1:$L$1,1)+1,FALSE),'BMP P Tracking Table'!$AF457*'BMP P Tracking Table'!$AG457+VLOOKUP(CONCATENATE('BMP P Tracking Table'!$T457," ",'BMP P Tracking Table'!$AC457),'Performance Curves'!$C$1:$L$45,MATCH('BMP P Tracking Table'!$AE457,'Performance Curves'!$E$1:$L$1,1)+1,FALSE)),"")</f>
        <v/>
      </c>
      <c r="AI457" s="101" t="str">
        <f>IFERROR('BMP P Tracking Table'!$AH457*'BMP P Tracking Table'!$AD457,"")</f>
        <v/>
      </c>
      <c r="AJ457" s="64"/>
      <c r="AK457" s="96"/>
      <c r="AL457" s="96"/>
      <c r="AM457" s="63"/>
      <c r="AN457" s="99" t="str">
        <f t="shared" si="24"/>
        <v/>
      </c>
      <c r="AO457" s="96"/>
      <c r="AP457" s="96"/>
      <c r="AQ457" s="96"/>
      <c r="AR457" s="96"/>
      <c r="AS457" s="96"/>
      <c r="AT457" s="96"/>
      <c r="AU457" s="96"/>
      <c r="AV457" s="64"/>
      <c r="AW457" s="97"/>
      <c r="AX457" s="97"/>
      <c r="AY457" s="101" t="str">
        <f>IF('BMP P Tracking Table'!$AK457="Yes",IF('BMP P Tracking Table'!$AL457="No",'BMP P Tracking Table'!$U457*VLOOKUP('BMP P Tracking Table'!$Q457,'Loading Rates'!$B$1:$L$24,4,FALSE)+IF('BMP P Tracking Table'!$V457="By HSG",'BMP P Tracking Table'!$W457*VLOOKUP('BMP P Tracking Table'!$Q457,'Loading Rates'!$B$1:$L$24,6,FALSE)+'BMP P Tracking Table'!$X457*VLOOKUP('BMP P Tracking Table'!$Q457,'Loading Rates'!$B$1:$L$24,7,FALSE)+'BMP P Tracking Table'!$Y457*VLOOKUP('BMP P Tracking Table'!$Q457,'Loading Rates'!$B$1:$L$24,8,FALSE)+'BMP P Tracking Table'!$Z457*VLOOKUP('BMP P Tracking Table'!$Q457,'Loading Rates'!$B$1:$L$24,9,FALSE),'BMP P Tracking Table'!$AA457*VLOOKUP('BMP P Tracking Table'!$Q457,'Loading Rates'!$B$1:$L$24,10,FALSE)),'BMP P Tracking Table'!$AO457*VLOOKUP('BMP P Tracking Table'!$Q457,'Loading Rates'!$B$1:$L$24,4,FALSE)+IF('BMP P Tracking Table'!$AP457="By HSG",'BMP P Tracking Table'!$AQ457*VLOOKUP('BMP P Tracking Table'!$Q457,'Loading Rates'!$B$1:$L$24,6,FALSE)+'BMP P Tracking Table'!$AR457*VLOOKUP('BMP P Tracking Table'!$Q457,'Loading Rates'!$B$1:$L$24,7,FALSE)+'BMP P Tracking Table'!$AS457*VLOOKUP('BMP P Tracking Table'!$Q457,'Loading Rates'!$B$1:$L$24,8,FALSE)+'BMP P Tracking Table'!$AT457*VLOOKUP('BMP P Tracking Table'!$Q457,'Loading Rates'!$B$1:$L$24,9,FALSE),'BMP P Tracking Table'!$AU457*VLOOKUP('BMP P Tracking Table'!$Q457,'Loading Rates'!$B$1:$L$24,10,FALSE))),"")</f>
        <v/>
      </c>
      <c r="AZ457" s="101" t="str">
        <f>IFERROR(IF('BMP P Tracking Table'!$AL457="Yes",MIN(2,IF('BMP P Tracking Table'!$AP457="Total Pervious",(-(3630*'BMP P Tracking Table'!$AO457+20.691*'BMP P Tracking Table'!$AU457)+SQRT((3630*'BMP P Tracking Table'!$AO457+20.691*'BMP P Tracking Table'!$AU457)^2-(4*(996.798*'BMP P Tracking Table'!$AU457)*-'BMP P Tracking Table'!$AW457)))/(2*(996.798*'BMP P Tracking Table'!$AU457)),IF(SUM('BMP P Tracking Table'!$AQ457:$AT457)=0,'BMP P Tracking Table'!$AU457/(-3630*'BMP P Tracking Table'!$AO457),(-(3630*'BMP P Tracking Table'!$AO457+20.691*'BMP P Tracking Table'!$AT457-216.711*'BMP P Tracking Table'!$AS457-83.853*'BMP P Tracking Table'!$AR457-42.834*'BMP P Tracking Table'!$AQ457)+SQRT((3630*'BMP P Tracking Table'!$AO457+20.691*'BMP P Tracking Table'!$AT457-216.711*'BMP P Tracking Table'!$AS457-83.853*'BMP P Tracking Table'!$AR457-42.834*'BMP P Tracking Table'!$AQ457)^2-(4*(149.919*'BMP P Tracking Table'!$AQ457+236.676*'BMP P Tracking Table'!$AR457+726*'BMP P Tracking Table'!$AS457+996.798*'BMP P Tracking Table'!$AT457)*-'BMP P Tracking Table'!$AW457)))/(2*(149.919*'BMP P Tracking Table'!$AQ457+236.676*'BMP P Tracking Table'!$AR457+726*'BMP P Tracking Table'!$AS457+996.798*'BMP P Tracking Table'!$AT457))))),MIN(2,IF('BMP P Tracking Table'!$AP457="Total Pervious",(-(3630*'BMP P Tracking Table'!$U457+20.691*'BMP P Tracking Table'!$AA457)+SQRT((3630*'BMP P Tracking Table'!$U457+20.691*'BMP P Tracking Table'!$AA457)^2-(4*(996.798*'BMP P Tracking Table'!$AA457)*-'BMP P Tracking Table'!$AW457)))/(2*(996.798*'BMP P Tracking Table'!$AA457)),IF(SUM('BMP P Tracking Table'!$W457:$Z457)=0,'BMP P Tracking Table'!$AW457/(-3630*'BMP P Tracking Table'!$U457),(-(3630*'BMP P Tracking Table'!$U457+20.691*'BMP P Tracking Table'!$Z457-216.711*'BMP P Tracking Table'!$Y457-83.853*'BMP P Tracking Table'!$X457-42.834*'BMP P Tracking Table'!$W457)+SQRT((3630*'BMP P Tracking Table'!$U457+20.691*'BMP P Tracking Table'!$Z457-216.711*'BMP P Tracking Table'!$Y457-83.853*'BMP P Tracking Table'!$X457-42.834*'BMP P Tracking Table'!$W457)^2-(4*(149.919*'BMP P Tracking Table'!$W457+236.676*'BMP P Tracking Table'!$X457+726*'BMP P Tracking Table'!$Y457+996.798*'BMP P Tracking Table'!$Z457)*-'BMP P Tracking Table'!$AW457)))/(2*(149.919*'BMP P Tracking Table'!$W457+236.676*'BMP P Tracking Table'!$X457+726*'BMP P Tracking Table'!$Y457+996.798*'BMP P Tracking Table'!$Z457)))))),"")</f>
        <v/>
      </c>
      <c r="BA457" s="101" t="str">
        <f>IFERROR((VLOOKUP(CONCATENATE('BMP P Tracking Table'!$AV457," ",'BMP P Tracking Table'!$AX457),'Performance Curves'!$C$1:$L$45,MATCH('BMP P Tracking Table'!$AZ457,'Performance Curves'!$E$1:$L$1,1)+2,FALSE)-VLOOKUP(CONCATENATE('BMP P Tracking Table'!$AV457," ",'BMP P Tracking Table'!$AX457),'Performance Curves'!$C$1:$L$45,MATCH('BMP P Tracking Table'!$AZ457,'Performance Curves'!$E$1:$L$1,1)+1,FALSE)),"")</f>
        <v/>
      </c>
      <c r="BB457" s="101" t="str">
        <f>IFERROR(('BMP P Tracking Table'!$AZ457-INDEX('Performance Curves'!$E$1:$L$1,1,MATCH('BMP P Tracking Table'!$AZ457,'Performance Curves'!$E$1:$L$1,1)))/(INDEX('Performance Curves'!$E$1:$L$1,1,MATCH('BMP P Tracking Table'!$AZ457,'Performance Curves'!$E$1:$L$1,1)+1)-INDEX('Performance Curves'!$E$1:$L$1,1,MATCH('BMP P Tracking Table'!$AZ457,'Performance Curves'!$E$1:$L$1,1))),"")</f>
        <v/>
      </c>
      <c r="BC457" s="102" t="str">
        <f>IFERROR(IF('BMP P Tracking Table'!$AZ457=2,VLOOKUP(CONCATENATE('BMP P Tracking Table'!$AV457," ",'BMP P Tracking Table'!$AX457),'Performance Curves'!$C$1:$L$44,MATCH('BMP P Tracking Table'!$AZ457,'Performance Curves'!$E$1:$L$1,1)+1,FALSE),'BMP P Tracking Table'!$BA457*'BMP P Tracking Table'!$BB457+VLOOKUP(CONCATENATE('BMP P Tracking Table'!$AV457," ",'BMP P Tracking Table'!$AX457),'Performance Curves'!$C$1:$L$44,MATCH('BMP P Tracking Table'!$AZ457,'Performance Curves'!$E$1:$L$1,1)+1,FALSE)),"")</f>
        <v/>
      </c>
      <c r="BD457" s="101" t="str">
        <f>IFERROR('BMP P Tracking Table'!$BC457*'BMP P Tracking Table'!$AY457,"")</f>
        <v/>
      </c>
      <c r="BE457" s="96"/>
      <c r="BF457" s="37">
        <f t="shared" si="25"/>
        <v>0</v>
      </c>
    </row>
    <row r="458" spans="1:58" x14ac:dyDescent="0.3">
      <c r="A458" s="64"/>
      <c r="B458" s="64"/>
      <c r="C458" s="64"/>
      <c r="D458" s="64"/>
      <c r="E458" s="93"/>
      <c r="F458" s="93"/>
      <c r="G458" s="64"/>
      <c r="H458" s="64"/>
      <c r="I458" s="64"/>
      <c r="J458" s="94"/>
      <c r="K458" s="64"/>
      <c r="L458" s="64"/>
      <c r="M458" s="64"/>
      <c r="N458" s="64"/>
      <c r="O458" s="64"/>
      <c r="P458" s="64"/>
      <c r="Q458" s="64" t="str">
        <f>IFERROR(VLOOKUP('BMP P Tracking Table'!$P458,Dropdowns!$C$2:$E$15,3,FALSE),"")</f>
        <v/>
      </c>
      <c r="R458" s="64" t="str">
        <f>IFERROR(VLOOKUP('BMP P Tracking Table'!$Q458,Dropdowns!$P$3:$Q$23,2,FALSE),"")</f>
        <v/>
      </c>
      <c r="S458" s="64"/>
      <c r="T458" s="64"/>
      <c r="U458" s="64"/>
      <c r="V458" s="64"/>
      <c r="W458" s="64"/>
      <c r="X458" s="64"/>
      <c r="Y458" s="64"/>
      <c r="Z458" s="64"/>
      <c r="AA458" s="64"/>
      <c r="AB458" s="95"/>
      <c r="AC458" s="64"/>
      <c r="AD458" s="101" t="str">
        <f>IFERROR('BMP P Tracking Table'!$U458*VLOOKUP('BMP P Tracking Table'!$Q458,'Loading Rates'!$B$1:$L$24,4,FALSE)+IF('BMP P Tracking Table'!$V458="By HSG",'BMP P Tracking Table'!$W458*VLOOKUP('BMP P Tracking Table'!$Q458,'Loading Rates'!$B$1:$L$24,6,FALSE)+'BMP P Tracking Table'!$X458*VLOOKUP('BMP P Tracking Table'!$Q458,'Loading Rates'!$B$1:$L$24,7,FALSE)+'BMP P Tracking Table'!$Y458*VLOOKUP('BMP P Tracking Table'!$Q458,'Loading Rates'!$B$1:$L$24,8,FALSE)+'BMP P Tracking Table'!$Z458*VLOOKUP('BMP P Tracking Table'!$Q458,'Loading Rates'!$B$1:$L$24,9,FALSE),'BMP P Tracking Table'!$AA458*VLOOKUP('BMP P Tracking Table'!$Q458,'Loading Rates'!$B$1:$L$24,10,FALSE)),"")</f>
        <v/>
      </c>
      <c r="AE458" s="101" t="str">
        <f>IFERROR(MIN(2,IF('BMP P Tracking Table'!$V458="Total Pervious",(-(3630*'BMP P Tracking Table'!$U458+20.691*'BMP P Tracking Table'!$AA458)+SQRT((3630*'BMP P Tracking Table'!$U458+20.691*'BMP P Tracking Table'!$AA458)^2-(4*(996.798*'BMP P Tracking Table'!$AA458)*-'BMP P Tracking Table'!$AB458)))/(2*(996.798*'BMP P Tracking Table'!$AA458)),IF(SUM('BMP P Tracking Table'!$W458:$Z458)=0,'BMP P Tracking Table'!$AB458/(-3630*'BMP P Tracking Table'!$U458),(-(3630*'BMP P Tracking Table'!$U458+20.691*'BMP P Tracking Table'!$Z458-216.711*'BMP P Tracking Table'!$Y458-83.853*'BMP P Tracking Table'!$X458-42.834*'BMP P Tracking Table'!$W458)+SQRT((3630*'BMP P Tracking Table'!$U458+20.691*'BMP P Tracking Table'!$Z458-216.711*'BMP P Tracking Table'!$Y458-83.853*'BMP P Tracking Table'!$X458-42.834*'BMP P Tracking Table'!$W458)^2-(4*(149.919*'BMP P Tracking Table'!$W458+236.676*'BMP P Tracking Table'!$X458+726*'BMP P Tracking Table'!$Y458+996.798*'BMP P Tracking Table'!$Z458)*-'BMP P Tracking Table'!$AB458)))/(2*(149.919*'BMP P Tracking Table'!$W458+236.676*'BMP P Tracking Table'!$X458+726*'BMP P Tracking Table'!$Y458+996.798*'BMP P Tracking Table'!$Z458))))),"")</f>
        <v/>
      </c>
      <c r="AF458" s="101" t="str">
        <f>IFERROR((VLOOKUP(CONCATENATE('BMP P Tracking Table'!$T458," ",'BMP P Tracking Table'!$AC458),'Performance Curves'!$C$1:$L$45,MATCH('BMP P Tracking Table'!$AE458,'Performance Curves'!$E$1:$L$1,1)+2,FALSE)-VLOOKUP(CONCATENATE('BMP P Tracking Table'!$T458," ",'BMP P Tracking Table'!$AC458),'Performance Curves'!$C$1:$L$45,MATCH('BMP P Tracking Table'!$AE458,'Performance Curves'!$E$1:$L$1,1)+1,FALSE)),"")</f>
        <v/>
      </c>
      <c r="AG458" s="101" t="str">
        <f>IFERROR(('BMP P Tracking Table'!$AE458-INDEX('Performance Curves'!$E$1:$L$1,1,MATCH('BMP P Tracking Table'!$AE458,'Performance Curves'!$E$1:$L$1,1)))/(INDEX('Performance Curves'!$E$1:$L$1,1,MATCH('BMP P Tracking Table'!$AE458,'Performance Curves'!$E$1:$L$1,1)+1)-INDEX('Performance Curves'!$E$1:$L$1,1,MATCH('BMP P Tracking Table'!$AE458,'Performance Curves'!$E$1:$L$1,1))),"")</f>
        <v/>
      </c>
      <c r="AH458" s="102" t="str">
        <f>IFERROR(IF('BMP P Tracking Table'!$AE458=2,VLOOKUP(CONCATENATE('BMP P Tracking Table'!$T458," ",'BMP P Tracking Table'!$AC458),'Performance Curves'!$C$1:$L$45,MATCH('BMP P Tracking Table'!$AE458,'Performance Curves'!$E$1:$L$1,1)+1,FALSE),'BMP P Tracking Table'!$AF458*'BMP P Tracking Table'!$AG458+VLOOKUP(CONCATENATE('BMP P Tracking Table'!$T458," ",'BMP P Tracking Table'!$AC458),'Performance Curves'!$C$1:$L$45,MATCH('BMP P Tracking Table'!$AE458,'Performance Curves'!$E$1:$L$1,1)+1,FALSE)),"")</f>
        <v/>
      </c>
      <c r="AI458" s="101" t="str">
        <f>IFERROR('BMP P Tracking Table'!$AH458*'BMP P Tracking Table'!$AD458,"")</f>
        <v/>
      </c>
      <c r="AJ458" s="64"/>
      <c r="AK458" s="96"/>
      <c r="AL458" s="96"/>
      <c r="AM458" s="63"/>
      <c r="AN458" s="99" t="str">
        <f t="shared" si="24"/>
        <v/>
      </c>
      <c r="AO458" s="96"/>
      <c r="AP458" s="96"/>
      <c r="AQ458" s="96"/>
      <c r="AR458" s="96"/>
      <c r="AS458" s="96"/>
      <c r="AT458" s="96"/>
      <c r="AU458" s="96"/>
      <c r="AV458" s="64"/>
      <c r="AW458" s="97"/>
      <c r="AX458" s="97"/>
      <c r="AY458" s="101" t="str">
        <f>IF('BMP P Tracking Table'!$AK458="Yes",IF('BMP P Tracking Table'!$AL458="No",'BMP P Tracking Table'!$U458*VLOOKUP('BMP P Tracking Table'!$Q458,'Loading Rates'!$B$1:$L$24,4,FALSE)+IF('BMP P Tracking Table'!$V458="By HSG",'BMP P Tracking Table'!$W458*VLOOKUP('BMP P Tracking Table'!$Q458,'Loading Rates'!$B$1:$L$24,6,FALSE)+'BMP P Tracking Table'!$X458*VLOOKUP('BMP P Tracking Table'!$Q458,'Loading Rates'!$B$1:$L$24,7,FALSE)+'BMP P Tracking Table'!$Y458*VLOOKUP('BMP P Tracking Table'!$Q458,'Loading Rates'!$B$1:$L$24,8,FALSE)+'BMP P Tracking Table'!$Z458*VLOOKUP('BMP P Tracking Table'!$Q458,'Loading Rates'!$B$1:$L$24,9,FALSE),'BMP P Tracking Table'!$AA458*VLOOKUP('BMP P Tracking Table'!$Q458,'Loading Rates'!$B$1:$L$24,10,FALSE)),'BMP P Tracking Table'!$AO458*VLOOKUP('BMP P Tracking Table'!$Q458,'Loading Rates'!$B$1:$L$24,4,FALSE)+IF('BMP P Tracking Table'!$AP458="By HSG",'BMP P Tracking Table'!$AQ458*VLOOKUP('BMP P Tracking Table'!$Q458,'Loading Rates'!$B$1:$L$24,6,FALSE)+'BMP P Tracking Table'!$AR458*VLOOKUP('BMP P Tracking Table'!$Q458,'Loading Rates'!$B$1:$L$24,7,FALSE)+'BMP P Tracking Table'!$AS458*VLOOKUP('BMP P Tracking Table'!$Q458,'Loading Rates'!$B$1:$L$24,8,FALSE)+'BMP P Tracking Table'!$AT458*VLOOKUP('BMP P Tracking Table'!$Q458,'Loading Rates'!$B$1:$L$24,9,FALSE),'BMP P Tracking Table'!$AU458*VLOOKUP('BMP P Tracking Table'!$Q458,'Loading Rates'!$B$1:$L$24,10,FALSE))),"")</f>
        <v/>
      </c>
      <c r="AZ458" s="101" t="str">
        <f>IFERROR(IF('BMP P Tracking Table'!$AL458="Yes",MIN(2,IF('BMP P Tracking Table'!$AP458="Total Pervious",(-(3630*'BMP P Tracking Table'!$AO458+20.691*'BMP P Tracking Table'!$AU458)+SQRT((3630*'BMP P Tracking Table'!$AO458+20.691*'BMP P Tracking Table'!$AU458)^2-(4*(996.798*'BMP P Tracking Table'!$AU458)*-'BMP P Tracking Table'!$AW458)))/(2*(996.798*'BMP P Tracking Table'!$AU458)),IF(SUM('BMP P Tracking Table'!$AQ458:$AT458)=0,'BMP P Tracking Table'!$AU458/(-3630*'BMP P Tracking Table'!$AO458),(-(3630*'BMP P Tracking Table'!$AO458+20.691*'BMP P Tracking Table'!$AT458-216.711*'BMP P Tracking Table'!$AS458-83.853*'BMP P Tracking Table'!$AR458-42.834*'BMP P Tracking Table'!$AQ458)+SQRT((3630*'BMP P Tracking Table'!$AO458+20.691*'BMP P Tracking Table'!$AT458-216.711*'BMP P Tracking Table'!$AS458-83.853*'BMP P Tracking Table'!$AR458-42.834*'BMP P Tracking Table'!$AQ458)^2-(4*(149.919*'BMP P Tracking Table'!$AQ458+236.676*'BMP P Tracking Table'!$AR458+726*'BMP P Tracking Table'!$AS458+996.798*'BMP P Tracking Table'!$AT458)*-'BMP P Tracking Table'!$AW458)))/(2*(149.919*'BMP P Tracking Table'!$AQ458+236.676*'BMP P Tracking Table'!$AR458+726*'BMP P Tracking Table'!$AS458+996.798*'BMP P Tracking Table'!$AT458))))),MIN(2,IF('BMP P Tracking Table'!$AP458="Total Pervious",(-(3630*'BMP P Tracking Table'!$U458+20.691*'BMP P Tracking Table'!$AA458)+SQRT((3630*'BMP P Tracking Table'!$U458+20.691*'BMP P Tracking Table'!$AA458)^2-(4*(996.798*'BMP P Tracking Table'!$AA458)*-'BMP P Tracking Table'!$AW458)))/(2*(996.798*'BMP P Tracking Table'!$AA458)),IF(SUM('BMP P Tracking Table'!$W458:$Z458)=0,'BMP P Tracking Table'!$AW458/(-3630*'BMP P Tracking Table'!$U458),(-(3630*'BMP P Tracking Table'!$U458+20.691*'BMP P Tracking Table'!$Z458-216.711*'BMP P Tracking Table'!$Y458-83.853*'BMP P Tracking Table'!$X458-42.834*'BMP P Tracking Table'!$W458)+SQRT((3630*'BMP P Tracking Table'!$U458+20.691*'BMP P Tracking Table'!$Z458-216.711*'BMP P Tracking Table'!$Y458-83.853*'BMP P Tracking Table'!$X458-42.834*'BMP P Tracking Table'!$W458)^2-(4*(149.919*'BMP P Tracking Table'!$W458+236.676*'BMP P Tracking Table'!$X458+726*'BMP P Tracking Table'!$Y458+996.798*'BMP P Tracking Table'!$Z458)*-'BMP P Tracking Table'!$AW458)))/(2*(149.919*'BMP P Tracking Table'!$W458+236.676*'BMP P Tracking Table'!$X458+726*'BMP P Tracking Table'!$Y458+996.798*'BMP P Tracking Table'!$Z458)))))),"")</f>
        <v/>
      </c>
      <c r="BA458" s="101" t="str">
        <f>IFERROR((VLOOKUP(CONCATENATE('BMP P Tracking Table'!$AV458," ",'BMP P Tracking Table'!$AX458),'Performance Curves'!$C$1:$L$45,MATCH('BMP P Tracking Table'!$AZ458,'Performance Curves'!$E$1:$L$1,1)+2,FALSE)-VLOOKUP(CONCATENATE('BMP P Tracking Table'!$AV458," ",'BMP P Tracking Table'!$AX458),'Performance Curves'!$C$1:$L$45,MATCH('BMP P Tracking Table'!$AZ458,'Performance Curves'!$E$1:$L$1,1)+1,FALSE)),"")</f>
        <v/>
      </c>
      <c r="BB458" s="101" t="str">
        <f>IFERROR(('BMP P Tracking Table'!$AZ458-INDEX('Performance Curves'!$E$1:$L$1,1,MATCH('BMP P Tracking Table'!$AZ458,'Performance Curves'!$E$1:$L$1,1)))/(INDEX('Performance Curves'!$E$1:$L$1,1,MATCH('BMP P Tracking Table'!$AZ458,'Performance Curves'!$E$1:$L$1,1)+1)-INDEX('Performance Curves'!$E$1:$L$1,1,MATCH('BMP P Tracking Table'!$AZ458,'Performance Curves'!$E$1:$L$1,1))),"")</f>
        <v/>
      </c>
      <c r="BC458" s="102" t="str">
        <f>IFERROR(IF('BMP P Tracking Table'!$AZ458=2,VLOOKUP(CONCATENATE('BMP P Tracking Table'!$AV458," ",'BMP P Tracking Table'!$AX458),'Performance Curves'!$C$1:$L$44,MATCH('BMP P Tracking Table'!$AZ458,'Performance Curves'!$E$1:$L$1,1)+1,FALSE),'BMP P Tracking Table'!$BA458*'BMP P Tracking Table'!$BB458+VLOOKUP(CONCATENATE('BMP P Tracking Table'!$AV458," ",'BMP P Tracking Table'!$AX458),'Performance Curves'!$C$1:$L$44,MATCH('BMP P Tracking Table'!$AZ458,'Performance Curves'!$E$1:$L$1,1)+1,FALSE)),"")</f>
        <v/>
      </c>
      <c r="BD458" s="101" t="str">
        <f>IFERROR('BMP P Tracking Table'!$BC458*'BMP P Tracking Table'!$AY458,"")</f>
        <v/>
      </c>
      <c r="BE458" s="96"/>
      <c r="BF458" s="37">
        <f t="shared" si="25"/>
        <v>0</v>
      </c>
    </row>
    <row r="459" spans="1:58" x14ac:dyDescent="0.3">
      <c r="A459" s="64"/>
      <c r="B459" s="64"/>
      <c r="C459" s="64"/>
      <c r="D459" s="64"/>
      <c r="E459" s="93"/>
      <c r="F459" s="93"/>
      <c r="G459" s="64"/>
      <c r="H459" s="64"/>
      <c r="I459" s="64"/>
      <c r="J459" s="94"/>
      <c r="K459" s="64"/>
      <c r="L459" s="64"/>
      <c r="M459" s="64"/>
      <c r="N459" s="64"/>
      <c r="O459" s="64"/>
      <c r="P459" s="64"/>
      <c r="Q459" s="64" t="str">
        <f>IFERROR(VLOOKUP('BMP P Tracking Table'!$P459,Dropdowns!$C$2:$E$15,3,FALSE),"")</f>
        <v/>
      </c>
      <c r="R459" s="64" t="str">
        <f>IFERROR(VLOOKUP('BMP P Tracking Table'!$Q459,Dropdowns!$P$3:$Q$23,2,FALSE),"")</f>
        <v/>
      </c>
      <c r="S459" s="64"/>
      <c r="T459" s="64"/>
      <c r="U459" s="64"/>
      <c r="V459" s="64"/>
      <c r="W459" s="64"/>
      <c r="X459" s="64"/>
      <c r="Y459" s="64"/>
      <c r="Z459" s="64"/>
      <c r="AA459" s="64"/>
      <c r="AB459" s="95"/>
      <c r="AC459" s="64"/>
      <c r="AD459" s="101" t="str">
        <f>IFERROR('BMP P Tracking Table'!$U459*VLOOKUP('BMP P Tracking Table'!$Q459,'Loading Rates'!$B$1:$L$24,4,FALSE)+IF('BMP P Tracking Table'!$V459="By HSG",'BMP P Tracking Table'!$W459*VLOOKUP('BMP P Tracking Table'!$Q459,'Loading Rates'!$B$1:$L$24,6,FALSE)+'BMP P Tracking Table'!$X459*VLOOKUP('BMP P Tracking Table'!$Q459,'Loading Rates'!$B$1:$L$24,7,FALSE)+'BMP P Tracking Table'!$Y459*VLOOKUP('BMP P Tracking Table'!$Q459,'Loading Rates'!$B$1:$L$24,8,FALSE)+'BMP P Tracking Table'!$Z459*VLOOKUP('BMP P Tracking Table'!$Q459,'Loading Rates'!$B$1:$L$24,9,FALSE),'BMP P Tracking Table'!$AA459*VLOOKUP('BMP P Tracking Table'!$Q459,'Loading Rates'!$B$1:$L$24,10,FALSE)),"")</f>
        <v/>
      </c>
      <c r="AE459" s="101" t="str">
        <f>IFERROR(MIN(2,IF('BMP P Tracking Table'!$V459="Total Pervious",(-(3630*'BMP P Tracking Table'!$U459+20.691*'BMP P Tracking Table'!$AA459)+SQRT((3630*'BMP P Tracking Table'!$U459+20.691*'BMP P Tracking Table'!$AA459)^2-(4*(996.798*'BMP P Tracking Table'!$AA459)*-'BMP P Tracking Table'!$AB459)))/(2*(996.798*'BMP P Tracking Table'!$AA459)),IF(SUM('BMP P Tracking Table'!$W459:$Z459)=0,'BMP P Tracking Table'!$AB459/(-3630*'BMP P Tracking Table'!$U459),(-(3630*'BMP P Tracking Table'!$U459+20.691*'BMP P Tracking Table'!$Z459-216.711*'BMP P Tracking Table'!$Y459-83.853*'BMP P Tracking Table'!$X459-42.834*'BMP P Tracking Table'!$W459)+SQRT((3630*'BMP P Tracking Table'!$U459+20.691*'BMP P Tracking Table'!$Z459-216.711*'BMP P Tracking Table'!$Y459-83.853*'BMP P Tracking Table'!$X459-42.834*'BMP P Tracking Table'!$W459)^2-(4*(149.919*'BMP P Tracking Table'!$W459+236.676*'BMP P Tracking Table'!$X459+726*'BMP P Tracking Table'!$Y459+996.798*'BMP P Tracking Table'!$Z459)*-'BMP P Tracking Table'!$AB459)))/(2*(149.919*'BMP P Tracking Table'!$W459+236.676*'BMP P Tracking Table'!$X459+726*'BMP P Tracking Table'!$Y459+996.798*'BMP P Tracking Table'!$Z459))))),"")</f>
        <v/>
      </c>
      <c r="AF459" s="101" t="str">
        <f>IFERROR((VLOOKUP(CONCATENATE('BMP P Tracking Table'!$T459," ",'BMP P Tracking Table'!$AC459),'Performance Curves'!$C$1:$L$45,MATCH('BMP P Tracking Table'!$AE459,'Performance Curves'!$E$1:$L$1,1)+2,FALSE)-VLOOKUP(CONCATENATE('BMP P Tracking Table'!$T459," ",'BMP P Tracking Table'!$AC459),'Performance Curves'!$C$1:$L$45,MATCH('BMP P Tracking Table'!$AE459,'Performance Curves'!$E$1:$L$1,1)+1,FALSE)),"")</f>
        <v/>
      </c>
      <c r="AG459" s="101" t="str">
        <f>IFERROR(('BMP P Tracking Table'!$AE459-INDEX('Performance Curves'!$E$1:$L$1,1,MATCH('BMP P Tracking Table'!$AE459,'Performance Curves'!$E$1:$L$1,1)))/(INDEX('Performance Curves'!$E$1:$L$1,1,MATCH('BMP P Tracking Table'!$AE459,'Performance Curves'!$E$1:$L$1,1)+1)-INDEX('Performance Curves'!$E$1:$L$1,1,MATCH('BMP P Tracking Table'!$AE459,'Performance Curves'!$E$1:$L$1,1))),"")</f>
        <v/>
      </c>
      <c r="AH459" s="102" t="str">
        <f>IFERROR(IF('BMP P Tracking Table'!$AE459=2,VLOOKUP(CONCATENATE('BMP P Tracking Table'!$T459," ",'BMP P Tracking Table'!$AC459),'Performance Curves'!$C$1:$L$45,MATCH('BMP P Tracking Table'!$AE459,'Performance Curves'!$E$1:$L$1,1)+1,FALSE),'BMP P Tracking Table'!$AF459*'BMP P Tracking Table'!$AG459+VLOOKUP(CONCATENATE('BMP P Tracking Table'!$T459," ",'BMP P Tracking Table'!$AC459),'Performance Curves'!$C$1:$L$45,MATCH('BMP P Tracking Table'!$AE459,'Performance Curves'!$E$1:$L$1,1)+1,FALSE)),"")</f>
        <v/>
      </c>
      <c r="AI459" s="101" t="str">
        <f>IFERROR('BMP P Tracking Table'!$AH459*'BMP P Tracking Table'!$AD459,"")</f>
        <v/>
      </c>
      <c r="AJ459" s="64"/>
      <c r="AK459" s="96"/>
      <c r="AL459" s="96"/>
      <c r="AM459" s="63"/>
      <c r="AN459" s="99" t="str">
        <f t="shared" si="24"/>
        <v/>
      </c>
      <c r="AO459" s="96"/>
      <c r="AP459" s="96"/>
      <c r="AQ459" s="96"/>
      <c r="AR459" s="96"/>
      <c r="AS459" s="96"/>
      <c r="AT459" s="96"/>
      <c r="AU459" s="96"/>
      <c r="AV459" s="64"/>
      <c r="AW459" s="97"/>
      <c r="AX459" s="97"/>
      <c r="AY459" s="101" t="str">
        <f>IF('BMP P Tracking Table'!$AK459="Yes",IF('BMP P Tracking Table'!$AL459="No",'BMP P Tracking Table'!$U459*VLOOKUP('BMP P Tracking Table'!$Q459,'Loading Rates'!$B$1:$L$24,4,FALSE)+IF('BMP P Tracking Table'!$V459="By HSG",'BMP P Tracking Table'!$W459*VLOOKUP('BMP P Tracking Table'!$Q459,'Loading Rates'!$B$1:$L$24,6,FALSE)+'BMP P Tracking Table'!$X459*VLOOKUP('BMP P Tracking Table'!$Q459,'Loading Rates'!$B$1:$L$24,7,FALSE)+'BMP P Tracking Table'!$Y459*VLOOKUP('BMP P Tracking Table'!$Q459,'Loading Rates'!$B$1:$L$24,8,FALSE)+'BMP P Tracking Table'!$Z459*VLOOKUP('BMP P Tracking Table'!$Q459,'Loading Rates'!$B$1:$L$24,9,FALSE),'BMP P Tracking Table'!$AA459*VLOOKUP('BMP P Tracking Table'!$Q459,'Loading Rates'!$B$1:$L$24,10,FALSE)),'BMP P Tracking Table'!$AO459*VLOOKUP('BMP P Tracking Table'!$Q459,'Loading Rates'!$B$1:$L$24,4,FALSE)+IF('BMP P Tracking Table'!$AP459="By HSG",'BMP P Tracking Table'!$AQ459*VLOOKUP('BMP P Tracking Table'!$Q459,'Loading Rates'!$B$1:$L$24,6,FALSE)+'BMP P Tracking Table'!$AR459*VLOOKUP('BMP P Tracking Table'!$Q459,'Loading Rates'!$B$1:$L$24,7,FALSE)+'BMP P Tracking Table'!$AS459*VLOOKUP('BMP P Tracking Table'!$Q459,'Loading Rates'!$B$1:$L$24,8,FALSE)+'BMP P Tracking Table'!$AT459*VLOOKUP('BMP P Tracking Table'!$Q459,'Loading Rates'!$B$1:$L$24,9,FALSE),'BMP P Tracking Table'!$AU459*VLOOKUP('BMP P Tracking Table'!$Q459,'Loading Rates'!$B$1:$L$24,10,FALSE))),"")</f>
        <v/>
      </c>
      <c r="AZ459" s="101" t="str">
        <f>IFERROR(IF('BMP P Tracking Table'!$AL459="Yes",MIN(2,IF('BMP P Tracking Table'!$AP459="Total Pervious",(-(3630*'BMP P Tracking Table'!$AO459+20.691*'BMP P Tracking Table'!$AU459)+SQRT((3630*'BMP P Tracking Table'!$AO459+20.691*'BMP P Tracking Table'!$AU459)^2-(4*(996.798*'BMP P Tracking Table'!$AU459)*-'BMP P Tracking Table'!$AW459)))/(2*(996.798*'BMP P Tracking Table'!$AU459)),IF(SUM('BMP P Tracking Table'!$AQ459:$AT459)=0,'BMP P Tracking Table'!$AU459/(-3630*'BMP P Tracking Table'!$AO459),(-(3630*'BMP P Tracking Table'!$AO459+20.691*'BMP P Tracking Table'!$AT459-216.711*'BMP P Tracking Table'!$AS459-83.853*'BMP P Tracking Table'!$AR459-42.834*'BMP P Tracking Table'!$AQ459)+SQRT((3630*'BMP P Tracking Table'!$AO459+20.691*'BMP P Tracking Table'!$AT459-216.711*'BMP P Tracking Table'!$AS459-83.853*'BMP P Tracking Table'!$AR459-42.834*'BMP P Tracking Table'!$AQ459)^2-(4*(149.919*'BMP P Tracking Table'!$AQ459+236.676*'BMP P Tracking Table'!$AR459+726*'BMP P Tracking Table'!$AS459+996.798*'BMP P Tracking Table'!$AT459)*-'BMP P Tracking Table'!$AW459)))/(2*(149.919*'BMP P Tracking Table'!$AQ459+236.676*'BMP P Tracking Table'!$AR459+726*'BMP P Tracking Table'!$AS459+996.798*'BMP P Tracking Table'!$AT459))))),MIN(2,IF('BMP P Tracking Table'!$AP459="Total Pervious",(-(3630*'BMP P Tracking Table'!$U459+20.691*'BMP P Tracking Table'!$AA459)+SQRT((3630*'BMP P Tracking Table'!$U459+20.691*'BMP P Tracking Table'!$AA459)^2-(4*(996.798*'BMP P Tracking Table'!$AA459)*-'BMP P Tracking Table'!$AW459)))/(2*(996.798*'BMP P Tracking Table'!$AA459)),IF(SUM('BMP P Tracking Table'!$W459:$Z459)=0,'BMP P Tracking Table'!$AW459/(-3630*'BMP P Tracking Table'!$U459),(-(3630*'BMP P Tracking Table'!$U459+20.691*'BMP P Tracking Table'!$Z459-216.711*'BMP P Tracking Table'!$Y459-83.853*'BMP P Tracking Table'!$X459-42.834*'BMP P Tracking Table'!$W459)+SQRT((3630*'BMP P Tracking Table'!$U459+20.691*'BMP P Tracking Table'!$Z459-216.711*'BMP P Tracking Table'!$Y459-83.853*'BMP P Tracking Table'!$X459-42.834*'BMP P Tracking Table'!$W459)^2-(4*(149.919*'BMP P Tracking Table'!$W459+236.676*'BMP P Tracking Table'!$X459+726*'BMP P Tracking Table'!$Y459+996.798*'BMP P Tracking Table'!$Z459)*-'BMP P Tracking Table'!$AW459)))/(2*(149.919*'BMP P Tracking Table'!$W459+236.676*'BMP P Tracking Table'!$X459+726*'BMP P Tracking Table'!$Y459+996.798*'BMP P Tracking Table'!$Z459)))))),"")</f>
        <v/>
      </c>
      <c r="BA459" s="101" t="str">
        <f>IFERROR((VLOOKUP(CONCATENATE('BMP P Tracking Table'!$AV459," ",'BMP P Tracking Table'!$AX459),'Performance Curves'!$C$1:$L$45,MATCH('BMP P Tracking Table'!$AZ459,'Performance Curves'!$E$1:$L$1,1)+2,FALSE)-VLOOKUP(CONCATENATE('BMP P Tracking Table'!$AV459," ",'BMP P Tracking Table'!$AX459),'Performance Curves'!$C$1:$L$45,MATCH('BMP P Tracking Table'!$AZ459,'Performance Curves'!$E$1:$L$1,1)+1,FALSE)),"")</f>
        <v/>
      </c>
      <c r="BB459" s="101" t="str">
        <f>IFERROR(('BMP P Tracking Table'!$AZ459-INDEX('Performance Curves'!$E$1:$L$1,1,MATCH('BMP P Tracking Table'!$AZ459,'Performance Curves'!$E$1:$L$1,1)))/(INDEX('Performance Curves'!$E$1:$L$1,1,MATCH('BMP P Tracking Table'!$AZ459,'Performance Curves'!$E$1:$L$1,1)+1)-INDEX('Performance Curves'!$E$1:$L$1,1,MATCH('BMP P Tracking Table'!$AZ459,'Performance Curves'!$E$1:$L$1,1))),"")</f>
        <v/>
      </c>
      <c r="BC459" s="102" t="str">
        <f>IFERROR(IF('BMP P Tracking Table'!$AZ459=2,VLOOKUP(CONCATENATE('BMP P Tracking Table'!$AV459," ",'BMP P Tracking Table'!$AX459),'Performance Curves'!$C$1:$L$44,MATCH('BMP P Tracking Table'!$AZ459,'Performance Curves'!$E$1:$L$1,1)+1,FALSE),'BMP P Tracking Table'!$BA459*'BMP P Tracking Table'!$BB459+VLOOKUP(CONCATENATE('BMP P Tracking Table'!$AV459," ",'BMP P Tracking Table'!$AX459),'Performance Curves'!$C$1:$L$44,MATCH('BMP P Tracking Table'!$AZ459,'Performance Curves'!$E$1:$L$1,1)+1,FALSE)),"")</f>
        <v/>
      </c>
      <c r="BD459" s="101" t="str">
        <f>IFERROR('BMP P Tracking Table'!$BC459*'BMP P Tracking Table'!$AY459,"")</f>
        <v/>
      </c>
      <c r="BE459" s="96"/>
      <c r="BF459" s="37">
        <f t="shared" si="25"/>
        <v>0</v>
      </c>
    </row>
    <row r="460" spans="1:58" x14ac:dyDescent="0.3">
      <c r="A460" s="64"/>
      <c r="B460" s="64"/>
      <c r="C460" s="64"/>
      <c r="D460" s="64"/>
      <c r="E460" s="93"/>
      <c r="F460" s="93"/>
      <c r="G460" s="64"/>
      <c r="H460" s="64"/>
      <c r="I460" s="64"/>
      <c r="J460" s="94"/>
      <c r="K460" s="64"/>
      <c r="L460" s="64"/>
      <c r="M460" s="64"/>
      <c r="N460" s="64"/>
      <c r="O460" s="64"/>
      <c r="P460" s="64"/>
      <c r="Q460" s="64" t="str">
        <f>IFERROR(VLOOKUP('BMP P Tracking Table'!$P460,Dropdowns!$C$2:$E$15,3,FALSE),"")</f>
        <v/>
      </c>
      <c r="R460" s="64" t="str">
        <f>IFERROR(VLOOKUP('BMP P Tracking Table'!$Q460,Dropdowns!$P$3:$Q$23,2,FALSE),"")</f>
        <v/>
      </c>
      <c r="S460" s="64"/>
      <c r="T460" s="64"/>
      <c r="U460" s="64"/>
      <c r="V460" s="64"/>
      <c r="W460" s="64"/>
      <c r="X460" s="64"/>
      <c r="Y460" s="64"/>
      <c r="Z460" s="64"/>
      <c r="AA460" s="64"/>
      <c r="AB460" s="95"/>
      <c r="AC460" s="64"/>
      <c r="AD460" s="101" t="str">
        <f>IFERROR('BMP P Tracking Table'!$U460*VLOOKUP('BMP P Tracking Table'!$Q460,'Loading Rates'!$B$1:$L$24,4,FALSE)+IF('BMP P Tracking Table'!$V460="By HSG",'BMP P Tracking Table'!$W460*VLOOKUP('BMP P Tracking Table'!$Q460,'Loading Rates'!$B$1:$L$24,6,FALSE)+'BMP P Tracking Table'!$X460*VLOOKUP('BMP P Tracking Table'!$Q460,'Loading Rates'!$B$1:$L$24,7,FALSE)+'BMP P Tracking Table'!$Y460*VLOOKUP('BMP P Tracking Table'!$Q460,'Loading Rates'!$B$1:$L$24,8,FALSE)+'BMP P Tracking Table'!$Z460*VLOOKUP('BMP P Tracking Table'!$Q460,'Loading Rates'!$B$1:$L$24,9,FALSE),'BMP P Tracking Table'!$AA460*VLOOKUP('BMP P Tracking Table'!$Q460,'Loading Rates'!$B$1:$L$24,10,FALSE)),"")</f>
        <v/>
      </c>
      <c r="AE460" s="101" t="str">
        <f>IFERROR(MIN(2,IF('BMP P Tracking Table'!$V460="Total Pervious",(-(3630*'BMP P Tracking Table'!$U460+20.691*'BMP P Tracking Table'!$AA460)+SQRT((3630*'BMP P Tracking Table'!$U460+20.691*'BMP P Tracking Table'!$AA460)^2-(4*(996.798*'BMP P Tracking Table'!$AA460)*-'BMP P Tracking Table'!$AB460)))/(2*(996.798*'BMP P Tracking Table'!$AA460)),IF(SUM('BMP P Tracking Table'!$W460:$Z460)=0,'BMP P Tracking Table'!$AB460/(-3630*'BMP P Tracking Table'!$U460),(-(3630*'BMP P Tracking Table'!$U460+20.691*'BMP P Tracking Table'!$Z460-216.711*'BMP P Tracking Table'!$Y460-83.853*'BMP P Tracking Table'!$X460-42.834*'BMP P Tracking Table'!$W460)+SQRT((3630*'BMP P Tracking Table'!$U460+20.691*'BMP P Tracking Table'!$Z460-216.711*'BMP P Tracking Table'!$Y460-83.853*'BMP P Tracking Table'!$X460-42.834*'BMP P Tracking Table'!$W460)^2-(4*(149.919*'BMP P Tracking Table'!$W460+236.676*'BMP P Tracking Table'!$X460+726*'BMP P Tracking Table'!$Y460+996.798*'BMP P Tracking Table'!$Z460)*-'BMP P Tracking Table'!$AB460)))/(2*(149.919*'BMP P Tracking Table'!$W460+236.676*'BMP P Tracking Table'!$X460+726*'BMP P Tracking Table'!$Y460+996.798*'BMP P Tracking Table'!$Z460))))),"")</f>
        <v/>
      </c>
      <c r="AF460" s="101" t="str">
        <f>IFERROR((VLOOKUP(CONCATENATE('BMP P Tracking Table'!$T460," ",'BMP P Tracking Table'!$AC460),'Performance Curves'!$C$1:$L$45,MATCH('BMP P Tracking Table'!$AE460,'Performance Curves'!$E$1:$L$1,1)+2,FALSE)-VLOOKUP(CONCATENATE('BMP P Tracking Table'!$T460," ",'BMP P Tracking Table'!$AC460),'Performance Curves'!$C$1:$L$45,MATCH('BMP P Tracking Table'!$AE460,'Performance Curves'!$E$1:$L$1,1)+1,FALSE)),"")</f>
        <v/>
      </c>
      <c r="AG460" s="101" t="str">
        <f>IFERROR(('BMP P Tracking Table'!$AE460-INDEX('Performance Curves'!$E$1:$L$1,1,MATCH('BMP P Tracking Table'!$AE460,'Performance Curves'!$E$1:$L$1,1)))/(INDEX('Performance Curves'!$E$1:$L$1,1,MATCH('BMP P Tracking Table'!$AE460,'Performance Curves'!$E$1:$L$1,1)+1)-INDEX('Performance Curves'!$E$1:$L$1,1,MATCH('BMP P Tracking Table'!$AE460,'Performance Curves'!$E$1:$L$1,1))),"")</f>
        <v/>
      </c>
      <c r="AH460" s="102" t="str">
        <f>IFERROR(IF('BMP P Tracking Table'!$AE460=2,VLOOKUP(CONCATENATE('BMP P Tracking Table'!$T460," ",'BMP P Tracking Table'!$AC460),'Performance Curves'!$C$1:$L$45,MATCH('BMP P Tracking Table'!$AE460,'Performance Curves'!$E$1:$L$1,1)+1,FALSE),'BMP P Tracking Table'!$AF460*'BMP P Tracking Table'!$AG460+VLOOKUP(CONCATENATE('BMP P Tracking Table'!$T460," ",'BMP P Tracking Table'!$AC460),'Performance Curves'!$C$1:$L$45,MATCH('BMP P Tracking Table'!$AE460,'Performance Curves'!$E$1:$L$1,1)+1,FALSE)),"")</f>
        <v/>
      </c>
      <c r="AI460" s="101" t="str">
        <f>IFERROR('BMP P Tracking Table'!$AH460*'BMP P Tracking Table'!$AD460,"")</f>
        <v/>
      </c>
      <c r="AJ460" s="64"/>
      <c r="AK460" s="96"/>
      <c r="AL460" s="96"/>
      <c r="AM460" s="63"/>
      <c r="AN460" s="99" t="str">
        <f t="shared" si="24"/>
        <v/>
      </c>
      <c r="AO460" s="96"/>
      <c r="AP460" s="96"/>
      <c r="AQ460" s="96"/>
      <c r="AR460" s="96"/>
      <c r="AS460" s="96"/>
      <c r="AT460" s="96"/>
      <c r="AU460" s="96"/>
      <c r="AV460" s="64"/>
      <c r="AW460" s="97"/>
      <c r="AX460" s="97"/>
      <c r="AY460" s="101" t="str">
        <f>IF('BMP P Tracking Table'!$AK460="Yes",IF('BMP P Tracking Table'!$AL460="No",'BMP P Tracking Table'!$U460*VLOOKUP('BMP P Tracking Table'!$Q460,'Loading Rates'!$B$1:$L$24,4,FALSE)+IF('BMP P Tracking Table'!$V460="By HSG",'BMP P Tracking Table'!$W460*VLOOKUP('BMP P Tracking Table'!$Q460,'Loading Rates'!$B$1:$L$24,6,FALSE)+'BMP P Tracking Table'!$X460*VLOOKUP('BMP P Tracking Table'!$Q460,'Loading Rates'!$B$1:$L$24,7,FALSE)+'BMP P Tracking Table'!$Y460*VLOOKUP('BMP P Tracking Table'!$Q460,'Loading Rates'!$B$1:$L$24,8,FALSE)+'BMP P Tracking Table'!$Z460*VLOOKUP('BMP P Tracking Table'!$Q460,'Loading Rates'!$B$1:$L$24,9,FALSE),'BMP P Tracking Table'!$AA460*VLOOKUP('BMP P Tracking Table'!$Q460,'Loading Rates'!$B$1:$L$24,10,FALSE)),'BMP P Tracking Table'!$AO460*VLOOKUP('BMP P Tracking Table'!$Q460,'Loading Rates'!$B$1:$L$24,4,FALSE)+IF('BMP P Tracking Table'!$AP460="By HSG",'BMP P Tracking Table'!$AQ460*VLOOKUP('BMP P Tracking Table'!$Q460,'Loading Rates'!$B$1:$L$24,6,FALSE)+'BMP P Tracking Table'!$AR460*VLOOKUP('BMP P Tracking Table'!$Q460,'Loading Rates'!$B$1:$L$24,7,FALSE)+'BMP P Tracking Table'!$AS460*VLOOKUP('BMP P Tracking Table'!$Q460,'Loading Rates'!$B$1:$L$24,8,FALSE)+'BMP P Tracking Table'!$AT460*VLOOKUP('BMP P Tracking Table'!$Q460,'Loading Rates'!$B$1:$L$24,9,FALSE),'BMP P Tracking Table'!$AU460*VLOOKUP('BMP P Tracking Table'!$Q460,'Loading Rates'!$B$1:$L$24,10,FALSE))),"")</f>
        <v/>
      </c>
      <c r="AZ460" s="101" t="str">
        <f>IFERROR(IF('BMP P Tracking Table'!$AL460="Yes",MIN(2,IF('BMP P Tracking Table'!$AP460="Total Pervious",(-(3630*'BMP P Tracking Table'!$AO460+20.691*'BMP P Tracking Table'!$AU460)+SQRT((3630*'BMP P Tracking Table'!$AO460+20.691*'BMP P Tracking Table'!$AU460)^2-(4*(996.798*'BMP P Tracking Table'!$AU460)*-'BMP P Tracking Table'!$AW460)))/(2*(996.798*'BMP P Tracking Table'!$AU460)),IF(SUM('BMP P Tracking Table'!$AQ460:$AT460)=0,'BMP P Tracking Table'!$AU460/(-3630*'BMP P Tracking Table'!$AO460),(-(3630*'BMP P Tracking Table'!$AO460+20.691*'BMP P Tracking Table'!$AT460-216.711*'BMP P Tracking Table'!$AS460-83.853*'BMP P Tracking Table'!$AR460-42.834*'BMP P Tracking Table'!$AQ460)+SQRT((3630*'BMP P Tracking Table'!$AO460+20.691*'BMP P Tracking Table'!$AT460-216.711*'BMP P Tracking Table'!$AS460-83.853*'BMP P Tracking Table'!$AR460-42.834*'BMP P Tracking Table'!$AQ460)^2-(4*(149.919*'BMP P Tracking Table'!$AQ460+236.676*'BMP P Tracking Table'!$AR460+726*'BMP P Tracking Table'!$AS460+996.798*'BMP P Tracking Table'!$AT460)*-'BMP P Tracking Table'!$AW460)))/(2*(149.919*'BMP P Tracking Table'!$AQ460+236.676*'BMP P Tracking Table'!$AR460+726*'BMP P Tracking Table'!$AS460+996.798*'BMP P Tracking Table'!$AT460))))),MIN(2,IF('BMP P Tracking Table'!$AP460="Total Pervious",(-(3630*'BMP P Tracking Table'!$U460+20.691*'BMP P Tracking Table'!$AA460)+SQRT((3630*'BMP P Tracking Table'!$U460+20.691*'BMP P Tracking Table'!$AA460)^2-(4*(996.798*'BMP P Tracking Table'!$AA460)*-'BMP P Tracking Table'!$AW460)))/(2*(996.798*'BMP P Tracking Table'!$AA460)),IF(SUM('BMP P Tracking Table'!$W460:$Z460)=0,'BMP P Tracking Table'!$AW460/(-3630*'BMP P Tracking Table'!$U460),(-(3630*'BMP P Tracking Table'!$U460+20.691*'BMP P Tracking Table'!$Z460-216.711*'BMP P Tracking Table'!$Y460-83.853*'BMP P Tracking Table'!$X460-42.834*'BMP P Tracking Table'!$W460)+SQRT((3630*'BMP P Tracking Table'!$U460+20.691*'BMP P Tracking Table'!$Z460-216.711*'BMP P Tracking Table'!$Y460-83.853*'BMP P Tracking Table'!$X460-42.834*'BMP P Tracking Table'!$W460)^2-(4*(149.919*'BMP P Tracking Table'!$W460+236.676*'BMP P Tracking Table'!$X460+726*'BMP P Tracking Table'!$Y460+996.798*'BMP P Tracking Table'!$Z460)*-'BMP P Tracking Table'!$AW460)))/(2*(149.919*'BMP P Tracking Table'!$W460+236.676*'BMP P Tracking Table'!$X460+726*'BMP P Tracking Table'!$Y460+996.798*'BMP P Tracking Table'!$Z460)))))),"")</f>
        <v/>
      </c>
      <c r="BA460" s="101" t="str">
        <f>IFERROR((VLOOKUP(CONCATENATE('BMP P Tracking Table'!$AV460," ",'BMP P Tracking Table'!$AX460),'Performance Curves'!$C$1:$L$45,MATCH('BMP P Tracking Table'!$AZ460,'Performance Curves'!$E$1:$L$1,1)+2,FALSE)-VLOOKUP(CONCATENATE('BMP P Tracking Table'!$AV460," ",'BMP P Tracking Table'!$AX460),'Performance Curves'!$C$1:$L$45,MATCH('BMP P Tracking Table'!$AZ460,'Performance Curves'!$E$1:$L$1,1)+1,FALSE)),"")</f>
        <v/>
      </c>
      <c r="BB460" s="101" t="str">
        <f>IFERROR(('BMP P Tracking Table'!$AZ460-INDEX('Performance Curves'!$E$1:$L$1,1,MATCH('BMP P Tracking Table'!$AZ460,'Performance Curves'!$E$1:$L$1,1)))/(INDEX('Performance Curves'!$E$1:$L$1,1,MATCH('BMP P Tracking Table'!$AZ460,'Performance Curves'!$E$1:$L$1,1)+1)-INDEX('Performance Curves'!$E$1:$L$1,1,MATCH('BMP P Tracking Table'!$AZ460,'Performance Curves'!$E$1:$L$1,1))),"")</f>
        <v/>
      </c>
      <c r="BC460" s="102" t="str">
        <f>IFERROR(IF('BMP P Tracking Table'!$AZ460=2,VLOOKUP(CONCATENATE('BMP P Tracking Table'!$AV460," ",'BMP P Tracking Table'!$AX460),'Performance Curves'!$C$1:$L$44,MATCH('BMP P Tracking Table'!$AZ460,'Performance Curves'!$E$1:$L$1,1)+1,FALSE),'BMP P Tracking Table'!$BA460*'BMP P Tracking Table'!$BB460+VLOOKUP(CONCATENATE('BMP P Tracking Table'!$AV460," ",'BMP P Tracking Table'!$AX460),'Performance Curves'!$C$1:$L$44,MATCH('BMP P Tracking Table'!$AZ460,'Performance Curves'!$E$1:$L$1,1)+1,FALSE)),"")</f>
        <v/>
      </c>
      <c r="BD460" s="101" t="str">
        <f>IFERROR('BMP P Tracking Table'!$BC460*'BMP P Tracking Table'!$AY460,"")</f>
        <v/>
      </c>
      <c r="BE460" s="96"/>
      <c r="BF460" s="37">
        <f t="shared" si="25"/>
        <v>0</v>
      </c>
    </row>
    <row r="461" spans="1:58" x14ac:dyDescent="0.3">
      <c r="A461" s="64"/>
      <c r="B461" s="64"/>
      <c r="C461" s="64"/>
      <c r="D461" s="64"/>
      <c r="E461" s="93"/>
      <c r="F461" s="93"/>
      <c r="G461" s="64"/>
      <c r="H461" s="64"/>
      <c r="I461" s="64"/>
      <c r="J461" s="94"/>
      <c r="K461" s="64"/>
      <c r="L461" s="64"/>
      <c r="M461" s="64"/>
      <c r="N461" s="64"/>
      <c r="O461" s="64"/>
      <c r="P461" s="64"/>
      <c r="Q461" s="64" t="str">
        <f>IFERROR(VLOOKUP('BMP P Tracking Table'!$P461,Dropdowns!$C$2:$E$15,3,FALSE),"")</f>
        <v/>
      </c>
      <c r="R461" s="64" t="str">
        <f>IFERROR(VLOOKUP('BMP P Tracking Table'!$Q461,Dropdowns!$P$3:$Q$23,2,FALSE),"")</f>
        <v/>
      </c>
      <c r="S461" s="64"/>
      <c r="T461" s="64"/>
      <c r="U461" s="64"/>
      <c r="V461" s="64"/>
      <c r="W461" s="64"/>
      <c r="X461" s="64"/>
      <c r="Y461" s="64"/>
      <c r="Z461" s="64"/>
      <c r="AA461" s="64"/>
      <c r="AB461" s="95"/>
      <c r="AC461" s="64"/>
      <c r="AD461" s="101" t="str">
        <f>IFERROR('BMP P Tracking Table'!$U461*VLOOKUP('BMP P Tracking Table'!$Q461,'Loading Rates'!$B$1:$L$24,4,FALSE)+IF('BMP P Tracking Table'!$V461="By HSG",'BMP P Tracking Table'!$W461*VLOOKUP('BMP P Tracking Table'!$Q461,'Loading Rates'!$B$1:$L$24,6,FALSE)+'BMP P Tracking Table'!$X461*VLOOKUP('BMP P Tracking Table'!$Q461,'Loading Rates'!$B$1:$L$24,7,FALSE)+'BMP P Tracking Table'!$Y461*VLOOKUP('BMP P Tracking Table'!$Q461,'Loading Rates'!$B$1:$L$24,8,FALSE)+'BMP P Tracking Table'!$Z461*VLOOKUP('BMP P Tracking Table'!$Q461,'Loading Rates'!$B$1:$L$24,9,FALSE),'BMP P Tracking Table'!$AA461*VLOOKUP('BMP P Tracking Table'!$Q461,'Loading Rates'!$B$1:$L$24,10,FALSE)),"")</f>
        <v/>
      </c>
      <c r="AE461" s="101" t="str">
        <f>IFERROR(MIN(2,IF('BMP P Tracking Table'!$V461="Total Pervious",(-(3630*'BMP P Tracking Table'!$U461+20.691*'BMP P Tracking Table'!$AA461)+SQRT((3630*'BMP P Tracking Table'!$U461+20.691*'BMP P Tracking Table'!$AA461)^2-(4*(996.798*'BMP P Tracking Table'!$AA461)*-'BMP P Tracking Table'!$AB461)))/(2*(996.798*'BMP P Tracking Table'!$AA461)),IF(SUM('BMP P Tracking Table'!$W461:$Z461)=0,'BMP P Tracking Table'!$AB461/(-3630*'BMP P Tracking Table'!$U461),(-(3630*'BMP P Tracking Table'!$U461+20.691*'BMP P Tracking Table'!$Z461-216.711*'BMP P Tracking Table'!$Y461-83.853*'BMP P Tracking Table'!$X461-42.834*'BMP P Tracking Table'!$W461)+SQRT((3630*'BMP P Tracking Table'!$U461+20.691*'BMP P Tracking Table'!$Z461-216.711*'BMP P Tracking Table'!$Y461-83.853*'BMP P Tracking Table'!$X461-42.834*'BMP P Tracking Table'!$W461)^2-(4*(149.919*'BMP P Tracking Table'!$W461+236.676*'BMP P Tracking Table'!$X461+726*'BMP P Tracking Table'!$Y461+996.798*'BMP P Tracking Table'!$Z461)*-'BMP P Tracking Table'!$AB461)))/(2*(149.919*'BMP P Tracking Table'!$W461+236.676*'BMP P Tracking Table'!$X461+726*'BMP P Tracking Table'!$Y461+996.798*'BMP P Tracking Table'!$Z461))))),"")</f>
        <v/>
      </c>
      <c r="AF461" s="101" t="str">
        <f>IFERROR((VLOOKUP(CONCATENATE('BMP P Tracking Table'!$T461," ",'BMP P Tracking Table'!$AC461),'Performance Curves'!$C$1:$L$45,MATCH('BMP P Tracking Table'!$AE461,'Performance Curves'!$E$1:$L$1,1)+2,FALSE)-VLOOKUP(CONCATENATE('BMP P Tracking Table'!$T461," ",'BMP P Tracking Table'!$AC461),'Performance Curves'!$C$1:$L$45,MATCH('BMP P Tracking Table'!$AE461,'Performance Curves'!$E$1:$L$1,1)+1,FALSE)),"")</f>
        <v/>
      </c>
      <c r="AG461" s="101" t="str">
        <f>IFERROR(('BMP P Tracking Table'!$AE461-INDEX('Performance Curves'!$E$1:$L$1,1,MATCH('BMP P Tracking Table'!$AE461,'Performance Curves'!$E$1:$L$1,1)))/(INDEX('Performance Curves'!$E$1:$L$1,1,MATCH('BMP P Tracking Table'!$AE461,'Performance Curves'!$E$1:$L$1,1)+1)-INDEX('Performance Curves'!$E$1:$L$1,1,MATCH('BMP P Tracking Table'!$AE461,'Performance Curves'!$E$1:$L$1,1))),"")</f>
        <v/>
      </c>
      <c r="AH461" s="102" t="str">
        <f>IFERROR(IF('BMP P Tracking Table'!$AE461=2,VLOOKUP(CONCATENATE('BMP P Tracking Table'!$T461," ",'BMP P Tracking Table'!$AC461),'Performance Curves'!$C$1:$L$45,MATCH('BMP P Tracking Table'!$AE461,'Performance Curves'!$E$1:$L$1,1)+1,FALSE),'BMP P Tracking Table'!$AF461*'BMP P Tracking Table'!$AG461+VLOOKUP(CONCATENATE('BMP P Tracking Table'!$T461," ",'BMP P Tracking Table'!$AC461),'Performance Curves'!$C$1:$L$45,MATCH('BMP P Tracking Table'!$AE461,'Performance Curves'!$E$1:$L$1,1)+1,FALSE)),"")</f>
        <v/>
      </c>
      <c r="AI461" s="101" t="str">
        <f>IFERROR('BMP P Tracking Table'!$AH461*'BMP P Tracking Table'!$AD461,"")</f>
        <v/>
      </c>
      <c r="AJ461" s="64"/>
      <c r="AK461" s="96"/>
      <c r="AL461" s="96"/>
      <c r="AM461" s="63"/>
      <c r="AN461" s="99" t="str">
        <f t="shared" si="24"/>
        <v/>
      </c>
      <c r="AO461" s="96"/>
      <c r="AP461" s="96"/>
      <c r="AQ461" s="96"/>
      <c r="AR461" s="96"/>
      <c r="AS461" s="96"/>
      <c r="AT461" s="96"/>
      <c r="AU461" s="96"/>
      <c r="AV461" s="64"/>
      <c r="AW461" s="97"/>
      <c r="AX461" s="97"/>
      <c r="AY461" s="101" t="str">
        <f>IF('BMP P Tracking Table'!$AK461="Yes",IF('BMP P Tracking Table'!$AL461="No",'BMP P Tracking Table'!$U461*VLOOKUP('BMP P Tracking Table'!$Q461,'Loading Rates'!$B$1:$L$24,4,FALSE)+IF('BMP P Tracking Table'!$V461="By HSG",'BMP P Tracking Table'!$W461*VLOOKUP('BMP P Tracking Table'!$Q461,'Loading Rates'!$B$1:$L$24,6,FALSE)+'BMP P Tracking Table'!$X461*VLOOKUP('BMP P Tracking Table'!$Q461,'Loading Rates'!$B$1:$L$24,7,FALSE)+'BMP P Tracking Table'!$Y461*VLOOKUP('BMP P Tracking Table'!$Q461,'Loading Rates'!$B$1:$L$24,8,FALSE)+'BMP P Tracking Table'!$Z461*VLOOKUP('BMP P Tracking Table'!$Q461,'Loading Rates'!$B$1:$L$24,9,FALSE),'BMP P Tracking Table'!$AA461*VLOOKUP('BMP P Tracking Table'!$Q461,'Loading Rates'!$B$1:$L$24,10,FALSE)),'BMP P Tracking Table'!$AO461*VLOOKUP('BMP P Tracking Table'!$Q461,'Loading Rates'!$B$1:$L$24,4,FALSE)+IF('BMP P Tracking Table'!$AP461="By HSG",'BMP P Tracking Table'!$AQ461*VLOOKUP('BMP P Tracking Table'!$Q461,'Loading Rates'!$B$1:$L$24,6,FALSE)+'BMP P Tracking Table'!$AR461*VLOOKUP('BMP P Tracking Table'!$Q461,'Loading Rates'!$B$1:$L$24,7,FALSE)+'BMP P Tracking Table'!$AS461*VLOOKUP('BMP P Tracking Table'!$Q461,'Loading Rates'!$B$1:$L$24,8,FALSE)+'BMP P Tracking Table'!$AT461*VLOOKUP('BMP P Tracking Table'!$Q461,'Loading Rates'!$B$1:$L$24,9,FALSE),'BMP P Tracking Table'!$AU461*VLOOKUP('BMP P Tracking Table'!$Q461,'Loading Rates'!$B$1:$L$24,10,FALSE))),"")</f>
        <v/>
      </c>
      <c r="AZ461" s="101" t="str">
        <f>IFERROR(IF('BMP P Tracking Table'!$AL461="Yes",MIN(2,IF('BMP P Tracking Table'!$AP461="Total Pervious",(-(3630*'BMP P Tracking Table'!$AO461+20.691*'BMP P Tracking Table'!$AU461)+SQRT((3630*'BMP P Tracking Table'!$AO461+20.691*'BMP P Tracking Table'!$AU461)^2-(4*(996.798*'BMP P Tracking Table'!$AU461)*-'BMP P Tracking Table'!$AW461)))/(2*(996.798*'BMP P Tracking Table'!$AU461)),IF(SUM('BMP P Tracking Table'!$AQ461:$AT461)=0,'BMP P Tracking Table'!$AU461/(-3630*'BMP P Tracking Table'!$AO461),(-(3630*'BMP P Tracking Table'!$AO461+20.691*'BMP P Tracking Table'!$AT461-216.711*'BMP P Tracking Table'!$AS461-83.853*'BMP P Tracking Table'!$AR461-42.834*'BMP P Tracking Table'!$AQ461)+SQRT((3630*'BMP P Tracking Table'!$AO461+20.691*'BMP P Tracking Table'!$AT461-216.711*'BMP P Tracking Table'!$AS461-83.853*'BMP P Tracking Table'!$AR461-42.834*'BMP P Tracking Table'!$AQ461)^2-(4*(149.919*'BMP P Tracking Table'!$AQ461+236.676*'BMP P Tracking Table'!$AR461+726*'BMP P Tracking Table'!$AS461+996.798*'BMP P Tracking Table'!$AT461)*-'BMP P Tracking Table'!$AW461)))/(2*(149.919*'BMP P Tracking Table'!$AQ461+236.676*'BMP P Tracking Table'!$AR461+726*'BMP P Tracking Table'!$AS461+996.798*'BMP P Tracking Table'!$AT461))))),MIN(2,IF('BMP P Tracking Table'!$AP461="Total Pervious",(-(3630*'BMP P Tracking Table'!$U461+20.691*'BMP P Tracking Table'!$AA461)+SQRT((3630*'BMP P Tracking Table'!$U461+20.691*'BMP P Tracking Table'!$AA461)^2-(4*(996.798*'BMP P Tracking Table'!$AA461)*-'BMP P Tracking Table'!$AW461)))/(2*(996.798*'BMP P Tracking Table'!$AA461)),IF(SUM('BMP P Tracking Table'!$W461:$Z461)=0,'BMP P Tracking Table'!$AW461/(-3630*'BMP P Tracking Table'!$U461),(-(3630*'BMP P Tracking Table'!$U461+20.691*'BMP P Tracking Table'!$Z461-216.711*'BMP P Tracking Table'!$Y461-83.853*'BMP P Tracking Table'!$X461-42.834*'BMP P Tracking Table'!$W461)+SQRT((3630*'BMP P Tracking Table'!$U461+20.691*'BMP P Tracking Table'!$Z461-216.711*'BMP P Tracking Table'!$Y461-83.853*'BMP P Tracking Table'!$X461-42.834*'BMP P Tracking Table'!$W461)^2-(4*(149.919*'BMP P Tracking Table'!$W461+236.676*'BMP P Tracking Table'!$X461+726*'BMP P Tracking Table'!$Y461+996.798*'BMP P Tracking Table'!$Z461)*-'BMP P Tracking Table'!$AW461)))/(2*(149.919*'BMP P Tracking Table'!$W461+236.676*'BMP P Tracking Table'!$X461+726*'BMP P Tracking Table'!$Y461+996.798*'BMP P Tracking Table'!$Z461)))))),"")</f>
        <v/>
      </c>
      <c r="BA461" s="101" t="str">
        <f>IFERROR((VLOOKUP(CONCATENATE('BMP P Tracking Table'!$AV461," ",'BMP P Tracking Table'!$AX461),'Performance Curves'!$C$1:$L$45,MATCH('BMP P Tracking Table'!$AZ461,'Performance Curves'!$E$1:$L$1,1)+2,FALSE)-VLOOKUP(CONCATENATE('BMP P Tracking Table'!$AV461," ",'BMP P Tracking Table'!$AX461),'Performance Curves'!$C$1:$L$45,MATCH('BMP P Tracking Table'!$AZ461,'Performance Curves'!$E$1:$L$1,1)+1,FALSE)),"")</f>
        <v/>
      </c>
      <c r="BB461" s="101" t="str">
        <f>IFERROR(('BMP P Tracking Table'!$AZ461-INDEX('Performance Curves'!$E$1:$L$1,1,MATCH('BMP P Tracking Table'!$AZ461,'Performance Curves'!$E$1:$L$1,1)))/(INDEX('Performance Curves'!$E$1:$L$1,1,MATCH('BMP P Tracking Table'!$AZ461,'Performance Curves'!$E$1:$L$1,1)+1)-INDEX('Performance Curves'!$E$1:$L$1,1,MATCH('BMP P Tracking Table'!$AZ461,'Performance Curves'!$E$1:$L$1,1))),"")</f>
        <v/>
      </c>
      <c r="BC461" s="102" t="str">
        <f>IFERROR(IF('BMP P Tracking Table'!$AZ461=2,VLOOKUP(CONCATENATE('BMP P Tracking Table'!$AV461," ",'BMP P Tracking Table'!$AX461),'Performance Curves'!$C$1:$L$44,MATCH('BMP P Tracking Table'!$AZ461,'Performance Curves'!$E$1:$L$1,1)+1,FALSE),'BMP P Tracking Table'!$BA461*'BMP P Tracking Table'!$BB461+VLOOKUP(CONCATENATE('BMP P Tracking Table'!$AV461," ",'BMP P Tracking Table'!$AX461),'Performance Curves'!$C$1:$L$44,MATCH('BMP P Tracking Table'!$AZ461,'Performance Curves'!$E$1:$L$1,1)+1,FALSE)),"")</f>
        <v/>
      </c>
      <c r="BD461" s="101" t="str">
        <f>IFERROR('BMP P Tracking Table'!$BC461*'BMP P Tracking Table'!$AY461,"")</f>
        <v/>
      </c>
      <c r="BE461" s="91"/>
      <c r="BF461" s="37">
        <f t="shared" si="25"/>
        <v>0</v>
      </c>
    </row>
    <row r="462" spans="1:58" x14ac:dyDescent="0.3">
      <c r="A462" s="64"/>
      <c r="B462" s="64"/>
      <c r="C462" s="64"/>
      <c r="D462" s="64"/>
      <c r="E462" s="93"/>
      <c r="F462" s="93"/>
      <c r="G462" s="64"/>
      <c r="H462" s="64"/>
      <c r="I462" s="64"/>
      <c r="J462" s="94"/>
      <c r="K462" s="64"/>
      <c r="L462" s="64"/>
      <c r="M462" s="64"/>
      <c r="N462" s="64"/>
      <c r="O462" s="64"/>
      <c r="P462" s="64"/>
      <c r="Q462" s="64" t="str">
        <f>IFERROR(VLOOKUP('BMP P Tracking Table'!$P462,Dropdowns!$C$2:$E$15,3,FALSE),"")</f>
        <v/>
      </c>
      <c r="R462" s="64" t="str">
        <f>IFERROR(VLOOKUP('BMP P Tracking Table'!$Q462,Dropdowns!$P$3:$Q$23,2,FALSE),"")</f>
        <v/>
      </c>
      <c r="S462" s="64"/>
      <c r="T462" s="64"/>
      <c r="U462" s="64"/>
      <c r="V462" s="64"/>
      <c r="W462" s="64"/>
      <c r="X462" s="64"/>
      <c r="Y462" s="64"/>
      <c r="Z462" s="64"/>
      <c r="AA462" s="64"/>
      <c r="AB462" s="95"/>
      <c r="AC462" s="64"/>
      <c r="AD462" s="101" t="str">
        <f>IFERROR('BMP P Tracking Table'!$U462*VLOOKUP('BMP P Tracking Table'!$Q462,'Loading Rates'!$B$1:$L$24,4,FALSE)+IF('BMP P Tracking Table'!$V462="By HSG",'BMP P Tracking Table'!$W462*VLOOKUP('BMP P Tracking Table'!$Q462,'Loading Rates'!$B$1:$L$24,6,FALSE)+'BMP P Tracking Table'!$X462*VLOOKUP('BMP P Tracking Table'!$Q462,'Loading Rates'!$B$1:$L$24,7,FALSE)+'BMP P Tracking Table'!$Y462*VLOOKUP('BMP P Tracking Table'!$Q462,'Loading Rates'!$B$1:$L$24,8,FALSE)+'BMP P Tracking Table'!$Z462*VLOOKUP('BMP P Tracking Table'!$Q462,'Loading Rates'!$B$1:$L$24,9,FALSE),'BMP P Tracking Table'!$AA462*VLOOKUP('BMP P Tracking Table'!$Q462,'Loading Rates'!$B$1:$L$24,10,FALSE)),"")</f>
        <v/>
      </c>
      <c r="AE462" s="101" t="str">
        <f>IFERROR(MIN(2,IF('BMP P Tracking Table'!$V462="Total Pervious",(-(3630*'BMP P Tracking Table'!$U462+20.691*'BMP P Tracking Table'!$AA462)+SQRT((3630*'BMP P Tracking Table'!$U462+20.691*'BMP P Tracking Table'!$AA462)^2-(4*(996.798*'BMP P Tracking Table'!$AA462)*-'BMP P Tracking Table'!$AB462)))/(2*(996.798*'BMP P Tracking Table'!$AA462)),IF(SUM('BMP P Tracking Table'!$W462:$Z462)=0,'BMP P Tracking Table'!$AB462/(-3630*'BMP P Tracking Table'!$U462),(-(3630*'BMP P Tracking Table'!$U462+20.691*'BMP P Tracking Table'!$Z462-216.711*'BMP P Tracking Table'!$Y462-83.853*'BMP P Tracking Table'!$X462-42.834*'BMP P Tracking Table'!$W462)+SQRT((3630*'BMP P Tracking Table'!$U462+20.691*'BMP P Tracking Table'!$Z462-216.711*'BMP P Tracking Table'!$Y462-83.853*'BMP P Tracking Table'!$X462-42.834*'BMP P Tracking Table'!$W462)^2-(4*(149.919*'BMP P Tracking Table'!$W462+236.676*'BMP P Tracking Table'!$X462+726*'BMP P Tracking Table'!$Y462+996.798*'BMP P Tracking Table'!$Z462)*-'BMP P Tracking Table'!$AB462)))/(2*(149.919*'BMP P Tracking Table'!$W462+236.676*'BMP P Tracking Table'!$X462+726*'BMP P Tracking Table'!$Y462+996.798*'BMP P Tracking Table'!$Z462))))),"")</f>
        <v/>
      </c>
      <c r="AF462" s="101" t="str">
        <f>IFERROR((VLOOKUP(CONCATENATE('BMP P Tracking Table'!$T462," ",'BMP P Tracking Table'!$AC462),'Performance Curves'!$C$1:$L$45,MATCH('BMP P Tracking Table'!$AE462,'Performance Curves'!$E$1:$L$1,1)+2,FALSE)-VLOOKUP(CONCATENATE('BMP P Tracking Table'!$T462," ",'BMP P Tracking Table'!$AC462),'Performance Curves'!$C$1:$L$45,MATCH('BMP P Tracking Table'!$AE462,'Performance Curves'!$E$1:$L$1,1)+1,FALSE)),"")</f>
        <v/>
      </c>
      <c r="AG462" s="101" t="str">
        <f>IFERROR(('BMP P Tracking Table'!$AE462-INDEX('Performance Curves'!$E$1:$L$1,1,MATCH('BMP P Tracking Table'!$AE462,'Performance Curves'!$E$1:$L$1,1)))/(INDEX('Performance Curves'!$E$1:$L$1,1,MATCH('BMP P Tracking Table'!$AE462,'Performance Curves'!$E$1:$L$1,1)+1)-INDEX('Performance Curves'!$E$1:$L$1,1,MATCH('BMP P Tracking Table'!$AE462,'Performance Curves'!$E$1:$L$1,1))),"")</f>
        <v/>
      </c>
      <c r="AH462" s="102" t="str">
        <f>IFERROR(IF('BMP P Tracking Table'!$AE462=2,VLOOKUP(CONCATENATE('BMP P Tracking Table'!$T462," ",'BMP P Tracking Table'!$AC462),'Performance Curves'!$C$1:$L$45,MATCH('BMP P Tracking Table'!$AE462,'Performance Curves'!$E$1:$L$1,1)+1,FALSE),'BMP P Tracking Table'!$AF462*'BMP P Tracking Table'!$AG462+VLOOKUP(CONCATENATE('BMP P Tracking Table'!$T462," ",'BMP P Tracking Table'!$AC462),'Performance Curves'!$C$1:$L$45,MATCH('BMP P Tracking Table'!$AE462,'Performance Curves'!$E$1:$L$1,1)+1,FALSE)),"")</f>
        <v/>
      </c>
      <c r="AI462" s="101" t="str">
        <f>IFERROR('BMP P Tracking Table'!$AH462*'BMP P Tracking Table'!$AD462,"")</f>
        <v/>
      </c>
      <c r="AJ462" s="64"/>
      <c r="AK462" s="96"/>
      <c r="AL462" s="96"/>
      <c r="AM462" s="63"/>
      <c r="AN462" s="99" t="str">
        <f t="shared" si="24"/>
        <v/>
      </c>
      <c r="AO462" s="96"/>
      <c r="AP462" s="96"/>
      <c r="AQ462" s="96"/>
      <c r="AR462" s="96"/>
      <c r="AS462" s="96"/>
      <c r="AT462" s="96"/>
      <c r="AU462" s="96"/>
      <c r="AV462" s="64"/>
      <c r="AW462" s="97"/>
      <c r="AX462" s="97"/>
      <c r="AY462" s="101" t="str">
        <f>IF('BMP P Tracking Table'!$AK462="Yes",IF('BMP P Tracking Table'!$AL462="No",'BMP P Tracking Table'!$U462*VLOOKUP('BMP P Tracking Table'!$Q462,'Loading Rates'!$B$1:$L$24,4,FALSE)+IF('BMP P Tracking Table'!$V462="By HSG",'BMP P Tracking Table'!$W462*VLOOKUP('BMP P Tracking Table'!$Q462,'Loading Rates'!$B$1:$L$24,6,FALSE)+'BMP P Tracking Table'!$X462*VLOOKUP('BMP P Tracking Table'!$Q462,'Loading Rates'!$B$1:$L$24,7,FALSE)+'BMP P Tracking Table'!$Y462*VLOOKUP('BMP P Tracking Table'!$Q462,'Loading Rates'!$B$1:$L$24,8,FALSE)+'BMP P Tracking Table'!$Z462*VLOOKUP('BMP P Tracking Table'!$Q462,'Loading Rates'!$B$1:$L$24,9,FALSE),'BMP P Tracking Table'!$AA462*VLOOKUP('BMP P Tracking Table'!$Q462,'Loading Rates'!$B$1:$L$24,10,FALSE)),'BMP P Tracking Table'!$AO462*VLOOKUP('BMP P Tracking Table'!$Q462,'Loading Rates'!$B$1:$L$24,4,FALSE)+IF('BMP P Tracking Table'!$AP462="By HSG",'BMP P Tracking Table'!$AQ462*VLOOKUP('BMP P Tracking Table'!$Q462,'Loading Rates'!$B$1:$L$24,6,FALSE)+'BMP P Tracking Table'!$AR462*VLOOKUP('BMP P Tracking Table'!$Q462,'Loading Rates'!$B$1:$L$24,7,FALSE)+'BMP P Tracking Table'!$AS462*VLOOKUP('BMP P Tracking Table'!$Q462,'Loading Rates'!$B$1:$L$24,8,FALSE)+'BMP P Tracking Table'!$AT462*VLOOKUP('BMP P Tracking Table'!$Q462,'Loading Rates'!$B$1:$L$24,9,FALSE),'BMP P Tracking Table'!$AU462*VLOOKUP('BMP P Tracking Table'!$Q462,'Loading Rates'!$B$1:$L$24,10,FALSE))),"")</f>
        <v/>
      </c>
      <c r="AZ462" s="101" t="str">
        <f>IFERROR(IF('BMP P Tracking Table'!$AL462="Yes",MIN(2,IF('BMP P Tracking Table'!$AP462="Total Pervious",(-(3630*'BMP P Tracking Table'!$AO462+20.691*'BMP P Tracking Table'!$AU462)+SQRT((3630*'BMP P Tracking Table'!$AO462+20.691*'BMP P Tracking Table'!$AU462)^2-(4*(996.798*'BMP P Tracking Table'!$AU462)*-'BMP P Tracking Table'!$AW462)))/(2*(996.798*'BMP P Tracking Table'!$AU462)),IF(SUM('BMP P Tracking Table'!$AQ462:$AT462)=0,'BMP P Tracking Table'!$AU462/(-3630*'BMP P Tracking Table'!$AO462),(-(3630*'BMP P Tracking Table'!$AO462+20.691*'BMP P Tracking Table'!$AT462-216.711*'BMP P Tracking Table'!$AS462-83.853*'BMP P Tracking Table'!$AR462-42.834*'BMP P Tracking Table'!$AQ462)+SQRT((3630*'BMP P Tracking Table'!$AO462+20.691*'BMP P Tracking Table'!$AT462-216.711*'BMP P Tracking Table'!$AS462-83.853*'BMP P Tracking Table'!$AR462-42.834*'BMP P Tracking Table'!$AQ462)^2-(4*(149.919*'BMP P Tracking Table'!$AQ462+236.676*'BMP P Tracking Table'!$AR462+726*'BMP P Tracking Table'!$AS462+996.798*'BMP P Tracking Table'!$AT462)*-'BMP P Tracking Table'!$AW462)))/(2*(149.919*'BMP P Tracking Table'!$AQ462+236.676*'BMP P Tracking Table'!$AR462+726*'BMP P Tracking Table'!$AS462+996.798*'BMP P Tracking Table'!$AT462))))),MIN(2,IF('BMP P Tracking Table'!$AP462="Total Pervious",(-(3630*'BMP P Tracking Table'!$U462+20.691*'BMP P Tracking Table'!$AA462)+SQRT((3630*'BMP P Tracking Table'!$U462+20.691*'BMP P Tracking Table'!$AA462)^2-(4*(996.798*'BMP P Tracking Table'!$AA462)*-'BMP P Tracking Table'!$AW462)))/(2*(996.798*'BMP P Tracking Table'!$AA462)),IF(SUM('BMP P Tracking Table'!$W462:$Z462)=0,'BMP P Tracking Table'!$AW462/(-3630*'BMP P Tracking Table'!$U462),(-(3630*'BMP P Tracking Table'!$U462+20.691*'BMP P Tracking Table'!$Z462-216.711*'BMP P Tracking Table'!$Y462-83.853*'BMP P Tracking Table'!$X462-42.834*'BMP P Tracking Table'!$W462)+SQRT((3630*'BMP P Tracking Table'!$U462+20.691*'BMP P Tracking Table'!$Z462-216.711*'BMP P Tracking Table'!$Y462-83.853*'BMP P Tracking Table'!$X462-42.834*'BMP P Tracking Table'!$W462)^2-(4*(149.919*'BMP P Tracking Table'!$W462+236.676*'BMP P Tracking Table'!$X462+726*'BMP P Tracking Table'!$Y462+996.798*'BMP P Tracking Table'!$Z462)*-'BMP P Tracking Table'!$AW462)))/(2*(149.919*'BMP P Tracking Table'!$W462+236.676*'BMP P Tracking Table'!$X462+726*'BMP P Tracking Table'!$Y462+996.798*'BMP P Tracking Table'!$Z462)))))),"")</f>
        <v/>
      </c>
      <c r="BA462" s="101" t="str">
        <f>IFERROR((VLOOKUP(CONCATENATE('BMP P Tracking Table'!$AV462," ",'BMP P Tracking Table'!$AX462),'Performance Curves'!$C$1:$L$45,MATCH('BMP P Tracking Table'!$AZ462,'Performance Curves'!$E$1:$L$1,1)+2,FALSE)-VLOOKUP(CONCATENATE('BMP P Tracking Table'!$AV462," ",'BMP P Tracking Table'!$AX462),'Performance Curves'!$C$1:$L$45,MATCH('BMP P Tracking Table'!$AZ462,'Performance Curves'!$E$1:$L$1,1)+1,FALSE)),"")</f>
        <v/>
      </c>
      <c r="BB462" s="101" t="str">
        <f>IFERROR(('BMP P Tracking Table'!$AZ462-INDEX('Performance Curves'!$E$1:$L$1,1,MATCH('BMP P Tracking Table'!$AZ462,'Performance Curves'!$E$1:$L$1,1)))/(INDEX('Performance Curves'!$E$1:$L$1,1,MATCH('BMP P Tracking Table'!$AZ462,'Performance Curves'!$E$1:$L$1,1)+1)-INDEX('Performance Curves'!$E$1:$L$1,1,MATCH('BMP P Tracking Table'!$AZ462,'Performance Curves'!$E$1:$L$1,1))),"")</f>
        <v/>
      </c>
      <c r="BC462" s="102" t="str">
        <f>IFERROR(IF('BMP P Tracking Table'!$AZ462=2,VLOOKUP(CONCATENATE('BMP P Tracking Table'!$AV462," ",'BMP P Tracking Table'!$AX462),'Performance Curves'!$C$1:$L$44,MATCH('BMP P Tracking Table'!$AZ462,'Performance Curves'!$E$1:$L$1,1)+1,FALSE),'BMP P Tracking Table'!$BA462*'BMP P Tracking Table'!$BB462+VLOOKUP(CONCATENATE('BMP P Tracking Table'!$AV462," ",'BMP P Tracking Table'!$AX462),'Performance Curves'!$C$1:$L$44,MATCH('BMP P Tracking Table'!$AZ462,'Performance Curves'!$E$1:$L$1,1)+1,FALSE)),"")</f>
        <v/>
      </c>
      <c r="BD462" s="101" t="str">
        <f>IFERROR('BMP P Tracking Table'!$BC462*'BMP P Tracking Table'!$AY462,"")</f>
        <v/>
      </c>
      <c r="BE462" s="96"/>
      <c r="BF462" s="37">
        <f t="shared" si="25"/>
        <v>0</v>
      </c>
    </row>
    <row r="463" spans="1:58" x14ac:dyDescent="0.3">
      <c r="A463" s="64"/>
      <c r="B463" s="64"/>
      <c r="C463" s="64"/>
      <c r="D463" s="64"/>
      <c r="E463" s="93"/>
      <c r="F463" s="93"/>
      <c r="G463" s="64"/>
      <c r="H463" s="64"/>
      <c r="I463" s="64"/>
      <c r="J463" s="94"/>
      <c r="K463" s="64"/>
      <c r="L463" s="64"/>
      <c r="M463" s="64"/>
      <c r="N463" s="64"/>
      <c r="O463" s="64"/>
      <c r="P463" s="64"/>
      <c r="Q463" s="64" t="str">
        <f>IFERROR(VLOOKUP('BMP P Tracking Table'!$P463,Dropdowns!$C$2:$E$15,3,FALSE),"")</f>
        <v/>
      </c>
      <c r="R463" s="64" t="str">
        <f>IFERROR(VLOOKUP('BMP P Tracking Table'!$Q463,Dropdowns!$P$3:$Q$23,2,FALSE),"")</f>
        <v/>
      </c>
      <c r="S463" s="64"/>
      <c r="T463" s="64"/>
      <c r="U463" s="64"/>
      <c r="V463" s="64"/>
      <c r="W463" s="64"/>
      <c r="X463" s="64"/>
      <c r="Y463" s="64"/>
      <c r="Z463" s="64"/>
      <c r="AA463" s="64"/>
      <c r="AB463" s="95"/>
      <c r="AC463" s="64"/>
      <c r="AD463" s="101" t="str">
        <f>IFERROR('BMP P Tracking Table'!$U463*VLOOKUP('BMP P Tracking Table'!$Q463,'Loading Rates'!$B$1:$L$24,4,FALSE)+IF('BMP P Tracking Table'!$V463="By HSG",'BMP P Tracking Table'!$W463*VLOOKUP('BMP P Tracking Table'!$Q463,'Loading Rates'!$B$1:$L$24,6,FALSE)+'BMP P Tracking Table'!$X463*VLOOKUP('BMP P Tracking Table'!$Q463,'Loading Rates'!$B$1:$L$24,7,FALSE)+'BMP P Tracking Table'!$Y463*VLOOKUP('BMP P Tracking Table'!$Q463,'Loading Rates'!$B$1:$L$24,8,FALSE)+'BMP P Tracking Table'!$Z463*VLOOKUP('BMP P Tracking Table'!$Q463,'Loading Rates'!$B$1:$L$24,9,FALSE),'BMP P Tracking Table'!$AA463*VLOOKUP('BMP P Tracking Table'!$Q463,'Loading Rates'!$B$1:$L$24,10,FALSE)),"")</f>
        <v/>
      </c>
      <c r="AE463" s="101" t="str">
        <f>IFERROR(MIN(2,IF('BMP P Tracking Table'!$V463="Total Pervious",(-(3630*'BMP P Tracking Table'!$U463+20.691*'BMP P Tracking Table'!$AA463)+SQRT((3630*'BMP P Tracking Table'!$U463+20.691*'BMP P Tracking Table'!$AA463)^2-(4*(996.798*'BMP P Tracking Table'!$AA463)*-'BMP P Tracking Table'!$AB463)))/(2*(996.798*'BMP P Tracking Table'!$AA463)),IF(SUM('BMP P Tracking Table'!$W463:$Z463)=0,'BMP P Tracking Table'!$AB463/(-3630*'BMP P Tracking Table'!$U463),(-(3630*'BMP P Tracking Table'!$U463+20.691*'BMP P Tracking Table'!$Z463-216.711*'BMP P Tracking Table'!$Y463-83.853*'BMP P Tracking Table'!$X463-42.834*'BMP P Tracking Table'!$W463)+SQRT((3630*'BMP P Tracking Table'!$U463+20.691*'BMP P Tracking Table'!$Z463-216.711*'BMP P Tracking Table'!$Y463-83.853*'BMP P Tracking Table'!$X463-42.834*'BMP P Tracking Table'!$W463)^2-(4*(149.919*'BMP P Tracking Table'!$W463+236.676*'BMP P Tracking Table'!$X463+726*'BMP P Tracking Table'!$Y463+996.798*'BMP P Tracking Table'!$Z463)*-'BMP P Tracking Table'!$AB463)))/(2*(149.919*'BMP P Tracking Table'!$W463+236.676*'BMP P Tracking Table'!$X463+726*'BMP P Tracking Table'!$Y463+996.798*'BMP P Tracking Table'!$Z463))))),"")</f>
        <v/>
      </c>
      <c r="AF463" s="101" t="str">
        <f>IFERROR((VLOOKUP(CONCATENATE('BMP P Tracking Table'!$T463," ",'BMP P Tracking Table'!$AC463),'Performance Curves'!$C$1:$L$45,MATCH('BMP P Tracking Table'!$AE463,'Performance Curves'!$E$1:$L$1,1)+2,FALSE)-VLOOKUP(CONCATENATE('BMP P Tracking Table'!$T463," ",'BMP P Tracking Table'!$AC463),'Performance Curves'!$C$1:$L$45,MATCH('BMP P Tracking Table'!$AE463,'Performance Curves'!$E$1:$L$1,1)+1,FALSE)),"")</f>
        <v/>
      </c>
      <c r="AG463" s="101" t="str">
        <f>IFERROR(('BMP P Tracking Table'!$AE463-INDEX('Performance Curves'!$E$1:$L$1,1,MATCH('BMP P Tracking Table'!$AE463,'Performance Curves'!$E$1:$L$1,1)))/(INDEX('Performance Curves'!$E$1:$L$1,1,MATCH('BMP P Tracking Table'!$AE463,'Performance Curves'!$E$1:$L$1,1)+1)-INDEX('Performance Curves'!$E$1:$L$1,1,MATCH('BMP P Tracking Table'!$AE463,'Performance Curves'!$E$1:$L$1,1))),"")</f>
        <v/>
      </c>
      <c r="AH463" s="102" t="str">
        <f>IFERROR(IF('BMP P Tracking Table'!$AE463=2,VLOOKUP(CONCATENATE('BMP P Tracking Table'!$T463," ",'BMP P Tracking Table'!$AC463),'Performance Curves'!$C$1:$L$45,MATCH('BMP P Tracking Table'!$AE463,'Performance Curves'!$E$1:$L$1,1)+1,FALSE),'BMP P Tracking Table'!$AF463*'BMP P Tracking Table'!$AG463+VLOOKUP(CONCATENATE('BMP P Tracking Table'!$T463," ",'BMP P Tracking Table'!$AC463),'Performance Curves'!$C$1:$L$45,MATCH('BMP P Tracking Table'!$AE463,'Performance Curves'!$E$1:$L$1,1)+1,FALSE)),"")</f>
        <v/>
      </c>
      <c r="AI463" s="101" t="str">
        <f>IFERROR('BMP P Tracking Table'!$AH463*'BMP P Tracking Table'!$AD463,"")</f>
        <v/>
      </c>
      <c r="AJ463" s="64"/>
      <c r="AK463" s="96"/>
      <c r="AL463" s="96"/>
      <c r="AM463" s="63"/>
      <c r="AN463" s="99" t="str">
        <f t="shared" si="24"/>
        <v/>
      </c>
      <c r="AO463" s="96"/>
      <c r="AP463" s="96"/>
      <c r="AQ463" s="96"/>
      <c r="AR463" s="96"/>
      <c r="AS463" s="96"/>
      <c r="AT463" s="96"/>
      <c r="AU463" s="96"/>
      <c r="AV463" s="64"/>
      <c r="AW463" s="97"/>
      <c r="AX463" s="97"/>
      <c r="AY463" s="101" t="str">
        <f>IF('BMP P Tracking Table'!$AK463="Yes",IF('BMP P Tracking Table'!$AL463="No",'BMP P Tracking Table'!$U463*VLOOKUP('BMP P Tracking Table'!$Q463,'Loading Rates'!$B$1:$L$24,4,FALSE)+IF('BMP P Tracking Table'!$V463="By HSG",'BMP P Tracking Table'!$W463*VLOOKUP('BMP P Tracking Table'!$Q463,'Loading Rates'!$B$1:$L$24,6,FALSE)+'BMP P Tracking Table'!$X463*VLOOKUP('BMP P Tracking Table'!$Q463,'Loading Rates'!$B$1:$L$24,7,FALSE)+'BMP P Tracking Table'!$Y463*VLOOKUP('BMP P Tracking Table'!$Q463,'Loading Rates'!$B$1:$L$24,8,FALSE)+'BMP P Tracking Table'!$Z463*VLOOKUP('BMP P Tracking Table'!$Q463,'Loading Rates'!$B$1:$L$24,9,FALSE),'BMP P Tracking Table'!$AA463*VLOOKUP('BMP P Tracking Table'!$Q463,'Loading Rates'!$B$1:$L$24,10,FALSE)),'BMP P Tracking Table'!$AO463*VLOOKUP('BMP P Tracking Table'!$Q463,'Loading Rates'!$B$1:$L$24,4,FALSE)+IF('BMP P Tracking Table'!$AP463="By HSG",'BMP P Tracking Table'!$AQ463*VLOOKUP('BMP P Tracking Table'!$Q463,'Loading Rates'!$B$1:$L$24,6,FALSE)+'BMP P Tracking Table'!$AR463*VLOOKUP('BMP P Tracking Table'!$Q463,'Loading Rates'!$B$1:$L$24,7,FALSE)+'BMP P Tracking Table'!$AS463*VLOOKUP('BMP P Tracking Table'!$Q463,'Loading Rates'!$B$1:$L$24,8,FALSE)+'BMP P Tracking Table'!$AT463*VLOOKUP('BMP P Tracking Table'!$Q463,'Loading Rates'!$B$1:$L$24,9,FALSE),'BMP P Tracking Table'!$AU463*VLOOKUP('BMP P Tracking Table'!$Q463,'Loading Rates'!$B$1:$L$24,10,FALSE))),"")</f>
        <v/>
      </c>
      <c r="AZ463" s="101" t="str">
        <f>IFERROR(IF('BMP P Tracking Table'!$AL463="Yes",MIN(2,IF('BMP P Tracking Table'!$AP463="Total Pervious",(-(3630*'BMP P Tracking Table'!$AO463+20.691*'BMP P Tracking Table'!$AU463)+SQRT((3630*'BMP P Tracking Table'!$AO463+20.691*'BMP P Tracking Table'!$AU463)^2-(4*(996.798*'BMP P Tracking Table'!$AU463)*-'BMP P Tracking Table'!$AW463)))/(2*(996.798*'BMP P Tracking Table'!$AU463)),IF(SUM('BMP P Tracking Table'!$AQ463:$AT463)=0,'BMP P Tracking Table'!$AU463/(-3630*'BMP P Tracking Table'!$AO463),(-(3630*'BMP P Tracking Table'!$AO463+20.691*'BMP P Tracking Table'!$AT463-216.711*'BMP P Tracking Table'!$AS463-83.853*'BMP P Tracking Table'!$AR463-42.834*'BMP P Tracking Table'!$AQ463)+SQRT((3630*'BMP P Tracking Table'!$AO463+20.691*'BMP P Tracking Table'!$AT463-216.711*'BMP P Tracking Table'!$AS463-83.853*'BMP P Tracking Table'!$AR463-42.834*'BMP P Tracking Table'!$AQ463)^2-(4*(149.919*'BMP P Tracking Table'!$AQ463+236.676*'BMP P Tracking Table'!$AR463+726*'BMP P Tracking Table'!$AS463+996.798*'BMP P Tracking Table'!$AT463)*-'BMP P Tracking Table'!$AW463)))/(2*(149.919*'BMP P Tracking Table'!$AQ463+236.676*'BMP P Tracking Table'!$AR463+726*'BMP P Tracking Table'!$AS463+996.798*'BMP P Tracking Table'!$AT463))))),MIN(2,IF('BMP P Tracking Table'!$AP463="Total Pervious",(-(3630*'BMP P Tracking Table'!$U463+20.691*'BMP P Tracking Table'!$AA463)+SQRT((3630*'BMP P Tracking Table'!$U463+20.691*'BMP P Tracking Table'!$AA463)^2-(4*(996.798*'BMP P Tracking Table'!$AA463)*-'BMP P Tracking Table'!$AW463)))/(2*(996.798*'BMP P Tracking Table'!$AA463)),IF(SUM('BMP P Tracking Table'!$W463:$Z463)=0,'BMP P Tracking Table'!$AW463/(-3630*'BMP P Tracking Table'!$U463),(-(3630*'BMP P Tracking Table'!$U463+20.691*'BMP P Tracking Table'!$Z463-216.711*'BMP P Tracking Table'!$Y463-83.853*'BMP P Tracking Table'!$X463-42.834*'BMP P Tracking Table'!$W463)+SQRT((3630*'BMP P Tracking Table'!$U463+20.691*'BMP P Tracking Table'!$Z463-216.711*'BMP P Tracking Table'!$Y463-83.853*'BMP P Tracking Table'!$X463-42.834*'BMP P Tracking Table'!$W463)^2-(4*(149.919*'BMP P Tracking Table'!$W463+236.676*'BMP P Tracking Table'!$X463+726*'BMP P Tracking Table'!$Y463+996.798*'BMP P Tracking Table'!$Z463)*-'BMP P Tracking Table'!$AW463)))/(2*(149.919*'BMP P Tracking Table'!$W463+236.676*'BMP P Tracking Table'!$X463+726*'BMP P Tracking Table'!$Y463+996.798*'BMP P Tracking Table'!$Z463)))))),"")</f>
        <v/>
      </c>
      <c r="BA463" s="101" t="str">
        <f>IFERROR((VLOOKUP(CONCATENATE('BMP P Tracking Table'!$AV463," ",'BMP P Tracking Table'!$AX463),'Performance Curves'!$C$1:$L$45,MATCH('BMP P Tracking Table'!$AZ463,'Performance Curves'!$E$1:$L$1,1)+2,FALSE)-VLOOKUP(CONCATENATE('BMP P Tracking Table'!$AV463," ",'BMP P Tracking Table'!$AX463),'Performance Curves'!$C$1:$L$45,MATCH('BMP P Tracking Table'!$AZ463,'Performance Curves'!$E$1:$L$1,1)+1,FALSE)),"")</f>
        <v/>
      </c>
      <c r="BB463" s="101" t="str">
        <f>IFERROR(('BMP P Tracking Table'!$AZ463-INDEX('Performance Curves'!$E$1:$L$1,1,MATCH('BMP P Tracking Table'!$AZ463,'Performance Curves'!$E$1:$L$1,1)))/(INDEX('Performance Curves'!$E$1:$L$1,1,MATCH('BMP P Tracking Table'!$AZ463,'Performance Curves'!$E$1:$L$1,1)+1)-INDEX('Performance Curves'!$E$1:$L$1,1,MATCH('BMP P Tracking Table'!$AZ463,'Performance Curves'!$E$1:$L$1,1))),"")</f>
        <v/>
      </c>
      <c r="BC463" s="102" t="str">
        <f>IFERROR(IF('BMP P Tracking Table'!$AZ463=2,VLOOKUP(CONCATENATE('BMP P Tracking Table'!$AV463," ",'BMP P Tracking Table'!$AX463),'Performance Curves'!$C$1:$L$44,MATCH('BMP P Tracking Table'!$AZ463,'Performance Curves'!$E$1:$L$1,1)+1,FALSE),'BMP P Tracking Table'!$BA463*'BMP P Tracking Table'!$BB463+VLOOKUP(CONCATENATE('BMP P Tracking Table'!$AV463," ",'BMP P Tracking Table'!$AX463),'Performance Curves'!$C$1:$L$44,MATCH('BMP P Tracking Table'!$AZ463,'Performance Curves'!$E$1:$L$1,1)+1,FALSE)),"")</f>
        <v/>
      </c>
      <c r="BD463" s="101" t="str">
        <f>IFERROR('BMP P Tracking Table'!$BC463*'BMP P Tracking Table'!$AY463,"")</f>
        <v/>
      </c>
      <c r="BE463" s="96"/>
      <c r="BF463" s="37">
        <f t="shared" si="25"/>
        <v>0</v>
      </c>
    </row>
    <row r="464" spans="1:58" x14ac:dyDescent="0.3">
      <c r="A464" s="64"/>
      <c r="B464" s="64"/>
      <c r="C464" s="64"/>
      <c r="D464" s="64"/>
      <c r="E464" s="93"/>
      <c r="F464" s="93"/>
      <c r="G464" s="64"/>
      <c r="H464" s="64"/>
      <c r="I464" s="64"/>
      <c r="J464" s="94"/>
      <c r="K464" s="64"/>
      <c r="L464" s="64"/>
      <c r="M464" s="64"/>
      <c r="N464" s="64"/>
      <c r="O464" s="64"/>
      <c r="P464" s="64"/>
      <c r="Q464" s="64" t="str">
        <f>IFERROR(VLOOKUP('BMP P Tracking Table'!$P464,Dropdowns!$C$2:$E$15,3,FALSE),"")</f>
        <v/>
      </c>
      <c r="R464" s="64" t="str">
        <f>IFERROR(VLOOKUP('BMP P Tracking Table'!$Q464,Dropdowns!$P$3:$Q$23,2,FALSE),"")</f>
        <v/>
      </c>
      <c r="S464" s="64"/>
      <c r="T464" s="64"/>
      <c r="U464" s="64"/>
      <c r="V464" s="64"/>
      <c r="W464" s="64"/>
      <c r="X464" s="64"/>
      <c r="Y464" s="64"/>
      <c r="Z464" s="64"/>
      <c r="AA464" s="64"/>
      <c r="AB464" s="95"/>
      <c r="AC464" s="64"/>
      <c r="AD464" s="101" t="str">
        <f>IFERROR('BMP P Tracking Table'!$U464*VLOOKUP('BMP P Tracking Table'!$Q464,'Loading Rates'!$B$1:$L$24,4,FALSE)+IF('BMP P Tracking Table'!$V464="By HSG",'BMP P Tracking Table'!$W464*VLOOKUP('BMP P Tracking Table'!$Q464,'Loading Rates'!$B$1:$L$24,6,FALSE)+'BMP P Tracking Table'!$X464*VLOOKUP('BMP P Tracking Table'!$Q464,'Loading Rates'!$B$1:$L$24,7,FALSE)+'BMP P Tracking Table'!$Y464*VLOOKUP('BMP P Tracking Table'!$Q464,'Loading Rates'!$B$1:$L$24,8,FALSE)+'BMP P Tracking Table'!$Z464*VLOOKUP('BMP P Tracking Table'!$Q464,'Loading Rates'!$B$1:$L$24,9,FALSE),'BMP P Tracking Table'!$AA464*VLOOKUP('BMP P Tracking Table'!$Q464,'Loading Rates'!$B$1:$L$24,10,FALSE)),"")</f>
        <v/>
      </c>
      <c r="AE464" s="101" t="str">
        <f>IFERROR(MIN(2,IF('BMP P Tracking Table'!$V464="Total Pervious",(-(3630*'BMP P Tracking Table'!$U464+20.691*'BMP P Tracking Table'!$AA464)+SQRT((3630*'BMP P Tracking Table'!$U464+20.691*'BMP P Tracking Table'!$AA464)^2-(4*(996.798*'BMP P Tracking Table'!$AA464)*-'BMP P Tracking Table'!$AB464)))/(2*(996.798*'BMP P Tracking Table'!$AA464)),IF(SUM('BMP P Tracking Table'!$W464:$Z464)=0,'BMP P Tracking Table'!$AB464/(-3630*'BMP P Tracking Table'!$U464),(-(3630*'BMP P Tracking Table'!$U464+20.691*'BMP P Tracking Table'!$Z464-216.711*'BMP P Tracking Table'!$Y464-83.853*'BMP P Tracking Table'!$X464-42.834*'BMP P Tracking Table'!$W464)+SQRT((3630*'BMP P Tracking Table'!$U464+20.691*'BMP P Tracking Table'!$Z464-216.711*'BMP P Tracking Table'!$Y464-83.853*'BMP P Tracking Table'!$X464-42.834*'BMP P Tracking Table'!$W464)^2-(4*(149.919*'BMP P Tracking Table'!$W464+236.676*'BMP P Tracking Table'!$X464+726*'BMP P Tracking Table'!$Y464+996.798*'BMP P Tracking Table'!$Z464)*-'BMP P Tracking Table'!$AB464)))/(2*(149.919*'BMP P Tracking Table'!$W464+236.676*'BMP P Tracking Table'!$X464+726*'BMP P Tracking Table'!$Y464+996.798*'BMP P Tracking Table'!$Z464))))),"")</f>
        <v/>
      </c>
      <c r="AF464" s="101" t="str">
        <f>IFERROR((VLOOKUP(CONCATENATE('BMP P Tracking Table'!$T464," ",'BMP P Tracking Table'!$AC464),'Performance Curves'!$C$1:$L$45,MATCH('BMP P Tracking Table'!$AE464,'Performance Curves'!$E$1:$L$1,1)+2,FALSE)-VLOOKUP(CONCATENATE('BMP P Tracking Table'!$T464," ",'BMP P Tracking Table'!$AC464),'Performance Curves'!$C$1:$L$45,MATCH('BMP P Tracking Table'!$AE464,'Performance Curves'!$E$1:$L$1,1)+1,FALSE)),"")</f>
        <v/>
      </c>
      <c r="AG464" s="101" t="str">
        <f>IFERROR(('BMP P Tracking Table'!$AE464-INDEX('Performance Curves'!$E$1:$L$1,1,MATCH('BMP P Tracking Table'!$AE464,'Performance Curves'!$E$1:$L$1,1)))/(INDEX('Performance Curves'!$E$1:$L$1,1,MATCH('BMP P Tracking Table'!$AE464,'Performance Curves'!$E$1:$L$1,1)+1)-INDEX('Performance Curves'!$E$1:$L$1,1,MATCH('BMP P Tracking Table'!$AE464,'Performance Curves'!$E$1:$L$1,1))),"")</f>
        <v/>
      </c>
      <c r="AH464" s="102" t="str">
        <f>IFERROR(IF('BMP P Tracking Table'!$AE464=2,VLOOKUP(CONCATENATE('BMP P Tracking Table'!$T464," ",'BMP P Tracking Table'!$AC464),'Performance Curves'!$C$1:$L$45,MATCH('BMP P Tracking Table'!$AE464,'Performance Curves'!$E$1:$L$1,1)+1,FALSE),'BMP P Tracking Table'!$AF464*'BMP P Tracking Table'!$AG464+VLOOKUP(CONCATENATE('BMP P Tracking Table'!$T464," ",'BMP P Tracking Table'!$AC464),'Performance Curves'!$C$1:$L$45,MATCH('BMP P Tracking Table'!$AE464,'Performance Curves'!$E$1:$L$1,1)+1,FALSE)),"")</f>
        <v/>
      </c>
      <c r="AI464" s="101" t="str">
        <f>IFERROR('BMP P Tracking Table'!$AH464*'BMP P Tracking Table'!$AD464,"")</f>
        <v/>
      </c>
      <c r="AJ464" s="64"/>
      <c r="AK464" s="96"/>
      <c r="AL464" s="96"/>
      <c r="AM464" s="63"/>
      <c r="AN464" s="99" t="str">
        <f t="shared" si="24"/>
        <v/>
      </c>
      <c r="AO464" s="96"/>
      <c r="AP464" s="96"/>
      <c r="AQ464" s="96"/>
      <c r="AR464" s="96"/>
      <c r="AS464" s="96"/>
      <c r="AT464" s="96"/>
      <c r="AU464" s="96"/>
      <c r="AV464" s="64"/>
      <c r="AW464" s="97"/>
      <c r="AX464" s="97"/>
      <c r="AY464" s="101" t="str">
        <f>IF('BMP P Tracking Table'!$AK464="Yes",IF('BMP P Tracking Table'!$AL464="No",'BMP P Tracking Table'!$U464*VLOOKUP('BMP P Tracking Table'!$Q464,'Loading Rates'!$B$1:$L$24,4,FALSE)+IF('BMP P Tracking Table'!$V464="By HSG",'BMP P Tracking Table'!$W464*VLOOKUP('BMP P Tracking Table'!$Q464,'Loading Rates'!$B$1:$L$24,6,FALSE)+'BMP P Tracking Table'!$X464*VLOOKUP('BMP P Tracking Table'!$Q464,'Loading Rates'!$B$1:$L$24,7,FALSE)+'BMP P Tracking Table'!$Y464*VLOOKUP('BMP P Tracking Table'!$Q464,'Loading Rates'!$B$1:$L$24,8,FALSE)+'BMP P Tracking Table'!$Z464*VLOOKUP('BMP P Tracking Table'!$Q464,'Loading Rates'!$B$1:$L$24,9,FALSE),'BMP P Tracking Table'!$AA464*VLOOKUP('BMP P Tracking Table'!$Q464,'Loading Rates'!$B$1:$L$24,10,FALSE)),'BMP P Tracking Table'!$AO464*VLOOKUP('BMP P Tracking Table'!$Q464,'Loading Rates'!$B$1:$L$24,4,FALSE)+IF('BMP P Tracking Table'!$AP464="By HSG",'BMP P Tracking Table'!$AQ464*VLOOKUP('BMP P Tracking Table'!$Q464,'Loading Rates'!$B$1:$L$24,6,FALSE)+'BMP P Tracking Table'!$AR464*VLOOKUP('BMP P Tracking Table'!$Q464,'Loading Rates'!$B$1:$L$24,7,FALSE)+'BMP P Tracking Table'!$AS464*VLOOKUP('BMP P Tracking Table'!$Q464,'Loading Rates'!$B$1:$L$24,8,FALSE)+'BMP P Tracking Table'!$AT464*VLOOKUP('BMP P Tracking Table'!$Q464,'Loading Rates'!$B$1:$L$24,9,FALSE),'BMP P Tracking Table'!$AU464*VLOOKUP('BMP P Tracking Table'!$Q464,'Loading Rates'!$B$1:$L$24,10,FALSE))),"")</f>
        <v/>
      </c>
      <c r="AZ464" s="101" t="str">
        <f>IFERROR(IF('BMP P Tracking Table'!$AL464="Yes",MIN(2,IF('BMP P Tracking Table'!$AP464="Total Pervious",(-(3630*'BMP P Tracking Table'!$AO464+20.691*'BMP P Tracking Table'!$AU464)+SQRT((3630*'BMP P Tracking Table'!$AO464+20.691*'BMP P Tracking Table'!$AU464)^2-(4*(996.798*'BMP P Tracking Table'!$AU464)*-'BMP P Tracking Table'!$AW464)))/(2*(996.798*'BMP P Tracking Table'!$AU464)),IF(SUM('BMP P Tracking Table'!$AQ464:$AT464)=0,'BMP P Tracking Table'!$AU464/(-3630*'BMP P Tracking Table'!$AO464),(-(3630*'BMP P Tracking Table'!$AO464+20.691*'BMP P Tracking Table'!$AT464-216.711*'BMP P Tracking Table'!$AS464-83.853*'BMP P Tracking Table'!$AR464-42.834*'BMP P Tracking Table'!$AQ464)+SQRT((3630*'BMP P Tracking Table'!$AO464+20.691*'BMP P Tracking Table'!$AT464-216.711*'BMP P Tracking Table'!$AS464-83.853*'BMP P Tracking Table'!$AR464-42.834*'BMP P Tracking Table'!$AQ464)^2-(4*(149.919*'BMP P Tracking Table'!$AQ464+236.676*'BMP P Tracking Table'!$AR464+726*'BMP P Tracking Table'!$AS464+996.798*'BMP P Tracking Table'!$AT464)*-'BMP P Tracking Table'!$AW464)))/(2*(149.919*'BMP P Tracking Table'!$AQ464+236.676*'BMP P Tracking Table'!$AR464+726*'BMP P Tracking Table'!$AS464+996.798*'BMP P Tracking Table'!$AT464))))),MIN(2,IF('BMP P Tracking Table'!$AP464="Total Pervious",(-(3630*'BMP P Tracking Table'!$U464+20.691*'BMP P Tracking Table'!$AA464)+SQRT((3630*'BMP P Tracking Table'!$U464+20.691*'BMP P Tracking Table'!$AA464)^2-(4*(996.798*'BMP P Tracking Table'!$AA464)*-'BMP P Tracking Table'!$AW464)))/(2*(996.798*'BMP P Tracking Table'!$AA464)),IF(SUM('BMP P Tracking Table'!$W464:$Z464)=0,'BMP P Tracking Table'!$AW464/(-3630*'BMP P Tracking Table'!$U464),(-(3630*'BMP P Tracking Table'!$U464+20.691*'BMP P Tracking Table'!$Z464-216.711*'BMP P Tracking Table'!$Y464-83.853*'BMP P Tracking Table'!$X464-42.834*'BMP P Tracking Table'!$W464)+SQRT((3630*'BMP P Tracking Table'!$U464+20.691*'BMP P Tracking Table'!$Z464-216.711*'BMP P Tracking Table'!$Y464-83.853*'BMP P Tracking Table'!$X464-42.834*'BMP P Tracking Table'!$W464)^2-(4*(149.919*'BMP P Tracking Table'!$W464+236.676*'BMP P Tracking Table'!$X464+726*'BMP P Tracking Table'!$Y464+996.798*'BMP P Tracking Table'!$Z464)*-'BMP P Tracking Table'!$AW464)))/(2*(149.919*'BMP P Tracking Table'!$W464+236.676*'BMP P Tracking Table'!$X464+726*'BMP P Tracking Table'!$Y464+996.798*'BMP P Tracking Table'!$Z464)))))),"")</f>
        <v/>
      </c>
      <c r="BA464" s="101" t="str">
        <f>IFERROR((VLOOKUP(CONCATENATE('BMP P Tracking Table'!$AV464," ",'BMP P Tracking Table'!$AX464),'Performance Curves'!$C$1:$L$45,MATCH('BMP P Tracking Table'!$AZ464,'Performance Curves'!$E$1:$L$1,1)+2,FALSE)-VLOOKUP(CONCATENATE('BMP P Tracking Table'!$AV464," ",'BMP P Tracking Table'!$AX464),'Performance Curves'!$C$1:$L$45,MATCH('BMP P Tracking Table'!$AZ464,'Performance Curves'!$E$1:$L$1,1)+1,FALSE)),"")</f>
        <v/>
      </c>
      <c r="BB464" s="101" t="str">
        <f>IFERROR(('BMP P Tracking Table'!$AZ464-INDEX('Performance Curves'!$E$1:$L$1,1,MATCH('BMP P Tracking Table'!$AZ464,'Performance Curves'!$E$1:$L$1,1)))/(INDEX('Performance Curves'!$E$1:$L$1,1,MATCH('BMP P Tracking Table'!$AZ464,'Performance Curves'!$E$1:$L$1,1)+1)-INDEX('Performance Curves'!$E$1:$L$1,1,MATCH('BMP P Tracking Table'!$AZ464,'Performance Curves'!$E$1:$L$1,1))),"")</f>
        <v/>
      </c>
      <c r="BC464" s="102" t="str">
        <f>IFERROR(IF('BMP P Tracking Table'!$AZ464=2,VLOOKUP(CONCATENATE('BMP P Tracking Table'!$AV464," ",'BMP P Tracking Table'!$AX464),'Performance Curves'!$C$1:$L$44,MATCH('BMP P Tracking Table'!$AZ464,'Performance Curves'!$E$1:$L$1,1)+1,FALSE),'BMP P Tracking Table'!$BA464*'BMP P Tracking Table'!$BB464+VLOOKUP(CONCATENATE('BMP P Tracking Table'!$AV464," ",'BMP P Tracking Table'!$AX464),'Performance Curves'!$C$1:$L$44,MATCH('BMP P Tracking Table'!$AZ464,'Performance Curves'!$E$1:$L$1,1)+1,FALSE)),"")</f>
        <v/>
      </c>
      <c r="BD464" s="101" t="str">
        <f>IFERROR('BMP P Tracking Table'!$BC464*'BMP P Tracking Table'!$AY464,"")</f>
        <v/>
      </c>
      <c r="BE464" s="96"/>
      <c r="BF464" s="37">
        <f t="shared" si="25"/>
        <v>0</v>
      </c>
    </row>
    <row r="465" spans="1:58" x14ac:dyDescent="0.3">
      <c r="A465" s="64"/>
      <c r="B465" s="64"/>
      <c r="C465" s="64"/>
      <c r="D465" s="64"/>
      <c r="E465" s="93"/>
      <c r="F465" s="93"/>
      <c r="G465" s="64"/>
      <c r="H465" s="64"/>
      <c r="I465" s="64"/>
      <c r="J465" s="94"/>
      <c r="K465" s="64"/>
      <c r="L465" s="64"/>
      <c r="M465" s="64"/>
      <c r="N465" s="64"/>
      <c r="O465" s="64"/>
      <c r="P465" s="64"/>
      <c r="Q465" s="64" t="str">
        <f>IFERROR(VLOOKUP('BMP P Tracking Table'!$P465,Dropdowns!$C$2:$E$15,3,FALSE),"")</f>
        <v/>
      </c>
      <c r="R465" s="64" t="str">
        <f>IFERROR(VLOOKUP('BMP P Tracking Table'!$Q465,Dropdowns!$P$3:$Q$23,2,FALSE),"")</f>
        <v/>
      </c>
      <c r="S465" s="64"/>
      <c r="T465" s="64"/>
      <c r="U465" s="64"/>
      <c r="V465" s="64"/>
      <c r="W465" s="64"/>
      <c r="X465" s="64"/>
      <c r="Y465" s="64"/>
      <c r="Z465" s="64"/>
      <c r="AA465" s="64"/>
      <c r="AB465" s="95"/>
      <c r="AC465" s="64"/>
      <c r="AD465" s="101" t="str">
        <f>IFERROR('BMP P Tracking Table'!$U465*VLOOKUP('BMP P Tracking Table'!$Q465,'Loading Rates'!$B$1:$L$24,4,FALSE)+IF('BMP P Tracking Table'!$V465="By HSG",'BMP P Tracking Table'!$W465*VLOOKUP('BMP P Tracking Table'!$Q465,'Loading Rates'!$B$1:$L$24,6,FALSE)+'BMP P Tracking Table'!$X465*VLOOKUP('BMP P Tracking Table'!$Q465,'Loading Rates'!$B$1:$L$24,7,FALSE)+'BMP P Tracking Table'!$Y465*VLOOKUP('BMP P Tracking Table'!$Q465,'Loading Rates'!$B$1:$L$24,8,FALSE)+'BMP P Tracking Table'!$Z465*VLOOKUP('BMP P Tracking Table'!$Q465,'Loading Rates'!$B$1:$L$24,9,FALSE),'BMP P Tracking Table'!$AA465*VLOOKUP('BMP P Tracking Table'!$Q465,'Loading Rates'!$B$1:$L$24,10,FALSE)),"")</f>
        <v/>
      </c>
      <c r="AE465" s="101" t="str">
        <f>IFERROR(MIN(2,IF('BMP P Tracking Table'!$V465="Total Pervious",(-(3630*'BMP P Tracking Table'!$U465+20.691*'BMP P Tracking Table'!$AA465)+SQRT((3630*'BMP P Tracking Table'!$U465+20.691*'BMP P Tracking Table'!$AA465)^2-(4*(996.798*'BMP P Tracking Table'!$AA465)*-'BMP P Tracking Table'!$AB465)))/(2*(996.798*'BMP P Tracking Table'!$AA465)),IF(SUM('BMP P Tracking Table'!$W465:$Z465)=0,'BMP P Tracking Table'!$AB465/(-3630*'BMP P Tracking Table'!$U465),(-(3630*'BMP P Tracking Table'!$U465+20.691*'BMP P Tracking Table'!$Z465-216.711*'BMP P Tracking Table'!$Y465-83.853*'BMP P Tracking Table'!$X465-42.834*'BMP P Tracking Table'!$W465)+SQRT((3630*'BMP P Tracking Table'!$U465+20.691*'BMP P Tracking Table'!$Z465-216.711*'BMP P Tracking Table'!$Y465-83.853*'BMP P Tracking Table'!$X465-42.834*'BMP P Tracking Table'!$W465)^2-(4*(149.919*'BMP P Tracking Table'!$W465+236.676*'BMP P Tracking Table'!$X465+726*'BMP P Tracking Table'!$Y465+996.798*'BMP P Tracking Table'!$Z465)*-'BMP P Tracking Table'!$AB465)))/(2*(149.919*'BMP P Tracking Table'!$W465+236.676*'BMP P Tracking Table'!$X465+726*'BMP P Tracking Table'!$Y465+996.798*'BMP P Tracking Table'!$Z465))))),"")</f>
        <v/>
      </c>
      <c r="AF465" s="101" t="str">
        <f>IFERROR((VLOOKUP(CONCATENATE('BMP P Tracking Table'!$T465," ",'BMP P Tracking Table'!$AC465),'Performance Curves'!$C$1:$L$45,MATCH('BMP P Tracking Table'!$AE465,'Performance Curves'!$E$1:$L$1,1)+2,FALSE)-VLOOKUP(CONCATENATE('BMP P Tracking Table'!$T465," ",'BMP P Tracking Table'!$AC465),'Performance Curves'!$C$1:$L$45,MATCH('BMP P Tracking Table'!$AE465,'Performance Curves'!$E$1:$L$1,1)+1,FALSE)),"")</f>
        <v/>
      </c>
      <c r="AG465" s="101" t="str">
        <f>IFERROR(('BMP P Tracking Table'!$AE465-INDEX('Performance Curves'!$E$1:$L$1,1,MATCH('BMP P Tracking Table'!$AE465,'Performance Curves'!$E$1:$L$1,1)))/(INDEX('Performance Curves'!$E$1:$L$1,1,MATCH('BMP P Tracking Table'!$AE465,'Performance Curves'!$E$1:$L$1,1)+1)-INDEX('Performance Curves'!$E$1:$L$1,1,MATCH('BMP P Tracking Table'!$AE465,'Performance Curves'!$E$1:$L$1,1))),"")</f>
        <v/>
      </c>
      <c r="AH465" s="102" t="str">
        <f>IFERROR(IF('BMP P Tracking Table'!$AE465=2,VLOOKUP(CONCATENATE('BMP P Tracking Table'!$T465," ",'BMP P Tracking Table'!$AC465),'Performance Curves'!$C$1:$L$45,MATCH('BMP P Tracking Table'!$AE465,'Performance Curves'!$E$1:$L$1,1)+1,FALSE),'BMP P Tracking Table'!$AF465*'BMP P Tracking Table'!$AG465+VLOOKUP(CONCATENATE('BMP P Tracking Table'!$T465," ",'BMP P Tracking Table'!$AC465),'Performance Curves'!$C$1:$L$45,MATCH('BMP P Tracking Table'!$AE465,'Performance Curves'!$E$1:$L$1,1)+1,FALSE)),"")</f>
        <v/>
      </c>
      <c r="AI465" s="101" t="str">
        <f>IFERROR('BMP P Tracking Table'!$AH465*'BMP P Tracking Table'!$AD465,"")</f>
        <v/>
      </c>
      <c r="AJ465" s="64"/>
      <c r="AK465" s="96"/>
      <c r="AL465" s="96"/>
      <c r="AM465" s="63"/>
      <c r="AN465" s="99" t="str">
        <f t="shared" si="24"/>
        <v/>
      </c>
      <c r="AO465" s="96"/>
      <c r="AP465" s="96"/>
      <c r="AQ465" s="96"/>
      <c r="AR465" s="96"/>
      <c r="AS465" s="96"/>
      <c r="AT465" s="96"/>
      <c r="AU465" s="96"/>
      <c r="AV465" s="64"/>
      <c r="AW465" s="97"/>
      <c r="AX465" s="97"/>
      <c r="AY465" s="101" t="str">
        <f>IF('BMP P Tracking Table'!$AK465="Yes",IF('BMP P Tracking Table'!$AL465="No",'BMP P Tracking Table'!$U465*VLOOKUP('BMP P Tracking Table'!$Q465,'Loading Rates'!$B$1:$L$24,4,FALSE)+IF('BMP P Tracking Table'!$V465="By HSG",'BMP P Tracking Table'!$W465*VLOOKUP('BMP P Tracking Table'!$Q465,'Loading Rates'!$B$1:$L$24,6,FALSE)+'BMP P Tracking Table'!$X465*VLOOKUP('BMP P Tracking Table'!$Q465,'Loading Rates'!$B$1:$L$24,7,FALSE)+'BMP P Tracking Table'!$Y465*VLOOKUP('BMP P Tracking Table'!$Q465,'Loading Rates'!$B$1:$L$24,8,FALSE)+'BMP P Tracking Table'!$Z465*VLOOKUP('BMP P Tracking Table'!$Q465,'Loading Rates'!$B$1:$L$24,9,FALSE),'BMP P Tracking Table'!$AA465*VLOOKUP('BMP P Tracking Table'!$Q465,'Loading Rates'!$B$1:$L$24,10,FALSE)),'BMP P Tracking Table'!$AO465*VLOOKUP('BMP P Tracking Table'!$Q465,'Loading Rates'!$B$1:$L$24,4,FALSE)+IF('BMP P Tracking Table'!$AP465="By HSG",'BMP P Tracking Table'!$AQ465*VLOOKUP('BMP P Tracking Table'!$Q465,'Loading Rates'!$B$1:$L$24,6,FALSE)+'BMP P Tracking Table'!$AR465*VLOOKUP('BMP P Tracking Table'!$Q465,'Loading Rates'!$B$1:$L$24,7,FALSE)+'BMP P Tracking Table'!$AS465*VLOOKUP('BMP P Tracking Table'!$Q465,'Loading Rates'!$B$1:$L$24,8,FALSE)+'BMP P Tracking Table'!$AT465*VLOOKUP('BMP P Tracking Table'!$Q465,'Loading Rates'!$B$1:$L$24,9,FALSE),'BMP P Tracking Table'!$AU465*VLOOKUP('BMP P Tracking Table'!$Q465,'Loading Rates'!$B$1:$L$24,10,FALSE))),"")</f>
        <v/>
      </c>
      <c r="AZ465" s="101" t="str">
        <f>IFERROR(IF('BMP P Tracking Table'!$AL465="Yes",MIN(2,IF('BMP P Tracking Table'!$AP465="Total Pervious",(-(3630*'BMP P Tracking Table'!$AO465+20.691*'BMP P Tracking Table'!$AU465)+SQRT((3630*'BMP P Tracking Table'!$AO465+20.691*'BMP P Tracking Table'!$AU465)^2-(4*(996.798*'BMP P Tracking Table'!$AU465)*-'BMP P Tracking Table'!$AW465)))/(2*(996.798*'BMP P Tracking Table'!$AU465)),IF(SUM('BMP P Tracking Table'!$AQ465:$AT465)=0,'BMP P Tracking Table'!$AU465/(-3630*'BMP P Tracking Table'!$AO465),(-(3630*'BMP P Tracking Table'!$AO465+20.691*'BMP P Tracking Table'!$AT465-216.711*'BMP P Tracking Table'!$AS465-83.853*'BMP P Tracking Table'!$AR465-42.834*'BMP P Tracking Table'!$AQ465)+SQRT((3630*'BMP P Tracking Table'!$AO465+20.691*'BMP P Tracking Table'!$AT465-216.711*'BMP P Tracking Table'!$AS465-83.853*'BMP P Tracking Table'!$AR465-42.834*'BMP P Tracking Table'!$AQ465)^2-(4*(149.919*'BMP P Tracking Table'!$AQ465+236.676*'BMP P Tracking Table'!$AR465+726*'BMP P Tracking Table'!$AS465+996.798*'BMP P Tracking Table'!$AT465)*-'BMP P Tracking Table'!$AW465)))/(2*(149.919*'BMP P Tracking Table'!$AQ465+236.676*'BMP P Tracking Table'!$AR465+726*'BMP P Tracking Table'!$AS465+996.798*'BMP P Tracking Table'!$AT465))))),MIN(2,IF('BMP P Tracking Table'!$AP465="Total Pervious",(-(3630*'BMP P Tracking Table'!$U465+20.691*'BMP P Tracking Table'!$AA465)+SQRT((3630*'BMP P Tracking Table'!$U465+20.691*'BMP P Tracking Table'!$AA465)^2-(4*(996.798*'BMP P Tracking Table'!$AA465)*-'BMP P Tracking Table'!$AW465)))/(2*(996.798*'BMP P Tracking Table'!$AA465)),IF(SUM('BMP P Tracking Table'!$W465:$Z465)=0,'BMP P Tracking Table'!$AW465/(-3630*'BMP P Tracking Table'!$U465),(-(3630*'BMP P Tracking Table'!$U465+20.691*'BMP P Tracking Table'!$Z465-216.711*'BMP P Tracking Table'!$Y465-83.853*'BMP P Tracking Table'!$X465-42.834*'BMP P Tracking Table'!$W465)+SQRT((3630*'BMP P Tracking Table'!$U465+20.691*'BMP P Tracking Table'!$Z465-216.711*'BMP P Tracking Table'!$Y465-83.853*'BMP P Tracking Table'!$X465-42.834*'BMP P Tracking Table'!$W465)^2-(4*(149.919*'BMP P Tracking Table'!$W465+236.676*'BMP P Tracking Table'!$X465+726*'BMP P Tracking Table'!$Y465+996.798*'BMP P Tracking Table'!$Z465)*-'BMP P Tracking Table'!$AW465)))/(2*(149.919*'BMP P Tracking Table'!$W465+236.676*'BMP P Tracking Table'!$X465+726*'BMP P Tracking Table'!$Y465+996.798*'BMP P Tracking Table'!$Z465)))))),"")</f>
        <v/>
      </c>
      <c r="BA465" s="101" t="str">
        <f>IFERROR((VLOOKUP(CONCATENATE('BMP P Tracking Table'!$AV465," ",'BMP P Tracking Table'!$AX465),'Performance Curves'!$C$1:$L$45,MATCH('BMP P Tracking Table'!$AZ465,'Performance Curves'!$E$1:$L$1,1)+2,FALSE)-VLOOKUP(CONCATENATE('BMP P Tracking Table'!$AV465," ",'BMP P Tracking Table'!$AX465),'Performance Curves'!$C$1:$L$45,MATCH('BMP P Tracking Table'!$AZ465,'Performance Curves'!$E$1:$L$1,1)+1,FALSE)),"")</f>
        <v/>
      </c>
      <c r="BB465" s="101" t="str">
        <f>IFERROR(('BMP P Tracking Table'!$AZ465-INDEX('Performance Curves'!$E$1:$L$1,1,MATCH('BMP P Tracking Table'!$AZ465,'Performance Curves'!$E$1:$L$1,1)))/(INDEX('Performance Curves'!$E$1:$L$1,1,MATCH('BMP P Tracking Table'!$AZ465,'Performance Curves'!$E$1:$L$1,1)+1)-INDEX('Performance Curves'!$E$1:$L$1,1,MATCH('BMP P Tracking Table'!$AZ465,'Performance Curves'!$E$1:$L$1,1))),"")</f>
        <v/>
      </c>
      <c r="BC465" s="102" t="str">
        <f>IFERROR(IF('BMP P Tracking Table'!$AZ465=2,VLOOKUP(CONCATENATE('BMP P Tracking Table'!$AV465," ",'BMP P Tracking Table'!$AX465),'Performance Curves'!$C$1:$L$44,MATCH('BMP P Tracking Table'!$AZ465,'Performance Curves'!$E$1:$L$1,1)+1,FALSE),'BMP P Tracking Table'!$BA465*'BMP P Tracking Table'!$BB465+VLOOKUP(CONCATENATE('BMP P Tracking Table'!$AV465," ",'BMP P Tracking Table'!$AX465),'Performance Curves'!$C$1:$L$44,MATCH('BMP P Tracking Table'!$AZ465,'Performance Curves'!$E$1:$L$1,1)+1,FALSE)),"")</f>
        <v/>
      </c>
      <c r="BD465" s="101" t="str">
        <f>IFERROR('BMP P Tracking Table'!$BC465*'BMP P Tracking Table'!$AY465,"")</f>
        <v/>
      </c>
      <c r="BE465" s="96"/>
      <c r="BF465" s="37">
        <f t="shared" si="25"/>
        <v>0</v>
      </c>
    </row>
    <row r="466" spans="1:58" x14ac:dyDescent="0.3">
      <c r="A466" s="64"/>
      <c r="B466" s="64"/>
      <c r="C466" s="64"/>
      <c r="D466" s="64"/>
      <c r="E466" s="93"/>
      <c r="F466" s="93"/>
      <c r="G466" s="64"/>
      <c r="H466" s="64"/>
      <c r="I466" s="64"/>
      <c r="J466" s="94"/>
      <c r="K466" s="64"/>
      <c r="L466" s="64"/>
      <c r="M466" s="64"/>
      <c r="N466" s="64"/>
      <c r="O466" s="64"/>
      <c r="P466" s="64"/>
      <c r="Q466" s="64" t="str">
        <f>IFERROR(VLOOKUP('BMP P Tracking Table'!$P466,Dropdowns!$C$2:$E$15,3,FALSE),"")</f>
        <v/>
      </c>
      <c r="R466" s="64" t="str">
        <f>IFERROR(VLOOKUP('BMP P Tracking Table'!$Q466,Dropdowns!$P$3:$Q$23,2,FALSE),"")</f>
        <v/>
      </c>
      <c r="S466" s="64"/>
      <c r="T466" s="64"/>
      <c r="U466" s="64"/>
      <c r="V466" s="64"/>
      <c r="W466" s="64"/>
      <c r="X466" s="64"/>
      <c r="Y466" s="64"/>
      <c r="Z466" s="64"/>
      <c r="AA466" s="64"/>
      <c r="AB466" s="95"/>
      <c r="AC466" s="64"/>
      <c r="AD466" s="101" t="str">
        <f>IFERROR('BMP P Tracking Table'!$U466*VLOOKUP('BMP P Tracking Table'!$Q466,'Loading Rates'!$B$1:$L$24,4,FALSE)+IF('BMP P Tracking Table'!$V466="By HSG",'BMP P Tracking Table'!$W466*VLOOKUP('BMP P Tracking Table'!$Q466,'Loading Rates'!$B$1:$L$24,6,FALSE)+'BMP P Tracking Table'!$X466*VLOOKUP('BMP P Tracking Table'!$Q466,'Loading Rates'!$B$1:$L$24,7,FALSE)+'BMP P Tracking Table'!$Y466*VLOOKUP('BMP P Tracking Table'!$Q466,'Loading Rates'!$B$1:$L$24,8,FALSE)+'BMP P Tracking Table'!$Z466*VLOOKUP('BMP P Tracking Table'!$Q466,'Loading Rates'!$B$1:$L$24,9,FALSE),'BMP P Tracking Table'!$AA466*VLOOKUP('BMP P Tracking Table'!$Q466,'Loading Rates'!$B$1:$L$24,10,FALSE)),"")</f>
        <v/>
      </c>
      <c r="AE466" s="101" t="str">
        <f>IFERROR(MIN(2,IF('BMP P Tracking Table'!$V466="Total Pervious",(-(3630*'BMP P Tracking Table'!$U466+20.691*'BMP P Tracking Table'!$AA466)+SQRT((3630*'BMP P Tracking Table'!$U466+20.691*'BMP P Tracking Table'!$AA466)^2-(4*(996.798*'BMP P Tracking Table'!$AA466)*-'BMP P Tracking Table'!$AB466)))/(2*(996.798*'BMP P Tracking Table'!$AA466)),IF(SUM('BMP P Tracking Table'!$W466:$Z466)=0,'BMP P Tracking Table'!$AB466/(-3630*'BMP P Tracking Table'!$U466),(-(3630*'BMP P Tracking Table'!$U466+20.691*'BMP P Tracking Table'!$Z466-216.711*'BMP P Tracking Table'!$Y466-83.853*'BMP P Tracking Table'!$X466-42.834*'BMP P Tracking Table'!$W466)+SQRT((3630*'BMP P Tracking Table'!$U466+20.691*'BMP P Tracking Table'!$Z466-216.711*'BMP P Tracking Table'!$Y466-83.853*'BMP P Tracking Table'!$X466-42.834*'BMP P Tracking Table'!$W466)^2-(4*(149.919*'BMP P Tracking Table'!$W466+236.676*'BMP P Tracking Table'!$X466+726*'BMP P Tracking Table'!$Y466+996.798*'BMP P Tracking Table'!$Z466)*-'BMP P Tracking Table'!$AB466)))/(2*(149.919*'BMP P Tracking Table'!$W466+236.676*'BMP P Tracking Table'!$X466+726*'BMP P Tracking Table'!$Y466+996.798*'BMP P Tracking Table'!$Z466))))),"")</f>
        <v/>
      </c>
      <c r="AF466" s="101" t="str">
        <f>IFERROR((VLOOKUP(CONCATENATE('BMP P Tracking Table'!$T466," ",'BMP P Tracking Table'!$AC466),'Performance Curves'!$C$1:$L$45,MATCH('BMP P Tracking Table'!$AE466,'Performance Curves'!$E$1:$L$1,1)+2,FALSE)-VLOOKUP(CONCATENATE('BMP P Tracking Table'!$T466," ",'BMP P Tracking Table'!$AC466),'Performance Curves'!$C$1:$L$45,MATCH('BMP P Tracking Table'!$AE466,'Performance Curves'!$E$1:$L$1,1)+1,FALSE)),"")</f>
        <v/>
      </c>
      <c r="AG466" s="101" t="str">
        <f>IFERROR(('BMP P Tracking Table'!$AE466-INDEX('Performance Curves'!$E$1:$L$1,1,MATCH('BMP P Tracking Table'!$AE466,'Performance Curves'!$E$1:$L$1,1)))/(INDEX('Performance Curves'!$E$1:$L$1,1,MATCH('BMP P Tracking Table'!$AE466,'Performance Curves'!$E$1:$L$1,1)+1)-INDEX('Performance Curves'!$E$1:$L$1,1,MATCH('BMP P Tracking Table'!$AE466,'Performance Curves'!$E$1:$L$1,1))),"")</f>
        <v/>
      </c>
      <c r="AH466" s="102" t="str">
        <f>IFERROR(IF('BMP P Tracking Table'!$AE466=2,VLOOKUP(CONCATENATE('BMP P Tracking Table'!$T466," ",'BMP P Tracking Table'!$AC466),'Performance Curves'!$C$1:$L$45,MATCH('BMP P Tracking Table'!$AE466,'Performance Curves'!$E$1:$L$1,1)+1,FALSE),'BMP P Tracking Table'!$AF466*'BMP P Tracking Table'!$AG466+VLOOKUP(CONCATENATE('BMP P Tracking Table'!$T466," ",'BMP P Tracking Table'!$AC466),'Performance Curves'!$C$1:$L$45,MATCH('BMP P Tracking Table'!$AE466,'Performance Curves'!$E$1:$L$1,1)+1,FALSE)),"")</f>
        <v/>
      </c>
      <c r="AI466" s="101" t="str">
        <f>IFERROR('BMP P Tracking Table'!$AH466*'BMP P Tracking Table'!$AD466,"")</f>
        <v/>
      </c>
      <c r="AJ466" s="64"/>
      <c r="AK466" s="96"/>
      <c r="AL466" s="96"/>
      <c r="AM466" s="63"/>
      <c r="AN466" s="99" t="str">
        <f t="shared" si="24"/>
        <v/>
      </c>
      <c r="AO466" s="96"/>
      <c r="AP466" s="96"/>
      <c r="AQ466" s="96"/>
      <c r="AR466" s="96"/>
      <c r="AS466" s="96"/>
      <c r="AT466" s="96"/>
      <c r="AU466" s="96"/>
      <c r="AV466" s="64"/>
      <c r="AW466" s="97"/>
      <c r="AX466" s="97"/>
      <c r="AY466" s="101" t="str">
        <f>IF('BMP P Tracking Table'!$AK466="Yes",IF('BMP P Tracking Table'!$AL466="No",'BMP P Tracking Table'!$U466*VLOOKUP('BMP P Tracking Table'!$Q466,'Loading Rates'!$B$1:$L$24,4,FALSE)+IF('BMP P Tracking Table'!$V466="By HSG",'BMP P Tracking Table'!$W466*VLOOKUP('BMP P Tracking Table'!$Q466,'Loading Rates'!$B$1:$L$24,6,FALSE)+'BMP P Tracking Table'!$X466*VLOOKUP('BMP P Tracking Table'!$Q466,'Loading Rates'!$B$1:$L$24,7,FALSE)+'BMP P Tracking Table'!$Y466*VLOOKUP('BMP P Tracking Table'!$Q466,'Loading Rates'!$B$1:$L$24,8,FALSE)+'BMP P Tracking Table'!$Z466*VLOOKUP('BMP P Tracking Table'!$Q466,'Loading Rates'!$B$1:$L$24,9,FALSE),'BMP P Tracking Table'!$AA466*VLOOKUP('BMP P Tracking Table'!$Q466,'Loading Rates'!$B$1:$L$24,10,FALSE)),'BMP P Tracking Table'!$AO466*VLOOKUP('BMP P Tracking Table'!$Q466,'Loading Rates'!$B$1:$L$24,4,FALSE)+IF('BMP P Tracking Table'!$AP466="By HSG",'BMP P Tracking Table'!$AQ466*VLOOKUP('BMP P Tracking Table'!$Q466,'Loading Rates'!$B$1:$L$24,6,FALSE)+'BMP P Tracking Table'!$AR466*VLOOKUP('BMP P Tracking Table'!$Q466,'Loading Rates'!$B$1:$L$24,7,FALSE)+'BMP P Tracking Table'!$AS466*VLOOKUP('BMP P Tracking Table'!$Q466,'Loading Rates'!$B$1:$L$24,8,FALSE)+'BMP P Tracking Table'!$AT466*VLOOKUP('BMP P Tracking Table'!$Q466,'Loading Rates'!$B$1:$L$24,9,FALSE),'BMP P Tracking Table'!$AU466*VLOOKUP('BMP P Tracking Table'!$Q466,'Loading Rates'!$B$1:$L$24,10,FALSE))),"")</f>
        <v/>
      </c>
      <c r="AZ466" s="101" t="str">
        <f>IFERROR(IF('BMP P Tracking Table'!$AL466="Yes",MIN(2,IF('BMP P Tracking Table'!$AP466="Total Pervious",(-(3630*'BMP P Tracking Table'!$AO466+20.691*'BMP P Tracking Table'!$AU466)+SQRT((3630*'BMP P Tracking Table'!$AO466+20.691*'BMP P Tracking Table'!$AU466)^2-(4*(996.798*'BMP P Tracking Table'!$AU466)*-'BMP P Tracking Table'!$AW466)))/(2*(996.798*'BMP P Tracking Table'!$AU466)),IF(SUM('BMP P Tracking Table'!$AQ466:$AT466)=0,'BMP P Tracking Table'!$AU466/(-3630*'BMP P Tracking Table'!$AO466),(-(3630*'BMP P Tracking Table'!$AO466+20.691*'BMP P Tracking Table'!$AT466-216.711*'BMP P Tracking Table'!$AS466-83.853*'BMP P Tracking Table'!$AR466-42.834*'BMP P Tracking Table'!$AQ466)+SQRT((3630*'BMP P Tracking Table'!$AO466+20.691*'BMP P Tracking Table'!$AT466-216.711*'BMP P Tracking Table'!$AS466-83.853*'BMP P Tracking Table'!$AR466-42.834*'BMP P Tracking Table'!$AQ466)^2-(4*(149.919*'BMP P Tracking Table'!$AQ466+236.676*'BMP P Tracking Table'!$AR466+726*'BMP P Tracking Table'!$AS466+996.798*'BMP P Tracking Table'!$AT466)*-'BMP P Tracking Table'!$AW466)))/(2*(149.919*'BMP P Tracking Table'!$AQ466+236.676*'BMP P Tracking Table'!$AR466+726*'BMP P Tracking Table'!$AS466+996.798*'BMP P Tracking Table'!$AT466))))),MIN(2,IF('BMP P Tracking Table'!$AP466="Total Pervious",(-(3630*'BMP P Tracking Table'!$U466+20.691*'BMP P Tracking Table'!$AA466)+SQRT((3630*'BMP P Tracking Table'!$U466+20.691*'BMP P Tracking Table'!$AA466)^2-(4*(996.798*'BMP P Tracking Table'!$AA466)*-'BMP P Tracking Table'!$AW466)))/(2*(996.798*'BMP P Tracking Table'!$AA466)),IF(SUM('BMP P Tracking Table'!$W466:$Z466)=0,'BMP P Tracking Table'!$AW466/(-3630*'BMP P Tracking Table'!$U466),(-(3630*'BMP P Tracking Table'!$U466+20.691*'BMP P Tracking Table'!$Z466-216.711*'BMP P Tracking Table'!$Y466-83.853*'BMP P Tracking Table'!$X466-42.834*'BMP P Tracking Table'!$W466)+SQRT((3630*'BMP P Tracking Table'!$U466+20.691*'BMP P Tracking Table'!$Z466-216.711*'BMP P Tracking Table'!$Y466-83.853*'BMP P Tracking Table'!$X466-42.834*'BMP P Tracking Table'!$W466)^2-(4*(149.919*'BMP P Tracking Table'!$W466+236.676*'BMP P Tracking Table'!$X466+726*'BMP P Tracking Table'!$Y466+996.798*'BMP P Tracking Table'!$Z466)*-'BMP P Tracking Table'!$AW466)))/(2*(149.919*'BMP P Tracking Table'!$W466+236.676*'BMP P Tracking Table'!$X466+726*'BMP P Tracking Table'!$Y466+996.798*'BMP P Tracking Table'!$Z466)))))),"")</f>
        <v/>
      </c>
      <c r="BA466" s="101" t="str">
        <f>IFERROR((VLOOKUP(CONCATENATE('BMP P Tracking Table'!$AV466," ",'BMP P Tracking Table'!$AX466),'Performance Curves'!$C$1:$L$45,MATCH('BMP P Tracking Table'!$AZ466,'Performance Curves'!$E$1:$L$1,1)+2,FALSE)-VLOOKUP(CONCATENATE('BMP P Tracking Table'!$AV466," ",'BMP P Tracking Table'!$AX466),'Performance Curves'!$C$1:$L$45,MATCH('BMP P Tracking Table'!$AZ466,'Performance Curves'!$E$1:$L$1,1)+1,FALSE)),"")</f>
        <v/>
      </c>
      <c r="BB466" s="101" t="str">
        <f>IFERROR(('BMP P Tracking Table'!$AZ466-INDEX('Performance Curves'!$E$1:$L$1,1,MATCH('BMP P Tracking Table'!$AZ466,'Performance Curves'!$E$1:$L$1,1)))/(INDEX('Performance Curves'!$E$1:$L$1,1,MATCH('BMP P Tracking Table'!$AZ466,'Performance Curves'!$E$1:$L$1,1)+1)-INDEX('Performance Curves'!$E$1:$L$1,1,MATCH('BMP P Tracking Table'!$AZ466,'Performance Curves'!$E$1:$L$1,1))),"")</f>
        <v/>
      </c>
      <c r="BC466" s="102" t="str">
        <f>IFERROR(IF('BMP P Tracking Table'!$AZ466=2,VLOOKUP(CONCATENATE('BMP P Tracking Table'!$AV466," ",'BMP P Tracking Table'!$AX466),'Performance Curves'!$C$1:$L$44,MATCH('BMP P Tracking Table'!$AZ466,'Performance Curves'!$E$1:$L$1,1)+1,FALSE),'BMP P Tracking Table'!$BA466*'BMP P Tracking Table'!$BB466+VLOOKUP(CONCATENATE('BMP P Tracking Table'!$AV466," ",'BMP P Tracking Table'!$AX466),'Performance Curves'!$C$1:$L$44,MATCH('BMP P Tracking Table'!$AZ466,'Performance Curves'!$E$1:$L$1,1)+1,FALSE)),"")</f>
        <v/>
      </c>
      <c r="BD466" s="101" t="str">
        <f>IFERROR('BMP P Tracking Table'!$BC466*'BMP P Tracking Table'!$AY466,"")</f>
        <v/>
      </c>
      <c r="BE466" s="96"/>
      <c r="BF466" s="37">
        <f t="shared" si="25"/>
        <v>0</v>
      </c>
    </row>
    <row r="467" spans="1:58" x14ac:dyDescent="0.3">
      <c r="A467" s="64"/>
      <c r="B467" s="64"/>
      <c r="C467" s="64"/>
      <c r="D467" s="64"/>
      <c r="E467" s="93"/>
      <c r="F467" s="93"/>
      <c r="G467" s="64"/>
      <c r="H467" s="64"/>
      <c r="I467" s="64"/>
      <c r="J467" s="94"/>
      <c r="K467" s="64"/>
      <c r="L467" s="64"/>
      <c r="M467" s="64"/>
      <c r="N467" s="64"/>
      <c r="O467" s="64"/>
      <c r="P467" s="64"/>
      <c r="Q467" s="64" t="str">
        <f>IFERROR(VLOOKUP('BMP P Tracking Table'!$P467,Dropdowns!$C$2:$E$15,3,FALSE),"")</f>
        <v/>
      </c>
      <c r="R467" s="64" t="str">
        <f>IFERROR(VLOOKUP('BMP P Tracking Table'!$Q467,Dropdowns!$P$3:$Q$23,2,FALSE),"")</f>
        <v/>
      </c>
      <c r="S467" s="64"/>
      <c r="T467" s="64"/>
      <c r="U467" s="64"/>
      <c r="V467" s="64"/>
      <c r="W467" s="64"/>
      <c r="X467" s="64"/>
      <c r="Y467" s="64"/>
      <c r="Z467" s="64"/>
      <c r="AA467" s="64"/>
      <c r="AB467" s="95"/>
      <c r="AC467" s="64"/>
      <c r="AD467" s="101" t="str">
        <f>IFERROR('BMP P Tracking Table'!$U467*VLOOKUP('BMP P Tracking Table'!$Q467,'Loading Rates'!$B$1:$L$24,4,FALSE)+IF('BMP P Tracking Table'!$V467="By HSG",'BMP P Tracking Table'!$W467*VLOOKUP('BMP P Tracking Table'!$Q467,'Loading Rates'!$B$1:$L$24,6,FALSE)+'BMP P Tracking Table'!$X467*VLOOKUP('BMP P Tracking Table'!$Q467,'Loading Rates'!$B$1:$L$24,7,FALSE)+'BMP P Tracking Table'!$Y467*VLOOKUP('BMP P Tracking Table'!$Q467,'Loading Rates'!$B$1:$L$24,8,FALSE)+'BMP P Tracking Table'!$Z467*VLOOKUP('BMP P Tracking Table'!$Q467,'Loading Rates'!$B$1:$L$24,9,FALSE),'BMP P Tracking Table'!$AA467*VLOOKUP('BMP P Tracking Table'!$Q467,'Loading Rates'!$B$1:$L$24,10,FALSE)),"")</f>
        <v/>
      </c>
      <c r="AE467" s="101" t="str">
        <f>IFERROR(MIN(2,IF('BMP P Tracking Table'!$V467="Total Pervious",(-(3630*'BMP P Tracking Table'!$U467+20.691*'BMP P Tracking Table'!$AA467)+SQRT((3630*'BMP P Tracking Table'!$U467+20.691*'BMP P Tracking Table'!$AA467)^2-(4*(996.798*'BMP P Tracking Table'!$AA467)*-'BMP P Tracking Table'!$AB467)))/(2*(996.798*'BMP P Tracking Table'!$AA467)),IF(SUM('BMP P Tracking Table'!$W467:$Z467)=0,'BMP P Tracking Table'!$AB467/(-3630*'BMP P Tracking Table'!$U467),(-(3630*'BMP P Tracking Table'!$U467+20.691*'BMP P Tracking Table'!$Z467-216.711*'BMP P Tracking Table'!$Y467-83.853*'BMP P Tracking Table'!$X467-42.834*'BMP P Tracking Table'!$W467)+SQRT((3630*'BMP P Tracking Table'!$U467+20.691*'BMP P Tracking Table'!$Z467-216.711*'BMP P Tracking Table'!$Y467-83.853*'BMP P Tracking Table'!$X467-42.834*'BMP P Tracking Table'!$W467)^2-(4*(149.919*'BMP P Tracking Table'!$W467+236.676*'BMP P Tracking Table'!$X467+726*'BMP P Tracking Table'!$Y467+996.798*'BMP P Tracking Table'!$Z467)*-'BMP P Tracking Table'!$AB467)))/(2*(149.919*'BMP P Tracking Table'!$W467+236.676*'BMP P Tracking Table'!$X467+726*'BMP P Tracking Table'!$Y467+996.798*'BMP P Tracking Table'!$Z467))))),"")</f>
        <v/>
      </c>
      <c r="AF467" s="101" t="str">
        <f>IFERROR((VLOOKUP(CONCATENATE('BMP P Tracking Table'!$T467," ",'BMP P Tracking Table'!$AC467),'Performance Curves'!$C$1:$L$45,MATCH('BMP P Tracking Table'!$AE467,'Performance Curves'!$E$1:$L$1,1)+2,FALSE)-VLOOKUP(CONCATENATE('BMP P Tracking Table'!$T467," ",'BMP P Tracking Table'!$AC467),'Performance Curves'!$C$1:$L$45,MATCH('BMP P Tracking Table'!$AE467,'Performance Curves'!$E$1:$L$1,1)+1,FALSE)),"")</f>
        <v/>
      </c>
      <c r="AG467" s="101" t="str">
        <f>IFERROR(('BMP P Tracking Table'!$AE467-INDEX('Performance Curves'!$E$1:$L$1,1,MATCH('BMP P Tracking Table'!$AE467,'Performance Curves'!$E$1:$L$1,1)))/(INDEX('Performance Curves'!$E$1:$L$1,1,MATCH('BMP P Tracking Table'!$AE467,'Performance Curves'!$E$1:$L$1,1)+1)-INDEX('Performance Curves'!$E$1:$L$1,1,MATCH('BMP P Tracking Table'!$AE467,'Performance Curves'!$E$1:$L$1,1))),"")</f>
        <v/>
      </c>
      <c r="AH467" s="102" t="str">
        <f>IFERROR(IF('BMP P Tracking Table'!$AE467=2,VLOOKUP(CONCATENATE('BMP P Tracking Table'!$T467," ",'BMP P Tracking Table'!$AC467),'Performance Curves'!$C$1:$L$45,MATCH('BMP P Tracking Table'!$AE467,'Performance Curves'!$E$1:$L$1,1)+1,FALSE),'BMP P Tracking Table'!$AF467*'BMP P Tracking Table'!$AG467+VLOOKUP(CONCATENATE('BMP P Tracking Table'!$T467," ",'BMP P Tracking Table'!$AC467),'Performance Curves'!$C$1:$L$45,MATCH('BMP P Tracking Table'!$AE467,'Performance Curves'!$E$1:$L$1,1)+1,FALSE)),"")</f>
        <v/>
      </c>
      <c r="AI467" s="101" t="str">
        <f>IFERROR('BMP P Tracking Table'!$AH467*'BMP P Tracking Table'!$AD467,"")</f>
        <v/>
      </c>
      <c r="AJ467" s="64"/>
      <c r="AK467" s="96"/>
      <c r="AL467" s="96"/>
      <c r="AM467" s="63"/>
      <c r="AN467" s="99" t="str">
        <f t="shared" si="24"/>
        <v/>
      </c>
      <c r="AO467" s="96"/>
      <c r="AP467" s="96"/>
      <c r="AQ467" s="96"/>
      <c r="AR467" s="96"/>
      <c r="AS467" s="96"/>
      <c r="AT467" s="96"/>
      <c r="AU467" s="96"/>
      <c r="AV467" s="64"/>
      <c r="AW467" s="97"/>
      <c r="AX467" s="97"/>
      <c r="AY467" s="101" t="str">
        <f>IF('BMP P Tracking Table'!$AK467="Yes",IF('BMP P Tracking Table'!$AL467="No",'BMP P Tracking Table'!$U467*VLOOKUP('BMP P Tracking Table'!$Q467,'Loading Rates'!$B$1:$L$24,4,FALSE)+IF('BMP P Tracking Table'!$V467="By HSG",'BMP P Tracking Table'!$W467*VLOOKUP('BMP P Tracking Table'!$Q467,'Loading Rates'!$B$1:$L$24,6,FALSE)+'BMP P Tracking Table'!$X467*VLOOKUP('BMP P Tracking Table'!$Q467,'Loading Rates'!$B$1:$L$24,7,FALSE)+'BMP P Tracking Table'!$Y467*VLOOKUP('BMP P Tracking Table'!$Q467,'Loading Rates'!$B$1:$L$24,8,FALSE)+'BMP P Tracking Table'!$Z467*VLOOKUP('BMP P Tracking Table'!$Q467,'Loading Rates'!$B$1:$L$24,9,FALSE),'BMP P Tracking Table'!$AA467*VLOOKUP('BMP P Tracking Table'!$Q467,'Loading Rates'!$B$1:$L$24,10,FALSE)),'BMP P Tracking Table'!$AO467*VLOOKUP('BMP P Tracking Table'!$Q467,'Loading Rates'!$B$1:$L$24,4,FALSE)+IF('BMP P Tracking Table'!$AP467="By HSG",'BMP P Tracking Table'!$AQ467*VLOOKUP('BMP P Tracking Table'!$Q467,'Loading Rates'!$B$1:$L$24,6,FALSE)+'BMP P Tracking Table'!$AR467*VLOOKUP('BMP P Tracking Table'!$Q467,'Loading Rates'!$B$1:$L$24,7,FALSE)+'BMP P Tracking Table'!$AS467*VLOOKUP('BMP P Tracking Table'!$Q467,'Loading Rates'!$B$1:$L$24,8,FALSE)+'BMP P Tracking Table'!$AT467*VLOOKUP('BMP P Tracking Table'!$Q467,'Loading Rates'!$B$1:$L$24,9,FALSE),'BMP P Tracking Table'!$AU467*VLOOKUP('BMP P Tracking Table'!$Q467,'Loading Rates'!$B$1:$L$24,10,FALSE))),"")</f>
        <v/>
      </c>
      <c r="AZ467" s="101" t="str">
        <f>IFERROR(IF('BMP P Tracking Table'!$AL467="Yes",MIN(2,IF('BMP P Tracking Table'!$AP467="Total Pervious",(-(3630*'BMP P Tracking Table'!$AO467+20.691*'BMP P Tracking Table'!$AU467)+SQRT((3630*'BMP P Tracking Table'!$AO467+20.691*'BMP P Tracking Table'!$AU467)^2-(4*(996.798*'BMP P Tracking Table'!$AU467)*-'BMP P Tracking Table'!$AW467)))/(2*(996.798*'BMP P Tracking Table'!$AU467)),IF(SUM('BMP P Tracking Table'!$AQ467:$AT467)=0,'BMP P Tracking Table'!$AU467/(-3630*'BMP P Tracking Table'!$AO467),(-(3630*'BMP P Tracking Table'!$AO467+20.691*'BMP P Tracking Table'!$AT467-216.711*'BMP P Tracking Table'!$AS467-83.853*'BMP P Tracking Table'!$AR467-42.834*'BMP P Tracking Table'!$AQ467)+SQRT((3630*'BMP P Tracking Table'!$AO467+20.691*'BMP P Tracking Table'!$AT467-216.711*'BMP P Tracking Table'!$AS467-83.853*'BMP P Tracking Table'!$AR467-42.834*'BMP P Tracking Table'!$AQ467)^2-(4*(149.919*'BMP P Tracking Table'!$AQ467+236.676*'BMP P Tracking Table'!$AR467+726*'BMP P Tracking Table'!$AS467+996.798*'BMP P Tracking Table'!$AT467)*-'BMP P Tracking Table'!$AW467)))/(2*(149.919*'BMP P Tracking Table'!$AQ467+236.676*'BMP P Tracking Table'!$AR467+726*'BMP P Tracking Table'!$AS467+996.798*'BMP P Tracking Table'!$AT467))))),MIN(2,IF('BMP P Tracking Table'!$AP467="Total Pervious",(-(3630*'BMP P Tracking Table'!$U467+20.691*'BMP P Tracking Table'!$AA467)+SQRT((3630*'BMP P Tracking Table'!$U467+20.691*'BMP P Tracking Table'!$AA467)^2-(4*(996.798*'BMP P Tracking Table'!$AA467)*-'BMP P Tracking Table'!$AW467)))/(2*(996.798*'BMP P Tracking Table'!$AA467)),IF(SUM('BMP P Tracking Table'!$W467:$Z467)=0,'BMP P Tracking Table'!$AW467/(-3630*'BMP P Tracking Table'!$U467),(-(3630*'BMP P Tracking Table'!$U467+20.691*'BMP P Tracking Table'!$Z467-216.711*'BMP P Tracking Table'!$Y467-83.853*'BMP P Tracking Table'!$X467-42.834*'BMP P Tracking Table'!$W467)+SQRT((3630*'BMP P Tracking Table'!$U467+20.691*'BMP P Tracking Table'!$Z467-216.711*'BMP P Tracking Table'!$Y467-83.853*'BMP P Tracking Table'!$X467-42.834*'BMP P Tracking Table'!$W467)^2-(4*(149.919*'BMP P Tracking Table'!$W467+236.676*'BMP P Tracking Table'!$X467+726*'BMP P Tracking Table'!$Y467+996.798*'BMP P Tracking Table'!$Z467)*-'BMP P Tracking Table'!$AW467)))/(2*(149.919*'BMP P Tracking Table'!$W467+236.676*'BMP P Tracking Table'!$X467+726*'BMP P Tracking Table'!$Y467+996.798*'BMP P Tracking Table'!$Z467)))))),"")</f>
        <v/>
      </c>
      <c r="BA467" s="101" t="str">
        <f>IFERROR((VLOOKUP(CONCATENATE('BMP P Tracking Table'!$AV467," ",'BMP P Tracking Table'!$AX467),'Performance Curves'!$C$1:$L$45,MATCH('BMP P Tracking Table'!$AZ467,'Performance Curves'!$E$1:$L$1,1)+2,FALSE)-VLOOKUP(CONCATENATE('BMP P Tracking Table'!$AV467," ",'BMP P Tracking Table'!$AX467),'Performance Curves'!$C$1:$L$45,MATCH('BMP P Tracking Table'!$AZ467,'Performance Curves'!$E$1:$L$1,1)+1,FALSE)),"")</f>
        <v/>
      </c>
      <c r="BB467" s="101" t="str">
        <f>IFERROR(('BMP P Tracking Table'!$AZ467-INDEX('Performance Curves'!$E$1:$L$1,1,MATCH('BMP P Tracking Table'!$AZ467,'Performance Curves'!$E$1:$L$1,1)))/(INDEX('Performance Curves'!$E$1:$L$1,1,MATCH('BMP P Tracking Table'!$AZ467,'Performance Curves'!$E$1:$L$1,1)+1)-INDEX('Performance Curves'!$E$1:$L$1,1,MATCH('BMP P Tracking Table'!$AZ467,'Performance Curves'!$E$1:$L$1,1))),"")</f>
        <v/>
      </c>
      <c r="BC467" s="102" t="str">
        <f>IFERROR(IF('BMP P Tracking Table'!$AZ467=2,VLOOKUP(CONCATENATE('BMP P Tracking Table'!$AV467," ",'BMP P Tracking Table'!$AX467),'Performance Curves'!$C$1:$L$44,MATCH('BMP P Tracking Table'!$AZ467,'Performance Curves'!$E$1:$L$1,1)+1,FALSE),'BMP P Tracking Table'!$BA467*'BMP P Tracking Table'!$BB467+VLOOKUP(CONCATENATE('BMP P Tracking Table'!$AV467," ",'BMP P Tracking Table'!$AX467),'Performance Curves'!$C$1:$L$44,MATCH('BMP P Tracking Table'!$AZ467,'Performance Curves'!$E$1:$L$1,1)+1,FALSE)),"")</f>
        <v/>
      </c>
      <c r="BD467" s="101" t="str">
        <f>IFERROR('BMP P Tracking Table'!$BC467*'BMP P Tracking Table'!$AY467,"")</f>
        <v/>
      </c>
      <c r="BE467" s="96"/>
      <c r="BF467" s="37">
        <f t="shared" si="25"/>
        <v>0</v>
      </c>
    </row>
    <row r="468" spans="1:58" x14ac:dyDescent="0.3">
      <c r="A468" s="64"/>
      <c r="B468" s="64"/>
      <c r="C468" s="64"/>
      <c r="D468" s="64"/>
      <c r="E468" s="93"/>
      <c r="F468" s="93"/>
      <c r="G468" s="64"/>
      <c r="H468" s="64"/>
      <c r="I468" s="64"/>
      <c r="J468" s="94"/>
      <c r="K468" s="64"/>
      <c r="L468" s="64"/>
      <c r="M468" s="64"/>
      <c r="N468" s="64"/>
      <c r="O468" s="64"/>
      <c r="P468" s="64"/>
      <c r="Q468" s="64" t="str">
        <f>IFERROR(VLOOKUP('BMP P Tracking Table'!$P468,Dropdowns!$C$2:$E$15,3,FALSE),"")</f>
        <v/>
      </c>
      <c r="R468" s="64" t="str">
        <f>IFERROR(VLOOKUP('BMP P Tracking Table'!$Q468,Dropdowns!$P$3:$Q$23,2,FALSE),"")</f>
        <v/>
      </c>
      <c r="S468" s="64"/>
      <c r="T468" s="64"/>
      <c r="U468" s="64"/>
      <c r="V468" s="64"/>
      <c r="W468" s="64"/>
      <c r="X468" s="64"/>
      <c r="Y468" s="64"/>
      <c r="Z468" s="64"/>
      <c r="AA468" s="64"/>
      <c r="AB468" s="95"/>
      <c r="AC468" s="64"/>
      <c r="AD468" s="101" t="str">
        <f>IFERROR('BMP P Tracking Table'!$U468*VLOOKUP('BMP P Tracking Table'!$Q468,'Loading Rates'!$B$1:$L$24,4,FALSE)+IF('BMP P Tracking Table'!$V468="By HSG",'BMP P Tracking Table'!$W468*VLOOKUP('BMP P Tracking Table'!$Q468,'Loading Rates'!$B$1:$L$24,6,FALSE)+'BMP P Tracking Table'!$X468*VLOOKUP('BMP P Tracking Table'!$Q468,'Loading Rates'!$B$1:$L$24,7,FALSE)+'BMP P Tracking Table'!$Y468*VLOOKUP('BMP P Tracking Table'!$Q468,'Loading Rates'!$B$1:$L$24,8,FALSE)+'BMP P Tracking Table'!$Z468*VLOOKUP('BMP P Tracking Table'!$Q468,'Loading Rates'!$B$1:$L$24,9,FALSE),'BMP P Tracking Table'!$AA468*VLOOKUP('BMP P Tracking Table'!$Q468,'Loading Rates'!$B$1:$L$24,10,FALSE)),"")</f>
        <v/>
      </c>
      <c r="AE468" s="101" t="str">
        <f>IFERROR(MIN(2,IF('BMP P Tracking Table'!$V468="Total Pervious",(-(3630*'BMP P Tracking Table'!$U468+20.691*'BMP P Tracking Table'!$AA468)+SQRT((3630*'BMP P Tracking Table'!$U468+20.691*'BMP P Tracking Table'!$AA468)^2-(4*(996.798*'BMP P Tracking Table'!$AA468)*-'BMP P Tracking Table'!$AB468)))/(2*(996.798*'BMP P Tracking Table'!$AA468)),IF(SUM('BMP P Tracking Table'!$W468:$Z468)=0,'BMP P Tracking Table'!$AB468/(-3630*'BMP P Tracking Table'!$U468),(-(3630*'BMP P Tracking Table'!$U468+20.691*'BMP P Tracking Table'!$Z468-216.711*'BMP P Tracking Table'!$Y468-83.853*'BMP P Tracking Table'!$X468-42.834*'BMP P Tracking Table'!$W468)+SQRT((3630*'BMP P Tracking Table'!$U468+20.691*'BMP P Tracking Table'!$Z468-216.711*'BMP P Tracking Table'!$Y468-83.853*'BMP P Tracking Table'!$X468-42.834*'BMP P Tracking Table'!$W468)^2-(4*(149.919*'BMP P Tracking Table'!$W468+236.676*'BMP P Tracking Table'!$X468+726*'BMP P Tracking Table'!$Y468+996.798*'BMP P Tracking Table'!$Z468)*-'BMP P Tracking Table'!$AB468)))/(2*(149.919*'BMP P Tracking Table'!$W468+236.676*'BMP P Tracking Table'!$X468+726*'BMP P Tracking Table'!$Y468+996.798*'BMP P Tracking Table'!$Z468))))),"")</f>
        <v/>
      </c>
      <c r="AF468" s="101" t="str">
        <f>IFERROR((VLOOKUP(CONCATENATE('BMP P Tracking Table'!$T468," ",'BMP P Tracking Table'!$AC468),'Performance Curves'!$C$1:$L$45,MATCH('BMP P Tracking Table'!$AE468,'Performance Curves'!$E$1:$L$1,1)+2,FALSE)-VLOOKUP(CONCATENATE('BMP P Tracking Table'!$T468," ",'BMP P Tracking Table'!$AC468),'Performance Curves'!$C$1:$L$45,MATCH('BMP P Tracking Table'!$AE468,'Performance Curves'!$E$1:$L$1,1)+1,FALSE)),"")</f>
        <v/>
      </c>
      <c r="AG468" s="101" t="str">
        <f>IFERROR(('BMP P Tracking Table'!$AE468-INDEX('Performance Curves'!$E$1:$L$1,1,MATCH('BMP P Tracking Table'!$AE468,'Performance Curves'!$E$1:$L$1,1)))/(INDEX('Performance Curves'!$E$1:$L$1,1,MATCH('BMP P Tracking Table'!$AE468,'Performance Curves'!$E$1:$L$1,1)+1)-INDEX('Performance Curves'!$E$1:$L$1,1,MATCH('BMP P Tracking Table'!$AE468,'Performance Curves'!$E$1:$L$1,1))),"")</f>
        <v/>
      </c>
      <c r="AH468" s="102" t="str">
        <f>IFERROR(IF('BMP P Tracking Table'!$AE468=2,VLOOKUP(CONCATENATE('BMP P Tracking Table'!$T468," ",'BMP P Tracking Table'!$AC468),'Performance Curves'!$C$1:$L$45,MATCH('BMP P Tracking Table'!$AE468,'Performance Curves'!$E$1:$L$1,1)+1,FALSE),'BMP P Tracking Table'!$AF468*'BMP P Tracking Table'!$AG468+VLOOKUP(CONCATENATE('BMP P Tracking Table'!$T468," ",'BMP P Tracking Table'!$AC468),'Performance Curves'!$C$1:$L$45,MATCH('BMP P Tracking Table'!$AE468,'Performance Curves'!$E$1:$L$1,1)+1,FALSE)),"")</f>
        <v/>
      </c>
      <c r="AI468" s="101" t="str">
        <f>IFERROR('BMP P Tracking Table'!$AH468*'BMP P Tracking Table'!$AD468,"")</f>
        <v/>
      </c>
      <c r="AJ468" s="64"/>
      <c r="AK468" s="96"/>
      <c r="AL468" s="96"/>
      <c r="AM468" s="63"/>
      <c r="AN468" s="99" t="str">
        <f t="shared" si="24"/>
        <v/>
      </c>
      <c r="AO468" s="96"/>
      <c r="AP468" s="96"/>
      <c r="AQ468" s="96"/>
      <c r="AR468" s="96"/>
      <c r="AS468" s="96"/>
      <c r="AT468" s="96"/>
      <c r="AU468" s="96"/>
      <c r="AV468" s="64"/>
      <c r="AW468" s="97"/>
      <c r="AX468" s="97"/>
      <c r="AY468" s="101" t="str">
        <f>IF('BMP P Tracking Table'!$AK468="Yes",IF('BMP P Tracking Table'!$AL468="No",'BMP P Tracking Table'!$U468*VLOOKUP('BMP P Tracking Table'!$Q468,'Loading Rates'!$B$1:$L$24,4,FALSE)+IF('BMP P Tracking Table'!$V468="By HSG",'BMP P Tracking Table'!$W468*VLOOKUP('BMP P Tracking Table'!$Q468,'Loading Rates'!$B$1:$L$24,6,FALSE)+'BMP P Tracking Table'!$X468*VLOOKUP('BMP P Tracking Table'!$Q468,'Loading Rates'!$B$1:$L$24,7,FALSE)+'BMP P Tracking Table'!$Y468*VLOOKUP('BMP P Tracking Table'!$Q468,'Loading Rates'!$B$1:$L$24,8,FALSE)+'BMP P Tracking Table'!$Z468*VLOOKUP('BMP P Tracking Table'!$Q468,'Loading Rates'!$B$1:$L$24,9,FALSE),'BMP P Tracking Table'!$AA468*VLOOKUP('BMP P Tracking Table'!$Q468,'Loading Rates'!$B$1:$L$24,10,FALSE)),'BMP P Tracking Table'!$AO468*VLOOKUP('BMP P Tracking Table'!$Q468,'Loading Rates'!$B$1:$L$24,4,FALSE)+IF('BMP P Tracking Table'!$AP468="By HSG",'BMP P Tracking Table'!$AQ468*VLOOKUP('BMP P Tracking Table'!$Q468,'Loading Rates'!$B$1:$L$24,6,FALSE)+'BMP P Tracking Table'!$AR468*VLOOKUP('BMP P Tracking Table'!$Q468,'Loading Rates'!$B$1:$L$24,7,FALSE)+'BMP P Tracking Table'!$AS468*VLOOKUP('BMP P Tracking Table'!$Q468,'Loading Rates'!$B$1:$L$24,8,FALSE)+'BMP P Tracking Table'!$AT468*VLOOKUP('BMP P Tracking Table'!$Q468,'Loading Rates'!$B$1:$L$24,9,FALSE),'BMP P Tracking Table'!$AU468*VLOOKUP('BMP P Tracking Table'!$Q468,'Loading Rates'!$B$1:$L$24,10,FALSE))),"")</f>
        <v/>
      </c>
      <c r="AZ468" s="101" t="str">
        <f>IFERROR(IF('BMP P Tracking Table'!$AL468="Yes",MIN(2,IF('BMP P Tracking Table'!$AP468="Total Pervious",(-(3630*'BMP P Tracking Table'!$AO468+20.691*'BMP P Tracking Table'!$AU468)+SQRT((3630*'BMP P Tracking Table'!$AO468+20.691*'BMP P Tracking Table'!$AU468)^2-(4*(996.798*'BMP P Tracking Table'!$AU468)*-'BMP P Tracking Table'!$AW468)))/(2*(996.798*'BMP P Tracking Table'!$AU468)),IF(SUM('BMP P Tracking Table'!$AQ468:$AT468)=0,'BMP P Tracking Table'!$AU468/(-3630*'BMP P Tracking Table'!$AO468),(-(3630*'BMP P Tracking Table'!$AO468+20.691*'BMP P Tracking Table'!$AT468-216.711*'BMP P Tracking Table'!$AS468-83.853*'BMP P Tracking Table'!$AR468-42.834*'BMP P Tracking Table'!$AQ468)+SQRT((3630*'BMP P Tracking Table'!$AO468+20.691*'BMP P Tracking Table'!$AT468-216.711*'BMP P Tracking Table'!$AS468-83.853*'BMP P Tracking Table'!$AR468-42.834*'BMP P Tracking Table'!$AQ468)^2-(4*(149.919*'BMP P Tracking Table'!$AQ468+236.676*'BMP P Tracking Table'!$AR468+726*'BMP P Tracking Table'!$AS468+996.798*'BMP P Tracking Table'!$AT468)*-'BMP P Tracking Table'!$AW468)))/(2*(149.919*'BMP P Tracking Table'!$AQ468+236.676*'BMP P Tracking Table'!$AR468+726*'BMP P Tracking Table'!$AS468+996.798*'BMP P Tracking Table'!$AT468))))),MIN(2,IF('BMP P Tracking Table'!$AP468="Total Pervious",(-(3630*'BMP P Tracking Table'!$U468+20.691*'BMP P Tracking Table'!$AA468)+SQRT((3630*'BMP P Tracking Table'!$U468+20.691*'BMP P Tracking Table'!$AA468)^2-(4*(996.798*'BMP P Tracking Table'!$AA468)*-'BMP P Tracking Table'!$AW468)))/(2*(996.798*'BMP P Tracking Table'!$AA468)),IF(SUM('BMP P Tracking Table'!$W468:$Z468)=0,'BMP P Tracking Table'!$AW468/(-3630*'BMP P Tracking Table'!$U468),(-(3630*'BMP P Tracking Table'!$U468+20.691*'BMP P Tracking Table'!$Z468-216.711*'BMP P Tracking Table'!$Y468-83.853*'BMP P Tracking Table'!$X468-42.834*'BMP P Tracking Table'!$W468)+SQRT((3630*'BMP P Tracking Table'!$U468+20.691*'BMP P Tracking Table'!$Z468-216.711*'BMP P Tracking Table'!$Y468-83.853*'BMP P Tracking Table'!$X468-42.834*'BMP P Tracking Table'!$W468)^2-(4*(149.919*'BMP P Tracking Table'!$W468+236.676*'BMP P Tracking Table'!$X468+726*'BMP P Tracking Table'!$Y468+996.798*'BMP P Tracking Table'!$Z468)*-'BMP P Tracking Table'!$AW468)))/(2*(149.919*'BMP P Tracking Table'!$W468+236.676*'BMP P Tracking Table'!$X468+726*'BMP P Tracking Table'!$Y468+996.798*'BMP P Tracking Table'!$Z468)))))),"")</f>
        <v/>
      </c>
      <c r="BA468" s="101" t="str">
        <f>IFERROR((VLOOKUP(CONCATENATE('BMP P Tracking Table'!$AV468," ",'BMP P Tracking Table'!$AX468),'Performance Curves'!$C$1:$L$45,MATCH('BMP P Tracking Table'!$AZ468,'Performance Curves'!$E$1:$L$1,1)+2,FALSE)-VLOOKUP(CONCATENATE('BMP P Tracking Table'!$AV468," ",'BMP P Tracking Table'!$AX468),'Performance Curves'!$C$1:$L$45,MATCH('BMP P Tracking Table'!$AZ468,'Performance Curves'!$E$1:$L$1,1)+1,FALSE)),"")</f>
        <v/>
      </c>
      <c r="BB468" s="101" t="str">
        <f>IFERROR(('BMP P Tracking Table'!$AZ468-INDEX('Performance Curves'!$E$1:$L$1,1,MATCH('BMP P Tracking Table'!$AZ468,'Performance Curves'!$E$1:$L$1,1)))/(INDEX('Performance Curves'!$E$1:$L$1,1,MATCH('BMP P Tracking Table'!$AZ468,'Performance Curves'!$E$1:$L$1,1)+1)-INDEX('Performance Curves'!$E$1:$L$1,1,MATCH('BMP P Tracking Table'!$AZ468,'Performance Curves'!$E$1:$L$1,1))),"")</f>
        <v/>
      </c>
      <c r="BC468" s="102" t="str">
        <f>IFERROR(IF('BMP P Tracking Table'!$AZ468=2,VLOOKUP(CONCATENATE('BMP P Tracking Table'!$AV468," ",'BMP P Tracking Table'!$AX468),'Performance Curves'!$C$1:$L$44,MATCH('BMP P Tracking Table'!$AZ468,'Performance Curves'!$E$1:$L$1,1)+1,FALSE),'BMP P Tracking Table'!$BA468*'BMP P Tracking Table'!$BB468+VLOOKUP(CONCATENATE('BMP P Tracking Table'!$AV468," ",'BMP P Tracking Table'!$AX468),'Performance Curves'!$C$1:$L$44,MATCH('BMP P Tracking Table'!$AZ468,'Performance Curves'!$E$1:$L$1,1)+1,FALSE)),"")</f>
        <v/>
      </c>
      <c r="BD468" s="101" t="str">
        <f>IFERROR('BMP P Tracking Table'!$BC468*'BMP P Tracking Table'!$AY468,"")</f>
        <v/>
      </c>
      <c r="BE468" s="96"/>
      <c r="BF468" s="37">
        <f t="shared" si="25"/>
        <v>0</v>
      </c>
    </row>
    <row r="469" spans="1:58" x14ac:dyDescent="0.3">
      <c r="A469" s="64"/>
      <c r="B469" s="64"/>
      <c r="C469" s="64"/>
      <c r="D469" s="64"/>
      <c r="E469" s="93"/>
      <c r="F469" s="93"/>
      <c r="G469" s="64"/>
      <c r="H469" s="64"/>
      <c r="I469" s="64"/>
      <c r="J469" s="94"/>
      <c r="K469" s="64"/>
      <c r="L469" s="64"/>
      <c r="M469" s="64"/>
      <c r="N469" s="64"/>
      <c r="O469" s="64"/>
      <c r="P469" s="64"/>
      <c r="Q469" s="64" t="str">
        <f>IFERROR(VLOOKUP('BMP P Tracking Table'!$P469,Dropdowns!$C$2:$E$15,3,FALSE),"")</f>
        <v/>
      </c>
      <c r="R469" s="64" t="str">
        <f>IFERROR(VLOOKUP('BMP P Tracking Table'!$Q469,Dropdowns!$P$3:$Q$23,2,FALSE),"")</f>
        <v/>
      </c>
      <c r="S469" s="64"/>
      <c r="T469" s="64"/>
      <c r="U469" s="64"/>
      <c r="V469" s="64"/>
      <c r="W469" s="64"/>
      <c r="X469" s="64"/>
      <c r="Y469" s="64"/>
      <c r="Z469" s="64"/>
      <c r="AA469" s="64"/>
      <c r="AB469" s="95"/>
      <c r="AC469" s="64"/>
      <c r="AD469" s="101" t="str">
        <f>IFERROR('BMP P Tracking Table'!$U469*VLOOKUP('BMP P Tracking Table'!$Q469,'Loading Rates'!$B$1:$L$24,4,FALSE)+IF('BMP P Tracking Table'!$V469="By HSG",'BMP P Tracking Table'!$W469*VLOOKUP('BMP P Tracking Table'!$Q469,'Loading Rates'!$B$1:$L$24,6,FALSE)+'BMP P Tracking Table'!$X469*VLOOKUP('BMP P Tracking Table'!$Q469,'Loading Rates'!$B$1:$L$24,7,FALSE)+'BMP P Tracking Table'!$Y469*VLOOKUP('BMP P Tracking Table'!$Q469,'Loading Rates'!$B$1:$L$24,8,FALSE)+'BMP P Tracking Table'!$Z469*VLOOKUP('BMP P Tracking Table'!$Q469,'Loading Rates'!$B$1:$L$24,9,FALSE),'BMP P Tracking Table'!$AA469*VLOOKUP('BMP P Tracking Table'!$Q469,'Loading Rates'!$B$1:$L$24,10,FALSE)),"")</f>
        <v/>
      </c>
      <c r="AE469" s="101" t="str">
        <f>IFERROR(MIN(2,IF('BMP P Tracking Table'!$V469="Total Pervious",(-(3630*'BMP P Tracking Table'!$U469+20.691*'BMP P Tracking Table'!$AA469)+SQRT((3630*'BMP P Tracking Table'!$U469+20.691*'BMP P Tracking Table'!$AA469)^2-(4*(996.798*'BMP P Tracking Table'!$AA469)*-'BMP P Tracking Table'!$AB469)))/(2*(996.798*'BMP P Tracking Table'!$AA469)),IF(SUM('BMP P Tracking Table'!$W469:$Z469)=0,'BMP P Tracking Table'!$AB469/(-3630*'BMP P Tracking Table'!$U469),(-(3630*'BMP P Tracking Table'!$U469+20.691*'BMP P Tracking Table'!$Z469-216.711*'BMP P Tracking Table'!$Y469-83.853*'BMP P Tracking Table'!$X469-42.834*'BMP P Tracking Table'!$W469)+SQRT((3630*'BMP P Tracking Table'!$U469+20.691*'BMP P Tracking Table'!$Z469-216.711*'BMP P Tracking Table'!$Y469-83.853*'BMP P Tracking Table'!$X469-42.834*'BMP P Tracking Table'!$W469)^2-(4*(149.919*'BMP P Tracking Table'!$W469+236.676*'BMP P Tracking Table'!$X469+726*'BMP P Tracking Table'!$Y469+996.798*'BMP P Tracking Table'!$Z469)*-'BMP P Tracking Table'!$AB469)))/(2*(149.919*'BMP P Tracking Table'!$W469+236.676*'BMP P Tracking Table'!$X469+726*'BMP P Tracking Table'!$Y469+996.798*'BMP P Tracking Table'!$Z469))))),"")</f>
        <v/>
      </c>
      <c r="AF469" s="101" t="str">
        <f>IFERROR((VLOOKUP(CONCATENATE('BMP P Tracking Table'!$T469," ",'BMP P Tracking Table'!$AC469),'Performance Curves'!$C$1:$L$45,MATCH('BMP P Tracking Table'!$AE469,'Performance Curves'!$E$1:$L$1,1)+2,FALSE)-VLOOKUP(CONCATENATE('BMP P Tracking Table'!$T469," ",'BMP P Tracking Table'!$AC469),'Performance Curves'!$C$1:$L$45,MATCH('BMP P Tracking Table'!$AE469,'Performance Curves'!$E$1:$L$1,1)+1,FALSE)),"")</f>
        <v/>
      </c>
      <c r="AG469" s="101" t="str">
        <f>IFERROR(('BMP P Tracking Table'!$AE469-INDEX('Performance Curves'!$E$1:$L$1,1,MATCH('BMP P Tracking Table'!$AE469,'Performance Curves'!$E$1:$L$1,1)))/(INDEX('Performance Curves'!$E$1:$L$1,1,MATCH('BMP P Tracking Table'!$AE469,'Performance Curves'!$E$1:$L$1,1)+1)-INDEX('Performance Curves'!$E$1:$L$1,1,MATCH('BMP P Tracking Table'!$AE469,'Performance Curves'!$E$1:$L$1,1))),"")</f>
        <v/>
      </c>
      <c r="AH469" s="102" t="str">
        <f>IFERROR(IF('BMP P Tracking Table'!$AE469=2,VLOOKUP(CONCATENATE('BMP P Tracking Table'!$T469," ",'BMP P Tracking Table'!$AC469),'Performance Curves'!$C$1:$L$45,MATCH('BMP P Tracking Table'!$AE469,'Performance Curves'!$E$1:$L$1,1)+1,FALSE),'BMP P Tracking Table'!$AF469*'BMP P Tracking Table'!$AG469+VLOOKUP(CONCATENATE('BMP P Tracking Table'!$T469," ",'BMP P Tracking Table'!$AC469),'Performance Curves'!$C$1:$L$45,MATCH('BMP P Tracking Table'!$AE469,'Performance Curves'!$E$1:$L$1,1)+1,FALSE)),"")</f>
        <v/>
      </c>
      <c r="AI469" s="101" t="str">
        <f>IFERROR('BMP P Tracking Table'!$AH469*'BMP P Tracking Table'!$AD469,"")</f>
        <v/>
      </c>
      <c r="AJ469" s="64"/>
      <c r="AK469" s="96"/>
      <c r="AL469" s="96"/>
      <c r="AM469" s="63"/>
      <c r="AN469" s="99" t="str">
        <f t="shared" si="24"/>
        <v/>
      </c>
      <c r="AO469" s="96"/>
      <c r="AP469" s="96"/>
      <c r="AQ469" s="96"/>
      <c r="AR469" s="96"/>
      <c r="AS469" s="96"/>
      <c r="AT469" s="96"/>
      <c r="AU469" s="96"/>
      <c r="AV469" s="64"/>
      <c r="AW469" s="97"/>
      <c r="AX469" s="97"/>
      <c r="AY469" s="101" t="str">
        <f>IF('BMP P Tracking Table'!$AK469="Yes",IF('BMP P Tracking Table'!$AL469="No",'BMP P Tracking Table'!$U469*VLOOKUP('BMP P Tracking Table'!$Q469,'Loading Rates'!$B$1:$L$24,4,FALSE)+IF('BMP P Tracking Table'!$V469="By HSG",'BMP P Tracking Table'!$W469*VLOOKUP('BMP P Tracking Table'!$Q469,'Loading Rates'!$B$1:$L$24,6,FALSE)+'BMP P Tracking Table'!$X469*VLOOKUP('BMP P Tracking Table'!$Q469,'Loading Rates'!$B$1:$L$24,7,FALSE)+'BMP P Tracking Table'!$Y469*VLOOKUP('BMP P Tracking Table'!$Q469,'Loading Rates'!$B$1:$L$24,8,FALSE)+'BMP P Tracking Table'!$Z469*VLOOKUP('BMP P Tracking Table'!$Q469,'Loading Rates'!$B$1:$L$24,9,FALSE),'BMP P Tracking Table'!$AA469*VLOOKUP('BMP P Tracking Table'!$Q469,'Loading Rates'!$B$1:$L$24,10,FALSE)),'BMP P Tracking Table'!$AO469*VLOOKUP('BMP P Tracking Table'!$Q469,'Loading Rates'!$B$1:$L$24,4,FALSE)+IF('BMP P Tracking Table'!$AP469="By HSG",'BMP P Tracking Table'!$AQ469*VLOOKUP('BMP P Tracking Table'!$Q469,'Loading Rates'!$B$1:$L$24,6,FALSE)+'BMP P Tracking Table'!$AR469*VLOOKUP('BMP P Tracking Table'!$Q469,'Loading Rates'!$B$1:$L$24,7,FALSE)+'BMP P Tracking Table'!$AS469*VLOOKUP('BMP P Tracking Table'!$Q469,'Loading Rates'!$B$1:$L$24,8,FALSE)+'BMP P Tracking Table'!$AT469*VLOOKUP('BMP P Tracking Table'!$Q469,'Loading Rates'!$B$1:$L$24,9,FALSE),'BMP P Tracking Table'!$AU469*VLOOKUP('BMP P Tracking Table'!$Q469,'Loading Rates'!$B$1:$L$24,10,FALSE))),"")</f>
        <v/>
      </c>
      <c r="AZ469" s="101" t="str">
        <f>IFERROR(IF('BMP P Tracking Table'!$AL469="Yes",MIN(2,IF('BMP P Tracking Table'!$AP469="Total Pervious",(-(3630*'BMP P Tracking Table'!$AO469+20.691*'BMP P Tracking Table'!$AU469)+SQRT((3630*'BMP P Tracking Table'!$AO469+20.691*'BMP P Tracking Table'!$AU469)^2-(4*(996.798*'BMP P Tracking Table'!$AU469)*-'BMP P Tracking Table'!$AW469)))/(2*(996.798*'BMP P Tracking Table'!$AU469)),IF(SUM('BMP P Tracking Table'!$AQ469:$AT469)=0,'BMP P Tracking Table'!$AU469/(-3630*'BMP P Tracking Table'!$AO469),(-(3630*'BMP P Tracking Table'!$AO469+20.691*'BMP P Tracking Table'!$AT469-216.711*'BMP P Tracking Table'!$AS469-83.853*'BMP P Tracking Table'!$AR469-42.834*'BMP P Tracking Table'!$AQ469)+SQRT((3630*'BMP P Tracking Table'!$AO469+20.691*'BMP P Tracking Table'!$AT469-216.711*'BMP P Tracking Table'!$AS469-83.853*'BMP P Tracking Table'!$AR469-42.834*'BMP P Tracking Table'!$AQ469)^2-(4*(149.919*'BMP P Tracking Table'!$AQ469+236.676*'BMP P Tracking Table'!$AR469+726*'BMP P Tracking Table'!$AS469+996.798*'BMP P Tracking Table'!$AT469)*-'BMP P Tracking Table'!$AW469)))/(2*(149.919*'BMP P Tracking Table'!$AQ469+236.676*'BMP P Tracking Table'!$AR469+726*'BMP P Tracking Table'!$AS469+996.798*'BMP P Tracking Table'!$AT469))))),MIN(2,IF('BMP P Tracking Table'!$AP469="Total Pervious",(-(3630*'BMP P Tracking Table'!$U469+20.691*'BMP P Tracking Table'!$AA469)+SQRT((3630*'BMP P Tracking Table'!$U469+20.691*'BMP P Tracking Table'!$AA469)^2-(4*(996.798*'BMP P Tracking Table'!$AA469)*-'BMP P Tracking Table'!$AW469)))/(2*(996.798*'BMP P Tracking Table'!$AA469)),IF(SUM('BMP P Tracking Table'!$W469:$Z469)=0,'BMP P Tracking Table'!$AW469/(-3630*'BMP P Tracking Table'!$U469),(-(3630*'BMP P Tracking Table'!$U469+20.691*'BMP P Tracking Table'!$Z469-216.711*'BMP P Tracking Table'!$Y469-83.853*'BMP P Tracking Table'!$X469-42.834*'BMP P Tracking Table'!$W469)+SQRT((3630*'BMP P Tracking Table'!$U469+20.691*'BMP P Tracking Table'!$Z469-216.711*'BMP P Tracking Table'!$Y469-83.853*'BMP P Tracking Table'!$X469-42.834*'BMP P Tracking Table'!$W469)^2-(4*(149.919*'BMP P Tracking Table'!$W469+236.676*'BMP P Tracking Table'!$X469+726*'BMP P Tracking Table'!$Y469+996.798*'BMP P Tracking Table'!$Z469)*-'BMP P Tracking Table'!$AW469)))/(2*(149.919*'BMP P Tracking Table'!$W469+236.676*'BMP P Tracking Table'!$X469+726*'BMP P Tracking Table'!$Y469+996.798*'BMP P Tracking Table'!$Z469)))))),"")</f>
        <v/>
      </c>
      <c r="BA469" s="101" t="str">
        <f>IFERROR((VLOOKUP(CONCATENATE('BMP P Tracking Table'!$AV469," ",'BMP P Tracking Table'!$AX469),'Performance Curves'!$C$1:$L$45,MATCH('BMP P Tracking Table'!$AZ469,'Performance Curves'!$E$1:$L$1,1)+2,FALSE)-VLOOKUP(CONCATENATE('BMP P Tracking Table'!$AV469," ",'BMP P Tracking Table'!$AX469),'Performance Curves'!$C$1:$L$45,MATCH('BMP P Tracking Table'!$AZ469,'Performance Curves'!$E$1:$L$1,1)+1,FALSE)),"")</f>
        <v/>
      </c>
      <c r="BB469" s="101" t="str">
        <f>IFERROR(('BMP P Tracking Table'!$AZ469-INDEX('Performance Curves'!$E$1:$L$1,1,MATCH('BMP P Tracking Table'!$AZ469,'Performance Curves'!$E$1:$L$1,1)))/(INDEX('Performance Curves'!$E$1:$L$1,1,MATCH('BMP P Tracking Table'!$AZ469,'Performance Curves'!$E$1:$L$1,1)+1)-INDEX('Performance Curves'!$E$1:$L$1,1,MATCH('BMP P Tracking Table'!$AZ469,'Performance Curves'!$E$1:$L$1,1))),"")</f>
        <v/>
      </c>
      <c r="BC469" s="102" t="str">
        <f>IFERROR(IF('BMP P Tracking Table'!$AZ469=2,VLOOKUP(CONCATENATE('BMP P Tracking Table'!$AV469," ",'BMP P Tracking Table'!$AX469),'Performance Curves'!$C$1:$L$44,MATCH('BMP P Tracking Table'!$AZ469,'Performance Curves'!$E$1:$L$1,1)+1,FALSE),'BMP P Tracking Table'!$BA469*'BMP P Tracking Table'!$BB469+VLOOKUP(CONCATENATE('BMP P Tracking Table'!$AV469," ",'BMP P Tracking Table'!$AX469),'Performance Curves'!$C$1:$L$44,MATCH('BMP P Tracking Table'!$AZ469,'Performance Curves'!$E$1:$L$1,1)+1,FALSE)),"")</f>
        <v/>
      </c>
      <c r="BD469" s="101" t="str">
        <f>IFERROR('BMP P Tracking Table'!$BC469*'BMP P Tracking Table'!$AY469,"")</f>
        <v/>
      </c>
      <c r="BE469" s="96"/>
      <c r="BF469" s="37">
        <f t="shared" si="25"/>
        <v>0</v>
      </c>
    </row>
    <row r="470" spans="1:58" x14ac:dyDescent="0.3">
      <c r="A470" s="64"/>
      <c r="B470" s="64"/>
      <c r="C470" s="64"/>
      <c r="D470" s="64"/>
      <c r="E470" s="93"/>
      <c r="F470" s="93"/>
      <c r="G470" s="64"/>
      <c r="H470" s="64"/>
      <c r="I470" s="64"/>
      <c r="J470" s="94"/>
      <c r="K470" s="64"/>
      <c r="L470" s="64"/>
      <c r="M470" s="64"/>
      <c r="N470" s="64"/>
      <c r="O470" s="64"/>
      <c r="P470" s="64"/>
      <c r="Q470" s="64" t="str">
        <f>IFERROR(VLOOKUP('BMP P Tracking Table'!$P470,Dropdowns!$C$2:$E$15,3,FALSE),"")</f>
        <v/>
      </c>
      <c r="R470" s="64" t="str">
        <f>IFERROR(VLOOKUP('BMP P Tracking Table'!$Q470,Dropdowns!$P$3:$Q$23,2,FALSE),"")</f>
        <v/>
      </c>
      <c r="S470" s="64"/>
      <c r="T470" s="64"/>
      <c r="U470" s="64"/>
      <c r="V470" s="64"/>
      <c r="W470" s="64"/>
      <c r="X470" s="64"/>
      <c r="Y470" s="64"/>
      <c r="Z470" s="64"/>
      <c r="AA470" s="64"/>
      <c r="AB470" s="95"/>
      <c r="AC470" s="64"/>
      <c r="AD470" s="101" t="str">
        <f>IFERROR('BMP P Tracking Table'!$U470*VLOOKUP('BMP P Tracking Table'!$Q470,'Loading Rates'!$B$1:$L$24,4,FALSE)+IF('BMP P Tracking Table'!$V470="By HSG",'BMP P Tracking Table'!$W470*VLOOKUP('BMP P Tracking Table'!$Q470,'Loading Rates'!$B$1:$L$24,6,FALSE)+'BMP P Tracking Table'!$X470*VLOOKUP('BMP P Tracking Table'!$Q470,'Loading Rates'!$B$1:$L$24,7,FALSE)+'BMP P Tracking Table'!$Y470*VLOOKUP('BMP P Tracking Table'!$Q470,'Loading Rates'!$B$1:$L$24,8,FALSE)+'BMP P Tracking Table'!$Z470*VLOOKUP('BMP P Tracking Table'!$Q470,'Loading Rates'!$B$1:$L$24,9,FALSE),'BMP P Tracking Table'!$AA470*VLOOKUP('BMP P Tracking Table'!$Q470,'Loading Rates'!$B$1:$L$24,10,FALSE)),"")</f>
        <v/>
      </c>
      <c r="AE470" s="101" t="str">
        <f>IFERROR(MIN(2,IF('BMP P Tracking Table'!$V470="Total Pervious",(-(3630*'BMP P Tracking Table'!$U470+20.691*'BMP P Tracking Table'!$AA470)+SQRT((3630*'BMP P Tracking Table'!$U470+20.691*'BMP P Tracking Table'!$AA470)^2-(4*(996.798*'BMP P Tracking Table'!$AA470)*-'BMP P Tracking Table'!$AB470)))/(2*(996.798*'BMP P Tracking Table'!$AA470)),IF(SUM('BMP P Tracking Table'!$W470:$Z470)=0,'BMP P Tracking Table'!$AB470/(-3630*'BMP P Tracking Table'!$U470),(-(3630*'BMP P Tracking Table'!$U470+20.691*'BMP P Tracking Table'!$Z470-216.711*'BMP P Tracking Table'!$Y470-83.853*'BMP P Tracking Table'!$X470-42.834*'BMP P Tracking Table'!$W470)+SQRT((3630*'BMP P Tracking Table'!$U470+20.691*'BMP P Tracking Table'!$Z470-216.711*'BMP P Tracking Table'!$Y470-83.853*'BMP P Tracking Table'!$X470-42.834*'BMP P Tracking Table'!$W470)^2-(4*(149.919*'BMP P Tracking Table'!$W470+236.676*'BMP P Tracking Table'!$X470+726*'BMP P Tracking Table'!$Y470+996.798*'BMP P Tracking Table'!$Z470)*-'BMP P Tracking Table'!$AB470)))/(2*(149.919*'BMP P Tracking Table'!$W470+236.676*'BMP P Tracking Table'!$X470+726*'BMP P Tracking Table'!$Y470+996.798*'BMP P Tracking Table'!$Z470))))),"")</f>
        <v/>
      </c>
      <c r="AF470" s="101" t="str">
        <f>IFERROR((VLOOKUP(CONCATENATE('BMP P Tracking Table'!$T470," ",'BMP P Tracking Table'!$AC470),'Performance Curves'!$C$1:$L$45,MATCH('BMP P Tracking Table'!$AE470,'Performance Curves'!$E$1:$L$1,1)+2,FALSE)-VLOOKUP(CONCATENATE('BMP P Tracking Table'!$T470," ",'BMP P Tracking Table'!$AC470),'Performance Curves'!$C$1:$L$45,MATCH('BMP P Tracking Table'!$AE470,'Performance Curves'!$E$1:$L$1,1)+1,FALSE)),"")</f>
        <v/>
      </c>
      <c r="AG470" s="101" t="str">
        <f>IFERROR(('BMP P Tracking Table'!$AE470-INDEX('Performance Curves'!$E$1:$L$1,1,MATCH('BMP P Tracking Table'!$AE470,'Performance Curves'!$E$1:$L$1,1)))/(INDEX('Performance Curves'!$E$1:$L$1,1,MATCH('BMP P Tracking Table'!$AE470,'Performance Curves'!$E$1:$L$1,1)+1)-INDEX('Performance Curves'!$E$1:$L$1,1,MATCH('BMP P Tracking Table'!$AE470,'Performance Curves'!$E$1:$L$1,1))),"")</f>
        <v/>
      </c>
      <c r="AH470" s="102" t="str">
        <f>IFERROR(IF('BMP P Tracking Table'!$AE470=2,VLOOKUP(CONCATENATE('BMP P Tracking Table'!$T470," ",'BMP P Tracking Table'!$AC470),'Performance Curves'!$C$1:$L$45,MATCH('BMP P Tracking Table'!$AE470,'Performance Curves'!$E$1:$L$1,1)+1,FALSE),'BMP P Tracking Table'!$AF470*'BMP P Tracking Table'!$AG470+VLOOKUP(CONCATENATE('BMP P Tracking Table'!$T470," ",'BMP P Tracking Table'!$AC470),'Performance Curves'!$C$1:$L$45,MATCH('BMP P Tracking Table'!$AE470,'Performance Curves'!$E$1:$L$1,1)+1,FALSE)),"")</f>
        <v/>
      </c>
      <c r="AI470" s="101" t="str">
        <f>IFERROR('BMP P Tracking Table'!$AH470*'BMP P Tracking Table'!$AD470,"")</f>
        <v/>
      </c>
      <c r="AJ470" s="64"/>
      <c r="AK470" s="96"/>
      <c r="AL470" s="96"/>
      <c r="AM470" s="63"/>
      <c r="AN470" s="99" t="str">
        <f t="shared" si="24"/>
        <v/>
      </c>
      <c r="AO470" s="96"/>
      <c r="AP470" s="96"/>
      <c r="AQ470" s="96"/>
      <c r="AR470" s="96"/>
      <c r="AS470" s="96"/>
      <c r="AT470" s="96"/>
      <c r="AU470" s="96"/>
      <c r="AV470" s="64"/>
      <c r="AW470" s="97"/>
      <c r="AX470" s="97"/>
      <c r="AY470" s="101" t="str">
        <f>IF('BMP P Tracking Table'!$AK470="Yes",IF('BMP P Tracking Table'!$AL470="No",'BMP P Tracking Table'!$U470*VLOOKUP('BMP P Tracking Table'!$Q470,'Loading Rates'!$B$1:$L$24,4,FALSE)+IF('BMP P Tracking Table'!$V470="By HSG",'BMP P Tracking Table'!$W470*VLOOKUP('BMP P Tracking Table'!$Q470,'Loading Rates'!$B$1:$L$24,6,FALSE)+'BMP P Tracking Table'!$X470*VLOOKUP('BMP P Tracking Table'!$Q470,'Loading Rates'!$B$1:$L$24,7,FALSE)+'BMP P Tracking Table'!$Y470*VLOOKUP('BMP P Tracking Table'!$Q470,'Loading Rates'!$B$1:$L$24,8,FALSE)+'BMP P Tracking Table'!$Z470*VLOOKUP('BMP P Tracking Table'!$Q470,'Loading Rates'!$B$1:$L$24,9,FALSE),'BMP P Tracking Table'!$AA470*VLOOKUP('BMP P Tracking Table'!$Q470,'Loading Rates'!$B$1:$L$24,10,FALSE)),'BMP P Tracking Table'!$AO470*VLOOKUP('BMP P Tracking Table'!$Q470,'Loading Rates'!$B$1:$L$24,4,FALSE)+IF('BMP P Tracking Table'!$AP470="By HSG",'BMP P Tracking Table'!$AQ470*VLOOKUP('BMP P Tracking Table'!$Q470,'Loading Rates'!$B$1:$L$24,6,FALSE)+'BMP P Tracking Table'!$AR470*VLOOKUP('BMP P Tracking Table'!$Q470,'Loading Rates'!$B$1:$L$24,7,FALSE)+'BMP P Tracking Table'!$AS470*VLOOKUP('BMP P Tracking Table'!$Q470,'Loading Rates'!$B$1:$L$24,8,FALSE)+'BMP P Tracking Table'!$AT470*VLOOKUP('BMP P Tracking Table'!$Q470,'Loading Rates'!$B$1:$L$24,9,FALSE),'BMP P Tracking Table'!$AU470*VLOOKUP('BMP P Tracking Table'!$Q470,'Loading Rates'!$B$1:$L$24,10,FALSE))),"")</f>
        <v/>
      </c>
      <c r="AZ470" s="101" t="str">
        <f>IFERROR(IF('BMP P Tracking Table'!$AL470="Yes",MIN(2,IF('BMP P Tracking Table'!$AP470="Total Pervious",(-(3630*'BMP P Tracking Table'!$AO470+20.691*'BMP P Tracking Table'!$AU470)+SQRT((3630*'BMP P Tracking Table'!$AO470+20.691*'BMP P Tracking Table'!$AU470)^2-(4*(996.798*'BMP P Tracking Table'!$AU470)*-'BMP P Tracking Table'!$AW470)))/(2*(996.798*'BMP P Tracking Table'!$AU470)),IF(SUM('BMP P Tracking Table'!$AQ470:$AT470)=0,'BMP P Tracking Table'!$AU470/(-3630*'BMP P Tracking Table'!$AO470),(-(3630*'BMP P Tracking Table'!$AO470+20.691*'BMP P Tracking Table'!$AT470-216.711*'BMP P Tracking Table'!$AS470-83.853*'BMP P Tracking Table'!$AR470-42.834*'BMP P Tracking Table'!$AQ470)+SQRT((3630*'BMP P Tracking Table'!$AO470+20.691*'BMP P Tracking Table'!$AT470-216.711*'BMP P Tracking Table'!$AS470-83.853*'BMP P Tracking Table'!$AR470-42.834*'BMP P Tracking Table'!$AQ470)^2-(4*(149.919*'BMP P Tracking Table'!$AQ470+236.676*'BMP P Tracking Table'!$AR470+726*'BMP P Tracking Table'!$AS470+996.798*'BMP P Tracking Table'!$AT470)*-'BMP P Tracking Table'!$AW470)))/(2*(149.919*'BMP P Tracking Table'!$AQ470+236.676*'BMP P Tracking Table'!$AR470+726*'BMP P Tracking Table'!$AS470+996.798*'BMP P Tracking Table'!$AT470))))),MIN(2,IF('BMP P Tracking Table'!$AP470="Total Pervious",(-(3630*'BMP P Tracking Table'!$U470+20.691*'BMP P Tracking Table'!$AA470)+SQRT((3630*'BMP P Tracking Table'!$U470+20.691*'BMP P Tracking Table'!$AA470)^2-(4*(996.798*'BMP P Tracking Table'!$AA470)*-'BMP P Tracking Table'!$AW470)))/(2*(996.798*'BMP P Tracking Table'!$AA470)),IF(SUM('BMP P Tracking Table'!$W470:$Z470)=0,'BMP P Tracking Table'!$AW470/(-3630*'BMP P Tracking Table'!$U470),(-(3630*'BMP P Tracking Table'!$U470+20.691*'BMP P Tracking Table'!$Z470-216.711*'BMP P Tracking Table'!$Y470-83.853*'BMP P Tracking Table'!$X470-42.834*'BMP P Tracking Table'!$W470)+SQRT((3630*'BMP P Tracking Table'!$U470+20.691*'BMP P Tracking Table'!$Z470-216.711*'BMP P Tracking Table'!$Y470-83.853*'BMP P Tracking Table'!$X470-42.834*'BMP P Tracking Table'!$W470)^2-(4*(149.919*'BMP P Tracking Table'!$W470+236.676*'BMP P Tracking Table'!$X470+726*'BMP P Tracking Table'!$Y470+996.798*'BMP P Tracking Table'!$Z470)*-'BMP P Tracking Table'!$AW470)))/(2*(149.919*'BMP P Tracking Table'!$W470+236.676*'BMP P Tracking Table'!$X470+726*'BMP P Tracking Table'!$Y470+996.798*'BMP P Tracking Table'!$Z470)))))),"")</f>
        <v/>
      </c>
      <c r="BA470" s="101" t="str">
        <f>IFERROR((VLOOKUP(CONCATENATE('BMP P Tracking Table'!$AV470," ",'BMP P Tracking Table'!$AX470),'Performance Curves'!$C$1:$L$45,MATCH('BMP P Tracking Table'!$AZ470,'Performance Curves'!$E$1:$L$1,1)+2,FALSE)-VLOOKUP(CONCATENATE('BMP P Tracking Table'!$AV470," ",'BMP P Tracking Table'!$AX470),'Performance Curves'!$C$1:$L$45,MATCH('BMP P Tracking Table'!$AZ470,'Performance Curves'!$E$1:$L$1,1)+1,FALSE)),"")</f>
        <v/>
      </c>
      <c r="BB470" s="101" t="str">
        <f>IFERROR(('BMP P Tracking Table'!$AZ470-INDEX('Performance Curves'!$E$1:$L$1,1,MATCH('BMP P Tracking Table'!$AZ470,'Performance Curves'!$E$1:$L$1,1)))/(INDEX('Performance Curves'!$E$1:$L$1,1,MATCH('BMP P Tracking Table'!$AZ470,'Performance Curves'!$E$1:$L$1,1)+1)-INDEX('Performance Curves'!$E$1:$L$1,1,MATCH('BMP P Tracking Table'!$AZ470,'Performance Curves'!$E$1:$L$1,1))),"")</f>
        <v/>
      </c>
      <c r="BC470" s="102" t="str">
        <f>IFERROR(IF('BMP P Tracking Table'!$AZ470=2,VLOOKUP(CONCATENATE('BMP P Tracking Table'!$AV470," ",'BMP P Tracking Table'!$AX470),'Performance Curves'!$C$1:$L$44,MATCH('BMP P Tracking Table'!$AZ470,'Performance Curves'!$E$1:$L$1,1)+1,FALSE),'BMP P Tracking Table'!$BA470*'BMP P Tracking Table'!$BB470+VLOOKUP(CONCATENATE('BMP P Tracking Table'!$AV470," ",'BMP P Tracking Table'!$AX470),'Performance Curves'!$C$1:$L$44,MATCH('BMP P Tracking Table'!$AZ470,'Performance Curves'!$E$1:$L$1,1)+1,FALSE)),"")</f>
        <v/>
      </c>
      <c r="BD470" s="101" t="str">
        <f>IFERROR('BMP P Tracking Table'!$BC470*'BMP P Tracking Table'!$AY470,"")</f>
        <v/>
      </c>
      <c r="BE470" s="96"/>
      <c r="BF470" s="37">
        <f t="shared" si="25"/>
        <v>0</v>
      </c>
    </row>
    <row r="471" spans="1:58" x14ac:dyDescent="0.3">
      <c r="A471" s="64"/>
      <c r="B471" s="64"/>
      <c r="C471" s="64"/>
      <c r="D471" s="64"/>
      <c r="E471" s="93"/>
      <c r="F471" s="93"/>
      <c r="G471" s="64"/>
      <c r="H471" s="64"/>
      <c r="I471" s="64"/>
      <c r="J471" s="94"/>
      <c r="K471" s="64"/>
      <c r="L471" s="64"/>
      <c r="M471" s="64"/>
      <c r="N471" s="64"/>
      <c r="O471" s="64"/>
      <c r="P471" s="64"/>
      <c r="Q471" s="64" t="str">
        <f>IFERROR(VLOOKUP('BMP P Tracking Table'!$P471,Dropdowns!$C$2:$E$15,3,FALSE),"")</f>
        <v/>
      </c>
      <c r="R471" s="64" t="str">
        <f>IFERROR(VLOOKUP('BMP P Tracking Table'!$Q471,Dropdowns!$P$3:$Q$23,2,FALSE),"")</f>
        <v/>
      </c>
      <c r="S471" s="64"/>
      <c r="T471" s="64"/>
      <c r="U471" s="64"/>
      <c r="V471" s="64"/>
      <c r="W471" s="64"/>
      <c r="X471" s="64"/>
      <c r="Y471" s="64"/>
      <c r="Z471" s="64"/>
      <c r="AA471" s="64"/>
      <c r="AB471" s="95"/>
      <c r="AC471" s="64"/>
      <c r="AD471" s="101" t="str">
        <f>IFERROR('BMP P Tracking Table'!$U471*VLOOKUP('BMP P Tracking Table'!$Q471,'Loading Rates'!$B$1:$L$24,4,FALSE)+IF('BMP P Tracking Table'!$V471="By HSG",'BMP P Tracking Table'!$W471*VLOOKUP('BMP P Tracking Table'!$Q471,'Loading Rates'!$B$1:$L$24,6,FALSE)+'BMP P Tracking Table'!$X471*VLOOKUP('BMP P Tracking Table'!$Q471,'Loading Rates'!$B$1:$L$24,7,FALSE)+'BMP P Tracking Table'!$Y471*VLOOKUP('BMP P Tracking Table'!$Q471,'Loading Rates'!$B$1:$L$24,8,FALSE)+'BMP P Tracking Table'!$Z471*VLOOKUP('BMP P Tracking Table'!$Q471,'Loading Rates'!$B$1:$L$24,9,FALSE),'BMP P Tracking Table'!$AA471*VLOOKUP('BMP P Tracking Table'!$Q471,'Loading Rates'!$B$1:$L$24,10,FALSE)),"")</f>
        <v/>
      </c>
      <c r="AE471" s="101" t="str">
        <f>IFERROR(MIN(2,IF('BMP P Tracking Table'!$V471="Total Pervious",(-(3630*'BMP P Tracking Table'!$U471+20.691*'BMP P Tracking Table'!$AA471)+SQRT((3630*'BMP P Tracking Table'!$U471+20.691*'BMP P Tracking Table'!$AA471)^2-(4*(996.798*'BMP P Tracking Table'!$AA471)*-'BMP P Tracking Table'!$AB471)))/(2*(996.798*'BMP P Tracking Table'!$AA471)),IF(SUM('BMP P Tracking Table'!$W471:$Z471)=0,'BMP P Tracking Table'!$AB471/(-3630*'BMP P Tracking Table'!$U471),(-(3630*'BMP P Tracking Table'!$U471+20.691*'BMP P Tracking Table'!$Z471-216.711*'BMP P Tracking Table'!$Y471-83.853*'BMP P Tracking Table'!$X471-42.834*'BMP P Tracking Table'!$W471)+SQRT((3630*'BMP P Tracking Table'!$U471+20.691*'BMP P Tracking Table'!$Z471-216.711*'BMP P Tracking Table'!$Y471-83.853*'BMP P Tracking Table'!$X471-42.834*'BMP P Tracking Table'!$W471)^2-(4*(149.919*'BMP P Tracking Table'!$W471+236.676*'BMP P Tracking Table'!$X471+726*'BMP P Tracking Table'!$Y471+996.798*'BMP P Tracking Table'!$Z471)*-'BMP P Tracking Table'!$AB471)))/(2*(149.919*'BMP P Tracking Table'!$W471+236.676*'BMP P Tracking Table'!$X471+726*'BMP P Tracking Table'!$Y471+996.798*'BMP P Tracking Table'!$Z471))))),"")</f>
        <v/>
      </c>
      <c r="AF471" s="101" t="str">
        <f>IFERROR((VLOOKUP(CONCATENATE('BMP P Tracking Table'!$T471," ",'BMP P Tracking Table'!$AC471),'Performance Curves'!$C$1:$L$45,MATCH('BMP P Tracking Table'!$AE471,'Performance Curves'!$E$1:$L$1,1)+2,FALSE)-VLOOKUP(CONCATENATE('BMP P Tracking Table'!$T471," ",'BMP P Tracking Table'!$AC471),'Performance Curves'!$C$1:$L$45,MATCH('BMP P Tracking Table'!$AE471,'Performance Curves'!$E$1:$L$1,1)+1,FALSE)),"")</f>
        <v/>
      </c>
      <c r="AG471" s="101" t="str">
        <f>IFERROR(('BMP P Tracking Table'!$AE471-INDEX('Performance Curves'!$E$1:$L$1,1,MATCH('BMP P Tracking Table'!$AE471,'Performance Curves'!$E$1:$L$1,1)))/(INDEX('Performance Curves'!$E$1:$L$1,1,MATCH('BMP P Tracking Table'!$AE471,'Performance Curves'!$E$1:$L$1,1)+1)-INDEX('Performance Curves'!$E$1:$L$1,1,MATCH('BMP P Tracking Table'!$AE471,'Performance Curves'!$E$1:$L$1,1))),"")</f>
        <v/>
      </c>
      <c r="AH471" s="102" t="str">
        <f>IFERROR(IF('BMP P Tracking Table'!$AE471=2,VLOOKUP(CONCATENATE('BMP P Tracking Table'!$T471," ",'BMP P Tracking Table'!$AC471),'Performance Curves'!$C$1:$L$45,MATCH('BMP P Tracking Table'!$AE471,'Performance Curves'!$E$1:$L$1,1)+1,FALSE),'BMP P Tracking Table'!$AF471*'BMP P Tracking Table'!$AG471+VLOOKUP(CONCATENATE('BMP P Tracking Table'!$T471," ",'BMP P Tracking Table'!$AC471),'Performance Curves'!$C$1:$L$45,MATCH('BMP P Tracking Table'!$AE471,'Performance Curves'!$E$1:$L$1,1)+1,FALSE)),"")</f>
        <v/>
      </c>
      <c r="AI471" s="101" t="str">
        <f>IFERROR('BMP P Tracking Table'!$AH471*'BMP P Tracking Table'!$AD471,"")</f>
        <v/>
      </c>
      <c r="AJ471" s="64"/>
      <c r="AK471" s="96"/>
      <c r="AL471" s="96"/>
      <c r="AM471" s="63"/>
      <c r="AN471" s="99" t="str">
        <f t="shared" si="24"/>
        <v/>
      </c>
      <c r="AO471" s="96"/>
      <c r="AP471" s="96"/>
      <c r="AQ471" s="96"/>
      <c r="AR471" s="96"/>
      <c r="AS471" s="96"/>
      <c r="AT471" s="96"/>
      <c r="AU471" s="96"/>
      <c r="AV471" s="64"/>
      <c r="AW471" s="97"/>
      <c r="AX471" s="97"/>
      <c r="AY471" s="101" t="str">
        <f>IF('BMP P Tracking Table'!$AK471="Yes",IF('BMP P Tracking Table'!$AL471="No",'BMP P Tracking Table'!$U471*VLOOKUP('BMP P Tracking Table'!$Q471,'Loading Rates'!$B$1:$L$24,4,FALSE)+IF('BMP P Tracking Table'!$V471="By HSG",'BMP P Tracking Table'!$W471*VLOOKUP('BMP P Tracking Table'!$Q471,'Loading Rates'!$B$1:$L$24,6,FALSE)+'BMP P Tracking Table'!$X471*VLOOKUP('BMP P Tracking Table'!$Q471,'Loading Rates'!$B$1:$L$24,7,FALSE)+'BMP P Tracking Table'!$Y471*VLOOKUP('BMP P Tracking Table'!$Q471,'Loading Rates'!$B$1:$L$24,8,FALSE)+'BMP P Tracking Table'!$Z471*VLOOKUP('BMP P Tracking Table'!$Q471,'Loading Rates'!$B$1:$L$24,9,FALSE),'BMP P Tracking Table'!$AA471*VLOOKUP('BMP P Tracking Table'!$Q471,'Loading Rates'!$B$1:$L$24,10,FALSE)),'BMP P Tracking Table'!$AO471*VLOOKUP('BMP P Tracking Table'!$Q471,'Loading Rates'!$B$1:$L$24,4,FALSE)+IF('BMP P Tracking Table'!$AP471="By HSG",'BMP P Tracking Table'!$AQ471*VLOOKUP('BMP P Tracking Table'!$Q471,'Loading Rates'!$B$1:$L$24,6,FALSE)+'BMP P Tracking Table'!$AR471*VLOOKUP('BMP P Tracking Table'!$Q471,'Loading Rates'!$B$1:$L$24,7,FALSE)+'BMP P Tracking Table'!$AS471*VLOOKUP('BMP P Tracking Table'!$Q471,'Loading Rates'!$B$1:$L$24,8,FALSE)+'BMP P Tracking Table'!$AT471*VLOOKUP('BMP P Tracking Table'!$Q471,'Loading Rates'!$B$1:$L$24,9,FALSE),'BMP P Tracking Table'!$AU471*VLOOKUP('BMP P Tracking Table'!$Q471,'Loading Rates'!$B$1:$L$24,10,FALSE))),"")</f>
        <v/>
      </c>
      <c r="AZ471" s="101" t="str">
        <f>IFERROR(IF('BMP P Tracking Table'!$AL471="Yes",MIN(2,IF('BMP P Tracking Table'!$AP471="Total Pervious",(-(3630*'BMP P Tracking Table'!$AO471+20.691*'BMP P Tracking Table'!$AU471)+SQRT((3630*'BMP P Tracking Table'!$AO471+20.691*'BMP P Tracking Table'!$AU471)^2-(4*(996.798*'BMP P Tracking Table'!$AU471)*-'BMP P Tracking Table'!$AW471)))/(2*(996.798*'BMP P Tracking Table'!$AU471)),IF(SUM('BMP P Tracking Table'!$AQ471:$AT471)=0,'BMP P Tracking Table'!$AU471/(-3630*'BMP P Tracking Table'!$AO471),(-(3630*'BMP P Tracking Table'!$AO471+20.691*'BMP P Tracking Table'!$AT471-216.711*'BMP P Tracking Table'!$AS471-83.853*'BMP P Tracking Table'!$AR471-42.834*'BMP P Tracking Table'!$AQ471)+SQRT((3630*'BMP P Tracking Table'!$AO471+20.691*'BMP P Tracking Table'!$AT471-216.711*'BMP P Tracking Table'!$AS471-83.853*'BMP P Tracking Table'!$AR471-42.834*'BMP P Tracking Table'!$AQ471)^2-(4*(149.919*'BMP P Tracking Table'!$AQ471+236.676*'BMP P Tracking Table'!$AR471+726*'BMP P Tracking Table'!$AS471+996.798*'BMP P Tracking Table'!$AT471)*-'BMP P Tracking Table'!$AW471)))/(2*(149.919*'BMP P Tracking Table'!$AQ471+236.676*'BMP P Tracking Table'!$AR471+726*'BMP P Tracking Table'!$AS471+996.798*'BMP P Tracking Table'!$AT471))))),MIN(2,IF('BMP P Tracking Table'!$AP471="Total Pervious",(-(3630*'BMP P Tracking Table'!$U471+20.691*'BMP P Tracking Table'!$AA471)+SQRT((3630*'BMP P Tracking Table'!$U471+20.691*'BMP P Tracking Table'!$AA471)^2-(4*(996.798*'BMP P Tracking Table'!$AA471)*-'BMP P Tracking Table'!$AW471)))/(2*(996.798*'BMP P Tracking Table'!$AA471)),IF(SUM('BMP P Tracking Table'!$W471:$Z471)=0,'BMP P Tracking Table'!$AW471/(-3630*'BMP P Tracking Table'!$U471),(-(3630*'BMP P Tracking Table'!$U471+20.691*'BMP P Tracking Table'!$Z471-216.711*'BMP P Tracking Table'!$Y471-83.853*'BMP P Tracking Table'!$X471-42.834*'BMP P Tracking Table'!$W471)+SQRT((3630*'BMP P Tracking Table'!$U471+20.691*'BMP P Tracking Table'!$Z471-216.711*'BMP P Tracking Table'!$Y471-83.853*'BMP P Tracking Table'!$X471-42.834*'BMP P Tracking Table'!$W471)^2-(4*(149.919*'BMP P Tracking Table'!$W471+236.676*'BMP P Tracking Table'!$X471+726*'BMP P Tracking Table'!$Y471+996.798*'BMP P Tracking Table'!$Z471)*-'BMP P Tracking Table'!$AW471)))/(2*(149.919*'BMP P Tracking Table'!$W471+236.676*'BMP P Tracking Table'!$X471+726*'BMP P Tracking Table'!$Y471+996.798*'BMP P Tracking Table'!$Z471)))))),"")</f>
        <v/>
      </c>
      <c r="BA471" s="101" t="str">
        <f>IFERROR((VLOOKUP(CONCATENATE('BMP P Tracking Table'!$AV471," ",'BMP P Tracking Table'!$AX471),'Performance Curves'!$C$1:$L$45,MATCH('BMP P Tracking Table'!$AZ471,'Performance Curves'!$E$1:$L$1,1)+2,FALSE)-VLOOKUP(CONCATENATE('BMP P Tracking Table'!$AV471," ",'BMP P Tracking Table'!$AX471),'Performance Curves'!$C$1:$L$45,MATCH('BMP P Tracking Table'!$AZ471,'Performance Curves'!$E$1:$L$1,1)+1,FALSE)),"")</f>
        <v/>
      </c>
      <c r="BB471" s="101" t="str">
        <f>IFERROR(('BMP P Tracking Table'!$AZ471-INDEX('Performance Curves'!$E$1:$L$1,1,MATCH('BMP P Tracking Table'!$AZ471,'Performance Curves'!$E$1:$L$1,1)))/(INDEX('Performance Curves'!$E$1:$L$1,1,MATCH('BMP P Tracking Table'!$AZ471,'Performance Curves'!$E$1:$L$1,1)+1)-INDEX('Performance Curves'!$E$1:$L$1,1,MATCH('BMP P Tracking Table'!$AZ471,'Performance Curves'!$E$1:$L$1,1))),"")</f>
        <v/>
      </c>
      <c r="BC471" s="102" t="str">
        <f>IFERROR(IF('BMP P Tracking Table'!$AZ471=2,VLOOKUP(CONCATENATE('BMP P Tracking Table'!$AV471," ",'BMP P Tracking Table'!$AX471),'Performance Curves'!$C$1:$L$44,MATCH('BMP P Tracking Table'!$AZ471,'Performance Curves'!$E$1:$L$1,1)+1,FALSE),'BMP P Tracking Table'!$BA471*'BMP P Tracking Table'!$BB471+VLOOKUP(CONCATENATE('BMP P Tracking Table'!$AV471," ",'BMP P Tracking Table'!$AX471),'Performance Curves'!$C$1:$L$44,MATCH('BMP P Tracking Table'!$AZ471,'Performance Curves'!$E$1:$L$1,1)+1,FALSE)),"")</f>
        <v/>
      </c>
      <c r="BD471" s="101" t="str">
        <f>IFERROR('BMP P Tracking Table'!$BC471*'BMP P Tracking Table'!$AY471,"")</f>
        <v/>
      </c>
      <c r="BE471" s="96"/>
      <c r="BF471" s="37">
        <f t="shared" si="25"/>
        <v>0</v>
      </c>
    </row>
    <row r="472" spans="1:58" x14ac:dyDescent="0.3">
      <c r="A472" s="64"/>
      <c r="B472" s="64"/>
      <c r="C472" s="64"/>
      <c r="D472" s="64"/>
      <c r="E472" s="93"/>
      <c r="F472" s="93"/>
      <c r="G472" s="64"/>
      <c r="H472" s="64"/>
      <c r="I472" s="64"/>
      <c r="J472" s="94"/>
      <c r="K472" s="64"/>
      <c r="L472" s="64"/>
      <c r="M472" s="64"/>
      <c r="N472" s="64"/>
      <c r="O472" s="64"/>
      <c r="P472" s="64"/>
      <c r="Q472" s="64" t="str">
        <f>IFERROR(VLOOKUP('BMP P Tracking Table'!$P472,Dropdowns!$C$2:$E$15,3,FALSE),"")</f>
        <v/>
      </c>
      <c r="R472" s="64" t="str">
        <f>IFERROR(VLOOKUP('BMP P Tracking Table'!$Q472,Dropdowns!$P$3:$Q$23,2,FALSE),"")</f>
        <v/>
      </c>
      <c r="S472" s="64"/>
      <c r="T472" s="64"/>
      <c r="U472" s="64"/>
      <c r="V472" s="64"/>
      <c r="W472" s="64"/>
      <c r="X472" s="64"/>
      <c r="Y472" s="64"/>
      <c r="Z472" s="64"/>
      <c r="AA472" s="64"/>
      <c r="AB472" s="95"/>
      <c r="AC472" s="64"/>
      <c r="AD472" s="101" t="str">
        <f>IFERROR('BMP P Tracking Table'!$U472*VLOOKUP('BMP P Tracking Table'!$Q472,'Loading Rates'!$B$1:$L$24,4,FALSE)+IF('BMP P Tracking Table'!$V472="By HSG",'BMP P Tracking Table'!$W472*VLOOKUP('BMP P Tracking Table'!$Q472,'Loading Rates'!$B$1:$L$24,6,FALSE)+'BMP P Tracking Table'!$X472*VLOOKUP('BMP P Tracking Table'!$Q472,'Loading Rates'!$B$1:$L$24,7,FALSE)+'BMP P Tracking Table'!$Y472*VLOOKUP('BMP P Tracking Table'!$Q472,'Loading Rates'!$B$1:$L$24,8,FALSE)+'BMP P Tracking Table'!$Z472*VLOOKUP('BMP P Tracking Table'!$Q472,'Loading Rates'!$B$1:$L$24,9,FALSE),'BMP P Tracking Table'!$AA472*VLOOKUP('BMP P Tracking Table'!$Q472,'Loading Rates'!$B$1:$L$24,10,FALSE)),"")</f>
        <v/>
      </c>
      <c r="AE472" s="101" t="str">
        <f>IFERROR(MIN(2,IF('BMP P Tracking Table'!$V472="Total Pervious",(-(3630*'BMP P Tracking Table'!$U472+20.691*'BMP P Tracking Table'!$AA472)+SQRT((3630*'BMP P Tracking Table'!$U472+20.691*'BMP P Tracking Table'!$AA472)^2-(4*(996.798*'BMP P Tracking Table'!$AA472)*-'BMP P Tracking Table'!$AB472)))/(2*(996.798*'BMP P Tracking Table'!$AA472)),IF(SUM('BMP P Tracking Table'!$W472:$Z472)=0,'BMP P Tracking Table'!$AB472/(-3630*'BMP P Tracking Table'!$U472),(-(3630*'BMP P Tracking Table'!$U472+20.691*'BMP P Tracking Table'!$Z472-216.711*'BMP P Tracking Table'!$Y472-83.853*'BMP P Tracking Table'!$X472-42.834*'BMP P Tracking Table'!$W472)+SQRT((3630*'BMP P Tracking Table'!$U472+20.691*'BMP P Tracking Table'!$Z472-216.711*'BMP P Tracking Table'!$Y472-83.853*'BMP P Tracking Table'!$X472-42.834*'BMP P Tracking Table'!$W472)^2-(4*(149.919*'BMP P Tracking Table'!$W472+236.676*'BMP P Tracking Table'!$X472+726*'BMP P Tracking Table'!$Y472+996.798*'BMP P Tracking Table'!$Z472)*-'BMP P Tracking Table'!$AB472)))/(2*(149.919*'BMP P Tracking Table'!$W472+236.676*'BMP P Tracking Table'!$X472+726*'BMP P Tracking Table'!$Y472+996.798*'BMP P Tracking Table'!$Z472))))),"")</f>
        <v/>
      </c>
      <c r="AF472" s="101" t="str">
        <f>IFERROR((VLOOKUP(CONCATENATE('BMP P Tracking Table'!$T472," ",'BMP P Tracking Table'!$AC472),'Performance Curves'!$C$1:$L$45,MATCH('BMP P Tracking Table'!$AE472,'Performance Curves'!$E$1:$L$1,1)+2,FALSE)-VLOOKUP(CONCATENATE('BMP P Tracking Table'!$T472," ",'BMP P Tracking Table'!$AC472),'Performance Curves'!$C$1:$L$45,MATCH('BMP P Tracking Table'!$AE472,'Performance Curves'!$E$1:$L$1,1)+1,FALSE)),"")</f>
        <v/>
      </c>
      <c r="AG472" s="101" t="str">
        <f>IFERROR(('BMP P Tracking Table'!$AE472-INDEX('Performance Curves'!$E$1:$L$1,1,MATCH('BMP P Tracking Table'!$AE472,'Performance Curves'!$E$1:$L$1,1)))/(INDEX('Performance Curves'!$E$1:$L$1,1,MATCH('BMP P Tracking Table'!$AE472,'Performance Curves'!$E$1:$L$1,1)+1)-INDEX('Performance Curves'!$E$1:$L$1,1,MATCH('BMP P Tracking Table'!$AE472,'Performance Curves'!$E$1:$L$1,1))),"")</f>
        <v/>
      </c>
      <c r="AH472" s="102" t="str">
        <f>IFERROR(IF('BMP P Tracking Table'!$AE472=2,VLOOKUP(CONCATENATE('BMP P Tracking Table'!$T472," ",'BMP P Tracking Table'!$AC472),'Performance Curves'!$C$1:$L$45,MATCH('BMP P Tracking Table'!$AE472,'Performance Curves'!$E$1:$L$1,1)+1,FALSE),'BMP P Tracking Table'!$AF472*'BMP P Tracking Table'!$AG472+VLOOKUP(CONCATENATE('BMP P Tracking Table'!$T472," ",'BMP P Tracking Table'!$AC472),'Performance Curves'!$C$1:$L$45,MATCH('BMP P Tracking Table'!$AE472,'Performance Curves'!$E$1:$L$1,1)+1,FALSE)),"")</f>
        <v/>
      </c>
      <c r="AI472" s="101" t="str">
        <f>IFERROR('BMP P Tracking Table'!$AH472*'BMP P Tracking Table'!$AD472,"")</f>
        <v/>
      </c>
      <c r="AJ472" s="64"/>
      <c r="AK472" s="96"/>
      <c r="AL472" s="96"/>
      <c r="AM472" s="63"/>
      <c r="AN472" s="99" t="str">
        <f t="shared" si="24"/>
        <v/>
      </c>
      <c r="AO472" s="96"/>
      <c r="AP472" s="96"/>
      <c r="AQ472" s="96"/>
      <c r="AR472" s="96"/>
      <c r="AS472" s="96"/>
      <c r="AT472" s="96"/>
      <c r="AU472" s="96"/>
      <c r="AV472" s="64"/>
      <c r="AW472" s="97"/>
      <c r="AX472" s="97"/>
      <c r="AY472" s="101" t="str">
        <f>IF('BMP P Tracking Table'!$AK472="Yes",IF('BMP P Tracking Table'!$AL472="No",'BMP P Tracking Table'!$U472*VLOOKUP('BMP P Tracking Table'!$Q472,'Loading Rates'!$B$1:$L$24,4,FALSE)+IF('BMP P Tracking Table'!$V472="By HSG",'BMP P Tracking Table'!$W472*VLOOKUP('BMP P Tracking Table'!$Q472,'Loading Rates'!$B$1:$L$24,6,FALSE)+'BMP P Tracking Table'!$X472*VLOOKUP('BMP P Tracking Table'!$Q472,'Loading Rates'!$B$1:$L$24,7,FALSE)+'BMP P Tracking Table'!$Y472*VLOOKUP('BMP P Tracking Table'!$Q472,'Loading Rates'!$B$1:$L$24,8,FALSE)+'BMP P Tracking Table'!$Z472*VLOOKUP('BMP P Tracking Table'!$Q472,'Loading Rates'!$B$1:$L$24,9,FALSE),'BMP P Tracking Table'!$AA472*VLOOKUP('BMP P Tracking Table'!$Q472,'Loading Rates'!$B$1:$L$24,10,FALSE)),'BMP P Tracking Table'!$AO472*VLOOKUP('BMP P Tracking Table'!$Q472,'Loading Rates'!$B$1:$L$24,4,FALSE)+IF('BMP P Tracking Table'!$AP472="By HSG",'BMP P Tracking Table'!$AQ472*VLOOKUP('BMP P Tracking Table'!$Q472,'Loading Rates'!$B$1:$L$24,6,FALSE)+'BMP P Tracking Table'!$AR472*VLOOKUP('BMP P Tracking Table'!$Q472,'Loading Rates'!$B$1:$L$24,7,FALSE)+'BMP P Tracking Table'!$AS472*VLOOKUP('BMP P Tracking Table'!$Q472,'Loading Rates'!$B$1:$L$24,8,FALSE)+'BMP P Tracking Table'!$AT472*VLOOKUP('BMP P Tracking Table'!$Q472,'Loading Rates'!$B$1:$L$24,9,FALSE),'BMP P Tracking Table'!$AU472*VLOOKUP('BMP P Tracking Table'!$Q472,'Loading Rates'!$B$1:$L$24,10,FALSE))),"")</f>
        <v/>
      </c>
      <c r="AZ472" s="101" t="str">
        <f>IFERROR(IF('BMP P Tracking Table'!$AL472="Yes",MIN(2,IF('BMP P Tracking Table'!$AP472="Total Pervious",(-(3630*'BMP P Tracking Table'!$AO472+20.691*'BMP P Tracking Table'!$AU472)+SQRT((3630*'BMP P Tracking Table'!$AO472+20.691*'BMP P Tracking Table'!$AU472)^2-(4*(996.798*'BMP P Tracking Table'!$AU472)*-'BMP P Tracking Table'!$AW472)))/(2*(996.798*'BMP P Tracking Table'!$AU472)),IF(SUM('BMP P Tracking Table'!$AQ472:$AT472)=0,'BMP P Tracking Table'!$AU472/(-3630*'BMP P Tracking Table'!$AO472),(-(3630*'BMP P Tracking Table'!$AO472+20.691*'BMP P Tracking Table'!$AT472-216.711*'BMP P Tracking Table'!$AS472-83.853*'BMP P Tracking Table'!$AR472-42.834*'BMP P Tracking Table'!$AQ472)+SQRT((3630*'BMP P Tracking Table'!$AO472+20.691*'BMP P Tracking Table'!$AT472-216.711*'BMP P Tracking Table'!$AS472-83.853*'BMP P Tracking Table'!$AR472-42.834*'BMP P Tracking Table'!$AQ472)^2-(4*(149.919*'BMP P Tracking Table'!$AQ472+236.676*'BMP P Tracking Table'!$AR472+726*'BMP P Tracking Table'!$AS472+996.798*'BMP P Tracking Table'!$AT472)*-'BMP P Tracking Table'!$AW472)))/(2*(149.919*'BMP P Tracking Table'!$AQ472+236.676*'BMP P Tracking Table'!$AR472+726*'BMP P Tracking Table'!$AS472+996.798*'BMP P Tracking Table'!$AT472))))),MIN(2,IF('BMP P Tracking Table'!$AP472="Total Pervious",(-(3630*'BMP P Tracking Table'!$U472+20.691*'BMP P Tracking Table'!$AA472)+SQRT((3630*'BMP P Tracking Table'!$U472+20.691*'BMP P Tracking Table'!$AA472)^2-(4*(996.798*'BMP P Tracking Table'!$AA472)*-'BMP P Tracking Table'!$AW472)))/(2*(996.798*'BMP P Tracking Table'!$AA472)),IF(SUM('BMP P Tracking Table'!$W472:$Z472)=0,'BMP P Tracking Table'!$AW472/(-3630*'BMP P Tracking Table'!$U472),(-(3630*'BMP P Tracking Table'!$U472+20.691*'BMP P Tracking Table'!$Z472-216.711*'BMP P Tracking Table'!$Y472-83.853*'BMP P Tracking Table'!$X472-42.834*'BMP P Tracking Table'!$W472)+SQRT((3630*'BMP P Tracking Table'!$U472+20.691*'BMP P Tracking Table'!$Z472-216.711*'BMP P Tracking Table'!$Y472-83.853*'BMP P Tracking Table'!$X472-42.834*'BMP P Tracking Table'!$W472)^2-(4*(149.919*'BMP P Tracking Table'!$W472+236.676*'BMP P Tracking Table'!$X472+726*'BMP P Tracking Table'!$Y472+996.798*'BMP P Tracking Table'!$Z472)*-'BMP P Tracking Table'!$AW472)))/(2*(149.919*'BMP P Tracking Table'!$W472+236.676*'BMP P Tracking Table'!$X472+726*'BMP P Tracking Table'!$Y472+996.798*'BMP P Tracking Table'!$Z472)))))),"")</f>
        <v/>
      </c>
      <c r="BA472" s="101" t="str">
        <f>IFERROR((VLOOKUP(CONCATENATE('BMP P Tracking Table'!$AV472," ",'BMP P Tracking Table'!$AX472),'Performance Curves'!$C$1:$L$45,MATCH('BMP P Tracking Table'!$AZ472,'Performance Curves'!$E$1:$L$1,1)+2,FALSE)-VLOOKUP(CONCATENATE('BMP P Tracking Table'!$AV472," ",'BMP P Tracking Table'!$AX472),'Performance Curves'!$C$1:$L$45,MATCH('BMP P Tracking Table'!$AZ472,'Performance Curves'!$E$1:$L$1,1)+1,FALSE)),"")</f>
        <v/>
      </c>
      <c r="BB472" s="101" t="str">
        <f>IFERROR(('BMP P Tracking Table'!$AZ472-INDEX('Performance Curves'!$E$1:$L$1,1,MATCH('BMP P Tracking Table'!$AZ472,'Performance Curves'!$E$1:$L$1,1)))/(INDEX('Performance Curves'!$E$1:$L$1,1,MATCH('BMP P Tracking Table'!$AZ472,'Performance Curves'!$E$1:$L$1,1)+1)-INDEX('Performance Curves'!$E$1:$L$1,1,MATCH('BMP P Tracking Table'!$AZ472,'Performance Curves'!$E$1:$L$1,1))),"")</f>
        <v/>
      </c>
      <c r="BC472" s="102" t="str">
        <f>IFERROR(IF('BMP P Tracking Table'!$AZ472=2,VLOOKUP(CONCATENATE('BMP P Tracking Table'!$AV472," ",'BMP P Tracking Table'!$AX472),'Performance Curves'!$C$1:$L$44,MATCH('BMP P Tracking Table'!$AZ472,'Performance Curves'!$E$1:$L$1,1)+1,FALSE),'BMP P Tracking Table'!$BA472*'BMP P Tracking Table'!$BB472+VLOOKUP(CONCATENATE('BMP P Tracking Table'!$AV472," ",'BMP P Tracking Table'!$AX472),'Performance Curves'!$C$1:$L$44,MATCH('BMP P Tracking Table'!$AZ472,'Performance Curves'!$E$1:$L$1,1)+1,FALSE)),"")</f>
        <v/>
      </c>
      <c r="BD472" s="101" t="str">
        <f>IFERROR('BMP P Tracking Table'!$BC472*'BMP P Tracking Table'!$AY472,"")</f>
        <v/>
      </c>
      <c r="BE472" s="96"/>
      <c r="BF472" s="37">
        <f t="shared" si="25"/>
        <v>0</v>
      </c>
    </row>
    <row r="473" spans="1:58" x14ac:dyDescent="0.3">
      <c r="A473" s="64"/>
      <c r="B473" s="64"/>
      <c r="C473" s="64"/>
      <c r="D473" s="64"/>
      <c r="E473" s="93"/>
      <c r="F473" s="93"/>
      <c r="G473" s="64"/>
      <c r="H473" s="64"/>
      <c r="I473" s="64"/>
      <c r="J473" s="94"/>
      <c r="K473" s="64"/>
      <c r="L473" s="64"/>
      <c r="M473" s="64"/>
      <c r="N473" s="64"/>
      <c r="O473" s="64"/>
      <c r="P473" s="64"/>
      <c r="Q473" s="64" t="str">
        <f>IFERROR(VLOOKUP('BMP P Tracking Table'!$P473,Dropdowns!$C$2:$E$15,3,FALSE),"")</f>
        <v/>
      </c>
      <c r="R473" s="64" t="str">
        <f>IFERROR(VLOOKUP('BMP P Tracking Table'!$Q473,Dropdowns!$P$3:$Q$23,2,FALSE),"")</f>
        <v/>
      </c>
      <c r="S473" s="64"/>
      <c r="T473" s="64"/>
      <c r="U473" s="64"/>
      <c r="V473" s="64"/>
      <c r="W473" s="64"/>
      <c r="X473" s="64"/>
      <c r="Y473" s="64"/>
      <c r="Z473" s="64"/>
      <c r="AA473" s="64"/>
      <c r="AB473" s="95"/>
      <c r="AC473" s="64"/>
      <c r="AD473" s="101" t="str">
        <f>IFERROR('BMP P Tracking Table'!$U473*VLOOKUP('BMP P Tracking Table'!$Q473,'Loading Rates'!$B$1:$L$24,4,FALSE)+IF('BMP P Tracking Table'!$V473="By HSG",'BMP P Tracking Table'!$W473*VLOOKUP('BMP P Tracking Table'!$Q473,'Loading Rates'!$B$1:$L$24,6,FALSE)+'BMP P Tracking Table'!$X473*VLOOKUP('BMP P Tracking Table'!$Q473,'Loading Rates'!$B$1:$L$24,7,FALSE)+'BMP P Tracking Table'!$Y473*VLOOKUP('BMP P Tracking Table'!$Q473,'Loading Rates'!$B$1:$L$24,8,FALSE)+'BMP P Tracking Table'!$Z473*VLOOKUP('BMP P Tracking Table'!$Q473,'Loading Rates'!$B$1:$L$24,9,FALSE),'BMP P Tracking Table'!$AA473*VLOOKUP('BMP P Tracking Table'!$Q473,'Loading Rates'!$B$1:$L$24,10,FALSE)),"")</f>
        <v/>
      </c>
      <c r="AE473" s="101" t="str">
        <f>IFERROR(MIN(2,IF('BMP P Tracking Table'!$V473="Total Pervious",(-(3630*'BMP P Tracking Table'!$U473+20.691*'BMP P Tracking Table'!$AA473)+SQRT((3630*'BMP P Tracking Table'!$U473+20.691*'BMP P Tracking Table'!$AA473)^2-(4*(996.798*'BMP P Tracking Table'!$AA473)*-'BMP P Tracking Table'!$AB473)))/(2*(996.798*'BMP P Tracking Table'!$AA473)),IF(SUM('BMP P Tracking Table'!$W473:$Z473)=0,'BMP P Tracking Table'!$AB473/(-3630*'BMP P Tracking Table'!$U473),(-(3630*'BMP P Tracking Table'!$U473+20.691*'BMP P Tracking Table'!$Z473-216.711*'BMP P Tracking Table'!$Y473-83.853*'BMP P Tracking Table'!$X473-42.834*'BMP P Tracking Table'!$W473)+SQRT((3630*'BMP P Tracking Table'!$U473+20.691*'BMP P Tracking Table'!$Z473-216.711*'BMP P Tracking Table'!$Y473-83.853*'BMP P Tracking Table'!$X473-42.834*'BMP P Tracking Table'!$W473)^2-(4*(149.919*'BMP P Tracking Table'!$W473+236.676*'BMP P Tracking Table'!$X473+726*'BMP P Tracking Table'!$Y473+996.798*'BMP P Tracking Table'!$Z473)*-'BMP P Tracking Table'!$AB473)))/(2*(149.919*'BMP P Tracking Table'!$W473+236.676*'BMP P Tracking Table'!$X473+726*'BMP P Tracking Table'!$Y473+996.798*'BMP P Tracking Table'!$Z473))))),"")</f>
        <v/>
      </c>
      <c r="AF473" s="101" t="str">
        <f>IFERROR((VLOOKUP(CONCATENATE('BMP P Tracking Table'!$T473," ",'BMP P Tracking Table'!$AC473),'Performance Curves'!$C$1:$L$45,MATCH('BMP P Tracking Table'!$AE473,'Performance Curves'!$E$1:$L$1,1)+2,FALSE)-VLOOKUP(CONCATENATE('BMP P Tracking Table'!$T473," ",'BMP P Tracking Table'!$AC473),'Performance Curves'!$C$1:$L$45,MATCH('BMP P Tracking Table'!$AE473,'Performance Curves'!$E$1:$L$1,1)+1,FALSE)),"")</f>
        <v/>
      </c>
      <c r="AG473" s="101" t="str">
        <f>IFERROR(('BMP P Tracking Table'!$AE473-INDEX('Performance Curves'!$E$1:$L$1,1,MATCH('BMP P Tracking Table'!$AE473,'Performance Curves'!$E$1:$L$1,1)))/(INDEX('Performance Curves'!$E$1:$L$1,1,MATCH('BMP P Tracking Table'!$AE473,'Performance Curves'!$E$1:$L$1,1)+1)-INDEX('Performance Curves'!$E$1:$L$1,1,MATCH('BMP P Tracking Table'!$AE473,'Performance Curves'!$E$1:$L$1,1))),"")</f>
        <v/>
      </c>
      <c r="AH473" s="102" t="str">
        <f>IFERROR(IF('BMP P Tracking Table'!$AE473=2,VLOOKUP(CONCATENATE('BMP P Tracking Table'!$T473," ",'BMP P Tracking Table'!$AC473),'Performance Curves'!$C$1:$L$45,MATCH('BMP P Tracking Table'!$AE473,'Performance Curves'!$E$1:$L$1,1)+1,FALSE),'BMP P Tracking Table'!$AF473*'BMP P Tracking Table'!$AG473+VLOOKUP(CONCATENATE('BMP P Tracking Table'!$T473," ",'BMP P Tracking Table'!$AC473),'Performance Curves'!$C$1:$L$45,MATCH('BMP P Tracking Table'!$AE473,'Performance Curves'!$E$1:$L$1,1)+1,FALSE)),"")</f>
        <v/>
      </c>
      <c r="AI473" s="101" t="str">
        <f>IFERROR('BMP P Tracking Table'!$AH473*'BMP P Tracking Table'!$AD473,"")</f>
        <v/>
      </c>
      <c r="AJ473" s="64"/>
      <c r="AK473" s="96"/>
      <c r="AL473" s="96"/>
      <c r="AM473" s="63"/>
      <c r="AN473" s="99" t="str">
        <f t="shared" si="24"/>
        <v/>
      </c>
      <c r="AO473" s="96"/>
      <c r="AP473" s="96"/>
      <c r="AQ473" s="96"/>
      <c r="AR473" s="96"/>
      <c r="AS473" s="96"/>
      <c r="AT473" s="96"/>
      <c r="AU473" s="96"/>
      <c r="AV473" s="64"/>
      <c r="AW473" s="97"/>
      <c r="AX473" s="97"/>
      <c r="AY473" s="101" t="str">
        <f>IF('BMP P Tracking Table'!$AK473="Yes",IF('BMP P Tracking Table'!$AL473="No",'BMP P Tracking Table'!$U473*VLOOKUP('BMP P Tracking Table'!$Q473,'Loading Rates'!$B$1:$L$24,4,FALSE)+IF('BMP P Tracking Table'!$V473="By HSG",'BMP P Tracking Table'!$W473*VLOOKUP('BMP P Tracking Table'!$Q473,'Loading Rates'!$B$1:$L$24,6,FALSE)+'BMP P Tracking Table'!$X473*VLOOKUP('BMP P Tracking Table'!$Q473,'Loading Rates'!$B$1:$L$24,7,FALSE)+'BMP P Tracking Table'!$Y473*VLOOKUP('BMP P Tracking Table'!$Q473,'Loading Rates'!$B$1:$L$24,8,FALSE)+'BMP P Tracking Table'!$Z473*VLOOKUP('BMP P Tracking Table'!$Q473,'Loading Rates'!$B$1:$L$24,9,FALSE),'BMP P Tracking Table'!$AA473*VLOOKUP('BMP P Tracking Table'!$Q473,'Loading Rates'!$B$1:$L$24,10,FALSE)),'BMP P Tracking Table'!$AO473*VLOOKUP('BMP P Tracking Table'!$Q473,'Loading Rates'!$B$1:$L$24,4,FALSE)+IF('BMP P Tracking Table'!$AP473="By HSG",'BMP P Tracking Table'!$AQ473*VLOOKUP('BMP P Tracking Table'!$Q473,'Loading Rates'!$B$1:$L$24,6,FALSE)+'BMP P Tracking Table'!$AR473*VLOOKUP('BMP P Tracking Table'!$Q473,'Loading Rates'!$B$1:$L$24,7,FALSE)+'BMP P Tracking Table'!$AS473*VLOOKUP('BMP P Tracking Table'!$Q473,'Loading Rates'!$B$1:$L$24,8,FALSE)+'BMP P Tracking Table'!$AT473*VLOOKUP('BMP P Tracking Table'!$Q473,'Loading Rates'!$B$1:$L$24,9,FALSE),'BMP P Tracking Table'!$AU473*VLOOKUP('BMP P Tracking Table'!$Q473,'Loading Rates'!$B$1:$L$24,10,FALSE))),"")</f>
        <v/>
      </c>
      <c r="AZ473" s="101" t="str">
        <f>IFERROR(IF('BMP P Tracking Table'!$AL473="Yes",MIN(2,IF('BMP P Tracking Table'!$AP473="Total Pervious",(-(3630*'BMP P Tracking Table'!$AO473+20.691*'BMP P Tracking Table'!$AU473)+SQRT((3630*'BMP P Tracking Table'!$AO473+20.691*'BMP P Tracking Table'!$AU473)^2-(4*(996.798*'BMP P Tracking Table'!$AU473)*-'BMP P Tracking Table'!$AW473)))/(2*(996.798*'BMP P Tracking Table'!$AU473)),IF(SUM('BMP P Tracking Table'!$AQ473:$AT473)=0,'BMP P Tracking Table'!$AU473/(-3630*'BMP P Tracking Table'!$AO473),(-(3630*'BMP P Tracking Table'!$AO473+20.691*'BMP P Tracking Table'!$AT473-216.711*'BMP P Tracking Table'!$AS473-83.853*'BMP P Tracking Table'!$AR473-42.834*'BMP P Tracking Table'!$AQ473)+SQRT((3630*'BMP P Tracking Table'!$AO473+20.691*'BMP P Tracking Table'!$AT473-216.711*'BMP P Tracking Table'!$AS473-83.853*'BMP P Tracking Table'!$AR473-42.834*'BMP P Tracking Table'!$AQ473)^2-(4*(149.919*'BMP P Tracking Table'!$AQ473+236.676*'BMP P Tracking Table'!$AR473+726*'BMP P Tracking Table'!$AS473+996.798*'BMP P Tracking Table'!$AT473)*-'BMP P Tracking Table'!$AW473)))/(2*(149.919*'BMP P Tracking Table'!$AQ473+236.676*'BMP P Tracking Table'!$AR473+726*'BMP P Tracking Table'!$AS473+996.798*'BMP P Tracking Table'!$AT473))))),MIN(2,IF('BMP P Tracking Table'!$AP473="Total Pervious",(-(3630*'BMP P Tracking Table'!$U473+20.691*'BMP P Tracking Table'!$AA473)+SQRT((3630*'BMP P Tracking Table'!$U473+20.691*'BMP P Tracking Table'!$AA473)^2-(4*(996.798*'BMP P Tracking Table'!$AA473)*-'BMP P Tracking Table'!$AW473)))/(2*(996.798*'BMP P Tracking Table'!$AA473)),IF(SUM('BMP P Tracking Table'!$W473:$Z473)=0,'BMP P Tracking Table'!$AW473/(-3630*'BMP P Tracking Table'!$U473),(-(3630*'BMP P Tracking Table'!$U473+20.691*'BMP P Tracking Table'!$Z473-216.711*'BMP P Tracking Table'!$Y473-83.853*'BMP P Tracking Table'!$X473-42.834*'BMP P Tracking Table'!$W473)+SQRT((3630*'BMP P Tracking Table'!$U473+20.691*'BMP P Tracking Table'!$Z473-216.711*'BMP P Tracking Table'!$Y473-83.853*'BMP P Tracking Table'!$X473-42.834*'BMP P Tracking Table'!$W473)^2-(4*(149.919*'BMP P Tracking Table'!$W473+236.676*'BMP P Tracking Table'!$X473+726*'BMP P Tracking Table'!$Y473+996.798*'BMP P Tracking Table'!$Z473)*-'BMP P Tracking Table'!$AW473)))/(2*(149.919*'BMP P Tracking Table'!$W473+236.676*'BMP P Tracking Table'!$X473+726*'BMP P Tracking Table'!$Y473+996.798*'BMP P Tracking Table'!$Z473)))))),"")</f>
        <v/>
      </c>
      <c r="BA473" s="101" t="str">
        <f>IFERROR((VLOOKUP(CONCATENATE('BMP P Tracking Table'!$AV473," ",'BMP P Tracking Table'!$AX473),'Performance Curves'!$C$1:$L$45,MATCH('BMP P Tracking Table'!$AZ473,'Performance Curves'!$E$1:$L$1,1)+2,FALSE)-VLOOKUP(CONCATENATE('BMP P Tracking Table'!$AV473," ",'BMP P Tracking Table'!$AX473),'Performance Curves'!$C$1:$L$45,MATCH('BMP P Tracking Table'!$AZ473,'Performance Curves'!$E$1:$L$1,1)+1,FALSE)),"")</f>
        <v/>
      </c>
      <c r="BB473" s="101" t="str">
        <f>IFERROR(('BMP P Tracking Table'!$AZ473-INDEX('Performance Curves'!$E$1:$L$1,1,MATCH('BMP P Tracking Table'!$AZ473,'Performance Curves'!$E$1:$L$1,1)))/(INDEX('Performance Curves'!$E$1:$L$1,1,MATCH('BMP P Tracking Table'!$AZ473,'Performance Curves'!$E$1:$L$1,1)+1)-INDEX('Performance Curves'!$E$1:$L$1,1,MATCH('BMP P Tracking Table'!$AZ473,'Performance Curves'!$E$1:$L$1,1))),"")</f>
        <v/>
      </c>
      <c r="BC473" s="102" t="str">
        <f>IFERROR(IF('BMP P Tracking Table'!$AZ473=2,VLOOKUP(CONCATENATE('BMP P Tracking Table'!$AV473," ",'BMP P Tracking Table'!$AX473),'Performance Curves'!$C$1:$L$44,MATCH('BMP P Tracking Table'!$AZ473,'Performance Curves'!$E$1:$L$1,1)+1,FALSE),'BMP P Tracking Table'!$BA473*'BMP P Tracking Table'!$BB473+VLOOKUP(CONCATENATE('BMP P Tracking Table'!$AV473," ",'BMP P Tracking Table'!$AX473),'Performance Curves'!$C$1:$L$44,MATCH('BMP P Tracking Table'!$AZ473,'Performance Curves'!$E$1:$L$1,1)+1,FALSE)),"")</f>
        <v/>
      </c>
      <c r="BD473" s="101" t="str">
        <f>IFERROR('BMP P Tracking Table'!$BC473*'BMP P Tracking Table'!$AY473,"")</f>
        <v/>
      </c>
      <c r="BE473" s="96"/>
      <c r="BF473" s="37">
        <f t="shared" si="25"/>
        <v>0</v>
      </c>
    </row>
    <row r="474" spans="1:58" x14ac:dyDescent="0.3">
      <c r="A474" s="64"/>
      <c r="B474" s="64"/>
      <c r="C474" s="64"/>
      <c r="D474" s="64"/>
      <c r="E474" s="93"/>
      <c r="F474" s="93"/>
      <c r="G474" s="64"/>
      <c r="H474" s="64"/>
      <c r="I474" s="64"/>
      <c r="J474" s="94"/>
      <c r="K474" s="64"/>
      <c r="L474" s="64"/>
      <c r="M474" s="64"/>
      <c r="N474" s="64"/>
      <c r="O474" s="64"/>
      <c r="P474" s="64"/>
      <c r="Q474" s="64" t="str">
        <f>IFERROR(VLOOKUP('BMP P Tracking Table'!$P474,Dropdowns!$C$2:$E$15,3,FALSE),"")</f>
        <v/>
      </c>
      <c r="R474" s="64" t="str">
        <f>IFERROR(VLOOKUP('BMP P Tracking Table'!$Q474,Dropdowns!$P$3:$Q$23,2,FALSE),"")</f>
        <v/>
      </c>
      <c r="S474" s="64"/>
      <c r="T474" s="64"/>
      <c r="U474" s="64"/>
      <c r="V474" s="64"/>
      <c r="W474" s="64"/>
      <c r="X474" s="64"/>
      <c r="Y474" s="64"/>
      <c r="Z474" s="64"/>
      <c r="AA474" s="64"/>
      <c r="AB474" s="95"/>
      <c r="AC474" s="64"/>
      <c r="AD474" s="101" t="str">
        <f>IFERROR('BMP P Tracking Table'!$U474*VLOOKUP('BMP P Tracking Table'!$Q474,'Loading Rates'!$B$1:$L$24,4,FALSE)+IF('BMP P Tracking Table'!$V474="By HSG",'BMP P Tracking Table'!$W474*VLOOKUP('BMP P Tracking Table'!$Q474,'Loading Rates'!$B$1:$L$24,6,FALSE)+'BMP P Tracking Table'!$X474*VLOOKUP('BMP P Tracking Table'!$Q474,'Loading Rates'!$B$1:$L$24,7,FALSE)+'BMP P Tracking Table'!$Y474*VLOOKUP('BMP P Tracking Table'!$Q474,'Loading Rates'!$B$1:$L$24,8,FALSE)+'BMP P Tracking Table'!$Z474*VLOOKUP('BMP P Tracking Table'!$Q474,'Loading Rates'!$B$1:$L$24,9,FALSE),'BMP P Tracking Table'!$AA474*VLOOKUP('BMP P Tracking Table'!$Q474,'Loading Rates'!$B$1:$L$24,10,FALSE)),"")</f>
        <v/>
      </c>
      <c r="AE474" s="101" t="str">
        <f>IFERROR(MIN(2,IF('BMP P Tracking Table'!$V474="Total Pervious",(-(3630*'BMP P Tracking Table'!$U474+20.691*'BMP P Tracking Table'!$AA474)+SQRT((3630*'BMP P Tracking Table'!$U474+20.691*'BMP P Tracking Table'!$AA474)^2-(4*(996.798*'BMP P Tracking Table'!$AA474)*-'BMP P Tracking Table'!$AB474)))/(2*(996.798*'BMP P Tracking Table'!$AA474)),IF(SUM('BMP P Tracking Table'!$W474:$Z474)=0,'BMP P Tracking Table'!$AB474/(-3630*'BMP P Tracking Table'!$U474),(-(3630*'BMP P Tracking Table'!$U474+20.691*'BMP P Tracking Table'!$Z474-216.711*'BMP P Tracking Table'!$Y474-83.853*'BMP P Tracking Table'!$X474-42.834*'BMP P Tracking Table'!$W474)+SQRT((3630*'BMP P Tracking Table'!$U474+20.691*'BMP P Tracking Table'!$Z474-216.711*'BMP P Tracking Table'!$Y474-83.853*'BMP P Tracking Table'!$X474-42.834*'BMP P Tracking Table'!$W474)^2-(4*(149.919*'BMP P Tracking Table'!$W474+236.676*'BMP P Tracking Table'!$X474+726*'BMP P Tracking Table'!$Y474+996.798*'BMP P Tracking Table'!$Z474)*-'BMP P Tracking Table'!$AB474)))/(2*(149.919*'BMP P Tracking Table'!$W474+236.676*'BMP P Tracking Table'!$X474+726*'BMP P Tracking Table'!$Y474+996.798*'BMP P Tracking Table'!$Z474))))),"")</f>
        <v/>
      </c>
      <c r="AF474" s="101" t="str">
        <f>IFERROR((VLOOKUP(CONCATENATE('BMP P Tracking Table'!$T474," ",'BMP P Tracking Table'!$AC474),'Performance Curves'!$C$1:$L$45,MATCH('BMP P Tracking Table'!$AE474,'Performance Curves'!$E$1:$L$1,1)+2,FALSE)-VLOOKUP(CONCATENATE('BMP P Tracking Table'!$T474," ",'BMP P Tracking Table'!$AC474),'Performance Curves'!$C$1:$L$45,MATCH('BMP P Tracking Table'!$AE474,'Performance Curves'!$E$1:$L$1,1)+1,FALSE)),"")</f>
        <v/>
      </c>
      <c r="AG474" s="101" t="str">
        <f>IFERROR(('BMP P Tracking Table'!$AE474-INDEX('Performance Curves'!$E$1:$L$1,1,MATCH('BMP P Tracking Table'!$AE474,'Performance Curves'!$E$1:$L$1,1)))/(INDEX('Performance Curves'!$E$1:$L$1,1,MATCH('BMP P Tracking Table'!$AE474,'Performance Curves'!$E$1:$L$1,1)+1)-INDEX('Performance Curves'!$E$1:$L$1,1,MATCH('BMP P Tracking Table'!$AE474,'Performance Curves'!$E$1:$L$1,1))),"")</f>
        <v/>
      </c>
      <c r="AH474" s="102" t="str">
        <f>IFERROR(IF('BMP P Tracking Table'!$AE474=2,VLOOKUP(CONCATENATE('BMP P Tracking Table'!$T474," ",'BMP P Tracking Table'!$AC474),'Performance Curves'!$C$1:$L$45,MATCH('BMP P Tracking Table'!$AE474,'Performance Curves'!$E$1:$L$1,1)+1,FALSE),'BMP P Tracking Table'!$AF474*'BMP P Tracking Table'!$AG474+VLOOKUP(CONCATENATE('BMP P Tracking Table'!$T474," ",'BMP P Tracking Table'!$AC474),'Performance Curves'!$C$1:$L$45,MATCH('BMP P Tracking Table'!$AE474,'Performance Curves'!$E$1:$L$1,1)+1,FALSE)),"")</f>
        <v/>
      </c>
      <c r="AI474" s="101" t="str">
        <f>IFERROR('BMP P Tracking Table'!$AH474*'BMP P Tracking Table'!$AD474,"")</f>
        <v/>
      </c>
      <c r="AJ474" s="64"/>
      <c r="AK474" s="96"/>
      <c r="AL474" s="96"/>
      <c r="AM474" s="63"/>
      <c r="AN474" s="99" t="str">
        <f t="shared" ref="AN474:AN523" si="26">IF(AK474="Yes",IF(BF474&gt;0,IF(ISBLANK(AJ474),AI474,AJ474)-IF(ISBLANK(BE474),BD474,BE474),"Enter Info --&gt;"),IF(ISBLANK(AJ474),AI474,AJ474))</f>
        <v/>
      </c>
      <c r="AO474" s="96"/>
      <c r="AP474" s="96"/>
      <c r="AQ474" s="96"/>
      <c r="AR474" s="96"/>
      <c r="AS474" s="96"/>
      <c r="AT474" s="96"/>
      <c r="AU474" s="96"/>
      <c r="AV474" s="64"/>
      <c r="AW474" s="97"/>
      <c r="AX474" s="97"/>
      <c r="AY474" s="101" t="str">
        <f>IF('BMP P Tracking Table'!$AK474="Yes",IF('BMP P Tracking Table'!$AL474="No",'BMP P Tracking Table'!$U474*VLOOKUP('BMP P Tracking Table'!$Q474,'Loading Rates'!$B$1:$L$24,4,FALSE)+IF('BMP P Tracking Table'!$V474="By HSG",'BMP P Tracking Table'!$W474*VLOOKUP('BMP P Tracking Table'!$Q474,'Loading Rates'!$B$1:$L$24,6,FALSE)+'BMP P Tracking Table'!$X474*VLOOKUP('BMP P Tracking Table'!$Q474,'Loading Rates'!$B$1:$L$24,7,FALSE)+'BMP P Tracking Table'!$Y474*VLOOKUP('BMP P Tracking Table'!$Q474,'Loading Rates'!$B$1:$L$24,8,FALSE)+'BMP P Tracking Table'!$Z474*VLOOKUP('BMP P Tracking Table'!$Q474,'Loading Rates'!$B$1:$L$24,9,FALSE),'BMP P Tracking Table'!$AA474*VLOOKUP('BMP P Tracking Table'!$Q474,'Loading Rates'!$B$1:$L$24,10,FALSE)),'BMP P Tracking Table'!$AO474*VLOOKUP('BMP P Tracking Table'!$Q474,'Loading Rates'!$B$1:$L$24,4,FALSE)+IF('BMP P Tracking Table'!$AP474="By HSG",'BMP P Tracking Table'!$AQ474*VLOOKUP('BMP P Tracking Table'!$Q474,'Loading Rates'!$B$1:$L$24,6,FALSE)+'BMP P Tracking Table'!$AR474*VLOOKUP('BMP P Tracking Table'!$Q474,'Loading Rates'!$B$1:$L$24,7,FALSE)+'BMP P Tracking Table'!$AS474*VLOOKUP('BMP P Tracking Table'!$Q474,'Loading Rates'!$B$1:$L$24,8,FALSE)+'BMP P Tracking Table'!$AT474*VLOOKUP('BMP P Tracking Table'!$Q474,'Loading Rates'!$B$1:$L$24,9,FALSE),'BMP P Tracking Table'!$AU474*VLOOKUP('BMP P Tracking Table'!$Q474,'Loading Rates'!$B$1:$L$24,10,FALSE))),"")</f>
        <v/>
      </c>
      <c r="AZ474" s="101" t="str">
        <f>IFERROR(IF('BMP P Tracking Table'!$AL474="Yes",MIN(2,IF('BMP P Tracking Table'!$AP474="Total Pervious",(-(3630*'BMP P Tracking Table'!$AO474+20.691*'BMP P Tracking Table'!$AU474)+SQRT((3630*'BMP P Tracking Table'!$AO474+20.691*'BMP P Tracking Table'!$AU474)^2-(4*(996.798*'BMP P Tracking Table'!$AU474)*-'BMP P Tracking Table'!$AW474)))/(2*(996.798*'BMP P Tracking Table'!$AU474)),IF(SUM('BMP P Tracking Table'!$AQ474:$AT474)=0,'BMP P Tracking Table'!$AU474/(-3630*'BMP P Tracking Table'!$AO474),(-(3630*'BMP P Tracking Table'!$AO474+20.691*'BMP P Tracking Table'!$AT474-216.711*'BMP P Tracking Table'!$AS474-83.853*'BMP P Tracking Table'!$AR474-42.834*'BMP P Tracking Table'!$AQ474)+SQRT((3630*'BMP P Tracking Table'!$AO474+20.691*'BMP P Tracking Table'!$AT474-216.711*'BMP P Tracking Table'!$AS474-83.853*'BMP P Tracking Table'!$AR474-42.834*'BMP P Tracking Table'!$AQ474)^2-(4*(149.919*'BMP P Tracking Table'!$AQ474+236.676*'BMP P Tracking Table'!$AR474+726*'BMP P Tracking Table'!$AS474+996.798*'BMP P Tracking Table'!$AT474)*-'BMP P Tracking Table'!$AW474)))/(2*(149.919*'BMP P Tracking Table'!$AQ474+236.676*'BMP P Tracking Table'!$AR474+726*'BMP P Tracking Table'!$AS474+996.798*'BMP P Tracking Table'!$AT474))))),MIN(2,IF('BMP P Tracking Table'!$AP474="Total Pervious",(-(3630*'BMP P Tracking Table'!$U474+20.691*'BMP P Tracking Table'!$AA474)+SQRT((3630*'BMP P Tracking Table'!$U474+20.691*'BMP P Tracking Table'!$AA474)^2-(4*(996.798*'BMP P Tracking Table'!$AA474)*-'BMP P Tracking Table'!$AW474)))/(2*(996.798*'BMP P Tracking Table'!$AA474)),IF(SUM('BMP P Tracking Table'!$W474:$Z474)=0,'BMP P Tracking Table'!$AW474/(-3630*'BMP P Tracking Table'!$U474),(-(3630*'BMP P Tracking Table'!$U474+20.691*'BMP P Tracking Table'!$Z474-216.711*'BMP P Tracking Table'!$Y474-83.853*'BMP P Tracking Table'!$X474-42.834*'BMP P Tracking Table'!$W474)+SQRT((3630*'BMP P Tracking Table'!$U474+20.691*'BMP P Tracking Table'!$Z474-216.711*'BMP P Tracking Table'!$Y474-83.853*'BMP P Tracking Table'!$X474-42.834*'BMP P Tracking Table'!$W474)^2-(4*(149.919*'BMP P Tracking Table'!$W474+236.676*'BMP P Tracking Table'!$X474+726*'BMP P Tracking Table'!$Y474+996.798*'BMP P Tracking Table'!$Z474)*-'BMP P Tracking Table'!$AW474)))/(2*(149.919*'BMP P Tracking Table'!$W474+236.676*'BMP P Tracking Table'!$X474+726*'BMP P Tracking Table'!$Y474+996.798*'BMP P Tracking Table'!$Z474)))))),"")</f>
        <v/>
      </c>
      <c r="BA474" s="101" t="str">
        <f>IFERROR((VLOOKUP(CONCATENATE('BMP P Tracking Table'!$AV474," ",'BMP P Tracking Table'!$AX474),'Performance Curves'!$C$1:$L$45,MATCH('BMP P Tracking Table'!$AZ474,'Performance Curves'!$E$1:$L$1,1)+2,FALSE)-VLOOKUP(CONCATENATE('BMP P Tracking Table'!$AV474," ",'BMP P Tracking Table'!$AX474),'Performance Curves'!$C$1:$L$45,MATCH('BMP P Tracking Table'!$AZ474,'Performance Curves'!$E$1:$L$1,1)+1,FALSE)),"")</f>
        <v/>
      </c>
      <c r="BB474" s="101" t="str">
        <f>IFERROR(('BMP P Tracking Table'!$AZ474-INDEX('Performance Curves'!$E$1:$L$1,1,MATCH('BMP P Tracking Table'!$AZ474,'Performance Curves'!$E$1:$L$1,1)))/(INDEX('Performance Curves'!$E$1:$L$1,1,MATCH('BMP P Tracking Table'!$AZ474,'Performance Curves'!$E$1:$L$1,1)+1)-INDEX('Performance Curves'!$E$1:$L$1,1,MATCH('BMP P Tracking Table'!$AZ474,'Performance Curves'!$E$1:$L$1,1))),"")</f>
        <v/>
      </c>
      <c r="BC474" s="102" t="str">
        <f>IFERROR(IF('BMP P Tracking Table'!$AZ474=2,VLOOKUP(CONCATENATE('BMP P Tracking Table'!$AV474," ",'BMP P Tracking Table'!$AX474),'Performance Curves'!$C$1:$L$44,MATCH('BMP P Tracking Table'!$AZ474,'Performance Curves'!$E$1:$L$1,1)+1,FALSE),'BMP P Tracking Table'!$BA474*'BMP P Tracking Table'!$BB474+VLOOKUP(CONCATENATE('BMP P Tracking Table'!$AV474," ",'BMP P Tracking Table'!$AX474),'Performance Curves'!$C$1:$L$44,MATCH('BMP P Tracking Table'!$AZ474,'Performance Curves'!$E$1:$L$1,1)+1,FALSE)),"")</f>
        <v/>
      </c>
      <c r="BD474" s="101" t="str">
        <f>IFERROR('BMP P Tracking Table'!$BC474*'BMP P Tracking Table'!$AY474,"")</f>
        <v/>
      </c>
      <c r="BE474" s="96"/>
      <c r="BF474" s="37">
        <f t="shared" si="25"/>
        <v>0</v>
      </c>
    </row>
    <row r="475" spans="1:58" x14ac:dyDescent="0.3">
      <c r="A475" s="64"/>
      <c r="B475" s="64"/>
      <c r="C475" s="64"/>
      <c r="D475" s="64"/>
      <c r="E475" s="93"/>
      <c r="F475" s="93"/>
      <c r="G475" s="64"/>
      <c r="H475" s="64"/>
      <c r="I475" s="64"/>
      <c r="J475" s="94"/>
      <c r="K475" s="64"/>
      <c r="L475" s="64"/>
      <c r="M475" s="64"/>
      <c r="N475" s="64"/>
      <c r="O475" s="64"/>
      <c r="P475" s="64"/>
      <c r="Q475" s="64" t="str">
        <f>IFERROR(VLOOKUP('BMP P Tracking Table'!$P475,Dropdowns!$C$2:$E$15,3,FALSE),"")</f>
        <v/>
      </c>
      <c r="R475" s="64" t="str">
        <f>IFERROR(VLOOKUP('BMP P Tracking Table'!$Q475,Dropdowns!$P$3:$Q$23,2,FALSE),"")</f>
        <v/>
      </c>
      <c r="S475" s="64"/>
      <c r="T475" s="64"/>
      <c r="U475" s="64"/>
      <c r="V475" s="64"/>
      <c r="W475" s="64"/>
      <c r="X475" s="64"/>
      <c r="Y475" s="64"/>
      <c r="Z475" s="64"/>
      <c r="AA475" s="64"/>
      <c r="AB475" s="95"/>
      <c r="AC475" s="64"/>
      <c r="AD475" s="101" t="str">
        <f>IFERROR('BMP P Tracking Table'!$U475*VLOOKUP('BMP P Tracking Table'!$Q475,'Loading Rates'!$B$1:$L$24,4,FALSE)+IF('BMP P Tracking Table'!$V475="By HSG",'BMP P Tracking Table'!$W475*VLOOKUP('BMP P Tracking Table'!$Q475,'Loading Rates'!$B$1:$L$24,6,FALSE)+'BMP P Tracking Table'!$X475*VLOOKUP('BMP P Tracking Table'!$Q475,'Loading Rates'!$B$1:$L$24,7,FALSE)+'BMP P Tracking Table'!$Y475*VLOOKUP('BMP P Tracking Table'!$Q475,'Loading Rates'!$B$1:$L$24,8,FALSE)+'BMP P Tracking Table'!$Z475*VLOOKUP('BMP P Tracking Table'!$Q475,'Loading Rates'!$B$1:$L$24,9,FALSE),'BMP P Tracking Table'!$AA475*VLOOKUP('BMP P Tracking Table'!$Q475,'Loading Rates'!$B$1:$L$24,10,FALSE)),"")</f>
        <v/>
      </c>
      <c r="AE475" s="101" t="str">
        <f>IFERROR(MIN(2,IF('BMP P Tracking Table'!$V475="Total Pervious",(-(3630*'BMP P Tracking Table'!$U475+20.691*'BMP P Tracking Table'!$AA475)+SQRT((3630*'BMP P Tracking Table'!$U475+20.691*'BMP P Tracking Table'!$AA475)^2-(4*(996.798*'BMP P Tracking Table'!$AA475)*-'BMP P Tracking Table'!$AB475)))/(2*(996.798*'BMP P Tracking Table'!$AA475)),IF(SUM('BMP P Tracking Table'!$W475:$Z475)=0,'BMP P Tracking Table'!$AB475/(-3630*'BMP P Tracking Table'!$U475),(-(3630*'BMP P Tracking Table'!$U475+20.691*'BMP P Tracking Table'!$Z475-216.711*'BMP P Tracking Table'!$Y475-83.853*'BMP P Tracking Table'!$X475-42.834*'BMP P Tracking Table'!$W475)+SQRT((3630*'BMP P Tracking Table'!$U475+20.691*'BMP P Tracking Table'!$Z475-216.711*'BMP P Tracking Table'!$Y475-83.853*'BMP P Tracking Table'!$X475-42.834*'BMP P Tracking Table'!$W475)^2-(4*(149.919*'BMP P Tracking Table'!$W475+236.676*'BMP P Tracking Table'!$X475+726*'BMP P Tracking Table'!$Y475+996.798*'BMP P Tracking Table'!$Z475)*-'BMP P Tracking Table'!$AB475)))/(2*(149.919*'BMP P Tracking Table'!$W475+236.676*'BMP P Tracking Table'!$X475+726*'BMP P Tracking Table'!$Y475+996.798*'BMP P Tracking Table'!$Z475))))),"")</f>
        <v/>
      </c>
      <c r="AF475" s="101" t="str">
        <f>IFERROR((VLOOKUP(CONCATENATE('BMP P Tracking Table'!$T475," ",'BMP P Tracking Table'!$AC475),'Performance Curves'!$C$1:$L$45,MATCH('BMP P Tracking Table'!$AE475,'Performance Curves'!$E$1:$L$1,1)+2,FALSE)-VLOOKUP(CONCATENATE('BMP P Tracking Table'!$T475," ",'BMP P Tracking Table'!$AC475),'Performance Curves'!$C$1:$L$45,MATCH('BMP P Tracking Table'!$AE475,'Performance Curves'!$E$1:$L$1,1)+1,FALSE)),"")</f>
        <v/>
      </c>
      <c r="AG475" s="101" t="str">
        <f>IFERROR(('BMP P Tracking Table'!$AE475-INDEX('Performance Curves'!$E$1:$L$1,1,MATCH('BMP P Tracking Table'!$AE475,'Performance Curves'!$E$1:$L$1,1)))/(INDEX('Performance Curves'!$E$1:$L$1,1,MATCH('BMP P Tracking Table'!$AE475,'Performance Curves'!$E$1:$L$1,1)+1)-INDEX('Performance Curves'!$E$1:$L$1,1,MATCH('BMP P Tracking Table'!$AE475,'Performance Curves'!$E$1:$L$1,1))),"")</f>
        <v/>
      </c>
      <c r="AH475" s="102" t="str">
        <f>IFERROR(IF('BMP P Tracking Table'!$AE475=2,VLOOKUP(CONCATENATE('BMP P Tracking Table'!$T475," ",'BMP P Tracking Table'!$AC475),'Performance Curves'!$C$1:$L$45,MATCH('BMP P Tracking Table'!$AE475,'Performance Curves'!$E$1:$L$1,1)+1,FALSE),'BMP P Tracking Table'!$AF475*'BMP P Tracking Table'!$AG475+VLOOKUP(CONCATENATE('BMP P Tracking Table'!$T475," ",'BMP P Tracking Table'!$AC475),'Performance Curves'!$C$1:$L$45,MATCH('BMP P Tracking Table'!$AE475,'Performance Curves'!$E$1:$L$1,1)+1,FALSE)),"")</f>
        <v/>
      </c>
      <c r="AI475" s="101" t="str">
        <f>IFERROR('BMP P Tracking Table'!$AH475*'BMP P Tracking Table'!$AD475,"")</f>
        <v/>
      </c>
      <c r="AJ475" s="64"/>
      <c r="AK475" s="96"/>
      <c r="AL475" s="96"/>
      <c r="AM475" s="63"/>
      <c r="AN475" s="99" t="str">
        <f t="shared" si="26"/>
        <v/>
      </c>
      <c r="AO475" s="96"/>
      <c r="AP475" s="96"/>
      <c r="AQ475" s="96"/>
      <c r="AR475" s="96"/>
      <c r="AS475" s="96"/>
      <c r="AT475" s="96"/>
      <c r="AU475" s="96"/>
      <c r="AV475" s="64"/>
      <c r="AW475" s="97"/>
      <c r="AX475" s="97"/>
      <c r="AY475" s="101" t="str">
        <f>IF('BMP P Tracking Table'!$AK475="Yes",IF('BMP P Tracking Table'!$AL475="No",'BMP P Tracking Table'!$U475*VLOOKUP('BMP P Tracking Table'!$Q475,'Loading Rates'!$B$1:$L$24,4,FALSE)+IF('BMP P Tracking Table'!$V475="By HSG",'BMP P Tracking Table'!$W475*VLOOKUP('BMP P Tracking Table'!$Q475,'Loading Rates'!$B$1:$L$24,6,FALSE)+'BMP P Tracking Table'!$X475*VLOOKUP('BMP P Tracking Table'!$Q475,'Loading Rates'!$B$1:$L$24,7,FALSE)+'BMP P Tracking Table'!$Y475*VLOOKUP('BMP P Tracking Table'!$Q475,'Loading Rates'!$B$1:$L$24,8,FALSE)+'BMP P Tracking Table'!$Z475*VLOOKUP('BMP P Tracking Table'!$Q475,'Loading Rates'!$B$1:$L$24,9,FALSE),'BMP P Tracking Table'!$AA475*VLOOKUP('BMP P Tracking Table'!$Q475,'Loading Rates'!$B$1:$L$24,10,FALSE)),'BMP P Tracking Table'!$AO475*VLOOKUP('BMP P Tracking Table'!$Q475,'Loading Rates'!$B$1:$L$24,4,FALSE)+IF('BMP P Tracking Table'!$AP475="By HSG",'BMP P Tracking Table'!$AQ475*VLOOKUP('BMP P Tracking Table'!$Q475,'Loading Rates'!$B$1:$L$24,6,FALSE)+'BMP P Tracking Table'!$AR475*VLOOKUP('BMP P Tracking Table'!$Q475,'Loading Rates'!$B$1:$L$24,7,FALSE)+'BMP P Tracking Table'!$AS475*VLOOKUP('BMP P Tracking Table'!$Q475,'Loading Rates'!$B$1:$L$24,8,FALSE)+'BMP P Tracking Table'!$AT475*VLOOKUP('BMP P Tracking Table'!$Q475,'Loading Rates'!$B$1:$L$24,9,FALSE),'BMP P Tracking Table'!$AU475*VLOOKUP('BMP P Tracking Table'!$Q475,'Loading Rates'!$B$1:$L$24,10,FALSE))),"")</f>
        <v/>
      </c>
      <c r="AZ475" s="101" t="str">
        <f>IFERROR(IF('BMP P Tracking Table'!$AL475="Yes",MIN(2,IF('BMP P Tracking Table'!$AP475="Total Pervious",(-(3630*'BMP P Tracking Table'!$AO475+20.691*'BMP P Tracking Table'!$AU475)+SQRT((3630*'BMP P Tracking Table'!$AO475+20.691*'BMP P Tracking Table'!$AU475)^2-(4*(996.798*'BMP P Tracking Table'!$AU475)*-'BMP P Tracking Table'!$AW475)))/(2*(996.798*'BMP P Tracking Table'!$AU475)),IF(SUM('BMP P Tracking Table'!$AQ475:$AT475)=0,'BMP P Tracking Table'!$AU475/(-3630*'BMP P Tracking Table'!$AO475),(-(3630*'BMP P Tracking Table'!$AO475+20.691*'BMP P Tracking Table'!$AT475-216.711*'BMP P Tracking Table'!$AS475-83.853*'BMP P Tracking Table'!$AR475-42.834*'BMP P Tracking Table'!$AQ475)+SQRT((3630*'BMP P Tracking Table'!$AO475+20.691*'BMP P Tracking Table'!$AT475-216.711*'BMP P Tracking Table'!$AS475-83.853*'BMP P Tracking Table'!$AR475-42.834*'BMP P Tracking Table'!$AQ475)^2-(4*(149.919*'BMP P Tracking Table'!$AQ475+236.676*'BMP P Tracking Table'!$AR475+726*'BMP P Tracking Table'!$AS475+996.798*'BMP P Tracking Table'!$AT475)*-'BMP P Tracking Table'!$AW475)))/(2*(149.919*'BMP P Tracking Table'!$AQ475+236.676*'BMP P Tracking Table'!$AR475+726*'BMP P Tracking Table'!$AS475+996.798*'BMP P Tracking Table'!$AT475))))),MIN(2,IF('BMP P Tracking Table'!$AP475="Total Pervious",(-(3630*'BMP P Tracking Table'!$U475+20.691*'BMP P Tracking Table'!$AA475)+SQRT((3630*'BMP P Tracking Table'!$U475+20.691*'BMP P Tracking Table'!$AA475)^2-(4*(996.798*'BMP P Tracking Table'!$AA475)*-'BMP P Tracking Table'!$AW475)))/(2*(996.798*'BMP P Tracking Table'!$AA475)),IF(SUM('BMP P Tracking Table'!$W475:$Z475)=0,'BMP P Tracking Table'!$AW475/(-3630*'BMP P Tracking Table'!$U475),(-(3630*'BMP P Tracking Table'!$U475+20.691*'BMP P Tracking Table'!$Z475-216.711*'BMP P Tracking Table'!$Y475-83.853*'BMP P Tracking Table'!$X475-42.834*'BMP P Tracking Table'!$W475)+SQRT((3630*'BMP P Tracking Table'!$U475+20.691*'BMP P Tracking Table'!$Z475-216.711*'BMP P Tracking Table'!$Y475-83.853*'BMP P Tracking Table'!$X475-42.834*'BMP P Tracking Table'!$W475)^2-(4*(149.919*'BMP P Tracking Table'!$W475+236.676*'BMP P Tracking Table'!$X475+726*'BMP P Tracking Table'!$Y475+996.798*'BMP P Tracking Table'!$Z475)*-'BMP P Tracking Table'!$AW475)))/(2*(149.919*'BMP P Tracking Table'!$W475+236.676*'BMP P Tracking Table'!$X475+726*'BMP P Tracking Table'!$Y475+996.798*'BMP P Tracking Table'!$Z475)))))),"")</f>
        <v/>
      </c>
      <c r="BA475" s="101" t="str">
        <f>IFERROR((VLOOKUP(CONCATENATE('BMP P Tracking Table'!$AV475," ",'BMP P Tracking Table'!$AX475),'Performance Curves'!$C$1:$L$45,MATCH('BMP P Tracking Table'!$AZ475,'Performance Curves'!$E$1:$L$1,1)+2,FALSE)-VLOOKUP(CONCATENATE('BMP P Tracking Table'!$AV475," ",'BMP P Tracking Table'!$AX475),'Performance Curves'!$C$1:$L$45,MATCH('BMP P Tracking Table'!$AZ475,'Performance Curves'!$E$1:$L$1,1)+1,FALSE)),"")</f>
        <v/>
      </c>
      <c r="BB475" s="101" t="str">
        <f>IFERROR(('BMP P Tracking Table'!$AZ475-INDEX('Performance Curves'!$E$1:$L$1,1,MATCH('BMP P Tracking Table'!$AZ475,'Performance Curves'!$E$1:$L$1,1)))/(INDEX('Performance Curves'!$E$1:$L$1,1,MATCH('BMP P Tracking Table'!$AZ475,'Performance Curves'!$E$1:$L$1,1)+1)-INDEX('Performance Curves'!$E$1:$L$1,1,MATCH('BMP P Tracking Table'!$AZ475,'Performance Curves'!$E$1:$L$1,1))),"")</f>
        <v/>
      </c>
      <c r="BC475" s="102" t="str">
        <f>IFERROR(IF('BMP P Tracking Table'!$AZ475=2,VLOOKUP(CONCATENATE('BMP P Tracking Table'!$AV475," ",'BMP P Tracking Table'!$AX475),'Performance Curves'!$C$1:$L$44,MATCH('BMP P Tracking Table'!$AZ475,'Performance Curves'!$E$1:$L$1,1)+1,FALSE),'BMP P Tracking Table'!$BA475*'BMP P Tracking Table'!$BB475+VLOOKUP(CONCATENATE('BMP P Tracking Table'!$AV475," ",'BMP P Tracking Table'!$AX475),'Performance Curves'!$C$1:$L$44,MATCH('BMP P Tracking Table'!$AZ475,'Performance Curves'!$E$1:$L$1,1)+1,FALSE)),"")</f>
        <v/>
      </c>
      <c r="BD475" s="101" t="str">
        <f>IFERROR('BMP P Tracking Table'!$BC475*'BMP P Tracking Table'!$AY475,"")</f>
        <v/>
      </c>
      <c r="BE475" s="96"/>
      <c r="BF475" s="37">
        <f t="shared" si="25"/>
        <v>0</v>
      </c>
    </row>
    <row r="476" spans="1:58" x14ac:dyDescent="0.3">
      <c r="A476" s="64"/>
      <c r="B476" s="64"/>
      <c r="C476" s="64"/>
      <c r="D476" s="64"/>
      <c r="E476" s="93"/>
      <c r="F476" s="93"/>
      <c r="G476" s="64"/>
      <c r="H476" s="64"/>
      <c r="I476" s="64"/>
      <c r="J476" s="94"/>
      <c r="K476" s="64"/>
      <c r="L476" s="64"/>
      <c r="M476" s="64"/>
      <c r="N476" s="64"/>
      <c r="O476" s="64"/>
      <c r="P476" s="64"/>
      <c r="Q476" s="64" t="str">
        <f>IFERROR(VLOOKUP('BMP P Tracking Table'!$P476,Dropdowns!$C$2:$E$15,3,FALSE),"")</f>
        <v/>
      </c>
      <c r="R476" s="64" t="str">
        <f>IFERROR(VLOOKUP('BMP P Tracking Table'!$Q476,Dropdowns!$P$3:$Q$23,2,FALSE),"")</f>
        <v/>
      </c>
      <c r="S476" s="64"/>
      <c r="T476" s="64"/>
      <c r="U476" s="64"/>
      <c r="V476" s="64"/>
      <c r="W476" s="64"/>
      <c r="X476" s="64"/>
      <c r="Y476" s="64"/>
      <c r="Z476" s="64"/>
      <c r="AA476" s="64"/>
      <c r="AB476" s="95"/>
      <c r="AC476" s="64"/>
      <c r="AD476" s="101" t="str">
        <f>IFERROR('BMP P Tracking Table'!$U476*VLOOKUP('BMP P Tracking Table'!$Q476,'Loading Rates'!$B$1:$L$24,4,FALSE)+IF('BMP P Tracking Table'!$V476="By HSG",'BMP P Tracking Table'!$W476*VLOOKUP('BMP P Tracking Table'!$Q476,'Loading Rates'!$B$1:$L$24,6,FALSE)+'BMP P Tracking Table'!$X476*VLOOKUP('BMP P Tracking Table'!$Q476,'Loading Rates'!$B$1:$L$24,7,FALSE)+'BMP P Tracking Table'!$Y476*VLOOKUP('BMP P Tracking Table'!$Q476,'Loading Rates'!$B$1:$L$24,8,FALSE)+'BMP P Tracking Table'!$Z476*VLOOKUP('BMP P Tracking Table'!$Q476,'Loading Rates'!$B$1:$L$24,9,FALSE),'BMP P Tracking Table'!$AA476*VLOOKUP('BMP P Tracking Table'!$Q476,'Loading Rates'!$B$1:$L$24,10,FALSE)),"")</f>
        <v/>
      </c>
      <c r="AE476" s="101" t="str">
        <f>IFERROR(MIN(2,IF('BMP P Tracking Table'!$V476="Total Pervious",(-(3630*'BMP P Tracking Table'!$U476+20.691*'BMP P Tracking Table'!$AA476)+SQRT((3630*'BMP P Tracking Table'!$U476+20.691*'BMP P Tracking Table'!$AA476)^2-(4*(996.798*'BMP P Tracking Table'!$AA476)*-'BMP P Tracking Table'!$AB476)))/(2*(996.798*'BMP P Tracking Table'!$AA476)),IF(SUM('BMP P Tracking Table'!$W476:$Z476)=0,'BMP P Tracking Table'!$AB476/(-3630*'BMP P Tracking Table'!$U476),(-(3630*'BMP P Tracking Table'!$U476+20.691*'BMP P Tracking Table'!$Z476-216.711*'BMP P Tracking Table'!$Y476-83.853*'BMP P Tracking Table'!$X476-42.834*'BMP P Tracking Table'!$W476)+SQRT((3630*'BMP P Tracking Table'!$U476+20.691*'BMP P Tracking Table'!$Z476-216.711*'BMP P Tracking Table'!$Y476-83.853*'BMP P Tracking Table'!$X476-42.834*'BMP P Tracking Table'!$W476)^2-(4*(149.919*'BMP P Tracking Table'!$W476+236.676*'BMP P Tracking Table'!$X476+726*'BMP P Tracking Table'!$Y476+996.798*'BMP P Tracking Table'!$Z476)*-'BMP P Tracking Table'!$AB476)))/(2*(149.919*'BMP P Tracking Table'!$W476+236.676*'BMP P Tracking Table'!$X476+726*'BMP P Tracking Table'!$Y476+996.798*'BMP P Tracking Table'!$Z476))))),"")</f>
        <v/>
      </c>
      <c r="AF476" s="101" t="str">
        <f>IFERROR((VLOOKUP(CONCATENATE('BMP P Tracking Table'!$T476," ",'BMP P Tracking Table'!$AC476),'Performance Curves'!$C$1:$L$45,MATCH('BMP P Tracking Table'!$AE476,'Performance Curves'!$E$1:$L$1,1)+2,FALSE)-VLOOKUP(CONCATENATE('BMP P Tracking Table'!$T476," ",'BMP P Tracking Table'!$AC476),'Performance Curves'!$C$1:$L$45,MATCH('BMP P Tracking Table'!$AE476,'Performance Curves'!$E$1:$L$1,1)+1,FALSE)),"")</f>
        <v/>
      </c>
      <c r="AG476" s="101" t="str">
        <f>IFERROR(('BMP P Tracking Table'!$AE476-INDEX('Performance Curves'!$E$1:$L$1,1,MATCH('BMP P Tracking Table'!$AE476,'Performance Curves'!$E$1:$L$1,1)))/(INDEX('Performance Curves'!$E$1:$L$1,1,MATCH('BMP P Tracking Table'!$AE476,'Performance Curves'!$E$1:$L$1,1)+1)-INDEX('Performance Curves'!$E$1:$L$1,1,MATCH('BMP P Tracking Table'!$AE476,'Performance Curves'!$E$1:$L$1,1))),"")</f>
        <v/>
      </c>
      <c r="AH476" s="102" t="str">
        <f>IFERROR(IF('BMP P Tracking Table'!$AE476=2,VLOOKUP(CONCATENATE('BMP P Tracking Table'!$T476," ",'BMP P Tracking Table'!$AC476),'Performance Curves'!$C$1:$L$45,MATCH('BMP P Tracking Table'!$AE476,'Performance Curves'!$E$1:$L$1,1)+1,FALSE),'BMP P Tracking Table'!$AF476*'BMP P Tracking Table'!$AG476+VLOOKUP(CONCATENATE('BMP P Tracking Table'!$T476," ",'BMP P Tracking Table'!$AC476),'Performance Curves'!$C$1:$L$45,MATCH('BMP P Tracking Table'!$AE476,'Performance Curves'!$E$1:$L$1,1)+1,FALSE)),"")</f>
        <v/>
      </c>
      <c r="AI476" s="101" t="str">
        <f>IFERROR('BMP P Tracking Table'!$AH476*'BMP P Tracking Table'!$AD476,"")</f>
        <v/>
      </c>
      <c r="AJ476" s="64"/>
      <c r="AK476" s="96"/>
      <c r="AL476" s="96"/>
      <c r="AM476" s="63"/>
      <c r="AN476" s="99" t="str">
        <f t="shared" si="26"/>
        <v/>
      </c>
      <c r="AO476" s="96"/>
      <c r="AP476" s="96"/>
      <c r="AQ476" s="96"/>
      <c r="AR476" s="96"/>
      <c r="AS476" s="96"/>
      <c r="AT476" s="96"/>
      <c r="AU476" s="96"/>
      <c r="AV476" s="64"/>
      <c r="AW476" s="97"/>
      <c r="AX476" s="97"/>
      <c r="AY476" s="101" t="str">
        <f>IF('BMP P Tracking Table'!$AK476="Yes",IF('BMP P Tracking Table'!$AL476="No",'BMP P Tracking Table'!$U476*VLOOKUP('BMP P Tracking Table'!$Q476,'Loading Rates'!$B$1:$L$24,4,FALSE)+IF('BMP P Tracking Table'!$V476="By HSG",'BMP P Tracking Table'!$W476*VLOOKUP('BMP P Tracking Table'!$Q476,'Loading Rates'!$B$1:$L$24,6,FALSE)+'BMP P Tracking Table'!$X476*VLOOKUP('BMP P Tracking Table'!$Q476,'Loading Rates'!$B$1:$L$24,7,FALSE)+'BMP P Tracking Table'!$Y476*VLOOKUP('BMP P Tracking Table'!$Q476,'Loading Rates'!$B$1:$L$24,8,FALSE)+'BMP P Tracking Table'!$Z476*VLOOKUP('BMP P Tracking Table'!$Q476,'Loading Rates'!$B$1:$L$24,9,FALSE),'BMP P Tracking Table'!$AA476*VLOOKUP('BMP P Tracking Table'!$Q476,'Loading Rates'!$B$1:$L$24,10,FALSE)),'BMP P Tracking Table'!$AO476*VLOOKUP('BMP P Tracking Table'!$Q476,'Loading Rates'!$B$1:$L$24,4,FALSE)+IF('BMP P Tracking Table'!$AP476="By HSG",'BMP P Tracking Table'!$AQ476*VLOOKUP('BMP P Tracking Table'!$Q476,'Loading Rates'!$B$1:$L$24,6,FALSE)+'BMP P Tracking Table'!$AR476*VLOOKUP('BMP P Tracking Table'!$Q476,'Loading Rates'!$B$1:$L$24,7,FALSE)+'BMP P Tracking Table'!$AS476*VLOOKUP('BMP P Tracking Table'!$Q476,'Loading Rates'!$B$1:$L$24,8,FALSE)+'BMP P Tracking Table'!$AT476*VLOOKUP('BMP P Tracking Table'!$Q476,'Loading Rates'!$B$1:$L$24,9,FALSE),'BMP P Tracking Table'!$AU476*VLOOKUP('BMP P Tracking Table'!$Q476,'Loading Rates'!$B$1:$L$24,10,FALSE))),"")</f>
        <v/>
      </c>
      <c r="AZ476" s="101" t="str">
        <f>IFERROR(IF('BMP P Tracking Table'!$AL476="Yes",MIN(2,IF('BMP P Tracking Table'!$AP476="Total Pervious",(-(3630*'BMP P Tracking Table'!$AO476+20.691*'BMP P Tracking Table'!$AU476)+SQRT((3630*'BMP P Tracking Table'!$AO476+20.691*'BMP P Tracking Table'!$AU476)^2-(4*(996.798*'BMP P Tracking Table'!$AU476)*-'BMP P Tracking Table'!$AW476)))/(2*(996.798*'BMP P Tracking Table'!$AU476)),IF(SUM('BMP P Tracking Table'!$AQ476:$AT476)=0,'BMP P Tracking Table'!$AU476/(-3630*'BMP P Tracking Table'!$AO476),(-(3630*'BMP P Tracking Table'!$AO476+20.691*'BMP P Tracking Table'!$AT476-216.711*'BMP P Tracking Table'!$AS476-83.853*'BMP P Tracking Table'!$AR476-42.834*'BMP P Tracking Table'!$AQ476)+SQRT((3630*'BMP P Tracking Table'!$AO476+20.691*'BMP P Tracking Table'!$AT476-216.711*'BMP P Tracking Table'!$AS476-83.853*'BMP P Tracking Table'!$AR476-42.834*'BMP P Tracking Table'!$AQ476)^2-(4*(149.919*'BMP P Tracking Table'!$AQ476+236.676*'BMP P Tracking Table'!$AR476+726*'BMP P Tracking Table'!$AS476+996.798*'BMP P Tracking Table'!$AT476)*-'BMP P Tracking Table'!$AW476)))/(2*(149.919*'BMP P Tracking Table'!$AQ476+236.676*'BMP P Tracking Table'!$AR476+726*'BMP P Tracking Table'!$AS476+996.798*'BMP P Tracking Table'!$AT476))))),MIN(2,IF('BMP P Tracking Table'!$AP476="Total Pervious",(-(3630*'BMP P Tracking Table'!$U476+20.691*'BMP P Tracking Table'!$AA476)+SQRT((3630*'BMP P Tracking Table'!$U476+20.691*'BMP P Tracking Table'!$AA476)^2-(4*(996.798*'BMP P Tracking Table'!$AA476)*-'BMP P Tracking Table'!$AW476)))/(2*(996.798*'BMP P Tracking Table'!$AA476)),IF(SUM('BMP P Tracking Table'!$W476:$Z476)=0,'BMP P Tracking Table'!$AW476/(-3630*'BMP P Tracking Table'!$U476),(-(3630*'BMP P Tracking Table'!$U476+20.691*'BMP P Tracking Table'!$Z476-216.711*'BMP P Tracking Table'!$Y476-83.853*'BMP P Tracking Table'!$X476-42.834*'BMP P Tracking Table'!$W476)+SQRT((3630*'BMP P Tracking Table'!$U476+20.691*'BMP P Tracking Table'!$Z476-216.711*'BMP P Tracking Table'!$Y476-83.853*'BMP P Tracking Table'!$X476-42.834*'BMP P Tracking Table'!$W476)^2-(4*(149.919*'BMP P Tracking Table'!$W476+236.676*'BMP P Tracking Table'!$X476+726*'BMP P Tracking Table'!$Y476+996.798*'BMP P Tracking Table'!$Z476)*-'BMP P Tracking Table'!$AW476)))/(2*(149.919*'BMP P Tracking Table'!$W476+236.676*'BMP P Tracking Table'!$X476+726*'BMP P Tracking Table'!$Y476+996.798*'BMP P Tracking Table'!$Z476)))))),"")</f>
        <v/>
      </c>
      <c r="BA476" s="101" t="str">
        <f>IFERROR((VLOOKUP(CONCATENATE('BMP P Tracking Table'!$AV476," ",'BMP P Tracking Table'!$AX476),'Performance Curves'!$C$1:$L$45,MATCH('BMP P Tracking Table'!$AZ476,'Performance Curves'!$E$1:$L$1,1)+2,FALSE)-VLOOKUP(CONCATENATE('BMP P Tracking Table'!$AV476," ",'BMP P Tracking Table'!$AX476),'Performance Curves'!$C$1:$L$45,MATCH('BMP P Tracking Table'!$AZ476,'Performance Curves'!$E$1:$L$1,1)+1,FALSE)),"")</f>
        <v/>
      </c>
      <c r="BB476" s="101" t="str">
        <f>IFERROR(('BMP P Tracking Table'!$AZ476-INDEX('Performance Curves'!$E$1:$L$1,1,MATCH('BMP P Tracking Table'!$AZ476,'Performance Curves'!$E$1:$L$1,1)))/(INDEX('Performance Curves'!$E$1:$L$1,1,MATCH('BMP P Tracking Table'!$AZ476,'Performance Curves'!$E$1:$L$1,1)+1)-INDEX('Performance Curves'!$E$1:$L$1,1,MATCH('BMP P Tracking Table'!$AZ476,'Performance Curves'!$E$1:$L$1,1))),"")</f>
        <v/>
      </c>
      <c r="BC476" s="102" t="str">
        <f>IFERROR(IF('BMP P Tracking Table'!$AZ476=2,VLOOKUP(CONCATENATE('BMP P Tracking Table'!$AV476," ",'BMP P Tracking Table'!$AX476),'Performance Curves'!$C$1:$L$44,MATCH('BMP P Tracking Table'!$AZ476,'Performance Curves'!$E$1:$L$1,1)+1,FALSE),'BMP P Tracking Table'!$BA476*'BMP P Tracking Table'!$BB476+VLOOKUP(CONCATENATE('BMP P Tracking Table'!$AV476," ",'BMP P Tracking Table'!$AX476),'Performance Curves'!$C$1:$L$44,MATCH('BMP P Tracking Table'!$AZ476,'Performance Curves'!$E$1:$L$1,1)+1,FALSE)),"")</f>
        <v/>
      </c>
      <c r="BD476" s="101" t="str">
        <f>IFERROR('BMP P Tracking Table'!$BC476*'BMP P Tracking Table'!$AY476,"")</f>
        <v/>
      </c>
      <c r="BE476" s="91"/>
      <c r="BF476" s="37">
        <f t="shared" ref="BF476:BF523" si="27">IFERROR(BD476+BE476,0)</f>
        <v>0</v>
      </c>
    </row>
    <row r="477" spans="1:58" x14ac:dyDescent="0.3">
      <c r="A477" s="64"/>
      <c r="B477" s="64"/>
      <c r="C477" s="64"/>
      <c r="D477" s="64"/>
      <c r="E477" s="93"/>
      <c r="F477" s="93"/>
      <c r="G477" s="64"/>
      <c r="H477" s="64"/>
      <c r="I477" s="64"/>
      <c r="J477" s="94"/>
      <c r="K477" s="64"/>
      <c r="L477" s="64"/>
      <c r="M477" s="64"/>
      <c r="N477" s="64"/>
      <c r="O477" s="64"/>
      <c r="P477" s="64"/>
      <c r="Q477" s="64" t="str">
        <f>IFERROR(VLOOKUP('BMP P Tracking Table'!$P477,Dropdowns!$C$2:$E$15,3,FALSE),"")</f>
        <v/>
      </c>
      <c r="R477" s="64" t="str">
        <f>IFERROR(VLOOKUP('BMP P Tracking Table'!$Q477,Dropdowns!$P$3:$Q$23,2,FALSE),"")</f>
        <v/>
      </c>
      <c r="S477" s="64"/>
      <c r="T477" s="64"/>
      <c r="U477" s="64"/>
      <c r="V477" s="64"/>
      <c r="W477" s="64"/>
      <c r="X477" s="64"/>
      <c r="Y477" s="64"/>
      <c r="Z477" s="64"/>
      <c r="AA477" s="64"/>
      <c r="AB477" s="95"/>
      <c r="AC477" s="64"/>
      <c r="AD477" s="101" t="str">
        <f>IFERROR('BMP P Tracking Table'!$U477*VLOOKUP('BMP P Tracking Table'!$Q477,'Loading Rates'!$B$1:$L$24,4,FALSE)+IF('BMP P Tracking Table'!$V477="By HSG",'BMP P Tracking Table'!$W477*VLOOKUP('BMP P Tracking Table'!$Q477,'Loading Rates'!$B$1:$L$24,6,FALSE)+'BMP P Tracking Table'!$X477*VLOOKUP('BMP P Tracking Table'!$Q477,'Loading Rates'!$B$1:$L$24,7,FALSE)+'BMP P Tracking Table'!$Y477*VLOOKUP('BMP P Tracking Table'!$Q477,'Loading Rates'!$B$1:$L$24,8,FALSE)+'BMP P Tracking Table'!$Z477*VLOOKUP('BMP P Tracking Table'!$Q477,'Loading Rates'!$B$1:$L$24,9,FALSE),'BMP P Tracking Table'!$AA477*VLOOKUP('BMP P Tracking Table'!$Q477,'Loading Rates'!$B$1:$L$24,10,FALSE)),"")</f>
        <v/>
      </c>
      <c r="AE477" s="101" t="str">
        <f>IFERROR(MIN(2,IF('BMP P Tracking Table'!$V477="Total Pervious",(-(3630*'BMP P Tracking Table'!$U477+20.691*'BMP P Tracking Table'!$AA477)+SQRT((3630*'BMP P Tracking Table'!$U477+20.691*'BMP P Tracking Table'!$AA477)^2-(4*(996.798*'BMP P Tracking Table'!$AA477)*-'BMP P Tracking Table'!$AB477)))/(2*(996.798*'BMP P Tracking Table'!$AA477)),IF(SUM('BMP P Tracking Table'!$W477:$Z477)=0,'BMP P Tracking Table'!$AB477/(-3630*'BMP P Tracking Table'!$U477),(-(3630*'BMP P Tracking Table'!$U477+20.691*'BMP P Tracking Table'!$Z477-216.711*'BMP P Tracking Table'!$Y477-83.853*'BMP P Tracking Table'!$X477-42.834*'BMP P Tracking Table'!$W477)+SQRT((3630*'BMP P Tracking Table'!$U477+20.691*'BMP P Tracking Table'!$Z477-216.711*'BMP P Tracking Table'!$Y477-83.853*'BMP P Tracking Table'!$X477-42.834*'BMP P Tracking Table'!$W477)^2-(4*(149.919*'BMP P Tracking Table'!$W477+236.676*'BMP P Tracking Table'!$X477+726*'BMP P Tracking Table'!$Y477+996.798*'BMP P Tracking Table'!$Z477)*-'BMP P Tracking Table'!$AB477)))/(2*(149.919*'BMP P Tracking Table'!$W477+236.676*'BMP P Tracking Table'!$X477+726*'BMP P Tracking Table'!$Y477+996.798*'BMP P Tracking Table'!$Z477))))),"")</f>
        <v/>
      </c>
      <c r="AF477" s="101" t="str">
        <f>IFERROR((VLOOKUP(CONCATENATE('BMP P Tracking Table'!$T477," ",'BMP P Tracking Table'!$AC477),'Performance Curves'!$C$1:$L$45,MATCH('BMP P Tracking Table'!$AE477,'Performance Curves'!$E$1:$L$1,1)+2,FALSE)-VLOOKUP(CONCATENATE('BMP P Tracking Table'!$T477," ",'BMP P Tracking Table'!$AC477),'Performance Curves'!$C$1:$L$45,MATCH('BMP P Tracking Table'!$AE477,'Performance Curves'!$E$1:$L$1,1)+1,FALSE)),"")</f>
        <v/>
      </c>
      <c r="AG477" s="101" t="str">
        <f>IFERROR(('BMP P Tracking Table'!$AE477-INDEX('Performance Curves'!$E$1:$L$1,1,MATCH('BMP P Tracking Table'!$AE477,'Performance Curves'!$E$1:$L$1,1)))/(INDEX('Performance Curves'!$E$1:$L$1,1,MATCH('BMP P Tracking Table'!$AE477,'Performance Curves'!$E$1:$L$1,1)+1)-INDEX('Performance Curves'!$E$1:$L$1,1,MATCH('BMP P Tracking Table'!$AE477,'Performance Curves'!$E$1:$L$1,1))),"")</f>
        <v/>
      </c>
      <c r="AH477" s="102" t="str">
        <f>IFERROR(IF('BMP P Tracking Table'!$AE477=2,VLOOKUP(CONCATENATE('BMP P Tracking Table'!$T477," ",'BMP P Tracking Table'!$AC477),'Performance Curves'!$C$1:$L$45,MATCH('BMP P Tracking Table'!$AE477,'Performance Curves'!$E$1:$L$1,1)+1,FALSE),'BMP P Tracking Table'!$AF477*'BMP P Tracking Table'!$AG477+VLOOKUP(CONCATENATE('BMP P Tracking Table'!$T477," ",'BMP P Tracking Table'!$AC477),'Performance Curves'!$C$1:$L$45,MATCH('BMP P Tracking Table'!$AE477,'Performance Curves'!$E$1:$L$1,1)+1,FALSE)),"")</f>
        <v/>
      </c>
      <c r="AI477" s="101" t="str">
        <f>IFERROR('BMP P Tracking Table'!$AH477*'BMP P Tracking Table'!$AD477,"")</f>
        <v/>
      </c>
      <c r="AJ477" s="64"/>
      <c r="AK477" s="96"/>
      <c r="AL477" s="96"/>
      <c r="AM477" s="63"/>
      <c r="AN477" s="99" t="str">
        <f t="shared" si="26"/>
        <v/>
      </c>
      <c r="AO477" s="96"/>
      <c r="AP477" s="96"/>
      <c r="AQ477" s="96"/>
      <c r="AR477" s="96"/>
      <c r="AS477" s="96"/>
      <c r="AT477" s="96"/>
      <c r="AU477" s="96"/>
      <c r="AV477" s="64"/>
      <c r="AW477" s="97"/>
      <c r="AX477" s="97"/>
      <c r="AY477" s="101" t="str">
        <f>IF('BMP P Tracking Table'!$AK477="Yes",IF('BMP P Tracking Table'!$AL477="No",'BMP P Tracking Table'!$U477*VLOOKUP('BMP P Tracking Table'!$Q477,'Loading Rates'!$B$1:$L$24,4,FALSE)+IF('BMP P Tracking Table'!$V477="By HSG",'BMP P Tracking Table'!$W477*VLOOKUP('BMP P Tracking Table'!$Q477,'Loading Rates'!$B$1:$L$24,6,FALSE)+'BMP P Tracking Table'!$X477*VLOOKUP('BMP P Tracking Table'!$Q477,'Loading Rates'!$B$1:$L$24,7,FALSE)+'BMP P Tracking Table'!$Y477*VLOOKUP('BMP P Tracking Table'!$Q477,'Loading Rates'!$B$1:$L$24,8,FALSE)+'BMP P Tracking Table'!$Z477*VLOOKUP('BMP P Tracking Table'!$Q477,'Loading Rates'!$B$1:$L$24,9,FALSE),'BMP P Tracking Table'!$AA477*VLOOKUP('BMP P Tracking Table'!$Q477,'Loading Rates'!$B$1:$L$24,10,FALSE)),'BMP P Tracking Table'!$AO477*VLOOKUP('BMP P Tracking Table'!$Q477,'Loading Rates'!$B$1:$L$24,4,FALSE)+IF('BMP P Tracking Table'!$AP477="By HSG",'BMP P Tracking Table'!$AQ477*VLOOKUP('BMP P Tracking Table'!$Q477,'Loading Rates'!$B$1:$L$24,6,FALSE)+'BMP P Tracking Table'!$AR477*VLOOKUP('BMP P Tracking Table'!$Q477,'Loading Rates'!$B$1:$L$24,7,FALSE)+'BMP P Tracking Table'!$AS477*VLOOKUP('BMP P Tracking Table'!$Q477,'Loading Rates'!$B$1:$L$24,8,FALSE)+'BMP P Tracking Table'!$AT477*VLOOKUP('BMP P Tracking Table'!$Q477,'Loading Rates'!$B$1:$L$24,9,FALSE),'BMP P Tracking Table'!$AU477*VLOOKUP('BMP P Tracking Table'!$Q477,'Loading Rates'!$B$1:$L$24,10,FALSE))),"")</f>
        <v/>
      </c>
      <c r="AZ477" s="101" t="str">
        <f>IFERROR(IF('BMP P Tracking Table'!$AL477="Yes",MIN(2,IF('BMP P Tracking Table'!$AP477="Total Pervious",(-(3630*'BMP P Tracking Table'!$AO477+20.691*'BMP P Tracking Table'!$AU477)+SQRT((3630*'BMP P Tracking Table'!$AO477+20.691*'BMP P Tracking Table'!$AU477)^2-(4*(996.798*'BMP P Tracking Table'!$AU477)*-'BMP P Tracking Table'!$AW477)))/(2*(996.798*'BMP P Tracking Table'!$AU477)),IF(SUM('BMP P Tracking Table'!$AQ477:$AT477)=0,'BMP P Tracking Table'!$AU477/(-3630*'BMP P Tracking Table'!$AO477),(-(3630*'BMP P Tracking Table'!$AO477+20.691*'BMP P Tracking Table'!$AT477-216.711*'BMP P Tracking Table'!$AS477-83.853*'BMP P Tracking Table'!$AR477-42.834*'BMP P Tracking Table'!$AQ477)+SQRT((3630*'BMP P Tracking Table'!$AO477+20.691*'BMP P Tracking Table'!$AT477-216.711*'BMP P Tracking Table'!$AS477-83.853*'BMP P Tracking Table'!$AR477-42.834*'BMP P Tracking Table'!$AQ477)^2-(4*(149.919*'BMP P Tracking Table'!$AQ477+236.676*'BMP P Tracking Table'!$AR477+726*'BMP P Tracking Table'!$AS477+996.798*'BMP P Tracking Table'!$AT477)*-'BMP P Tracking Table'!$AW477)))/(2*(149.919*'BMP P Tracking Table'!$AQ477+236.676*'BMP P Tracking Table'!$AR477+726*'BMP P Tracking Table'!$AS477+996.798*'BMP P Tracking Table'!$AT477))))),MIN(2,IF('BMP P Tracking Table'!$AP477="Total Pervious",(-(3630*'BMP P Tracking Table'!$U477+20.691*'BMP P Tracking Table'!$AA477)+SQRT((3630*'BMP P Tracking Table'!$U477+20.691*'BMP P Tracking Table'!$AA477)^2-(4*(996.798*'BMP P Tracking Table'!$AA477)*-'BMP P Tracking Table'!$AW477)))/(2*(996.798*'BMP P Tracking Table'!$AA477)),IF(SUM('BMP P Tracking Table'!$W477:$Z477)=0,'BMP P Tracking Table'!$AW477/(-3630*'BMP P Tracking Table'!$U477),(-(3630*'BMP P Tracking Table'!$U477+20.691*'BMP P Tracking Table'!$Z477-216.711*'BMP P Tracking Table'!$Y477-83.853*'BMP P Tracking Table'!$X477-42.834*'BMP P Tracking Table'!$W477)+SQRT((3630*'BMP P Tracking Table'!$U477+20.691*'BMP P Tracking Table'!$Z477-216.711*'BMP P Tracking Table'!$Y477-83.853*'BMP P Tracking Table'!$X477-42.834*'BMP P Tracking Table'!$W477)^2-(4*(149.919*'BMP P Tracking Table'!$W477+236.676*'BMP P Tracking Table'!$X477+726*'BMP P Tracking Table'!$Y477+996.798*'BMP P Tracking Table'!$Z477)*-'BMP P Tracking Table'!$AW477)))/(2*(149.919*'BMP P Tracking Table'!$W477+236.676*'BMP P Tracking Table'!$X477+726*'BMP P Tracking Table'!$Y477+996.798*'BMP P Tracking Table'!$Z477)))))),"")</f>
        <v/>
      </c>
      <c r="BA477" s="101" t="str">
        <f>IFERROR((VLOOKUP(CONCATENATE('BMP P Tracking Table'!$AV477," ",'BMP P Tracking Table'!$AX477),'Performance Curves'!$C$1:$L$45,MATCH('BMP P Tracking Table'!$AZ477,'Performance Curves'!$E$1:$L$1,1)+2,FALSE)-VLOOKUP(CONCATENATE('BMP P Tracking Table'!$AV477," ",'BMP P Tracking Table'!$AX477),'Performance Curves'!$C$1:$L$45,MATCH('BMP P Tracking Table'!$AZ477,'Performance Curves'!$E$1:$L$1,1)+1,FALSE)),"")</f>
        <v/>
      </c>
      <c r="BB477" s="101" t="str">
        <f>IFERROR(('BMP P Tracking Table'!$AZ477-INDEX('Performance Curves'!$E$1:$L$1,1,MATCH('BMP P Tracking Table'!$AZ477,'Performance Curves'!$E$1:$L$1,1)))/(INDEX('Performance Curves'!$E$1:$L$1,1,MATCH('BMP P Tracking Table'!$AZ477,'Performance Curves'!$E$1:$L$1,1)+1)-INDEX('Performance Curves'!$E$1:$L$1,1,MATCH('BMP P Tracking Table'!$AZ477,'Performance Curves'!$E$1:$L$1,1))),"")</f>
        <v/>
      </c>
      <c r="BC477" s="102" t="str">
        <f>IFERROR(IF('BMP P Tracking Table'!$AZ477=2,VLOOKUP(CONCATENATE('BMP P Tracking Table'!$AV477," ",'BMP P Tracking Table'!$AX477),'Performance Curves'!$C$1:$L$44,MATCH('BMP P Tracking Table'!$AZ477,'Performance Curves'!$E$1:$L$1,1)+1,FALSE),'BMP P Tracking Table'!$BA477*'BMP P Tracking Table'!$BB477+VLOOKUP(CONCATENATE('BMP P Tracking Table'!$AV477," ",'BMP P Tracking Table'!$AX477),'Performance Curves'!$C$1:$L$44,MATCH('BMP P Tracking Table'!$AZ477,'Performance Curves'!$E$1:$L$1,1)+1,FALSE)),"")</f>
        <v/>
      </c>
      <c r="BD477" s="101" t="str">
        <f>IFERROR('BMP P Tracking Table'!$BC477*'BMP P Tracking Table'!$AY477,"")</f>
        <v/>
      </c>
      <c r="BE477" s="96"/>
      <c r="BF477" s="37">
        <f t="shared" si="27"/>
        <v>0</v>
      </c>
    </row>
    <row r="478" spans="1:58" x14ac:dyDescent="0.3">
      <c r="A478" s="64"/>
      <c r="B478" s="64"/>
      <c r="C478" s="64"/>
      <c r="D478" s="64"/>
      <c r="E478" s="93"/>
      <c r="F478" s="93"/>
      <c r="G478" s="64"/>
      <c r="H478" s="64"/>
      <c r="I478" s="64"/>
      <c r="J478" s="94"/>
      <c r="K478" s="64"/>
      <c r="L478" s="64"/>
      <c r="M478" s="64"/>
      <c r="N478" s="64"/>
      <c r="O478" s="64"/>
      <c r="P478" s="64"/>
      <c r="Q478" s="64" t="str">
        <f>IFERROR(VLOOKUP('BMP P Tracking Table'!$P478,Dropdowns!$C$2:$E$15,3,FALSE),"")</f>
        <v/>
      </c>
      <c r="R478" s="64" t="str">
        <f>IFERROR(VLOOKUP('BMP P Tracking Table'!$Q478,Dropdowns!$P$3:$Q$23,2,FALSE),"")</f>
        <v/>
      </c>
      <c r="S478" s="64"/>
      <c r="T478" s="64"/>
      <c r="U478" s="64"/>
      <c r="V478" s="64"/>
      <c r="W478" s="64"/>
      <c r="X478" s="64"/>
      <c r="Y478" s="64"/>
      <c r="Z478" s="64"/>
      <c r="AA478" s="64"/>
      <c r="AB478" s="95"/>
      <c r="AC478" s="64"/>
      <c r="AD478" s="101" t="str">
        <f>IFERROR('BMP P Tracking Table'!$U478*VLOOKUP('BMP P Tracking Table'!$Q478,'Loading Rates'!$B$1:$L$24,4,FALSE)+IF('BMP P Tracking Table'!$V478="By HSG",'BMP P Tracking Table'!$W478*VLOOKUP('BMP P Tracking Table'!$Q478,'Loading Rates'!$B$1:$L$24,6,FALSE)+'BMP P Tracking Table'!$X478*VLOOKUP('BMP P Tracking Table'!$Q478,'Loading Rates'!$B$1:$L$24,7,FALSE)+'BMP P Tracking Table'!$Y478*VLOOKUP('BMP P Tracking Table'!$Q478,'Loading Rates'!$B$1:$L$24,8,FALSE)+'BMP P Tracking Table'!$Z478*VLOOKUP('BMP P Tracking Table'!$Q478,'Loading Rates'!$B$1:$L$24,9,FALSE),'BMP P Tracking Table'!$AA478*VLOOKUP('BMP P Tracking Table'!$Q478,'Loading Rates'!$B$1:$L$24,10,FALSE)),"")</f>
        <v/>
      </c>
      <c r="AE478" s="101" t="str">
        <f>IFERROR(MIN(2,IF('BMP P Tracking Table'!$V478="Total Pervious",(-(3630*'BMP P Tracking Table'!$U478+20.691*'BMP P Tracking Table'!$AA478)+SQRT((3630*'BMP P Tracking Table'!$U478+20.691*'BMP P Tracking Table'!$AA478)^2-(4*(996.798*'BMP P Tracking Table'!$AA478)*-'BMP P Tracking Table'!$AB478)))/(2*(996.798*'BMP P Tracking Table'!$AA478)),IF(SUM('BMP P Tracking Table'!$W478:$Z478)=0,'BMP P Tracking Table'!$AB478/(-3630*'BMP P Tracking Table'!$U478),(-(3630*'BMP P Tracking Table'!$U478+20.691*'BMP P Tracking Table'!$Z478-216.711*'BMP P Tracking Table'!$Y478-83.853*'BMP P Tracking Table'!$X478-42.834*'BMP P Tracking Table'!$W478)+SQRT((3630*'BMP P Tracking Table'!$U478+20.691*'BMP P Tracking Table'!$Z478-216.711*'BMP P Tracking Table'!$Y478-83.853*'BMP P Tracking Table'!$X478-42.834*'BMP P Tracking Table'!$W478)^2-(4*(149.919*'BMP P Tracking Table'!$W478+236.676*'BMP P Tracking Table'!$X478+726*'BMP P Tracking Table'!$Y478+996.798*'BMP P Tracking Table'!$Z478)*-'BMP P Tracking Table'!$AB478)))/(2*(149.919*'BMP P Tracking Table'!$W478+236.676*'BMP P Tracking Table'!$X478+726*'BMP P Tracking Table'!$Y478+996.798*'BMP P Tracking Table'!$Z478))))),"")</f>
        <v/>
      </c>
      <c r="AF478" s="101" t="str">
        <f>IFERROR((VLOOKUP(CONCATENATE('BMP P Tracking Table'!$T478," ",'BMP P Tracking Table'!$AC478),'Performance Curves'!$C$1:$L$45,MATCH('BMP P Tracking Table'!$AE478,'Performance Curves'!$E$1:$L$1,1)+2,FALSE)-VLOOKUP(CONCATENATE('BMP P Tracking Table'!$T478," ",'BMP P Tracking Table'!$AC478),'Performance Curves'!$C$1:$L$45,MATCH('BMP P Tracking Table'!$AE478,'Performance Curves'!$E$1:$L$1,1)+1,FALSE)),"")</f>
        <v/>
      </c>
      <c r="AG478" s="101" t="str">
        <f>IFERROR(('BMP P Tracking Table'!$AE478-INDEX('Performance Curves'!$E$1:$L$1,1,MATCH('BMP P Tracking Table'!$AE478,'Performance Curves'!$E$1:$L$1,1)))/(INDEX('Performance Curves'!$E$1:$L$1,1,MATCH('BMP P Tracking Table'!$AE478,'Performance Curves'!$E$1:$L$1,1)+1)-INDEX('Performance Curves'!$E$1:$L$1,1,MATCH('BMP P Tracking Table'!$AE478,'Performance Curves'!$E$1:$L$1,1))),"")</f>
        <v/>
      </c>
      <c r="AH478" s="102" t="str">
        <f>IFERROR(IF('BMP P Tracking Table'!$AE478=2,VLOOKUP(CONCATENATE('BMP P Tracking Table'!$T478," ",'BMP P Tracking Table'!$AC478),'Performance Curves'!$C$1:$L$45,MATCH('BMP P Tracking Table'!$AE478,'Performance Curves'!$E$1:$L$1,1)+1,FALSE),'BMP P Tracking Table'!$AF478*'BMP P Tracking Table'!$AG478+VLOOKUP(CONCATENATE('BMP P Tracking Table'!$T478," ",'BMP P Tracking Table'!$AC478),'Performance Curves'!$C$1:$L$45,MATCH('BMP P Tracking Table'!$AE478,'Performance Curves'!$E$1:$L$1,1)+1,FALSE)),"")</f>
        <v/>
      </c>
      <c r="AI478" s="101" t="str">
        <f>IFERROR('BMP P Tracking Table'!$AH478*'BMP P Tracking Table'!$AD478,"")</f>
        <v/>
      </c>
      <c r="AJ478" s="64"/>
      <c r="AK478" s="96"/>
      <c r="AL478" s="96"/>
      <c r="AM478" s="63"/>
      <c r="AN478" s="99" t="str">
        <f t="shared" si="26"/>
        <v/>
      </c>
      <c r="AO478" s="96"/>
      <c r="AP478" s="96"/>
      <c r="AQ478" s="96"/>
      <c r="AR478" s="96"/>
      <c r="AS478" s="96"/>
      <c r="AT478" s="96"/>
      <c r="AU478" s="96"/>
      <c r="AV478" s="64"/>
      <c r="AW478" s="97"/>
      <c r="AX478" s="97"/>
      <c r="AY478" s="101" t="str">
        <f>IF('BMP P Tracking Table'!$AK478="Yes",IF('BMP P Tracking Table'!$AL478="No",'BMP P Tracking Table'!$U478*VLOOKUP('BMP P Tracking Table'!$Q478,'Loading Rates'!$B$1:$L$24,4,FALSE)+IF('BMP P Tracking Table'!$V478="By HSG",'BMP P Tracking Table'!$W478*VLOOKUP('BMP P Tracking Table'!$Q478,'Loading Rates'!$B$1:$L$24,6,FALSE)+'BMP P Tracking Table'!$X478*VLOOKUP('BMP P Tracking Table'!$Q478,'Loading Rates'!$B$1:$L$24,7,FALSE)+'BMP P Tracking Table'!$Y478*VLOOKUP('BMP P Tracking Table'!$Q478,'Loading Rates'!$B$1:$L$24,8,FALSE)+'BMP P Tracking Table'!$Z478*VLOOKUP('BMP P Tracking Table'!$Q478,'Loading Rates'!$B$1:$L$24,9,FALSE),'BMP P Tracking Table'!$AA478*VLOOKUP('BMP P Tracking Table'!$Q478,'Loading Rates'!$B$1:$L$24,10,FALSE)),'BMP P Tracking Table'!$AO478*VLOOKUP('BMP P Tracking Table'!$Q478,'Loading Rates'!$B$1:$L$24,4,FALSE)+IF('BMP P Tracking Table'!$AP478="By HSG",'BMP P Tracking Table'!$AQ478*VLOOKUP('BMP P Tracking Table'!$Q478,'Loading Rates'!$B$1:$L$24,6,FALSE)+'BMP P Tracking Table'!$AR478*VLOOKUP('BMP P Tracking Table'!$Q478,'Loading Rates'!$B$1:$L$24,7,FALSE)+'BMP P Tracking Table'!$AS478*VLOOKUP('BMP P Tracking Table'!$Q478,'Loading Rates'!$B$1:$L$24,8,FALSE)+'BMP P Tracking Table'!$AT478*VLOOKUP('BMP P Tracking Table'!$Q478,'Loading Rates'!$B$1:$L$24,9,FALSE),'BMP P Tracking Table'!$AU478*VLOOKUP('BMP P Tracking Table'!$Q478,'Loading Rates'!$B$1:$L$24,10,FALSE))),"")</f>
        <v/>
      </c>
      <c r="AZ478" s="101" t="str">
        <f>IFERROR(IF('BMP P Tracking Table'!$AL478="Yes",MIN(2,IF('BMP P Tracking Table'!$AP478="Total Pervious",(-(3630*'BMP P Tracking Table'!$AO478+20.691*'BMP P Tracking Table'!$AU478)+SQRT((3630*'BMP P Tracking Table'!$AO478+20.691*'BMP P Tracking Table'!$AU478)^2-(4*(996.798*'BMP P Tracking Table'!$AU478)*-'BMP P Tracking Table'!$AW478)))/(2*(996.798*'BMP P Tracking Table'!$AU478)),IF(SUM('BMP P Tracking Table'!$AQ478:$AT478)=0,'BMP P Tracking Table'!$AU478/(-3630*'BMP P Tracking Table'!$AO478),(-(3630*'BMP P Tracking Table'!$AO478+20.691*'BMP P Tracking Table'!$AT478-216.711*'BMP P Tracking Table'!$AS478-83.853*'BMP P Tracking Table'!$AR478-42.834*'BMP P Tracking Table'!$AQ478)+SQRT((3630*'BMP P Tracking Table'!$AO478+20.691*'BMP P Tracking Table'!$AT478-216.711*'BMP P Tracking Table'!$AS478-83.853*'BMP P Tracking Table'!$AR478-42.834*'BMP P Tracking Table'!$AQ478)^2-(4*(149.919*'BMP P Tracking Table'!$AQ478+236.676*'BMP P Tracking Table'!$AR478+726*'BMP P Tracking Table'!$AS478+996.798*'BMP P Tracking Table'!$AT478)*-'BMP P Tracking Table'!$AW478)))/(2*(149.919*'BMP P Tracking Table'!$AQ478+236.676*'BMP P Tracking Table'!$AR478+726*'BMP P Tracking Table'!$AS478+996.798*'BMP P Tracking Table'!$AT478))))),MIN(2,IF('BMP P Tracking Table'!$AP478="Total Pervious",(-(3630*'BMP P Tracking Table'!$U478+20.691*'BMP P Tracking Table'!$AA478)+SQRT((3630*'BMP P Tracking Table'!$U478+20.691*'BMP P Tracking Table'!$AA478)^2-(4*(996.798*'BMP P Tracking Table'!$AA478)*-'BMP P Tracking Table'!$AW478)))/(2*(996.798*'BMP P Tracking Table'!$AA478)),IF(SUM('BMP P Tracking Table'!$W478:$Z478)=0,'BMP P Tracking Table'!$AW478/(-3630*'BMP P Tracking Table'!$U478),(-(3630*'BMP P Tracking Table'!$U478+20.691*'BMP P Tracking Table'!$Z478-216.711*'BMP P Tracking Table'!$Y478-83.853*'BMP P Tracking Table'!$X478-42.834*'BMP P Tracking Table'!$W478)+SQRT((3630*'BMP P Tracking Table'!$U478+20.691*'BMP P Tracking Table'!$Z478-216.711*'BMP P Tracking Table'!$Y478-83.853*'BMP P Tracking Table'!$X478-42.834*'BMP P Tracking Table'!$W478)^2-(4*(149.919*'BMP P Tracking Table'!$W478+236.676*'BMP P Tracking Table'!$X478+726*'BMP P Tracking Table'!$Y478+996.798*'BMP P Tracking Table'!$Z478)*-'BMP P Tracking Table'!$AW478)))/(2*(149.919*'BMP P Tracking Table'!$W478+236.676*'BMP P Tracking Table'!$X478+726*'BMP P Tracking Table'!$Y478+996.798*'BMP P Tracking Table'!$Z478)))))),"")</f>
        <v/>
      </c>
      <c r="BA478" s="101" t="str">
        <f>IFERROR((VLOOKUP(CONCATENATE('BMP P Tracking Table'!$AV478," ",'BMP P Tracking Table'!$AX478),'Performance Curves'!$C$1:$L$45,MATCH('BMP P Tracking Table'!$AZ478,'Performance Curves'!$E$1:$L$1,1)+2,FALSE)-VLOOKUP(CONCATENATE('BMP P Tracking Table'!$AV478," ",'BMP P Tracking Table'!$AX478),'Performance Curves'!$C$1:$L$45,MATCH('BMP P Tracking Table'!$AZ478,'Performance Curves'!$E$1:$L$1,1)+1,FALSE)),"")</f>
        <v/>
      </c>
      <c r="BB478" s="101" t="str">
        <f>IFERROR(('BMP P Tracking Table'!$AZ478-INDEX('Performance Curves'!$E$1:$L$1,1,MATCH('BMP P Tracking Table'!$AZ478,'Performance Curves'!$E$1:$L$1,1)))/(INDEX('Performance Curves'!$E$1:$L$1,1,MATCH('BMP P Tracking Table'!$AZ478,'Performance Curves'!$E$1:$L$1,1)+1)-INDEX('Performance Curves'!$E$1:$L$1,1,MATCH('BMP P Tracking Table'!$AZ478,'Performance Curves'!$E$1:$L$1,1))),"")</f>
        <v/>
      </c>
      <c r="BC478" s="102" t="str">
        <f>IFERROR(IF('BMP P Tracking Table'!$AZ478=2,VLOOKUP(CONCATENATE('BMP P Tracking Table'!$AV478," ",'BMP P Tracking Table'!$AX478),'Performance Curves'!$C$1:$L$44,MATCH('BMP P Tracking Table'!$AZ478,'Performance Curves'!$E$1:$L$1,1)+1,FALSE),'BMP P Tracking Table'!$BA478*'BMP P Tracking Table'!$BB478+VLOOKUP(CONCATENATE('BMP P Tracking Table'!$AV478," ",'BMP P Tracking Table'!$AX478),'Performance Curves'!$C$1:$L$44,MATCH('BMP P Tracking Table'!$AZ478,'Performance Curves'!$E$1:$L$1,1)+1,FALSE)),"")</f>
        <v/>
      </c>
      <c r="BD478" s="101" t="str">
        <f>IFERROR('BMP P Tracking Table'!$BC478*'BMP P Tracking Table'!$AY478,"")</f>
        <v/>
      </c>
      <c r="BE478" s="96"/>
      <c r="BF478" s="37">
        <f t="shared" si="27"/>
        <v>0</v>
      </c>
    </row>
    <row r="479" spans="1:58" x14ac:dyDescent="0.3">
      <c r="A479" s="64"/>
      <c r="B479" s="64"/>
      <c r="C479" s="64"/>
      <c r="D479" s="64"/>
      <c r="E479" s="93"/>
      <c r="F479" s="93"/>
      <c r="G479" s="64"/>
      <c r="H479" s="64"/>
      <c r="I479" s="64"/>
      <c r="J479" s="94"/>
      <c r="K479" s="64"/>
      <c r="L479" s="64"/>
      <c r="M479" s="64"/>
      <c r="N479" s="64"/>
      <c r="O479" s="64"/>
      <c r="P479" s="64"/>
      <c r="Q479" s="64" t="str">
        <f>IFERROR(VLOOKUP('BMP P Tracking Table'!$P479,Dropdowns!$C$2:$E$15,3,FALSE),"")</f>
        <v/>
      </c>
      <c r="R479" s="64" t="str">
        <f>IFERROR(VLOOKUP('BMP P Tracking Table'!$Q479,Dropdowns!$P$3:$Q$23,2,FALSE),"")</f>
        <v/>
      </c>
      <c r="S479" s="64"/>
      <c r="T479" s="64"/>
      <c r="U479" s="64"/>
      <c r="V479" s="64"/>
      <c r="W479" s="64"/>
      <c r="X479" s="64"/>
      <c r="Y479" s="64"/>
      <c r="Z479" s="64"/>
      <c r="AA479" s="64"/>
      <c r="AB479" s="95"/>
      <c r="AC479" s="64"/>
      <c r="AD479" s="101" t="str">
        <f>IFERROR('BMP P Tracking Table'!$U479*VLOOKUP('BMP P Tracking Table'!$Q479,'Loading Rates'!$B$1:$L$24,4,FALSE)+IF('BMP P Tracking Table'!$V479="By HSG",'BMP P Tracking Table'!$W479*VLOOKUP('BMP P Tracking Table'!$Q479,'Loading Rates'!$B$1:$L$24,6,FALSE)+'BMP P Tracking Table'!$X479*VLOOKUP('BMP P Tracking Table'!$Q479,'Loading Rates'!$B$1:$L$24,7,FALSE)+'BMP P Tracking Table'!$Y479*VLOOKUP('BMP P Tracking Table'!$Q479,'Loading Rates'!$B$1:$L$24,8,FALSE)+'BMP P Tracking Table'!$Z479*VLOOKUP('BMP P Tracking Table'!$Q479,'Loading Rates'!$B$1:$L$24,9,FALSE),'BMP P Tracking Table'!$AA479*VLOOKUP('BMP P Tracking Table'!$Q479,'Loading Rates'!$B$1:$L$24,10,FALSE)),"")</f>
        <v/>
      </c>
      <c r="AE479" s="101" t="str">
        <f>IFERROR(MIN(2,IF('BMP P Tracking Table'!$V479="Total Pervious",(-(3630*'BMP P Tracking Table'!$U479+20.691*'BMP P Tracking Table'!$AA479)+SQRT((3630*'BMP P Tracking Table'!$U479+20.691*'BMP P Tracking Table'!$AA479)^2-(4*(996.798*'BMP P Tracking Table'!$AA479)*-'BMP P Tracking Table'!$AB479)))/(2*(996.798*'BMP P Tracking Table'!$AA479)),IF(SUM('BMP P Tracking Table'!$W479:$Z479)=0,'BMP P Tracking Table'!$AB479/(-3630*'BMP P Tracking Table'!$U479),(-(3630*'BMP P Tracking Table'!$U479+20.691*'BMP P Tracking Table'!$Z479-216.711*'BMP P Tracking Table'!$Y479-83.853*'BMP P Tracking Table'!$X479-42.834*'BMP P Tracking Table'!$W479)+SQRT((3630*'BMP P Tracking Table'!$U479+20.691*'BMP P Tracking Table'!$Z479-216.711*'BMP P Tracking Table'!$Y479-83.853*'BMP P Tracking Table'!$X479-42.834*'BMP P Tracking Table'!$W479)^2-(4*(149.919*'BMP P Tracking Table'!$W479+236.676*'BMP P Tracking Table'!$X479+726*'BMP P Tracking Table'!$Y479+996.798*'BMP P Tracking Table'!$Z479)*-'BMP P Tracking Table'!$AB479)))/(2*(149.919*'BMP P Tracking Table'!$W479+236.676*'BMP P Tracking Table'!$X479+726*'BMP P Tracking Table'!$Y479+996.798*'BMP P Tracking Table'!$Z479))))),"")</f>
        <v/>
      </c>
      <c r="AF479" s="101" t="str">
        <f>IFERROR((VLOOKUP(CONCATENATE('BMP P Tracking Table'!$T479," ",'BMP P Tracking Table'!$AC479),'Performance Curves'!$C$1:$L$45,MATCH('BMP P Tracking Table'!$AE479,'Performance Curves'!$E$1:$L$1,1)+2,FALSE)-VLOOKUP(CONCATENATE('BMP P Tracking Table'!$T479," ",'BMP P Tracking Table'!$AC479),'Performance Curves'!$C$1:$L$45,MATCH('BMP P Tracking Table'!$AE479,'Performance Curves'!$E$1:$L$1,1)+1,FALSE)),"")</f>
        <v/>
      </c>
      <c r="AG479" s="101" t="str">
        <f>IFERROR(('BMP P Tracking Table'!$AE479-INDEX('Performance Curves'!$E$1:$L$1,1,MATCH('BMP P Tracking Table'!$AE479,'Performance Curves'!$E$1:$L$1,1)))/(INDEX('Performance Curves'!$E$1:$L$1,1,MATCH('BMP P Tracking Table'!$AE479,'Performance Curves'!$E$1:$L$1,1)+1)-INDEX('Performance Curves'!$E$1:$L$1,1,MATCH('BMP P Tracking Table'!$AE479,'Performance Curves'!$E$1:$L$1,1))),"")</f>
        <v/>
      </c>
      <c r="AH479" s="102" t="str">
        <f>IFERROR(IF('BMP P Tracking Table'!$AE479=2,VLOOKUP(CONCATENATE('BMP P Tracking Table'!$T479," ",'BMP P Tracking Table'!$AC479),'Performance Curves'!$C$1:$L$45,MATCH('BMP P Tracking Table'!$AE479,'Performance Curves'!$E$1:$L$1,1)+1,FALSE),'BMP P Tracking Table'!$AF479*'BMP P Tracking Table'!$AG479+VLOOKUP(CONCATENATE('BMP P Tracking Table'!$T479," ",'BMP P Tracking Table'!$AC479),'Performance Curves'!$C$1:$L$45,MATCH('BMP P Tracking Table'!$AE479,'Performance Curves'!$E$1:$L$1,1)+1,FALSE)),"")</f>
        <v/>
      </c>
      <c r="AI479" s="101" t="str">
        <f>IFERROR('BMP P Tracking Table'!$AH479*'BMP P Tracking Table'!$AD479,"")</f>
        <v/>
      </c>
      <c r="AJ479" s="64"/>
      <c r="AK479" s="96"/>
      <c r="AL479" s="96"/>
      <c r="AM479" s="63"/>
      <c r="AN479" s="99" t="str">
        <f t="shared" si="26"/>
        <v/>
      </c>
      <c r="AO479" s="96"/>
      <c r="AP479" s="96"/>
      <c r="AQ479" s="96"/>
      <c r="AR479" s="96"/>
      <c r="AS479" s="96"/>
      <c r="AT479" s="96"/>
      <c r="AU479" s="96"/>
      <c r="AV479" s="64"/>
      <c r="AW479" s="97"/>
      <c r="AX479" s="97"/>
      <c r="AY479" s="101" t="str">
        <f>IF('BMP P Tracking Table'!$AK479="Yes",IF('BMP P Tracking Table'!$AL479="No",'BMP P Tracking Table'!$U479*VLOOKUP('BMP P Tracking Table'!$Q479,'Loading Rates'!$B$1:$L$24,4,FALSE)+IF('BMP P Tracking Table'!$V479="By HSG",'BMP P Tracking Table'!$W479*VLOOKUP('BMP P Tracking Table'!$Q479,'Loading Rates'!$B$1:$L$24,6,FALSE)+'BMP P Tracking Table'!$X479*VLOOKUP('BMP P Tracking Table'!$Q479,'Loading Rates'!$B$1:$L$24,7,FALSE)+'BMP P Tracking Table'!$Y479*VLOOKUP('BMP P Tracking Table'!$Q479,'Loading Rates'!$B$1:$L$24,8,FALSE)+'BMP P Tracking Table'!$Z479*VLOOKUP('BMP P Tracking Table'!$Q479,'Loading Rates'!$B$1:$L$24,9,FALSE),'BMP P Tracking Table'!$AA479*VLOOKUP('BMP P Tracking Table'!$Q479,'Loading Rates'!$B$1:$L$24,10,FALSE)),'BMP P Tracking Table'!$AO479*VLOOKUP('BMP P Tracking Table'!$Q479,'Loading Rates'!$B$1:$L$24,4,FALSE)+IF('BMP P Tracking Table'!$AP479="By HSG",'BMP P Tracking Table'!$AQ479*VLOOKUP('BMP P Tracking Table'!$Q479,'Loading Rates'!$B$1:$L$24,6,FALSE)+'BMP P Tracking Table'!$AR479*VLOOKUP('BMP P Tracking Table'!$Q479,'Loading Rates'!$B$1:$L$24,7,FALSE)+'BMP P Tracking Table'!$AS479*VLOOKUP('BMP P Tracking Table'!$Q479,'Loading Rates'!$B$1:$L$24,8,FALSE)+'BMP P Tracking Table'!$AT479*VLOOKUP('BMP P Tracking Table'!$Q479,'Loading Rates'!$B$1:$L$24,9,FALSE),'BMP P Tracking Table'!$AU479*VLOOKUP('BMP P Tracking Table'!$Q479,'Loading Rates'!$B$1:$L$24,10,FALSE))),"")</f>
        <v/>
      </c>
      <c r="AZ479" s="101" t="str">
        <f>IFERROR(IF('BMP P Tracking Table'!$AL479="Yes",MIN(2,IF('BMP P Tracking Table'!$AP479="Total Pervious",(-(3630*'BMP P Tracking Table'!$AO479+20.691*'BMP P Tracking Table'!$AU479)+SQRT((3630*'BMP P Tracking Table'!$AO479+20.691*'BMP P Tracking Table'!$AU479)^2-(4*(996.798*'BMP P Tracking Table'!$AU479)*-'BMP P Tracking Table'!$AW479)))/(2*(996.798*'BMP P Tracking Table'!$AU479)),IF(SUM('BMP P Tracking Table'!$AQ479:$AT479)=0,'BMP P Tracking Table'!$AU479/(-3630*'BMP P Tracking Table'!$AO479),(-(3630*'BMP P Tracking Table'!$AO479+20.691*'BMP P Tracking Table'!$AT479-216.711*'BMP P Tracking Table'!$AS479-83.853*'BMP P Tracking Table'!$AR479-42.834*'BMP P Tracking Table'!$AQ479)+SQRT((3630*'BMP P Tracking Table'!$AO479+20.691*'BMP P Tracking Table'!$AT479-216.711*'BMP P Tracking Table'!$AS479-83.853*'BMP P Tracking Table'!$AR479-42.834*'BMP P Tracking Table'!$AQ479)^2-(4*(149.919*'BMP P Tracking Table'!$AQ479+236.676*'BMP P Tracking Table'!$AR479+726*'BMP P Tracking Table'!$AS479+996.798*'BMP P Tracking Table'!$AT479)*-'BMP P Tracking Table'!$AW479)))/(2*(149.919*'BMP P Tracking Table'!$AQ479+236.676*'BMP P Tracking Table'!$AR479+726*'BMP P Tracking Table'!$AS479+996.798*'BMP P Tracking Table'!$AT479))))),MIN(2,IF('BMP P Tracking Table'!$AP479="Total Pervious",(-(3630*'BMP P Tracking Table'!$U479+20.691*'BMP P Tracking Table'!$AA479)+SQRT((3630*'BMP P Tracking Table'!$U479+20.691*'BMP P Tracking Table'!$AA479)^2-(4*(996.798*'BMP P Tracking Table'!$AA479)*-'BMP P Tracking Table'!$AW479)))/(2*(996.798*'BMP P Tracking Table'!$AA479)),IF(SUM('BMP P Tracking Table'!$W479:$Z479)=0,'BMP P Tracking Table'!$AW479/(-3630*'BMP P Tracking Table'!$U479),(-(3630*'BMP P Tracking Table'!$U479+20.691*'BMP P Tracking Table'!$Z479-216.711*'BMP P Tracking Table'!$Y479-83.853*'BMP P Tracking Table'!$X479-42.834*'BMP P Tracking Table'!$W479)+SQRT((3630*'BMP P Tracking Table'!$U479+20.691*'BMP P Tracking Table'!$Z479-216.711*'BMP P Tracking Table'!$Y479-83.853*'BMP P Tracking Table'!$X479-42.834*'BMP P Tracking Table'!$W479)^2-(4*(149.919*'BMP P Tracking Table'!$W479+236.676*'BMP P Tracking Table'!$X479+726*'BMP P Tracking Table'!$Y479+996.798*'BMP P Tracking Table'!$Z479)*-'BMP P Tracking Table'!$AW479)))/(2*(149.919*'BMP P Tracking Table'!$W479+236.676*'BMP P Tracking Table'!$X479+726*'BMP P Tracking Table'!$Y479+996.798*'BMP P Tracking Table'!$Z479)))))),"")</f>
        <v/>
      </c>
      <c r="BA479" s="101" t="str">
        <f>IFERROR((VLOOKUP(CONCATENATE('BMP P Tracking Table'!$AV479," ",'BMP P Tracking Table'!$AX479),'Performance Curves'!$C$1:$L$45,MATCH('BMP P Tracking Table'!$AZ479,'Performance Curves'!$E$1:$L$1,1)+2,FALSE)-VLOOKUP(CONCATENATE('BMP P Tracking Table'!$AV479," ",'BMP P Tracking Table'!$AX479),'Performance Curves'!$C$1:$L$45,MATCH('BMP P Tracking Table'!$AZ479,'Performance Curves'!$E$1:$L$1,1)+1,FALSE)),"")</f>
        <v/>
      </c>
      <c r="BB479" s="101" t="str">
        <f>IFERROR(('BMP P Tracking Table'!$AZ479-INDEX('Performance Curves'!$E$1:$L$1,1,MATCH('BMP P Tracking Table'!$AZ479,'Performance Curves'!$E$1:$L$1,1)))/(INDEX('Performance Curves'!$E$1:$L$1,1,MATCH('BMP P Tracking Table'!$AZ479,'Performance Curves'!$E$1:$L$1,1)+1)-INDEX('Performance Curves'!$E$1:$L$1,1,MATCH('BMP P Tracking Table'!$AZ479,'Performance Curves'!$E$1:$L$1,1))),"")</f>
        <v/>
      </c>
      <c r="BC479" s="102" t="str">
        <f>IFERROR(IF('BMP P Tracking Table'!$AZ479=2,VLOOKUP(CONCATENATE('BMP P Tracking Table'!$AV479," ",'BMP P Tracking Table'!$AX479),'Performance Curves'!$C$1:$L$44,MATCH('BMP P Tracking Table'!$AZ479,'Performance Curves'!$E$1:$L$1,1)+1,FALSE),'BMP P Tracking Table'!$BA479*'BMP P Tracking Table'!$BB479+VLOOKUP(CONCATENATE('BMP P Tracking Table'!$AV479," ",'BMP P Tracking Table'!$AX479),'Performance Curves'!$C$1:$L$44,MATCH('BMP P Tracking Table'!$AZ479,'Performance Curves'!$E$1:$L$1,1)+1,FALSE)),"")</f>
        <v/>
      </c>
      <c r="BD479" s="101" t="str">
        <f>IFERROR('BMP P Tracking Table'!$BC479*'BMP P Tracking Table'!$AY479,"")</f>
        <v/>
      </c>
      <c r="BE479" s="96"/>
      <c r="BF479" s="37">
        <f t="shared" si="27"/>
        <v>0</v>
      </c>
    </row>
    <row r="480" spans="1:58" x14ac:dyDescent="0.3">
      <c r="A480" s="64"/>
      <c r="B480" s="64"/>
      <c r="C480" s="64"/>
      <c r="D480" s="64"/>
      <c r="E480" s="93"/>
      <c r="F480" s="93"/>
      <c r="G480" s="64"/>
      <c r="H480" s="64"/>
      <c r="I480" s="64"/>
      <c r="J480" s="94"/>
      <c r="K480" s="64"/>
      <c r="L480" s="64"/>
      <c r="M480" s="64"/>
      <c r="N480" s="64"/>
      <c r="O480" s="64"/>
      <c r="P480" s="64"/>
      <c r="Q480" s="64" t="str">
        <f>IFERROR(VLOOKUP('BMP P Tracking Table'!$P480,Dropdowns!$C$2:$E$15,3,FALSE),"")</f>
        <v/>
      </c>
      <c r="R480" s="64" t="str">
        <f>IFERROR(VLOOKUP('BMP P Tracking Table'!$Q480,Dropdowns!$P$3:$Q$23,2,FALSE),"")</f>
        <v/>
      </c>
      <c r="S480" s="64"/>
      <c r="T480" s="64"/>
      <c r="U480" s="64"/>
      <c r="V480" s="64"/>
      <c r="W480" s="64"/>
      <c r="X480" s="64"/>
      <c r="Y480" s="64"/>
      <c r="Z480" s="64"/>
      <c r="AA480" s="64"/>
      <c r="AB480" s="95"/>
      <c r="AC480" s="64"/>
      <c r="AD480" s="101" t="str">
        <f>IFERROR('BMP P Tracking Table'!$U480*VLOOKUP('BMP P Tracking Table'!$Q480,'Loading Rates'!$B$1:$L$24,4,FALSE)+IF('BMP P Tracking Table'!$V480="By HSG",'BMP P Tracking Table'!$W480*VLOOKUP('BMP P Tracking Table'!$Q480,'Loading Rates'!$B$1:$L$24,6,FALSE)+'BMP P Tracking Table'!$X480*VLOOKUP('BMP P Tracking Table'!$Q480,'Loading Rates'!$B$1:$L$24,7,FALSE)+'BMP P Tracking Table'!$Y480*VLOOKUP('BMP P Tracking Table'!$Q480,'Loading Rates'!$B$1:$L$24,8,FALSE)+'BMP P Tracking Table'!$Z480*VLOOKUP('BMP P Tracking Table'!$Q480,'Loading Rates'!$B$1:$L$24,9,FALSE),'BMP P Tracking Table'!$AA480*VLOOKUP('BMP P Tracking Table'!$Q480,'Loading Rates'!$B$1:$L$24,10,FALSE)),"")</f>
        <v/>
      </c>
      <c r="AE480" s="101" t="str">
        <f>IFERROR(MIN(2,IF('BMP P Tracking Table'!$V480="Total Pervious",(-(3630*'BMP P Tracking Table'!$U480+20.691*'BMP P Tracking Table'!$AA480)+SQRT((3630*'BMP P Tracking Table'!$U480+20.691*'BMP P Tracking Table'!$AA480)^2-(4*(996.798*'BMP P Tracking Table'!$AA480)*-'BMP P Tracking Table'!$AB480)))/(2*(996.798*'BMP P Tracking Table'!$AA480)),IF(SUM('BMP P Tracking Table'!$W480:$Z480)=0,'BMP P Tracking Table'!$AB480/(-3630*'BMP P Tracking Table'!$U480),(-(3630*'BMP P Tracking Table'!$U480+20.691*'BMP P Tracking Table'!$Z480-216.711*'BMP P Tracking Table'!$Y480-83.853*'BMP P Tracking Table'!$X480-42.834*'BMP P Tracking Table'!$W480)+SQRT((3630*'BMP P Tracking Table'!$U480+20.691*'BMP P Tracking Table'!$Z480-216.711*'BMP P Tracking Table'!$Y480-83.853*'BMP P Tracking Table'!$X480-42.834*'BMP P Tracking Table'!$W480)^2-(4*(149.919*'BMP P Tracking Table'!$W480+236.676*'BMP P Tracking Table'!$X480+726*'BMP P Tracking Table'!$Y480+996.798*'BMP P Tracking Table'!$Z480)*-'BMP P Tracking Table'!$AB480)))/(2*(149.919*'BMP P Tracking Table'!$W480+236.676*'BMP P Tracking Table'!$X480+726*'BMP P Tracking Table'!$Y480+996.798*'BMP P Tracking Table'!$Z480))))),"")</f>
        <v/>
      </c>
      <c r="AF480" s="101" t="str">
        <f>IFERROR((VLOOKUP(CONCATENATE('BMP P Tracking Table'!$T480," ",'BMP P Tracking Table'!$AC480),'Performance Curves'!$C$1:$L$45,MATCH('BMP P Tracking Table'!$AE480,'Performance Curves'!$E$1:$L$1,1)+2,FALSE)-VLOOKUP(CONCATENATE('BMP P Tracking Table'!$T480," ",'BMP P Tracking Table'!$AC480),'Performance Curves'!$C$1:$L$45,MATCH('BMP P Tracking Table'!$AE480,'Performance Curves'!$E$1:$L$1,1)+1,FALSE)),"")</f>
        <v/>
      </c>
      <c r="AG480" s="101" t="str">
        <f>IFERROR(('BMP P Tracking Table'!$AE480-INDEX('Performance Curves'!$E$1:$L$1,1,MATCH('BMP P Tracking Table'!$AE480,'Performance Curves'!$E$1:$L$1,1)))/(INDEX('Performance Curves'!$E$1:$L$1,1,MATCH('BMP P Tracking Table'!$AE480,'Performance Curves'!$E$1:$L$1,1)+1)-INDEX('Performance Curves'!$E$1:$L$1,1,MATCH('BMP P Tracking Table'!$AE480,'Performance Curves'!$E$1:$L$1,1))),"")</f>
        <v/>
      </c>
      <c r="AH480" s="102" t="str">
        <f>IFERROR(IF('BMP P Tracking Table'!$AE480=2,VLOOKUP(CONCATENATE('BMP P Tracking Table'!$T480," ",'BMP P Tracking Table'!$AC480),'Performance Curves'!$C$1:$L$45,MATCH('BMP P Tracking Table'!$AE480,'Performance Curves'!$E$1:$L$1,1)+1,FALSE),'BMP P Tracking Table'!$AF480*'BMP P Tracking Table'!$AG480+VLOOKUP(CONCATENATE('BMP P Tracking Table'!$T480," ",'BMP P Tracking Table'!$AC480),'Performance Curves'!$C$1:$L$45,MATCH('BMP P Tracking Table'!$AE480,'Performance Curves'!$E$1:$L$1,1)+1,FALSE)),"")</f>
        <v/>
      </c>
      <c r="AI480" s="101" t="str">
        <f>IFERROR('BMP P Tracking Table'!$AH480*'BMP P Tracking Table'!$AD480,"")</f>
        <v/>
      </c>
      <c r="AJ480" s="64"/>
      <c r="AK480" s="96"/>
      <c r="AL480" s="96"/>
      <c r="AM480" s="63"/>
      <c r="AN480" s="99" t="str">
        <f t="shared" si="26"/>
        <v/>
      </c>
      <c r="AO480" s="96"/>
      <c r="AP480" s="96"/>
      <c r="AQ480" s="96"/>
      <c r="AR480" s="96"/>
      <c r="AS480" s="96"/>
      <c r="AT480" s="96"/>
      <c r="AU480" s="96"/>
      <c r="AV480" s="64"/>
      <c r="AW480" s="97"/>
      <c r="AX480" s="97"/>
      <c r="AY480" s="101" t="str">
        <f>IF('BMP P Tracking Table'!$AK480="Yes",IF('BMP P Tracking Table'!$AL480="No",'BMP P Tracking Table'!$U480*VLOOKUP('BMP P Tracking Table'!$Q480,'Loading Rates'!$B$1:$L$24,4,FALSE)+IF('BMP P Tracking Table'!$V480="By HSG",'BMP P Tracking Table'!$W480*VLOOKUP('BMP P Tracking Table'!$Q480,'Loading Rates'!$B$1:$L$24,6,FALSE)+'BMP P Tracking Table'!$X480*VLOOKUP('BMP P Tracking Table'!$Q480,'Loading Rates'!$B$1:$L$24,7,FALSE)+'BMP P Tracking Table'!$Y480*VLOOKUP('BMP P Tracking Table'!$Q480,'Loading Rates'!$B$1:$L$24,8,FALSE)+'BMP P Tracking Table'!$Z480*VLOOKUP('BMP P Tracking Table'!$Q480,'Loading Rates'!$B$1:$L$24,9,FALSE),'BMP P Tracking Table'!$AA480*VLOOKUP('BMP P Tracking Table'!$Q480,'Loading Rates'!$B$1:$L$24,10,FALSE)),'BMP P Tracking Table'!$AO480*VLOOKUP('BMP P Tracking Table'!$Q480,'Loading Rates'!$B$1:$L$24,4,FALSE)+IF('BMP P Tracking Table'!$AP480="By HSG",'BMP P Tracking Table'!$AQ480*VLOOKUP('BMP P Tracking Table'!$Q480,'Loading Rates'!$B$1:$L$24,6,FALSE)+'BMP P Tracking Table'!$AR480*VLOOKUP('BMP P Tracking Table'!$Q480,'Loading Rates'!$B$1:$L$24,7,FALSE)+'BMP P Tracking Table'!$AS480*VLOOKUP('BMP P Tracking Table'!$Q480,'Loading Rates'!$B$1:$L$24,8,FALSE)+'BMP P Tracking Table'!$AT480*VLOOKUP('BMP P Tracking Table'!$Q480,'Loading Rates'!$B$1:$L$24,9,FALSE),'BMP P Tracking Table'!$AU480*VLOOKUP('BMP P Tracking Table'!$Q480,'Loading Rates'!$B$1:$L$24,10,FALSE))),"")</f>
        <v/>
      </c>
      <c r="AZ480" s="101" t="str">
        <f>IFERROR(IF('BMP P Tracking Table'!$AL480="Yes",MIN(2,IF('BMP P Tracking Table'!$AP480="Total Pervious",(-(3630*'BMP P Tracking Table'!$AO480+20.691*'BMP P Tracking Table'!$AU480)+SQRT((3630*'BMP P Tracking Table'!$AO480+20.691*'BMP P Tracking Table'!$AU480)^2-(4*(996.798*'BMP P Tracking Table'!$AU480)*-'BMP P Tracking Table'!$AW480)))/(2*(996.798*'BMP P Tracking Table'!$AU480)),IF(SUM('BMP P Tracking Table'!$AQ480:$AT480)=0,'BMP P Tracking Table'!$AU480/(-3630*'BMP P Tracking Table'!$AO480),(-(3630*'BMP P Tracking Table'!$AO480+20.691*'BMP P Tracking Table'!$AT480-216.711*'BMP P Tracking Table'!$AS480-83.853*'BMP P Tracking Table'!$AR480-42.834*'BMP P Tracking Table'!$AQ480)+SQRT((3630*'BMP P Tracking Table'!$AO480+20.691*'BMP P Tracking Table'!$AT480-216.711*'BMP P Tracking Table'!$AS480-83.853*'BMP P Tracking Table'!$AR480-42.834*'BMP P Tracking Table'!$AQ480)^2-(4*(149.919*'BMP P Tracking Table'!$AQ480+236.676*'BMP P Tracking Table'!$AR480+726*'BMP P Tracking Table'!$AS480+996.798*'BMP P Tracking Table'!$AT480)*-'BMP P Tracking Table'!$AW480)))/(2*(149.919*'BMP P Tracking Table'!$AQ480+236.676*'BMP P Tracking Table'!$AR480+726*'BMP P Tracking Table'!$AS480+996.798*'BMP P Tracking Table'!$AT480))))),MIN(2,IF('BMP P Tracking Table'!$AP480="Total Pervious",(-(3630*'BMP P Tracking Table'!$U480+20.691*'BMP P Tracking Table'!$AA480)+SQRT((3630*'BMP P Tracking Table'!$U480+20.691*'BMP P Tracking Table'!$AA480)^2-(4*(996.798*'BMP P Tracking Table'!$AA480)*-'BMP P Tracking Table'!$AW480)))/(2*(996.798*'BMP P Tracking Table'!$AA480)),IF(SUM('BMP P Tracking Table'!$W480:$Z480)=0,'BMP P Tracking Table'!$AW480/(-3630*'BMP P Tracking Table'!$U480),(-(3630*'BMP P Tracking Table'!$U480+20.691*'BMP P Tracking Table'!$Z480-216.711*'BMP P Tracking Table'!$Y480-83.853*'BMP P Tracking Table'!$X480-42.834*'BMP P Tracking Table'!$W480)+SQRT((3630*'BMP P Tracking Table'!$U480+20.691*'BMP P Tracking Table'!$Z480-216.711*'BMP P Tracking Table'!$Y480-83.853*'BMP P Tracking Table'!$X480-42.834*'BMP P Tracking Table'!$W480)^2-(4*(149.919*'BMP P Tracking Table'!$W480+236.676*'BMP P Tracking Table'!$X480+726*'BMP P Tracking Table'!$Y480+996.798*'BMP P Tracking Table'!$Z480)*-'BMP P Tracking Table'!$AW480)))/(2*(149.919*'BMP P Tracking Table'!$W480+236.676*'BMP P Tracking Table'!$X480+726*'BMP P Tracking Table'!$Y480+996.798*'BMP P Tracking Table'!$Z480)))))),"")</f>
        <v/>
      </c>
      <c r="BA480" s="101" t="str">
        <f>IFERROR((VLOOKUP(CONCATENATE('BMP P Tracking Table'!$AV480," ",'BMP P Tracking Table'!$AX480),'Performance Curves'!$C$1:$L$45,MATCH('BMP P Tracking Table'!$AZ480,'Performance Curves'!$E$1:$L$1,1)+2,FALSE)-VLOOKUP(CONCATENATE('BMP P Tracking Table'!$AV480," ",'BMP P Tracking Table'!$AX480),'Performance Curves'!$C$1:$L$45,MATCH('BMP P Tracking Table'!$AZ480,'Performance Curves'!$E$1:$L$1,1)+1,FALSE)),"")</f>
        <v/>
      </c>
      <c r="BB480" s="101" t="str">
        <f>IFERROR(('BMP P Tracking Table'!$AZ480-INDEX('Performance Curves'!$E$1:$L$1,1,MATCH('BMP P Tracking Table'!$AZ480,'Performance Curves'!$E$1:$L$1,1)))/(INDEX('Performance Curves'!$E$1:$L$1,1,MATCH('BMP P Tracking Table'!$AZ480,'Performance Curves'!$E$1:$L$1,1)+1)-INDEX('Performance Curves'!$E$1:$L$1,1,MATCH('BMP P Tracking Table'!$AZ480,'Performance Curves'!$E$1:$L$1,1))),"")</f>
        <v/>
      </c>
      <c r="BC480" s="102" t="str">
        <f>IFERROR(IF('BMP P Tracking Table'!$AZ480=2,VLOOKUP(CONCATENATE('BMP P Tracking Table'!$AV480," ",'BMP P Tracking Table'!$AX480),'Performance Curves'!$C$1:$L$44,MATCH('BMP P Tracking Table'!$AZ480,'Performance Curves'!$E$1:$L$1,1)+1,FALSE),'BMP P Tracking Table'!$BA480*'BMP P Tracking Table'!$BB480+VLOOKUP(CONCATENATE('BMP P Tracking Table'!$AV480," ",'BMP P Tracking Table'!$AX480),'Performance Curves'!$C$1:$L$44,MATCH('BMP P Tracking Table'!$AZ480,'Performance Curves'!$E$1:$L$1,1)+1,FALSE)),"")</f>
        <v/>
      </c>
      <c r="BD480" s="101" t="str">
        <f>IFERROR('BMP P Tracking Table'!$BC480*'BMP P Tracking Table'!$AY480,"")</f>
        <v/>
      </c>
      <c r="BE480" s="96"/>
      <c r="BF480" s="37">
        <f t="shared" si="27"/>
        <v>0</v>
      </c>
    </row>
    <row r="481" spans="1:58" x14ac:dyDescent="0.3">
      <c r="A481" s="64"/>
      <c r="B481" s="64"/>
      <c r="C481" s="64"/>
      <c r="D481" s="64"/>
      <c r="E481" s="93"/>
      <c r="F481" s="93"/>
      <c r="G481" s="64"/>
      <c r="H481" s="64"/>
      <c r="I481" s="64"/>
      <c r="J481" s="94"/>
      <c r="K481" s="64"/>
      <c r="L481" s="64"/>
      <c r="M481" s="64"/>
      <c r="N481" s="64"/>
      <c r="O481" s="64"/>
      <c r="P481" s="64"/>
      <c r="Q481" s="64" t="str">
        <f>IFERROR(VLOOKUP('BMP P Tracking Table'!$P481,Dropdowns!$C$2:$E$15,3,FALSE),"")</f>
        <v/>
      </c>
      <c r="R481" s="64" t="str">
        <f>IFERROR(VLOOKUP('BMP P Tracking Table'!$Q481,Dropdowns!$P$3:$Q$23,2,FALSE),"")</f>
        <v/>
      </c>
      <c r="S481" s="64"/>
      <c r="T481" s="64"/>
      <c r="U481" s="64"/>
      <c r="V481" s="64"/>
      <c r="W481" s="64"/>
      <c r="X481" s="64"/>
      <c r="Y481" s="64"/>
      <c r="Z481" s="64"/>
      <c r="AA481" s="64"/>
      <c r="AB481" s="95"/>
      <c r="AC481" s="64"/>
      <c r="AD481" s="101" t="str">
        <f>IFERROR('BMP P Tracking Table'!$U481*VLOOKUP('BMP P Tracking Table'!$Q481,'Loading Rates'!$B$1:$L$24,4,FALSE)+IF('BMP P Tracking Table'!$V481="By HSG",'BMP P Tracking Table'!$W481*VLOOKUP('BMP P Tracking Table'!$Q481,'Loading Rates'!$B$1:$L$24,6,FALSE)+'BMP P Tracking Table'!$X481*VLOOKUP('BMP P Tracking Table'!$Q481,'Loading Rates'!$B$1:$L$24,7,FALSE)+'BMP P Tracking Table'!$Y481*VLOOKUP('BMP P Tracking Table'!$Q481,'Loading Rates'!$B$1:$L$24,8,FALSE)+'BMP P Tracking Table'!$Z481*VLOOKUP('BMP P Tracking Table'!$Q481,'Loading Rates'!$B$1:$L$24,9,FALSE),'BMP P Tracking Table'!$AA481*VLOOKUP('BMP P Tracking Table'!$Q481,'Loading Rates'!$B$1:$L$24,10,FALSE)),"")</f>
        <v/>
      </c>
      <c r="AE481" s="101" t="str">
        <f>IFERROR(MIN(2,IF('BMP P Tracking Table'!$V481="Total Pervious",(-(3630*'BMP P Tracking Table'!$U481+20.691*'BMP P Tracking Table'!$AA481)+SQRT((3630*'BMP P Tracking Table'!$U481+20.691*'BMP P Tracking Table'!$AA481)^2-(4*(996.798*'BMP P Tracking Table'!$AA481)*-'BMP P Tracking Table'!$AB481)))/(2*(996.798*'BMP P Tracking Table'!$AA481)),IF(SUM('BMP P Tracking Table'!$W481:$Z481)=0,'BMP P Tracking Table'!$AB481/(-3630*'BMP P Tracking Table'!$U481),(-(3630*'BMP P Tracking Table'!$U481+20.691*'BMP P Tracking Table'!$Z481-216.711*'BMP P Tracking Table'!$Y481-83.853*'BMP P Tracking Table'!$X481-42.834*'BMP P Tracking Table'!$W481)+SQRT((3630*'BMP P Tracking Table'!$U481+20.691*'BMP P Tracking Table'!$Z481-216.711*'BMP P Tracking Table'!$Y481-83.853*'BMP P Tracking Table'!$X481-42.834*'BMP P Tracking Table'!$W481)^2-(4*(149.919*'BMP P Tracking Table'!$W481+236.676*'BMP P Tracking Table'!$X481+726*'BMP P Tracking Table'!$Y481+996.798*'BMP P Tracking Table'!$Z481)*-'BMP P Tracking Table'!$AB481)))/(2*(149.919*'BMP P Tracking Table'!$W481+236.676*'BMP P Tracking Table'!$X481+726*'BMP P Tracking Table'!$Y481+996.798*'BMP P Tracking Table'!$Z481))))),"")</f>
        <v/>
      </c>
      <c r="AF481" s="101" t="str">
        <f>IFERROR((VLOOKUP(CONCATENATE('BMP P Tracking Table'!$T481," ",'BMP P Tracking Table'!$AC481),'Performance Curves'!$C$1:$L$45,MATCH('BMP P Tracking Table'!$AE481,'Performance Curves'!$E$1:$L$1,1)+2,FALSE)-VLOOKUP(CONCATENATE('BMP P Tracking Table'!$T481," ",'BMP P Tracking Table'!$AC481),'Performance Curves'!$C$1:$L$45,MATCH('BMP P Tracking Table'!$AE481,'Performance Curves'!$E$1:$L$1,1)+1,FALSE)),"")</f>
        <v/>
      </c>
      <c r="AG481" s="101" t="str">
        <f>IFERROR(('BMP P Tracking Table'!$AE481-INDEX('Performance Curves'!$E$1:$L$1,1,MATCH('BMP P Tracking Table'!$AE481,'Performance Curves'!$E$1:$L$1,1)))/(INDEX('Performance Curves'!$E$1:$L$1,1,MATCH('BMP P Tracking Table'!$AE481,'Performance Curves'!$E$1:$L$1,1)+1)-INDEX('Performance Curves'!$E$1:$L$1,1,MATCH('BMP P Tracking Table'!$AE481,'Performance Curves'!$E$1:$L$1,1))),"")</f>
        <v/>
      </c>
      <c r="AH481" s="102" t="str">
        <f>IFERROR(IF('BMP P Tracking Table'!$AE481=2,VLOOKUP(CONCATENATE('BMP P Tracking Table'!$T481," ",'BMP P Tracking Table'!$AC481),'Performance Curves'!$C$1:$L$45,MATCH('BMP P Tracking Table'!$AE481,'Performance Curves'!$E$1:$L$1,1)+1,FALSE),'BMP P Tracking Table'!$AF481*'BMP P Tracking Table'!$AG481+VLOOKUP(CONCATENATE('BMP P Tracking Table'!$T481," ",'BMP P Tracking Table'!$AC481),'Performance Curves'!$C$1:$L$45,MATCH('BMP P Tracking Table'!$AE481,'Performance Curves'!$E$1:$L$1,1)+1,FALSE)),"")</f>
        <v/>
      </c>
      <c r="AI481" s="101" t="str">
        <f>IFERROR('BMP P Tracking Table'!$AH481*'BMP P Tracking Table'!$AD481,"")</f>
        <v/>
      </c>
      <c r="AJ481" s="64"/>
      <c r="AK481" s="96"/>
      <c r="AL481" s="96"/>
      <c r="AM481" s="63"/>
      <c r="AN481" s="99" t="str">
        <f t="shared" si="26"/>
        <v/>
      </c>
      <c r="AO481" s="96"/>
      <c r="AP481" s="96"/>
      <c r="AQ481" s="96"/>
      <c r="AR481" s="96"/>
      <c r="AS481" s="96"/>
      <c r="AT481" s="96"/>
      <c r="AU481" s="96"/>
      <c r="AV481" s="64"/>
      <c r="AW481" s="97"/>
      <c r="AX481" s="97"/>
      <c r="AY481" s="101" t="str">
        <f>IF('BMP P Tracking Table'!$AK481="Yes",IF('BMP P Tracking Table'!$AL481="No",'BMP P Tracking Table'!$U481*VLOOKUP('BMP P Tracking Table'!$Q481,'Loading Rates'!$B$1:$L$24,4,FALSE)+IF('BMP P Tracking Table'!$V481="By HSG",'BMP P Tracking Table'!$W481*VLOOKUP('BMP P Tracking Table'!$Q481,'Loading Rates'!$B$1:$L$24,6,FALSE)+'BMP P Tracking Table'!$X481*VLOOKUP('BMP P Tracking Table'!$Q481,'Loading Rates'!$B$1:$L$24,7,FALSE)+'BMP P Tracking Table'!$Y481*VLOOKUP('BMP P Tracking Table'!$Q481,'Loading Rates'!$B$1:$L$24,8,FALSE)+'BMP P Tracking Table'!$Z481*VLOOKUP('BMP P Tracking Table'!$Q481,'Loading Rates'!$B$1:$L$24,9,FALSE),'BMP P Tracking Table'!$AA481*VLOOKUP('BMP P Tracking Table'!$Q481,'Loading Rates'!$B$1:$L$24,10,FALSE)),'BMP P Tracking Table'!$AO481*VLOOKUP('BMP P Tracking Table'!$Q481,'Loading Rates'!$B$1:$L$24,4,FALSE)+IF('BMP P Tracking Table'!$AP481="By HSG",'BMP P Tracking Table'!$AQ481*VLOOKUP('BMP P Tracking Table'!$Q481,'Loading Rates'!$B$1:$L$24,6,FALSE)+'BMP P Tracking Table'!$AR481*VLOOKUP('BMP P Tracking Table'!$Q481,'Loading Rates'!$B$1:$L$24,7,FALSE)+'BMP P Tracking Table'!$AS481*VLOOKUP('BMP P Tracking Table'!$Q481,'Loading Rates'!$B$1:$L$24,8,FALSE)+'BMP P Tracking Table'!$AT481*VLOOKUP('BMP P Tracking Table'!$Q481,'Loading Rates'!$B$1:$L$24,9,FALSE),'BMP P Tracking Table'!$AU481*VLOOKUP('BMP P Tracking Table'!$Q481,'Loading Rates'!$B$1:$L$24,10,FALSE))),"")</f>
        <v/>
      </c>
      <c r="AZ481" s="101" t="str">
        <f>IFERROR(IF('BMP P Tracking Table'!$AL481="Yes",MIN(2,IF('BMP P Tracking Table'!$AP481="Total Pervious",(-(3630*'BMP P Tracking Table'!$AO481+20.691*'BMP P Tracking Table'!$AU481)+SQRT((3630*'BMP P Tracking Table'!$AO481+20.691*'BMP P Tracking Table'!$AU481)^2-(4*(996.798*'BMP P Tracking Table'!$AU481)*-'BMP P Tracking Table'!$AW481)))/(2*(996.798*'BMP P Tracking Table'!$AU481)),IF(SUM('BMP P Tracking Table'!$AQ481:$AT481)=0,'BMP P Tracking Table'!$AU481/(-3630*'BMP P Tracking Table'!$AO481),(-(3630*'BMP P Tracking Table'!$AO481+20.691*'BMP P Tracking Table'!$AT481-216.711*'BMP P Tracking Table'!$AS481-83.853*'BMP P Tracking Table'!$AR481-42.834*'BMP P Tracking Table'!$AQ481)+SQRT((3630*'BMP P Tracking Table'!$AO481+20.691*'BMP P Tracking Table'!$AT481-216.711*'BMP P Tracking Table'!$AS481-83.853*'BMP P Tracking Table'!$AR481-42.834*'BMP P Tracking Table'!$AQ481)^2-(4*(149.919*'BMP P Tracking Table'!$AQ481+236.676*'BMP P Tracking Table'!$AR481+726*'BMP P Tracking Table'!$AS481+996.798*'BMP P Tracking Table'!$AT481)*-'BMP P Tracking Table'!$AW481)))/(2*(149.919*'BMP P Tracking Table'!$AQ481+236.676*'BMP P Tracking Table'!$AR481+726*'BMP P Tracking Table'!$AS481+996.798*'BMP P Tracking Table'!$AT481))))),MIN(2,IF('BMP P Tracking Table'!$AP481="Total Pervious",(-(3630*'BMP P Tracking Table'!$U481+20.691*'BMP P Tracking Table'!$AA481)+SQRT((3630*'BMP P Tracking Table'!$U481+20.691*'BMP P Tracking Table'!$AA481)^2-(4*(996.798*'BMP P Tracking Table'!$AA481)*-'BMP P Tracking Table'!$AW481)))/(2*(996.798*'BMP P Tracking Table'!$AA481)),IF(SUM('BMP P Tracking Table'!$W481:$Z481)=0,'BMP P Tracking Table'!$AW481/(-3630*'BMP P Tracking Table'!$U481),(-(3630*'BMP P Tracking Table'!$U481+20.691*'BMP P Tracking Table'!$Z481-216.711*'BMP P Tracking Table'!$Y481-83.853*'BMP P Tracking Table'!$X481-42.834*'BMP P Tracking Table'!$W481)+SQRT((3630*'BMP P Tracking Table'!$U481+20.691*'BMP P Tracking Table'!$Z481-216.711*'BMP P Tracking Table'!$Y481-83.853*'BMP P Tracking Table'!$X481-42.834*'BMP P Tracking Table'!$W481)^2-(4*(149.919*'BMP P Tracking Table'!$W481+236.676*'BMP P Tracking Table'!$X481+726*'BMP P Tracking Table'!$Y481+996.798*'BMP P Tracking Table'!$Z481)*-'BMP P Tracking Table'!$AW481)))/(2*(149.919*'BMP P Tracking Table'!$W481+236.676*'BMP P Tracking Table'!$X481+726*'BMP P Tracking Table'!$Y481+996.798*'BMP P Tracking Table'!$Z481)))))),"")</f>
        <v/>
      </c>
      <c r="BA481" s="101" t="str">
        <f>IFERROR((VLOOKUP(CONCATENATE('BMP P Tracking Table'!$AV481," ",'BMP P Tracking Table'!$AX481),'Performance Curves'!$C$1:$L$45,MATCH('BMP P Tracking Table'!$AZ481,'Performance Curves'!$E$1:$L$1,1)+2,FALSE)-VLOOKUP(CONCATENATE('BMP P Tracking Table'!$AV481," ",'BMP P Tracking Table'!$AX481),'Performance Curves'!$C$1:$L$45,MATCH('BMP P Tracking Table'!$AZ481,'Performance Curves'!$E$1:$L$1,1)+1,FALSE)),"")</f>
        <v/>
      </c>
      <c r="BB481" s="101" t="str">
        <f>IFERROR(('BMP P Tracking Table'!$AZ481-INDEX('Performance Curves'!$E$1:$L$1,1,MATCH('BMP P Tracking Table'!$AZ481,'Performance Curves'!$E$1:$L$1,1)))/(INDEX('Performance Curves'!$E$1:$L$1,1,MATCH('BMP P Tracking Table'!$AZ481,'Performance Curves'!$E$1:$L$1,1)+1)-INDEX('Performance Curves'!$E$1:$L$1,1,MATCH('BMP P Tracking Table'!$AZ481,'Performance Curves'!$E$1:$L$1,1))),"")</f>
        <v/>
      </c>
      <c r="BC481" s="102" t="str">
        <f>IFERROR(IF('BMP P Tracking Table'!$AZ481=2,VLOOKUP(CONCATENATE('BMP P Tracking Table'!$AV481," ",'BMP P Tracking Table'!$AX481),'Performance Curves'!$C$1:$L$44,MATCH('BMP P Tracking Table'!$AZ481,'Performance Curves'!$E$1:$L$1,1)+1,FALSE),'BMP P Tracking Table'!$BA481*'BMP P Tracking Table'!$BB481+VLOOKUP(CONCATENATE('BMP P Tracking Table'!$AV481," ",'BMP P Tracking Table'!$AX481),'Performance Curves'!$C$1:$L$44,MATCH('BMP P Tracking Table'!$AZ481,'Performance Curves'!$E$1:$L$1,1)+1,FALSE)),"")</f>
        <v/>
      </c>
      <c r="BD481" s="101" t="str">
        <f>IFERROR('BMP P Tracking Table'!$BC481*'BMP P Tracking Table'!$AY481,"")</f>
        <v/>
      </c>
      <c r="BE481" s="96"/>
      <c r="BF481" s="37">
        <f t="shared" si="27"/>
        <v>0</v>
      </c>
    </row>
    <row r="482" spans="1:58" x14ac:dyDescent="0.3">
      <c r="A482" s="64"/>
      <c r="B482" s="64"/>
      <c r="C482" s="64"/>
      <c r="D482" s="64"/>
      <c r="E482" s="93"/>
      <c r="F482" s="93"/>
      <c r="G482" s="64"/>
      <c r="H482" s="64"/>
      <c r="I482" s="64"/>
      <c r="J482" s="94"/>
      <c r="K482" s="64"/>
      <c r="L482" s="64"/>
      <c r="M482" s="64"/>
      <c r="N482" s="64"/>
      <c r="O482" s="64"/>
      <c r="P482" s="64"/>
      <c r="Q482" s="64" t="str">
        <f>IFERROR(VLOOKUP('BMP P Tracking Table'!$P482,Dropdowns!$C$2:$E$15,3,FALSE),"")</f>
        <v/>
      </c>
      <c r="R482" s="64" t="str">
        <f>IFERROR(VLOOKUP('BMP P Tracking Table'!$Q482,Dropdowns!$P$3:$Q$23,2,FALSE),"")</f>
        <v/>
      </c>
      <c r="S482" s="64"/>
      <c r="T482" s="64"/>
      <c r="U482" s="64"/>
      <c r="V482" s="64"/>
      <c r="W482" s="64"/>
      <c r="X482" s="64"/>
      <c r="Y482" s="64"/>
      <c r="Z482" s="64"/>
      <c r="AA482" s="64"/>
      <c r="AB482" s="95"/>
      <c r="AC482" s="64"/>
      <c r="AD482" s="101" t="str">
        <f>IFERROR('BMP P Tracking Table'!$U482*VLOOKUP('BMP P Tracking Table'!$Q482,'Loading Rates'!$B$1:$L$24,4,FALSE)+IF('BMP P Tracking Table'!$V482="By HSG",'BMP P Tracking Table'!$W482*VLOOKUP('BMP P Tracking Table'!$Q482,'Loading Rates'!$B$1:$L$24,6,FALSE)+'BMP P Tracking Table'!$X482*VLOOKUP('BMP P Tracking Table'!$Q482,'Loading Rates'!$B$1:$L$24,7,FALSE)+'BMP P Tracking Table'!$Y482*VLOOKUP('BMP P Tracking Table'!$Q482,'Loading Rates'!$B$1:$L$24,8,FALSE)+'BMP P Tracking Table'!$Z482*VLOOKUP('BMP P Tracking Table'!$Q482,'Loading Rates'!$B$1:$L$24,9,FALSE),'BMP P Tracking Table'!$AA482*VLOOKUP('BMP P Tracking Table'!$Q482,'Loading Rates'!$B$1:$L$24,10,FALSE)),"")</f>
        <v/>
      </c>
      <c r="AE482" s="101" t="str">
        <f>IFERROR(MIN(2,IF('BMP P Tracking Table'!$V482="Total Pervious",(-(3630*'BMP P Tracking Table'!$U482+20.691*'BMP P Tracking Table'!$AA482)+SQRT((3630*'BMP P Tracking Table'!$U482+20.691*'BMP P Tracking Table'!$AA482)^2-(4*(996.798*'BMP P Tracking Table'!$AA482)*-'BMP P Tracking Table'!$AB482)))/(2*(996.798*'BMP P Tracking Table'!$AA482)),IF(SUM('BMP P Tracking Table'!$W482:$Z482)=0,'BMP P Tracking Table'!$AB482/(-3630*'BMP P Tracking Table'!$U482),(-(3630*'BMP P Tracking Table'!$U482+20.691*'BMP P Tracking Table'!$Z482-216.711*'BMP P Tracking Table'!$Y482-83.853*'BMP P Tracking Table'!$X482-42.834*'BMP P Tracking Table'!$W482)+SQRT((3630*'BMP P Tracking Table'!$U482+20.691*'BMP P Tracking Table'!$Z482-216.711*'BMP P Tracking Table'!$Y482-83.853*'BMP P Tracking Table'!$X482-42.834*'BMP P Tracking Table'!$W482)^2-(4*(149.919*'BMP P Tracking Table'!$W482+236.676*'BMP P Tracking Table'!$X482+726*'BMP P Tracking Table'!$Y482+996.798*'BMP P Tracking Table'!$Z482)*-'BMP P Tracking Table'!$AB482)))/(2*(149.919*'BMP P Tracking Table'!$W482+236.676*'BMP P Tracking Table'!$X482+726*'BMP P Tracking Table'!$Y482+996.798*'BMP P Tracking Table'!$Z482))))),"")</f>
        <v/>
      </c>
      <c r="AF482" s="101" t="str">
        <f>IFERROR((VLOOKUP(CONCATENATE('BMP P Tracking Table'!$T482," ",'BMP P Tracking Table'!$AC482),'Performance Curves'!$C$1:$L$45,MATCH('BMP P Tracking Table'!$AE482,'Performance Curves'!$E$1:$L$1,1)+2,FALSE)-VLOOKUP(CONCATENATE('BMP P Tracking Table'!$T482," ",'BMP P Tracking Table'!$AC482),'Performance Curves'!$C$1:$L$45,MATCH('BMP P Tracking Table'!$AE482,'Performance Curves'!$E$1:$L$1,1)+1,FALSE)),"")</f>
        <v/>
      </c>
      <c r="AG482" s="101" t="str">
        <f>IFERROR(('BMP P Tracking Table'!$AE482-INDEX('Performance Curves'!$E$1:$L$1,1,MATCH('BMP P Tracking Table'!$AE482,'Performance Curves'!$E$1:$L$1,1)))/(INDEX('Performance Curves'!$E$1:$L$1,1,MATCH('BMP P Tracking Table'!$AE482,'Performance Curves'!$E$1:$L$1,1)+1)-INDEX('Performance Curves'!$E$1:$L$1,1,MATCH('BMP P Tracking Table'!$AE482,'Performance Curves'!$E$1:$L$1,1))),"")</f>
        <v/>
      </c>
      <c r="AH482" s="102" t="str">
        <f>IFERROR(IF('BMP P Tracking Table'!$AE482=2,VLOOKUP(CONCATENATE('BMP P Tracking Table'!$T482," ",'BMP P Tracking Table'!$AC482),'Performance Curves'!$C$1:$L$45,MATCH('BMP P Tracking Table'!$AE482,'Performance Curves'!$E$1:$L$1,1)+1,FALSE),'BMP P Tracking Table'!$AF482*'BMP P Tracking Table'!$AG482+VLOOKUP(CONCATENATE('BMP P Tracking Table'!$T482," ",'BMP P Tracking Table'!$AC482),'Performance Curves'!$C$1:$L$45,MATCH('BMP P Tracking Table'!$AE482,'Performance Curves'!$E$1:$L$1,1)+1,FALSE)),"")</f>
        <v/>
      </c>
      <c r="AI482" s="101" t="str">
        <f>IFERROR('BMP P Tracking Table'!$AH482*'BMP P Tracking Table'!$AD482,"")</f>
        <v/>
      </c>
      <c r="AJ482" s="64"/>
      <c r="AK482" s="96"/>
      <c r="AL482" s="96"/>
      <c r="AM482" s="63"/>
      <c r="AN482" s="99" t="str">
        <f t="shared" si="26"/>
        <v/>
      </c>
      <c r="AO482" s="96"/>
      <c r="AP482" s="96"/>
      <c r="AQ482" s="96"/>
      <c r="AR482" s="96"/>
      <c r="AS482" s="96"/>
      <c r="AT482" s="96"/>
      <c r="AU482" s="96"/>
      <c r="AV482" s="64"/>
      <c r="AW482" s="97"/>
      <c r="AX482" s="97"/>
      <c r="AY482" s="101" t="str">
        <f>IF('BMP P Tracking Table'!$AK482="Yes",IF('BMP P Tracking Table'!$AL482="No",'BMP P Tracking Table'!$U482*VLOOKUP('BMP P Tracking Table'!$Q482,'Loading Rates'!$B$1:$L$24,4,FALSE)+IF('BMP P Tracking Table'!$V482="By HSG",'BMP P Tracking Table'!$W482*VLOOKUP('BMP P Tracking Table'!$Q482,'Loading Rates'!$B$1:$L$24,6,FALSE)+'BMP P Tracking Table'!$X482*VLOOKUP('BMP P Tracking Table'!$Q482,'Loading Rates'!$B$1:$L$24,7,FALSE)+'BMP P Tracking Table'!$Y482*VLOOKUP('BMP P Tracking Table'!$Q482,'Loading Rates'!$B$1:$L$24,8,FALSE)+'BMP P Tracking Table'!$Z482*VLOOKUP('BMP P Tracking Table'!$Q482,'Loading Rates'!$B$1:$L$24,9,FALSE),'BMP P Tracking Table'!$AA482*VLOOKUP('BMP P Tracking Table'!$Q482,'Loading Rates'!$B$1:$L$24,10,FALSE)),'BMP P Tracking Table'!$AO482*VLOOKUP('BMP P Tracking Table'!$Q482,'Loading Rates'!$B$1:$L$24,4,FALSE)+IF('BMP P Tracking Table'!$AP482="By HSG",'BMP P Tracking Table'!$AQ482*VLOOKUP('BMP P Tracking Table'!$Q482,'Loading Rates'!$B$1:$L$24,6,FALSE)+'BMP P Tracking Table'!$AR482*VLOOKUP('BMP P Tracking Table'!$Q482,'Loading Rates'!$B$1:$L$24,7,FALSE)+'BMP P Tracking Table'!$AS482*VLOOKUP('BMP P Tracking Table'!$Q482,'Loading Rates'!$B$1:$L$24,8,FALSE)+'BMP P Tracking Table'!$AT482*VLOOKUP('BMP P Tracking Table'!$Q482,'Loading Rates'!$B$1:$L$24,9,FALSE),'BMP P Tracking Table'!$AU482*VLOOKUP('BMP P Tracking Table'!$Q482,'Loading Rates'!$B$1:$L$24,10,FALSE))),"")</f>
        <v/>
      </c>
      <c r="AZ482" s="101" t="str">
        <f>IFERROR(IF('BMP P Tracking Table'!$AL482="Yes",MIN(2,IF('BMP P Tracking Table'!$AP482="Total Pervious",(-(3630*'BMP P Tracking Table'!$AO482+20.691*'BMP P Tracking Table'!$AU482)+SQRT((3630*'BMP P Tracking Table'!$AO482+20.691*'BMP P Tracking Table'!$AU482)^2-(4*(996.798*'BMP P Tracking Table'!$AU482)*-'BMP P Tracking Table'!$AW482)))/(2*(996.798*'BMP P Tracking Table'!$AU482)),IF(SUM('BMP P Tracking Table'!$AQ482:$AT482)=0,'BMP P Tracking Table'!$AU482/(-3630*'BMP P Tracking Table'!$AO482),(-(3630*'BMP P Tracking Table'!$AO482+20.691*'BMP P Tracking Table'!$AT482-216.711*'BMP P Tracking Table'!$AS482-83.853*'BMP P Tracking Table'!$AR482-42.834*'BMP P Tracking Table'!$AQ482)+SQRT((3630*'BMP P Tracking Table'!$AO482+20.691*'BMP P Tracking Table'!$AT482-216.711*'BMP P Tracking Table'!$AS482-83.853*'BMP P Tracking Table'!$AR482-42.834*'BMP P Tracking Table'!$AQ482)^2-(4*(149.919*'BMP P Tracking Table'!$AQ482+236.676*'BMP P Tracking Table'!$AR482+726*'BMP P Tracking Table'!$AS482+996.798*'BMP P Tracking Table'!$AT482)*-'BMP P Tracking Table'!$AW482)))/(2*(149.919*'BMP P Tracking Table'!$AQ482+236.676*'BMP P Tracking Table'!$AR482+726*'BMP P Tracking Table'!$AS482+996.798*'BMP P Tracking Table'!$AT482))))),MIN(2,IF('BMP P Tracking Table'!$AP482="Total Pervious",(-(3630*'BMP P Tracking Table'!$U482+20.691*'BMP P Tracking Table'!$AA482)+SQRT((3630*'BMP P Tracking Table'!$U482+20.691*'BMP P Tracking Table'!$AA482)^2-(4*(996.798*'BMP P Tracking Table'!$AA482)*-'BMP P Tracking Table'!$AW482)))/(2*(996.798*'BMP P Tracking Table'!$AA482)),IF(SUM('BMP P Tracking Table'!$W482:$Z482)=0,'BMP P Tracking Table'!$AW482/(-3630*'BMP P Tracking Table'!$U482),(-(3630*'BMP P Tracking Table'!$U482+20.691*'BMP P Tracking Table'!$Z482-216.711*'BMP P Tracking Table'!$Y482-83.853*'BMP P Tracking Table'!$X482-42.834*'BMP P Tracking Table'!$W482)+SQRT((3630*'BMP P Tracking Table'!$U482+20.691*'BMP P Tracking Table'!$Z482-216.711*'BMP P Tracking Table'!$Y482-83.853*'BMP P Tracking Table'!$X482-42.834*'BMP P Tracking Table'!$W482)^2-(4*(149.919*'BMP P Tracking Table'!$W482+236.676*'BMP P Tracking Table'!$X482+726*'BMP P Tracking Table'!$Y482+996.798*'BMP P Tracking Table'!$Z482)*-'BMP P Tracking Table'!$AW482)))/(2*(149.919*'BMP P Tracking Table'!$W482+236.676*'BMP P Tracking Table'!$X482+726*'BMP P Tracking Table'!$Y482+996.798*'BMP P Tracking Table'!$Z482)))))),"")</f>
        <v/>
      </c>
      <c r="BA482" s="101" t="str">
        <f>IFERROR((VLOOKUP(CONCATENATE('BMP P Tracking Table'!$AV482," ",'BMP P Tracking Table'!$AX482),'Performance Curves'!$C$1:$L$45,MATCH('BMP P Tracking Table'!$AZ482,'Performance Curves'!$E$1:$L$1,1)+2,FALSE)-VLOOKUP(CONCATENATE('BMP P Tracking Table'!$AV482," ",'BMP P Tracking Table'!$AX482),'Performance Curves'!$C$1:$L$45,MATCH('BMP P Tracking Table'!$AZ482,'Performance Curves'!$E$1:$L$1,1)+1,FALSE)),"")</f>
        <v/>
      </c>
      <c r="BB482" s="101" t="str">
        <f>IFERROR(('BMP P Tracking Table'!$AZ482-INDEX('Performance Curves'!$E$1:$L$1,1,MATCH('BMP P Tracking Table'!$AZ482,'Performance Curves'!$E$1:$L$1,1)))/(INDEX('Performance Curves'!$E$1:$L$1,1,MATCH('BMP P Tracking Table'!$AZ482,'Performance Curves'!$E$1:$L$1,1)+1)-INDEX('Performance Curves'!$E$1:$L$1,1,MATCH('BMP P Tracking Table'!$AZ482,'Performance Curves'!$E$1:$L$1,1))),"")</f>
        <v/>
      </c>
      <c r="BC482" s="102" t="str">
        <f>IFERROR(IF('BMP P Tracking Table'!$AZ482=2,VLOOKUP(CONCATENATE('BMP P Tracking Table'!$AV482," ",'BMP P Tracking Table'!$AX482),'Performance Curves'!$C$1:$L$44,MATCH('BMP P Tracking Table'!$AZ482,'Performance Curves'!$E$1:$L$1,1)+1,FALSE),'BMP P Tracking Table'!$BA482*'BMP P Tracking Table'!$BB482+VLOOKUP(CONCATENATE('BMP P Tracking Table'!$AV482," ",'BMP P Tracking Table'!$AX482),'Performance Curves'!$C$1:$L$44,MATCH('BMP P Tracking Table'!$AZ482,'Performance Curves'!$E$1:$L$1,1)+1,FALSE)),"")</f>
        <v/>
      </c>
      <c r="BD482" s="101" t="str">
        <f>IFERROR('BMP P Tracking Table'!$BC482*'BMP P Tracking Table'!$AY482,"")</f>
        <v/>
      </c>
      <c r="BE482" s="96"/>
      <c r="BF482" s="37">
        <f t="shared" si="27"/>
        <v>0</v>
      </c>
    </row>
    <row r="483" spans="1:58" x14ac:dyDescent="0.3">
      <c r="A483" s="64"/>
      <c r="B483" s="64"/>
      <c r="C483" s="64"/>
      <c r="D483" s="64"/>
      <c r="E483" s="93"/>
      <c r="F483" s="93"/>
      <c r="G483" s="64"/>
      <c r="H483" s="64"/>
      <c r="I483" s="64"/>
      <c r="J483" s="94"/>
      <c r="K483" s="64"/>
      <c r="L483" s="64"/>
      <c r="M483" s="64"/>
      <c r="N483" s="64"/>
      <c r="O483" s="64"/>
      <c r="P483" s="64"/>
      <c r="Q483" s="64" t="str">
        <f>IFERROR(VLOOKUP('BMP P Tracking Table'!$P483,Dropdowns!$C$2:$E$15,3,FALSE),"")</f>
        <v/>
      </c>
      <c r="R483" s="64" t="str">
        <f>IFERROR(VLOOKUP('BMP P Tracking Table'!$Q483,Dropdowns!$P$3:$Q$23,2,FALSE),"")</f>
        <v/>
      </c>
      <c r="S483" s="64"/>
      <c r="T483" s="64"/>
      <c r="U483" s="64"/>
      <c r="V483" s="64"/>
      <c r="W483" s="64"/>
      <c r="X483" s="64"/>
      <c r="Y483" s="64"/>
      <c r="Z483" s="64"/>
      <c r="AA483" s="64"/>
      <c r="AB483" s="95"/>
      <c r="AC483" s="64"/>
      <c r="AD483" s="101" t="str">
        <f>IFERROR('BMP P Tracking Table'!$U483*VLOOKUP('BMP P Tracking Table'!$Q483,'Loading Rates'!$B$1:$L$24,4,FALSE)+IF('BMP P Tracking Table'!$V483="By HSG",'BMP P Tracking Table'!$W483*VLOOKUP('BMP P Tracking Table'!$Q483,'Loading Rates'!$B$1:$L$24,6,FALSE)+'BMP P Tracking Table'!$X483*VLOOKUP('BMP P Tracking Table'!$Q483,'Loading Rates'!$B$1:$L$24,7,FALSE)+'BMP P Tracking Table'!$Y483*VLOOKUP('BMP P Tracking Table'!$Q483,'Loading Rates'!$B$1:$L$24,8,FALSE)+'BMP P Tracking Table'!$Z483*VLOOKUP('BMP P Tracking Table'!$Q483,'Loading Rates'!$B$1:$L$24,9,FALSE),'BMP P Tracking Table'!$AA483*VLOOKUP('BMP P Tracking Table'!$Q483,'Loading Rates'!$B$1:$L$24,10,FALSE)),"")</f>
        <v/>
      </c>
      <c r="AE483" s="101" t="str">
        <f>IFERROR(MIN(2,IF('BMP P Tracking Table'!$V483="Total Pervious",(-(3630*'BMP P Tracking Table'!$U483+20.691*'BMP P Tracking Table'!$AA483)+SQRT((3630*'BMP P Tracking Table'!$U483+20.691*'BMP P Tracking Table'!$AA483)^2-(4*(996.798*'BMP P Tracking Table'!$AA483)*-'BMP P Tracking Table'!$AB483)))/(2*(996.798*'BMP P Tracking Table'!$AA483)),IF(SUM('BMP P Tracking Table'!$W483:$Z483)=0,'BMP P Tracking Table'!$AB483/(-3630*'BMP P Tracking Table'!$U483),(-(3630*'BMP P Tracking Table'!$U483+20.691*'BMP P Tracking Table'!$Z483-216.711*'BMP P Tracking Table'!$Y483-83.853*'BMP P Tracking Table'!$X483-42.834*'BMP P Tracking Table'!$W483)+SQRT((3630*'BMP P Tracking Table'!$U483+20.691*'BMP P Tracking Table'!$Z483-216.711*'BMP P Tracking Table'!$Y483-83.853*'BMP P Tracking Table'!$X483-42.834*'BMP P Tracking Table'!$W483)^2-(4*(149.919*'BMP P Tracking Table'!$W483+236.676*'BMP P Tracking Table'!$X483+726*'BMP P Tracking Table'!$Y483+996.798*'BMP P Tracking Table'!$Z483)*-'BMP P Tracking Table'!$AB483)))/(2*(149.919*'BMP P Tracking Table'!$W483+236.676*'BMP P Tracking Table'!$X483+726*'BMP P Tracking Table'!$Y483+996.798*'BMP P Tracking Table'!$Z483))))),"")</f>
        <v/>
      </c>
      <c r="AF483" s="101" t="str">
        <f>IFERROR((VLOOKUP(CONCATENATE('BMP P Tracking Table'!$T483," ",'BMP P Tracking Table'!$AC483),'Performance Curves'!$C$1:$L$45,MATCH('BMP P Tracking Table'!$AE483,'Performance Curves'!$E$1:$L$1,1)+2,FALSE)-VLOOKUP(CONCATENATE('BMP P Tracking Table'!$T483," ",'BMP P Tracking Table'!$AC483),'Performance Curves'!$C$1:$L$45,MATCH('BMP P Tracking Table'!$AE483,'Performance Curves'!$E$1:$L$1,1)+1,FALSE)),"")</f>
        <v/>
      </c>
      <c r="AG483" s="101" t="str">
        <f>IFERROR(('BMP P Tracking Table'!$AE483-INDEX('Performance Curves'!$E$1:$L$1,1,MATCH('BMP P Tracking Table'!$AE483,'Performance Curves'!$E$1:$L$1,1)))/(INDEX('Performance Curves'!$E$1:$L$1,1,MATCH('BMP P Tracking Table'!$AE483,'Performance Curves'!$E$1:$L$1,1)+1)-INDEX('Performance Curves'!$E$1:$L$1,1,MATCH('BMP P Tracking Table'!$AE483,'Performance Curves'!$E$1:$L$1,1))),"")</f>
        <v/>
      </c>
      <c r="AH483" s="102" t="str">
        <f>IFERROR(IF('BMP P Tracking Table'!$AE483=2,VLOOKUP(CONCATENATE('BMP P Tracking Table'!$T483," ",'BMP P Tracking Table'!$AC483),'Performance Curves'!$C$1:$L$45,MATCH('BMP P Tracking Table'!$AE483,'Performance Curves'!$E$1:$L$1,1)+1,FALSE),'BMP P Tracking Table'!$AF483*'BMP P Tracking Table'!$AG483+VLOOKUP(CONCATENATE('BMP P Tracking Table'!$T483," ",'BMP P Tracking Table'!$AC483),'Performance Curves'!$C$1:$L$45,MATCH('BMP P Tracking Table'!$AE483,'Performance Curves'!$E$1:$L$1,1)+1,FALSE)),"")</f>
        <v/>
      </c>
      <c r="AI483" s="101" t="str">
        <f>IFERROR('BMP P Tracking Table'!$AH483*'BMP P Tracking Table'!$AD483,"")</f>
        <v/>
      </c>
      <c r="AJ483" s="64"/>
      <c r="AK483" s="96"/>
      <c r="AL483" s="96"/>
      <c r="AM483" s="63"/>
      <c r="AN483" s="99" t="str">
        <f t="shared" si="26"/>
        <v/>
      </c>
      <c r="AO483" s="96"/>
      <c r="AP483" s="96"/>
      <c r="AQ483" s="96"/>
      <c r="AR483" s="96"/>
      <c r="AS483" s="96"/>
      <c r="AT483" s="96"/>
      <c r="AU483" s="96"/>
      <c r="AV483" s="64"/>
      <c r="AW483" s="97"/>
      <c r="AX483" s="97"/>
      <c r="AY483" s="101" t="str">
        <f>IF('BMP P Tracking Table'!$AK483="Yes",IF('BMP P Tracking Table'!$AL483="No",'BMP P Tracking Table'!$U483*VLOOKUP('BMP P Tracking Table'!$Q483,'Loading Rates'!$B$1:$L$24,4,FALSE)+IF('BMP P Tracking Table'!$V483="By HSG",'BMP P Tracking Table'!$W483*VLOOKUP('BMP P Tracking Table'!$Q483,'Loading Rates'!$B$1:$L$24,6,FALSE)+'BMP P Tracking Table'!$X483*VLOOKUP('BMP P Tracking Table'!$Q483,'Loading Rates'!$B$1:$L$24,7,FALSE)+'BMP P Tracking Table'!$Y483*VLOOKUP('BMP P Tracking Table'!$Q483,'Loading Rates'!$B$1:$L$24,8,FALSE)+'BMP P Tracking Table'!$Z483*VLOOKUP('BMP P Tracking Table'!$Q483,'Loading Rates'!$B$1:$L$24,9,FALSE),'BMP P Tracking Table'!$AA483*VLOOKUP('BMP P Tracking Table'!$Q483,'Loading Rates'!$B$1:$L$24,10,FALSE)),'BMP P Tracking Table'!$AO483*VLOOKUP('BMP P Tracking Table'!$Q483,'Loading Rates'!$B$1:$L$24,4,FALSE)+IF('BMP P Tracking Table'!$AP483="By HSG",'BMP P Tracking Table'!$AQ483*VLOOKUP('BMP P Tracking Table'!$Q483,'Loading Rates'!$B$1:$L$24,6,FALSE)+'BMP P Tracking Table'!$AR483*VLOOKUP('BMP P Tracking Table'!$Q483,'Loading Rates'!$B$1:$L$24,7,FALSE)+'BMP P Tracking Table'!$AS483*VLOOKUP('BMP P Tracking Table'!$Q483,'Loading Rates'!$B$1:$L$24,8,FALSE)+'BMP P Tracking Table'!$AT483*VLOOKUP('BMP P Tracking Table'!$Q483,'Loading Rates'!$B$1:$L$24,9,FALSE),'BMP P Tracking Table'!$AU483*VLOOKUP('BMP P Tracking Table'!$Q483,'Loading Rates'!$B$1:$L$24,10,FALSE))),"")</f>
        <v/>
      </c>
      <c r="AZ483" s="101" t="str">
        <f>IFERROR(IF('BMP P Tracking Table'!$AL483="Yes",MIN(2,IF('BMP P Tracking Table'!$AP483="Total Pervious",(-(3630*'BMP P Tracking Table'!$AO483+20.691*'BMP P Tracking Table'!$AU483)+SQRT((3630*'BMP P Tracking Table'!$AO483+20.691*'BMP P Tracking Table'!$AU483)^2-(4*(996.798*'BMP P Tracking Table'!$AU483)*-'BMP P Tracking Table'!$AW483)))/(2*(996.798*'BMP P Tracking Table'!$AU483)),IF(SUM('BMP P Tracking Table'!$AQ483:$AT483)=0,'BMP P Tracking Table'!$AU483/(-3630*'BMP P Tracking Table'!$AO483),(-(3630*'BMP P Tracking Table'!$AO483+20.691*'BMP P Tracking Table'!$AT483-216.711*'BMP P Tracking Table'!$AS483-83.853*'BMP P Tracking Table'!$AR483-42.834*'BMP P Tracking Table'!$AQ483)+SQRT((3630*'BMP P Tracking Table'!$AO483+20.691*'BMP P Tracking Table'!$AT483-216.711*'BMP P Tracking Table'!$AS483-83.853*'BMP P Tracking Table'!$AR483-42.834*'BMP P Tracking Table'!$AQ483)^2-(4*(149.919*'BMP P Tracking Table'!$AQ483+236.676*'BMP P Tracking Table'!$AR483+726*'BMP P Tracking Table'!$AS483+996.798*'BMP P Tracking Table'!$AT483)*-'BMP P Tracking Table'!$AW483)))/(2*(149.919*'BMP P Tracking Table'!$AQ483+236.676*'BMP P Tracking Table'!$AR483+726*'BMP P Tracking Table'!$AS483+996.798*'BMP P Tracking Table'!$AT483))))),MIN(2,IF('BMP P Tracking Table'!$AP483="Total Pervious",(-(3630*'BMP P Tracking Table'!$U483+20.691*'BMP P Tracking Table'!$AA483)+SQRT((3630*'BMP P Tracking Table'!$U483+20.691*'BMP P Tracking Table'!$AA483)^2-(4*(996.798*'BMP P Tracking Table'!$AA483)*-'BMP P Tracking Table'!$AW483)))/(2*(996.798*'BMP P Tracking Table'!$AA483)),IF(SUM('BMP P Tracking Table'!$W483:$Z483)=0,'BMP P Tracking Table'!$AW483/(-3630*'BMP P Tracking Table'!$U483),(-(3630*'BMP P Tracking Table'!$U483+20.691*'BMP P Tracking Table'!$Z483-216.711*'BMP P Tracking Table'!$Y483-83.853*'BMP P Tracking Table'!$X483-42.834*'BMP P Tracking Table'!$W483)+SQRT((3630*'BMP P Tracking Table'!$U483+20.691*'BMP P Tracking Table'!$Z483-216.711*'BMP P Tracking Table'!$Y483-83.853*'BMP P Tracking Table'!$X483-42.834*'BMP P Tracking Table'!$W483)^2-(4*(149.919*'BMP P Tracking Table'!$W483+236.676*'BMP P Tracking Table'!$X483+726*'BMP P Tracking Table'!$Y483+996.798*'BMP P Tracking Table'!$Z483)*-'BMP P Tracking Table'!$AW483)))/(2*(149.919*'BMP P Tracking Table'!$W483+236.676*'BMP P Tracking Table'!$X483+726*'BMP P Tracking Table'!$Y483+996.798*'BMP P Tracking Table'!$Z483)))))),"")</f>
        <v/>
      </c>
      <c r="BA483" s="101" t="str">
        <f>IFERROR((VLOOKUP(CONCATENATE('BMP P Tracking Table'!$AV483," ",'BMP P Tracking Table'!$AX483),'Performance Curves'!$C$1:$L$45,MATCH('BMP P Tracking Table'!$AZ483,'Performance Curves'!$E$1:$L$1,1)+2,FALSE)-VLOOKUP(CONCATENATE('BMP P Tracking Table'!$AV483," ",'BMP P Tracking Table'!$AX483),'Performance Curves'!$C$1:$L$45,MATCH('BMP P Tracking Table'!$AZ483,'Performance Curves'!$E$1:$L$1,1)+1,FALSE)),"")</f>
        <v/>
      </c>
      <c r="BB483" s="101" t="str">
        <f>IFERROR(('BMP P Tracking Table'!$AZ483-INDEX('Performance Curves'!$E$1:$L$1,1,MATCH('BMP P Tracking Table'!$AZ483,'Performance Curves'!$E$1:$L$1,1)))/(INDEX('Performance Curves'!$E$1:$L$1,1,MATCH('BMP P Tracking Table'!$AZ483,'Performance Curves'!$E$1:$L$1,1)+1)-INDEX('Performance Curves'!$E$1:$L$1,1,MATCH('BMP P Tracking Table'!$AZ483,'Performance Curves'!$E$1:$L$1,1))),"")</f>
        <v/>
      </c>
      <c r="BC483" s="102" t="str">
        <f>IFERROR(IF('BMP P Tracking Table'!$AZ483=2,VLOOKUP(CONCATENATE('BMP P Tracking Table'!$AV483," ",'BMP P Tracking Table'!$AX483),'Performance Curves'!$C$1:$L$44,MATCH('BMP P Tracking Table'!$AZ483,'Performance Curves'!$E$1:$L$1,1)+1,FALSE),'BMP P Tracking Table'!$BA483*'BMP P Tracking Table'!$BB483+VLOOKUP(CONCATENATE('BMP P Tracking Table'!$AV483," ",'BMP P Tracking Table'!$AX483),'Performance Curves'!$C$1:$L$44,MATCH('BMP P Tracking Table'!$AZ483,'Performance Curves'!$E$1:$L$1,1)+1,FALSE)),"")</f>
        <v/>
      </c>
      <c r="BD483" s="101" t="str">
        <f>IFERROR('BMP P Tracking Table'!$BC483*'BMP P Tracking Table'!$AY483,"")</f>
        <v/>
      </c>
      <c r="BE483" s="96"/>
      <c r="BF483" s="37">
        <f t="shared" si="27"/>
        <v>0</v>
      </c>
    </row>
    <row r="484" spans="1:58" x14ac:dyDescent="0.3">
      <c r="A484" s="64"/>
      <c r="B484" s="64"/>
      <c r="C484" s="64"/>
      <c r="D484" s="64"/>
      <c r="E484" s="93"/>
      <c r="F484" s="93"/>
      <c r="G484" s="64"/>
      <c r="H484" s="64"/>
      <c r="I484" s="64"/>
      <c r="J484" s="94"/>
      <c r="K484" s="64"/>
      <c r="L484" s="64"/>
      <c r="M484" s="64"/>
      <c r="N484" s="64"/>
      <c r="O484" s="64"/>
      <c r="P484" s="64"/>
      <c r="Q484" s="64" t="str">
        <f>IFERROR(VLOOKUP('BMP P Tracking Table'!$P484,Dropdowns!$C$2:$E$15,3,FALSE),"")</f>
        <v/>
      </c>
      <c r="R484" s="64" t="str">
        <f>IFERROR(VLOOKUP('BMP P Tracking Table'!$Q484,Dropdowns!$P$3:$Q$23,2,FALSE),"")</f>
        <v/>
      </c>
      <c r="S484" s="64"/>
      <c r="T484" s="64"/>
      <c r="U484" s="64"/>
      <c r="V484" s="64"/>
      <c r="W484" s="64"/>
      <c r="X484" s="64"/>
      <c r="Y484" s="64"/>
      <c r="Z484" s="64"/>
      <c r="AA484" s="64"/>
      <c r="AB484" s="95"/>
      <c r="AC484" s="64"/>
      <c r="AD484" s="101" t="str">
        <f>IFERROR('BMP P Tracking Table'!$U484*VLOOKUP('BMP P Tracking Table'!$Q484,'Loading Rates'!$B$1:$L$24,4,FALSE)+IF('BMP P Tracking Table'!$V484="By HSG",'BMP P Tracking Table'!$W484*VLOOKUP('BMP P Tracking Table'!$Q484,'Loading Rates'!$B$1:$L$24,6,FALSE)+'BMP P Tracking Table'!$X484*VLOOKUP('BMP P Tracking Table'!$Q484,'Loading Rates'!$B$1:$L$24,7,FALSE)+'BMP P Tracking Table'!$Y484*VLOOKUP('BMP P Tracking Table'!$Q484,'Loading Rates'!$B$1:$L$24,8,FALSE)+'BMP P Tracking Table'!$Z484*VLOOKUP('BMP P Tracking Table'!$Q484,'Loading Rates'!$B$1:$L$24,9,FALSE),'BMP P Tracking Table'!$AA484*VLOOKUP('BMP P Tracking Table'!$Q484,'Loading Rates'!$B$1:$L$24,10,FALSE)),"")</f>
        <v/>
      </c>
      <c r="AE484" s="101" t="str">
        <f>IFERROR(MIN(2,IF('BMP P Tracking Table'!$V484="Total Pervious",(-(3630*'BMP P Tracking Table'!$U484+20.691*'BMP P Tracking Table'!$AA484)+SQRT((3630*'BMP P Tracking Table'!$U484+20.691*'BMP P Tracking Table'!$AA484)^2-(4*(996.798*'BMP P Tracking Table'!$AA484)*-'BMP P Tracking Table'!$AB484)))/(2*(996.798*'BMP P Tracking Table'!$AA484)),IF(SUM('BMP P Tracking Table'!$W484:$Z484)=0,'BMP P Tracking Table'!$AB484/(-3630*'BMP P Tracking Table'!$U484),(-(3630*'BMP P Tracking Table'!$U484+20.691*'BMP P Tracking Table'!$Z484-216.711*'BMP P Tracking Table'!$Y484-83.853*'BMP P Tracking Table'!$X484-42.834*'BMP P Tracking Table'!$W484)+SQRT((3630*'BMP P Tracking Table'!$U484+20.691*'BMP P Tracking Table'!$Z484-216.711*'BMP P Tracking Table'!$Y484-83.853*'BMP P Tracking Table'!$X484-42.834*'BMP P Tracking Table'!$W484)^2-(4*(149.919*'BMP P Tracking Table'!$W484+236.676*'BMP P Tracking Table'!$X484+726*'BMP P Tracking Table'!$Y484+996.798*'BMP P Tracking Table'!$Z484)*-'BMP P Tracking Table'!$AB484)))/(2*(149.919*'BMP P Tracking Table'!$W484+236.676*'BMP P Tracking Table'!$X484+726*'BMP P Tracking Table'!$Y484+996.798*'BMP P Tracking Table'!$Z484))))),"")</f>
        <v/>
      </c>
      <c r="AF484" s="101" t="str">
        <f>IFERROR((VLOOKUP(CONCATENATE('BMP P Tracking Table'!$T484," ",'BMP P Tracking Table'!$AC484),'Performance Curves'!$C$1:$L$45,MATCH('BMP P Tracking Table'!$AE484,'Performance Curves'!$E$1:$L$1,1)+2,FALSE)-VLOOKUP(CONCATENATE('BMP P Tracking Table'!$T484," ",'BMP P Tracking Table'!$AC484),'Performance Curves'!$C$1:$L$45,MATCH('BMP P Tracking Table'!$AE484,'Performance Curves'!$E$1:$L$1,1)+1,FALSE)),"")</f>
        <v/>
      </c>
      <c r="AG484" s="101" t="str">
        <f>IFERROR(('BMP P Tracking Table'!$AE484-INDEX('Performance Curves'!$E$1:$L$1,1,MATCH('BMP P Tracking Table'!$AE484,'Performance Curves'!$E$1:$L$1,1)))/(INDEX('Performance Curves'!$E$1:$L$1,1,MATCH('BMP P Tracking Table'!$AE484,'Performance Curves'!$E$1:$L$1,1)+1)-INDEX('Performance Curves'!$E$1:$L$1,1,MATCH('BMP P Tracking Table'!$AE484,'Performance Curves'!$E$1:$L$1,1))),"")</f>
        <v/>
      </c>
      <c r="AH484" s="102" t="str">
        <f>IFERROR(IF('BMP P Tracking Table'!$AE484=2,VLOOKUP(CONCATENATE('BMP P Tracking Table'!$T484," ",'BMP P Tracking Table'!$AC484),'Performance Curves'!$C$1:$L$45,MATCH('BMP P Tracking Table'!$AE484,'Performance Curves'!$E$1:$L$1,1)+1,FALSE),'BMP P Tracking Table'!$AF484*'BMP P Tracking Table'!$AG484+VLOOKUP(CONCATENATE('BMP P Tracking Table'!$T484," ",'BMP P Tracking Table'!$AC484),'Performance Curves'!$C$1:$L$45,MATCH('BMP P Tracking Table'!$AE484,'Performance Curves'!$E$1:$L$1,1)+1,FALSE)),"")</f>
        <v/>
      </c>
      <c r="AI484" s="101" t="str">
        <f>IFERROR('BMP P Tracking Table'!$AH484*'BMP P Tracking Table'!$AD484,"")</f>
        <v/>
      </c>
      <c r="AJ484" s="64"/>
      <c r="AK484" s="96"/>
      <c r="AL484" s="96"/>
      <c r="AM484" s="63"/>
      <c r="AN484" s="99" t="str">
        <f t="shared" si="26"/>
        <v/>
      </c>
      <c r="AO484" s="96"/>
      <c r="AP484" s="96"/>
      <c r="AQ484" s="96"/>
      <c r="AR484" s="96"/>
      <c r="AS484" s="96"/>
      <c r="AT484" s="96"/>
      <c r="AU484" s="96"/>
      <c r="AV484" s="64"/>
      <c r="AW484" s="97"/>
      <c r="AX484" s="97"/>
      <c r="AY484" s="101" t="str">
        <f>IF('BMP P Tracking Table'!$AK484="Yes",IF('BMP P Tracking Table'!$AL484="No",'BMP P Tracking Table'!$U484*VLOOKUP('BMP P Tracking Table'!$Q484,'Loading Rates'!$B$1:$L$24,4,FALSE)+IF('BMP P Tracking Table'!$V484="By HSG",'BMP P Tracking Table'!$W484*VLOOKUP('BMP P Tracking Table'!$Q484,'Loading Rates'!$B$1:$L$24,6,FALSE)+'BMP P Tracking Table'!$X484*VLOOKUP('BMP P Tracking Table'!$Q484,'Loading Rates'!$B$1:$L$24,7,FALSE)+'BMP P Tracking Table'!$Y484*VLOOKUP('BMP P Tracking Table'!$Q484,'Loading Rates'!$B$1:$L$24,8,FALSE)+'BMP P Tracking Table'!$Z484*VLOOKUP('BMP P Tracking Table'!$Q484,'Loading Rates'!$B$1:$L$24,9,FALSE),'BMP P Tracking Table'!$AA484*VLOOKUP('BMP P Tracking Table'!$Q484,'Loading Rates'!$B$1:$L$24,10,FALSE)),'BMP P Tracking Table'!$AO484*VLOOKUP('BMP P Tracking Table'!$Q484,'Loading Rates'!$B$1:$L$24,4,FALSE)+IF('BMP P Tracking Table'!$AP484="By HSG",'BMP P Tracking Table'!$AQ484*VLOOKUP('BMP P Tracking Table'!$Q484,'Loading Rates'!$B$1:$L$24,6,FALSE)+'BMP P Tracking Table'!$AR484*VLOOKUP('BMP P Tracking Table'!$Q484,'Loading Rates'!$B$1:$L$24,7,FALSE)+'BMP P Tracking Table'!$AS484*VLOOKUP('BMP P Tracking Table'!$Q484,'Loading Rates'!$B$1:$L$24,8,FALSE)+'BMP P Tracking Table'!$AT484*VLOOKUP('BMP P Tracking Table'!$Q484,'Loading Rates'!$B$1:$L$24,9,FALSE),'BMP P Tracking Table'!$AU484*VLOOKUP('BMP P Tracking Table'!$Q484,'Loading Rates'!$B$1:$L$24,10,FALSE))),"")</f>
        <v/>
      </c>
      <c r="AZ484" s="101" t="str">
        <f>IFERROR(IF('BMP P Tracking Table'!$AL484="Yes",MIN(2,IF('BMP P Tracking Table'!$AP484="Total Pervious",(-(3630*'BMP P Tracking Table'!$AO484+20.691*'BMP P Tracking Table'!$AU484)+SQRT((3630*'BMP P Tracking Table'!$AO484+20.691*'BMP P Tracking Table'!$AU484)^2-(4*(996.798*'BMP P Tracking Table'!$AU484)*-'BMP P Tracking Table'!$AW484)))/(2*(996.798*'BMP P Tracking Table'!$AU484)),IF(SUM('BMP P Tracking Table'!$AQ484:$AT484)=0,'BMP P Tracking Table'!$AU484/(-3630*'BMP P Tracking Table'!$AO484),(-(3630*'BMP P Tracking Table'!$AO484+20.691*'BMP P Tracking Table'!$AT484-216.711*'BMP P Tracking Table'!$AS484-83.853*'BMP P Tracking Table'!$AR484-42.834*'BMP P Tracking Table'!$AQ484)+SQRT((3630*'BMP P Tracking Table'!$AO484+20.691*'BMP P Tracking Table'!$AT484-216.711*'BMP P Tracking Table'!$AS484-83.853*'BMP P Tracking Table'!$AR484-42.834*'BMP P Tracking Table'!$AQ484)^2-(4*(149.919*'BMP P Tracking Table'!$AQ484+236.676*'BMP P Tracking Table'!$AR484+726*'BMP P Tracking Table'!$AS484+996.798*'BMP P Tracking Table'!$AT484)*-'BMP P Tracking Table'!$AW484)))/(2*(149.919*'BMP P Tracking Table'!$AQ484+236.676*'BMP P Tracking Table'!$AR484+726*'BMP P Tracking Table'!$AS484+996.798*'BMP P Tracking Table'!$AT484))))),MIN(2,IF('BMP P Tracking Table'!$AP484="Total Pervious",(-(3630*'BMP P Tracking Table'!$U484+20.691*'BMP P Tracking Table'!$AA484)+SQRT((3630*'BMP P Tracking Table'!$U484+20.691*'BMP P Tracking Table'!$AA484)^2-(4*(996.798*'BMP P Tracking Table'!$AA484)*-'BMP P Tracking Table'!$AW484)))/(2*(996.798*'BMP P Tracking Table'!$AA484)),IF(SUM('BMP P Tracking Table'!$W484:$Z484)=0,'BMP P Tracking Table'!$AW484/(-3630*'BMP P Tracking Table'!$U484),(-(3630*'BMP P Tracking Table'!$U484+20.691*'BMP P Tracking Table'!$Z484-216.711*'BMP P Tracking Table'!$Y484-83.853*'BMP P Tracking Table'!$X484-42.834*'BMP P Tracking Table'!$W484)+SQRT((3630*'BMP P Tracking Table'!$U484+20.691*'BMP P Tracking Table'!$Z484-216.711*'BMP P Tracking Table'!$Y484-83.853*'BMP P Tracking Table'!$X484-42.834*'BMP P Tracking Table'!$W484)^2-(4*(149.919*'BMP P Tracking Table'!$W484+236.676*'BMP P Tracking Table'!$X484+726*'BMP P Tracking Table'!$Y484+996.798*'BMP P Tracking Table'!$Z484)*-'BMP P Tracking Table'!$AW484)))/(2*(149.919*'BMP P Tracking Table'!$W484+236.676*'BMP P Tracking Table'!$X484+726*'BMP P Tracking Table'!$Y484+996.798*'BMP P Tracking Table'!$Z484)))))),"")</f>
        <v/>
      </c>
      <c r="BA484" s="101" t="str">
        <f>IFERROR((VLOOKUP(CONCATENATE('BMP P Tracking Table'!$AV484," ",'BMP P Tracking Table'!$AX484),'Performance Curves'!$C$1:$L$45,MATCH('BMP P Tracking Table'!$AZ484,'Performance Curves'!$E$1:$L$1,1)+2,FALSE)-VLOOKUP(CONCATENATE('BMP P Tracking Table'!$AV484," ",'BMP P Tracking Table'!$AX484),'Performance Curves'!$C$1:$L$45,MATCH('BMP P Tracking Table'!$AZ484,'Performance Curves'!$E$1:$L$1,1)+1,FALSE)),"")</f>
        <v/>
      </c>
      <c r="BB484" s="101" t="str">
        <f>IFERROR(('BMP P Tracking Table'!$AZ484-INDEX('Performance Curves'!$E$1:$L$1,1,MATCH('BMP P Tracking Table'!$AZ484,'Performance Curves'!$E$1:$L$1,1)))/(INDEX('Performance Curves'!$E$1:$L$1,1,MATCH('BMP P Tracking Table'!$AZ484,'Performance Curves'!$E$1:$L$1,1)+1)-INDEX('Performance Curves'!$E$1:$L$1,1,MATCH('BMP P Tracking Table'!$AZ484,'Performance Curves'!$E$1:$L$1,1))),"")</f>
        <v/>
      </c>
      <c r="BC484" s="102" t="str">
        <f>IFERROR(IF('BMP P Tracking Table'!$AZ484=2,VLOOKUP(CONCATENATE('BMP P Tracking Table'!$AV484," ",'BMP P Tracking Table'!$AX484),'Performance Curves'!$C$1:$L$44,MATCH('BMP P Tracking Table'!$AZ484,'Performance Curves'!$E$1:$L$1,1)+1,FALSE),'BMP P Tracking Table'!$BA484*'BMP P Tracking Table'!$BB484+VLOOKUP(CONCATENATE('BMP P Tracking Table'!$AV484," ",'BMP P Tracking Table'!$AX484),'Performance Curves'!$C$1:$L$44,MATCH('BMP P Tracking Table'!$AZ484,'Performance Curves'!$E$1:$L$1,1)+1,FALSE)),"")</f>
        <v/>
      </c>
      <c r="BD484" s="101" t="str">
        <f>IFERROR('BMP P Tracking Table'!$BC484*'BMP P Tracking Table'!$AY484,"")</f>
        <v/>
      </c>
      <c r="BE484" s="96"/>
      <c r="BF484" s="37">
        <f t="shared" si="27"/>
        <v>0</v>
      </c>
    </row>
    <row r="485" spans="1:58" x14ac:dyDescent="0.3">
      <c r="A485" s="64"/>
      <c r="B485" s="64"/>
      <c r="C485" s="64"/>
      <c r="D485" s="64"/>
      <c r="E485" s="93"/>
      <c r="F485" s="93"/>
      <c r="G485" s="64"/>
      <c r="H485" s="64"/>
      <c r="I485" s="64"/>
      <c r="J485" s="94"/>
      <c r="K485" s="64"/>
      <c r="L485" s="64"/>
      <c r="M485" s="64"/>
      <c r="N485" s="64"/>
      <c r="O485" s="64"/>
      <c r="P485" s="64"/>
      <c r="Q485" s="64" t="str">
        <f>IFERROR(VLOOKUP('BMP P Tracking Table'!$P485,Dropdowns!$C$2:$E$15,3,FALSE),"")</f>
        <v/>
      </c>
      <c r="R485" s="64" t="str">
        <f>IFERROR(VLOOKUP('BMP P Tracking Table'!$Q485,Dropdowns!$P$3:$Q$23,2,FALSE),"")</f>
        <v/>
      </c>
      <c r="S485" s="64"/>
      <c r="T485" s="64"/>
      <c r="U485" s="64"/>
      <c r="V485" s="64"/>
      <c r="W485" s="64"/>
      <c r="X485" s="64"/>
      <c r="Y485" s="64"/>
      <c r="Z485" s="64"/>
      <c r="AA485" s="64"/>
      <c r="AB485" s="95"/>
      <c r="AC485" s="64"/>
      <c r="AD485" s="101" t="str">
        <f>IFERROR('BMP P Tracking Table'!$U485*VLOOKUP('BMP P Tracking Table'!$Q485,'Loading Rates'!$B$1:$L$24,4,FALSE)+IF('BMP P Tracking Table'!$V485="By HSG",'BMP P Tracking Table'!$W485*VLOOKUP('BMP P Tracking Table'!$Q485,'Loading Rates'!$B$1:$L$24,6,FALSE)+'BMP P Tracking Table'!$X485*VLOOKUP('BMP P Tracking Table'!$Q485,'Loading Rates'!$B$1:$L$24,7,FALSE)+'BMP P Tracking Table'!$Y485*VLOOKUP('BMP P Tracking Table'!$Q485,'Loading Rates'!$B$1:$L$24,8,FALSE)+'BMP P Tracking Table'!$Z485*VLOOKUP('BMP P Tracking Table'!$Q485,'Loading Rates'!$B$1:$L$24,9,FALSE),'BMP P Tracking Table'!$AA485*VLOOKUP('BMP P Tracking Table'!$Q485,'Loading Rates'!$B$1:$L$24,10,FALSE)),"")</f>
        <v/>
      </c>
      <c r="AE485" s="101" t="str">
        <f>IFERROR(MIN(2,IF('BMP P Tracking Table'!$V485="Total Pervious",(-(3630*'BMP P Tracking Table'!$U485+20.691*'BMP P Tracking Table'!$AA485)+SQRT((3630*'BMP P Tracking Table'!$U485+20.691*'BMP P Tracking Table'!$AA485)^2-(4*(996.798*'BMP P Tracking Table'!$AA485)*-'BMP P Tracking Table'!$AB485)))/(2*(996.798*'BMP P Tracking Table'!$AA485)),IF(SUM('BMP P Tracking Table'!$W485:$Z485)=0,'BMP P Tracking Table'!$AB485/(-3630*'BMP P Tracking Table'!$U485),(-(3630*'BMP P Tracking Table'!$U485+20.691*'BMP P Tracking Table'!$Z485-216.711*'BMP P Tracking Table'!$Y485-83.853*'BMP P Tracking Table'!$X485-42.834*'BMP P Tracking Table'!$W485)+SQRT((3630*'BMP P Tracking Table'!$U485+20.691*'BMP P Tracking Table'!$Z485-216.711*'BMP P Tracking Table'!$Y485-83.853*'BMP P Tracking Table'!$X485-42.834*'BMP P Tracking Table'!$W485)^2-(4*(149.919*'BMP P Tracking Table'!$W485+236.676*'BMP P Tracking Table'!$X485+726*'BMP P Tracking Table'!$Y485+996.798*'BMP P Tracking Table'!$Z485)*-'BMP P Tracking Table'!$AB485)))/(2*(149.919*'BMP P Tracking Table'!$W485+236.676*'BMP P Tracking Table'!$X485+726*'BMP P Tracking Table'!$Y485+996.798*'BMP P Tracking Table'!$Z485))))),"")</f>
        <v/>
      </c>
      <c r="AF485" s="101" t="str">
        <f>IFERROR((VLOOKUP(CONCATENATE('BMP P Tracking Table'!$T485," ",'BMP P Tracking Table'!$AC485),'Performance Curves'!$C$1:$L$45,MATCH('BMP P Tracking Table'!$AE485,'Performance Curves'!$E$1:$L$1,1)+2,FALSE)-VLOOKUP(CONCATENATE('BMP P Tracking Table'!$T485," ",'BMP P Tracking Table'!$AC485),'Performance Curves'!$C$1:$L$45,MATCH('BMP P Tracking Table'!$AE485,'Performance Curves'!$E$1:$L$1,1)+1,FALSE)),"")</f>
        <v/>
      </c>
      <c r="AG485" s="101" t="str">
        <f>IFERROR(('BMP P Tracking Table'!$AE485-INDEX('Performance Curves'!$E$1:$L$1,1,MATCH('BMP P Tracking Table'!$AE485,'Performance Curves'!$E$1:$L$1,1)))/(INDEX('Performance Curves'!$E$1:$L$1,1,MATCH('BMP P Tracking Table'!$AE485,'Performance Curves'!$E$1:$L$1,1)+1)-INDEX('Performance Curves'!$E$1:$L$1,1,MATCH('BMP P Tracking Table'!$AE485,'Performance Curves'!$E$1:$L$1,1))),"")</f>
        <v/>
      </c>
      <c r="AH485" s="102" t="str">
        <f>IFERROR(IF('BMP P Tracking Table'!$AE485=2,VLOOKUP(CONCATENATE('BMP P Tracking Table'!$T485," ",'BMP P Tracking Table'!$AC485),'Performance Curves'!$C$1:$L$45,MATCH('BMP P Tracking Table'!$AE485,'Performance Curves'!$E$1:$L$1,1)+1,FALSE),'BMP P Tracking Table'!$AF485*'BMP P Tracking Table'!$AG485+VLOOKUP(CONCATENATE('BMP P Tracking Table'!$T485," ",'BMP P Tracking Table'!$AC485),'Performance Curves'!$C$1:$L$45,MATCH('BMP P Tracking Table'!$AE485,'Performance Curves'!$E$1:$L$1,1)+1,FALSE)),"")</f>
        <v/>
      </c>
      <c r="AI485" s="101" t="str">
        <f>IFERROR('BMP P Tracking Table'!$AH485*'BMP P Tracking Table'!$AD485,"")</f>
        <v/>
      </c>
      <c r="AJ485" s="64"/>
      <c r="AK485" s="96"/>
      <c r="AL485" s="96"/>
      <c r="AM485" s="63"/>
      <c r="AN485" s="99" t="str">
        <f t="shared" si="26"/>
        <v/>
      </c>
      <c r="AO485" s="96"/>
      <c r="AP485" s="96"/>
      <c r="AQ485" s="96"/>
      <c r="AR485" s="96"/>
      <c r="AS485" s="96"/>
      <c r="AT485" s="96"/>
      <c r="AU485" s="96"/>
      <c r="AV485" s="64"/>
      <c r="AW485" s="97"/>
      <c r="AX485" s="97"/>
      <c r="AY485" s="101" t="str">
        <f>IF('BMP P Tracking Table'!$AK485="Yes",IF('BMP P Tracking Table'!$AL485="No",'BMP P Tracking Table'!$U485*VLOOKUP('BMP P Tracking Table'!$Q485,'Loading Rates'!$B$1:$L$24,4,FALSE)+IF('BMP P Tracking Table'!$V485="By HSG",'BMP P Tracking Table'!$W485*VLOOKUP('BMP P Tracking Table'!$Q485,'Loading Rates'!$B$1:$L$24,6,FALSE)+'BMP P Tracking Table'!$X485*VLOOKUP('BMP P Tracking Table'!$Q485,'Loading Rates'!$B$1:$L$24,7,FALSE)+'BMP P Tracking Table'!$Y485*VLOOKUP('BMP P Tracking Table'!$Q485,'Loading Rates'!$B$1:$L$24,8,FALSE)+'BMP P Tracking Table'!$Z485*VLOOKUP('BMP P Tracking Table'!$Q485,'Loading Rates'!$B$1:$L$24,9,FALSE),'BMP P Tracking Table'!$AA485*VLOOKUP('BMP P Tracking Table'!$Q485,'Loading Rates'!$B$1:$L$24,10,FALSE)),'BMP P Tracking Table'!$AO485*VLOOKUP('BMP P Tracking Table'!$Q485,'Loading Rates'!$B$1:$L$24,4,FALSE)+IF('BMP P Tracking Table'!$AP485="By HSG",'BMP P Tracking Table'!$AQ485*VLOOKUP('BMP P Tracking Table'!$Q485,'Loading Rates'!$B$1:$L$24,6,FALSE)+'BMP P Tracking Table'!$AR485*VLOOKUP('BMP P Tracking Table'!$Q485,'Loading Rates'!$B$1:$L$24,7,FALSE)+'BMP P Tracking Table'!$AS485*VLOOKUP('BMP P Tracking Table'!$Q485,'Loading Rates'!$B$1:$L$24,8,FALSE)+'BMP P Tracking Table'!$AT485*VLOOKUP('BMP P Tracking Table'!$Q485,'Loading Rates'!$B$1:$L$24,9,FALSE),'BMP P Tracking Table'!$AU485*VLOOKUP('BMP P Tracking Table'!$Q485,'Loading Rates'!$B$1:$L$24,10,FALSE))),"")</f>
        <v/>
      </c>
      <c r="AZ485" s="101" t="str">
        <f>IFERROR(IF('BMP P Tracking Table'!$AL485="Yes",MIN(2,IF('BMP P Tracking Table'!$AP485="Total Pervious",(-(3630*'BMP P Tracking Table'!$AO485+20.691*'BMP P Tracking Table'!$AU485)+SQRT((3630*'BMP P Tracking Table'!$AO485+20.691*'BMP P Tracking Table'!$AU485)^2-(4*(996.798*'BMP P Tracking Table'!$AU485)*-'BMP P Tracking Table'!$AW485)))/(2*(996.798*'BMP P Tracking Table'!$AU485)),IF(SUM('BMP P Tracking Table'!$AQ485:$AT485)=0,'BMP P Tracking Table'!$AU485/(-3630*'BMP P Tracking Table'!$AO485),(-(3630*'BMP P Tracking Table'!$AO485+20.691*'BMP P Tracking Table'!$AT485-216.711*'BMP P Tracking Table'!$AS485-83.853*'BMP P Tracking Table'!$AR485-42.834*'BMP P Tracking Table'!$AQ485)+SQRT((3630*'BMP P Tracking Table'!$AO485+20.691*'BMP P Tracking Table'!$AT485-216.711*'BMP P Tracking Table'!$AS485-83.853*'BMP P Tracking Table'!$AR485-42.834*'BMP P Tracking Table'!$AQ485)^2-(4*(149.919*'BMP P Tracking Table'!$AQ485+236.676*'BMP P Tracking Table'!$AR485+726*'BMP P Tracking Table'!$AS485+996.798*'BMP P Tracking Table'!$AT485)*-'BMP P Tracking Table'!$AW485)))/(2*(149.919*'BMP P Tracking Table'!$AQ485+236.676*'BMP P Tracking Table'!$AR485+726*'BMP P Tracking Table'!$AS485+996.798*'BMP P Tracking Table'!$AT485))))),MIN(2,IF('BMP P Tracking Table'!$AP485="Total Pervious",(-(3630*'BMP P Tracking Table'!$U485+20.691*'BMP P Tracking Table'!$AA485)+SQRT((3630*'BMP P Tracking Table'!$U485+20.691*'BMP P Tracking Table'!$AA485)^2-(4*(996.798*'BMP P Tracking Table'!$AA485)*-'BMP P Tracking Table'!$AW485)))/(2*(996.798*'BMP P Tracking Table'!$AA485)),IF(SUM('BMP P Tracking Table'!$W485:$Z485)=0,'BMP P Tracking Table'!$AW485/(-3630*'BMP P Tracking Table'!$U485),(-(3630*'BMP P Tracking Table'!$U485+20.691*'BMP P Tracking Table'!$Z485-216.711*'BMP P Tracking Table'!$Y485-83.853*'BMP P Tracking Table'!$X485-42.834*'BMP P Tracking Table'!$W485)+SQRT((3630*'BMP P Tracking Table'!$U485+20.691*'BMP P Tracking Table'!$Z485-216.711*'BMP P Tracking Table'!$Y485-83.853*'BMP P Tracking Table'!$X485-42.834*'BMP P Tracking Table'!$W485)^2-(4*(149.919*'BMP P Tracking Table'!$W485+236.676*'BMP P Tracking Table'!$X485+726*'BMP P Tracking Table'!$Y485+996.798*'BMP P Tracking Table'!$Z485)*-'BMP P Tracking Table'!$AW485)))/(2*(149.919*'BMP P Tracking Table'!$W485+236.676*'BMP P Tracking Table'!$X485+726*'BMP P Tracking Table'!$Y485+996.798*'BMP P Tracking Table'!$Z485)))))),"")</f>
        <v/>
      </c>
      <c r="BA485" s="101" t="str">
        <f>IFERROR((VLOOKUP(CONCATENATE('BMP P Tracking Table'!$AV485," ",'BMP P Tracking Table'!$AX485),'Performance Curves'!$C$1:$L$45,MATCH('BMP P Tracking Table'!$AZ485,'Performance Curves'!$E$1:$L$1,1)+2,FALSE)-VLOOKUP(CONCATENATE('BMP P Tracking Table'!$AV485," ",'BMP P Tracking Table'!$AX485),'Performance Curves'!$C$1:$L$45,MATCH('BMP P Tracking Table'!$AZ485,'Performance Curves'!$E$1:$L$1,1)+1,FALSE)),"")</f>
        <v/>
      </c>
      <c r="BB485" s="101" t="str">
        <f>IFERROR(('BMP P Tracking Table'!$AZ485-INDEX('Performance Curves'!$E$1:$L$1,1,MATCH('BMP P Tracking Table'!$AZ485,'Performance Curves'!$E$1:$L$1,1)))/(INDEX('Performance Curves'!$E$1:$L$1,1,MATCH('BMP P Tracking Table'!$AZ485,'Performance Curves'!$E$1:$L$1,1)+1)-INDEX('Performance Curves'!$E$1:$L$1,1,MATCH('BMP P Tracking Table'!$AZ485,'Performance Curves'!$E$1:$L$1,1))),"")</f>
        <v/>
      </c>
      <c r="BC485" s="102" t="str">
        <f>IFERROR(IF('BMP P Tracking Table'!$AZ485=2,VLOOKUP(CONCATENATE('BMP P Tracking Table'!$AV485," ",'BMP P Tracking Table'!$AX485),'Performance Curves'!$C$1:$L$44,MATCH('BMP P Tracking Table'!$AZ485,'Performance Curves'!$E$1:$L$1,1)+1,FALSE),'BMP P Tracking Table'!$BA485*'BMP P Tracking Table'!$BB485+VLOOKUP(CONCATENATE('BMP P Tracking Table'!$AV485," ",'BMP P Tracking Table'!$AX485),'Performance Curves'!$C$1:$L$44,MATCH('BMP P Tracking Table'!$AZ485,'Performance Curves'!$E$1:$L$1,1)+1,FALSE)),"")</f>
        <v/>
      </c>
      <c r="BD485" s="101" t="str">
        <f>IFERROR('BMP P Tracking Table'!$BC485*'BMP P Tracking Table'!$AY485,"")</f>
        <v/>
      </c>
      <c r="BE485" s="96"/>
      <c r="BF485" s="37">
        <f t="shared" si="27"/>
        <v>0</v>
      </c>
    </row>
    <row r="486" spans="1:58" x14ac:dyDescent="0.3">
      <c r="A486" s="64"/>
      <c r="B486" s="64"/>
      <c r="C486" s="64"/>
      <c r="D486" s="64"/>
      <c r="E486" s="93"/>
      <c r="F486" s="93"/>
      <c r="G486" s="64"/>
      <c r="H486" s="64"/>
      <c r="I486" s="64"/>
      <c r="J486" s="94"/>
      <c r="K486" s="64"/>
      <c r="L486" s="64"/>
      <c r="M486" s="64"/>
      <c r="N486" s="64"/>
      <c r="O486" s="64"/>
      <c r="P486" s="64"/>
      <c r="Q486" s="64" t="str">
        <f>IFERROR(VLOOKUP('BMP P Tracking Table'!$P486,Dropdowns!$C$2:$E$15,3,FALSE),"")</f>
        <v/>
      </c>
      <c r="R486" s="64" t="str">
        <f>IFERROR(VLOOKUP('BMP P Tracking Table'!$Q486,Dropdowns!$P$3:$Q$23,2,FALSE),"")</f>
        <v/>
      </c>
      <c r="S486" s="64"/>
      <c r="T486" s="64"/>
      <c r="U486" s="64"/>
      <c r="V486" s="64"/>
      <c r="W486" s="64"/>
      <c r="X486" s="64"/>
      <c r="Y486" s="64"/>
      <c r="Z486" s="64"/>
      <c r="AA486" s="64"/>
      <c r="AB486" s="95"/>
      <c r="AC486" s="64"/>
      <c r="AD486" s="101" t="str">
        <f>IFERROR('BMP P Tracking Table'!$U486*VLOOKUP('BMP P Tracking Table'!$Q486,'Loading Rates'!$B$1:$L$24,4,FALSE)+IF('BMP P Tracking Table'!$V486="By HSG",'BMP P Tracking Table'!$W486*VLOOKUP('BMP P Tracking Table'!$Q486,'Loading Rates'!$B$1:$L$24,6,FALSE)+'BMP P Tracking Table'!$X486*VLOOKUP('BMP P Tracking Table'!$Q486,'Loading Rates'!$B$1:$L$24,7,FALSE)+'BMP P Tracking Table'!$Y486*VLOOKUP('BMP P Tracking Table'!$Q486,'Loading Rates'!$B$1:$L$24,8,FALSE)+'BMP P Tracking Table'!$Z486*VLOOKUP('BMP P Tracking Table'!$Q486,'Loading Rates'!$B$1:$L$24,9,FALSE),'BMP P Tracking Table'!$AA486*VLOOKUP('BMP P Tracking Table'!$Q486,'Loading Rates'!$B$1:$L$24,10,FALSE)),"")</f>
        <v/>
      </c>
      <c r="AE486" s="101" t="str">
        <f>IFERROR(MIN(2,IF('BMP P Tracking Table'!$V486="Total Pervious",(-(3630*'BMP P Tracking Table'!$U486+20.691*'BMP P Tracking Table'!$AA486)+SQRT((3630*'BMP P Tracking Table'!$U486+20.691*'BMP P Tracking Table'!$AA486)^2-(4*(996.798*'BMP P Tracking Table'!$AA486)*-'BMP P Tracking Table'!$AB486)))/(2*(996.798*'BMP P Tracking Table'!$AA486)),IF(SUM('BMP P Tracking Table'!$W486:$Z486)=0,'BMP P Tracking Table'!$AB486/(-3630*'BMP P Tracking Table'!$U486),(-(3630*'BMP P Tracking Table'!$U486+20.691*'BMP P Tracking Table'!$Z486-216.711*'BMP P Tracking Table'!$Y486-83.853*'BMP P Tracking Table'!$X486-42.834*'BMP P Tracking Table'!$W486)+SQRT((3630*'BMP P Tracking Table'!$U486+20.691*'BMP P Tracking Table'!$Z486-216.711*'BMP P Tracking Table'!$Y486-83.853*'BMP P Tracking Table'!$X486-42.834*'BMP P Tracking Table'!$W486)^2-(4*(149.919*'BMP P Tracking Table'!$W486+236.676*'BMP P Tracking Table'!$X486+726*'BMP P Tracking Table'!$Y486+996.798*'BMP P Tracking Table'!$Z486)*-'BMP P Tracking Table'!$AB486)))/(2*(149.919*'BMP P Tracking Table'!$W486+236.676*'BMP P Tracking Table'!$X486+726*'BMP P Tracking Table'!$Y486+996.798*'BMP P Tracking Table'!$Z486))))),"")</f>
        <v/>
      </c>
      <c r="AF486" s="101" t="str">
        <f>IFERROR((VLOOKUP(CONCATENATE('BMP P Tracking Table'!$T486," ",'BMP P Tracking Table'!$AC486),'Performance Curves'!$C$1:$L$45,MATCH('BMP P Tracking Table'!$AE486,'Performance Curves'!$E$1:$L$1,1)+2,FALSE)-VLOOKUP(CONCATENATE('BMP P Tracking Table'!$T486," ",'BMP P Tracking Table'!$AC486),'Performance Curves'!$C$1:$L$45,MATCH('BMP P Tracking Table'!$AE486,'Performance Curves'!$E$1:$L$1,1)+1,FALSE)),"")</f>
        <v/>
      </c>
      <c r="AG486" s="101" t="str">
        <f>IFERROR(('BMP P Tracking Table'!$AE486-INDEX('Performance Curves'!$E$1:$L$1,1,MATCH('BMP P Tracking Table'!$AE486,'Performance Curves'!$E$1:$L$1,1)))/(INDEX('Performance Curves'!$E$1:$L$1,1,MATCH('BMP P Tracking Table'!$AE486,'Performance Curves'!$E$1:$L$1,1)+1)-INDEX('Performance Curves'!$E$1:$L$1,1,MATCH('BMP P Tracking Table'!$AE486,'Performance Curves'!$E$1:$L$1,1))),"")</f>
        <v/>
      </c>
      <c r="AH486" s="102" t="str">
        <f>IFERROR(IF('BMP P Tracking Table'!$AE486=2,VLOOKUP(CONCATENATE('BMP P Tracking Table'!$T486," ",'BMP P Tracking Table'!$AC486),'Performance Curves'!$C$1:$L$45,MATCH('BMP P Tracking Table'!$AE486,'Performance Curves'!$E$1:$L$1,1)+1,FALSE),'BMP P Tracking Table'!$AF486*'BMP P Tracking Table'!$AG486+VLOOKUP(CONCATENATE('BMP P Tracking Table'!$T486," ",'BMP P Tracking Table'!$AC486),'Performance Curves'!$C$1:$L$45,MATCH('BMP P Tracking Table'!$AE486,'Performance Curves'!$E$1:$L$1,1)+1,FALSE)),"")</f>
        <v/>
      </c>
      <c r="AI486" s="101" t="str">
        <f>IFERROR('BMP P Tracking Table'!$AH486*'BMP P Tracking Table'!$AD486,"")</f>
        <v/>
      </c>
      <c r="AJ486" s="64"/>
      <c r="AK486" s="96"/>
      <c r="AL486" s="96"/>
      <c r="AM486" s="63"/>
      <c r="AN486" s="99" t="str">
        <f t="shared" si="26"/>
        <v/>
      </c>
      <c r="AO486" s="96"/>
      <c r="AP486" s="96"/>
      <c r="AQ486" s="96"/>
      <c r="AR486" s="96"/>
      <c r="AS486" s="96"/>
      <c r="AT486" s="96"/>
      <c r="AU486" s="96"/>
      <c r="AV486" s="64"/>
      <c r="AW486" s="97"/>
      <c r="AX486" s="97"/>
      <c r="AY486" s="101" t="str">
        <f>IF('BMP P Tracking Table'!$AK486="Yes",IF('BMP P Tracking Table'!$AL486="No",'BMP P Tracking Table'!$U486*VLOOKUP('BMP P Tracking Table'!$Q486,'Loading Rates'!$B$1:$L$24,4,FALSE)+IF('BMP P Tracking Table'!$V486="By HSG",'BMP P Tracking Table'!$W486*VLOOKUP('BMP P Tracking Table'!$Q486,'Loading Rates'!$B$1:$L$24,6,FALSE)+'BMP P Tracking Table'!$X486*VLOOKUP('BMP P Tracking Table'!$Q486,'Loading Rates'!$B$1:$L$24,7,FALSE)+'BMP P Tracking Table'!$Y486*VLOOKUP('BMP P Tracking Table'!$Q486,'Loading Rates'!$B$1:$L$24,8,FALSE)+'BMP P Tracking Table'!$Z486*VLOOKUP('BMP P Tracking Table'!$Q486,'Loading Rates'!$B$1:$L$24,9,FALSE),'BMP P Tracking Table'!$AA486*VLOOKUP('BMP P Tracking Table'!$Q486,'Loading Rates'!$B$1:$L$24,10,FALSE)),'BMP P Tracking Table'!$AO486*VLOOKUP('BMP P Tracking Table'!$Q486,'Loading Rates'!$B$1:$L$24,4,FALSE)+IF('BMP P Tracking Table'!$AP486="By HSG",'BMP P Tracking Table'!$AQ486*VLOOKUP('BMP P Tracking Table'!$Q486,'Loading Rates'!$B$1:$L$24,6,FALSE)+'BMP P Tracking Table'!$AR486*VLOOKUP('BMP P Tracking Table'!$Q486,'Loading Rates'!$B$1:$L$24,7,FALSE)+'BMP P Tracking Table'!$AS486*VLOOKUP('BMP P Tracking Table'!$Q486,'Loading Rates'!$B$1:$L$24,8,FALSE)+'BMP P Tracking Table'!$AT486*VLOOKUP('BMP P Tracking Table'!$Q486,'Loading Rates'!$B$1:$L$24,9,FALSE),'BMP P Tracking Table'!$AU486*VLOOKUP('BMP P Tracking Table'!$Q486,'Loading Rates'!$B$1:$L$24,10,FALSE))),"")</f>
        <v/>
      </c>
      <c r="AZ486" s="101" t="str">
        <f>IFERROR(IF('BMP P Tracking Table'!$AL486="Yes",MIN(2,IF('BMP P Tracking Table'!$AP486="Total Pervious",(-(3630*'BMP P Tracking Table'!$AO486+20.691*'BMP P Tracking Table'!$AU486)+SQRT((3630*'BMP P Tracking Table'!$AO486+20.691*'BMP P Tracking Table'!$AU486)^2-(4*(996.798*'BMP P Tracking Table'!$AU486)*-'BMP P Tracking Table'!$AW486)))/(2*(996.798*'BMP P Tracking Table'!$AU486)),IF(SUM('BMP P Tracking Table'!$AQ486:$AT486)=0,'BMP P Tracking Table'!$AU486/(-3630*'BMP P Tracking Table'!$AO486),(-(3630*'BMP P Tracking Table'!$AO486+20.691*'BMP P Tracking Table'!$AT486-216.711*'BMP P Tracking Table'!$AS486-83.853*'BMP P Tracking Table'!$AR486-42.834*'BMP P Tracking Table'!$AQ486)+SQRT((3630*'BMP P Tracking Table'!$AO486+20.691*'BMP P Tracking Table'!$AT486-216.711*'BMP P Tracking Table'!$AS486-83.853*'BMP P Tracking Table'!$AR486-42.834*'BMP P Tracking Table'!$AQ486)^2-(4*(149.919*'BMP P Tracking Table'!$AQ486+236.676*'BMP P Tracking Table'!$AR486+726*'BMP P Tracking Table'!$AS486+996.798*'BMP P Tracking Table'!$AT486)*-'BMP P Tracking Table'!$AW486)))/(2*(149.919*'BMP P Tracking Table'!$AQ486+236.676*'BMP P Tracking Table'!$AR486+726*'BMP P Tracking Table'!$AS486+996.798*'BMP P Tracking Table'!$AT486))))),MIN(2,IF('BMP P Tracking Table'!$AP486="Total Pervious",(-(3630*'BMP P Tracking Table'!$U486+20.691*'BMP P Tracking Table'!$AA486)+SQRT((3630*'BMP P Tracking Table'!$U486+20.691*'BMP P Tracking Table'!$AA486)^2-(4*(996.798*'BMP P Tracking Table'!$AA486)*-'BMP P Tracking Table'!$AW486)))/(2*(996.798*'BMP P Tracking Table'!$AA486)),IF(SUM('BMP P Tracking Table'!$W486:$Z486)=0,'BMP P Tracking Table'!$AW486/(-3630*'BMP P Tracking Table'!$U486),(-(3630*'BMP P Tracking Table'!$U486+20.691*'BMP P Tracking Table'!$Z486-216.711*'BMP P Tracking Table'!$Y486-83.853*'BMP P Tracking Table'!$X486-42.834*'BMP P Tracking Table'!$W486)+SQRT((3630*'BMP P Tracking Table'!$U486+20.691*'BMP P Tracking Table'!$Z486-216.711*'BMP P Tracking Table'!$Y486-83.853*'BMP P Tracking Table'!$X486-42.834*'BMP P Tracking Table'!$W486)^2-(4*(149.919*'BMP P Tracking Table'!$W486+236.676*'BMP P Tracking Table'!$X486+726*'BMP P Tracking Table'!$Y486+996.798*'BMP P Tracking Table'!$Z486)*-'BMP P Tracking Table'!$AW486)))/(2*(149.919*'BMP P Tracking Table'!$W486+236.676*'BMP P Tracking Table'!$X486+726*'BMP P Tracking Table'!$Y486+996.798*'BMP P Tracking Table'!$Z486)))))),"")</f>
        <v/>
      </c>
      <c r="BA486" s="101" t="str">
        <f>IFERROR((VLOOKUP(CONCATENATE('BMP P Tracking Table'!$AV486," ",'BMP P Tracking Table'!$AX486),'Performance Curves'!$C$1:$L$45,MATCH('BMP P Tracking Table'!$AZ486,'Performance Curves'!$E$1:$L$1,1)+2,FALSE)-VLOOKUP(CONCATENATE('BMP P Tracking Table'!$AV486," ",'BMP P Tracking Table'!$AX486),'Performance Curves'!$C$1:$L$45,MATCH('BMP P Tracking Table'!$AZ486,'Performance Curves'!$E$1:$L$1,1)+1,FALSE)),"")</f>
        <v/>
      </c>
      <c r="BB486" s="101" t="str">
        <f>IFERROR(('BMP P Tracking Table'!$AZ486-INDEX('Performance Curves'!$E$1:$L$1,1,MATCH('BMP P Tracking Table'!$AZ486,'Performance Curves'!$E$1:$L$1,1)))/(INDEX('Performance Curves'!$E$1:$L$1,1,MATCH('BMP P Tracking Table'!$AZ486,'Performance Curves'!$E$1:$L$1,1)+1)-INDEX('Performance Curves'!$E$1:$L$1,1,MATCH('BMP P Tracking Table'!$AZ486,'Performance Curves'!$E$1:$L$1,1))),"")</f>
        <v/>
      </c>
      <c r="BC486" s="102" t="str">
        <f>IFERROR(IF('BMP P Tracking Table'!$AZ486=2,VLOOKUP(CONCATENATE('BMP P Tracking Table'!$AV486," ",'BMP P Tracking Table'!$AX486),'Performance Curves'!$C$1:$L$44,MATCH('BMP P Tracking Table'!$AZ486,'Performance Curves'!$E$1:$L$1,1)+1,FALSE),'BMP P Tracking Table'!$BA486*'BMP P Tracking Table'!$BB486+VLOOKUP(CONCATENATE('BMP P Tracking Table'!$AV486," ",'BMP P Tracking Table'!$AX486),'Performance Curves'!$C$1:$L$44,MATCH('BMP P Tracking Table'!$AZ486,'Performance Curves'!$E$1:$L$1,1)+1,FALSE)),"")</f>
        <v/>
      </c>
      <c r="BD486" s="101" t="str">
        <f>IFERROR('BMP P Tracking Table'!$BC486*'BMP P Tracking Table'!$AY486,"")</f>
        <v/>
      </c>
      <c r="BE486" s="96"/>
      <c r="BF486" s="37">
        <f t="shared" si="27"/>
        <v>0</v>
      </c>
    </row>
    <row r="487" spans="1:58" x14ac:dyDescent="0.3">
      <c r="A487" s="64"/>
      <c r="B487" s="64"/>
      <c r="C487" s="64"/>
      <c r="D487" s="64"/>
      <c r="E487" s="93"/>
      <c r="F487" s="93"/>
      <c r="G487" s="64"/>
      <c r="H487" s="64"/>
      <c r="I487" s="64"/>
      <c r="J487" s="94"/>
      <c r="K487" s="64"/>
      <c r="L487" s="64"/>
      <c r="M487" s="64"/>
      <c r="N487" s="64"/>
      <c r="O487" s="64"/>
      <c r="P487" s="64"/>
      <c r="Q487" s="64" t="str">
        <f>IFERROR(VLOOKUP('BMP P Tracking Table'!$P487,Dropdowns!$C$2:$E$15,3,FALSE),"")</f>
        <v/>
      </c>
      <c r="R487" s="64" t="str">
        <f>IFERROR(VLOOKUP('BMP P Tracking Table'!$Q487,Dropdowns!$P$3:$Q$23,2,FALSE),"")</f>
        <v/>
      </c>
      <c r="S487" s="64"/>
      <c r="T487" s="64"/>
      <c r="U487" s="64"/>
      <c r="V487" s="64"/>
      <c r="W487" s="64"/>
      <c r="X487" s="64"/>
      <c r="Y487" s="64"/>
      <c r="Z487" s="64"/>
      <c r="AA487" s="64"/>
      <c r="AB487" s="95"/>
      <c r="AC487" s="64"/>
      <c r="AD487" s="101" t="str">
        <f>IFERROR('BMP P Tracking Table'!$U487*VLOOKUP('BMP P Tracking Table'!$Q487,'Loading Rates'!$B$1:$L$24,4,FALSE)+IF('BMP P Tracking Table'!$V487="By HSG",'BMP P Tracking Table'!$W487*VLOOKUP('BMP P Tracking Table'!$Q487,'Loading Rates'!$B$1:$L$24,6,FALSE)+'BMP P Tracking Table'!$X487*VLOOKUP('BMP P Tracking Table'!$Q487,'Loading Rates'!$B$1:$L$24,7,FALSE)+'BMP P Tracking Table'!$Y487*VLOOKUP('BMP P Tracking Table'!$Q487,'Loading Rates'!$B$1:$L$24,8,FALSE)+'BMP P Tracking Table'!$Z487*VLOOKUP('BMP P Tracking Table'!$Q487,'Loading Rates'!$B$1:$L$24,9,FALSE),'BMP P Tracking Table'!$AA487*VLOOKUP('BMP P Tracking Table'!$Q487,'Loading Rates'!$B$1:$L$24,10,FALSE)),"")</f>
        <v/>
      </c>
      <c r="AE487" s="101" t="str">
        <f>IFERROR(MIN(2,IF('BMP P Tracking Table'!$V487="Total Pervious",(-(3630*'BMP P Tracking Table'!$U487+20.691*'BMP P Tracking Table'!$AA487)+SQRT((3630*'BMP P Tracking Table'!$U487+20.691*'BMP P Tracking Table'!$AA487)^2-(4*(996.798*'BMP P Tracking Table'!$AA487)*-'BMP P Tracking Table'!$AB487)))/(2*(996.798*'BMP P Tracking Table'!$AA487)),IF(SUM('BMP P Tracking Table'!$W487:$Z487)=0,'BMP P Tracking Table'!$AB487/(-3630*'BMP P Tracking Table'!$U487),(-(3630*'BMP P Tracking Table'!$U487+20.691*'BMP P Tracking Table'!$Z487-216.711*'BMP P Tracking Table'!$Y487-83.853*'BMP P Tracking Table'!$X487-42.834*'BMP P Tracking Table'!$W487)+SQRT((3630*'BMP P Tracking Table'!$U487+20.691*'BMP P Tracking Table'!$Z487-216.711*'BMP P Tracking Table'!$Y487-83.853*'BMP P Tracking Table'!$X487-42.834*'BMP P Tracking Table'!$W487)^2-(4*(149.919*'BMP P Tracking Table'!$W487+236.676*'BMP P Tracking Table'!$X487+726*'BMP P Tracking Table'!$Y487+996.798*'BMP P Tracking Table'!$Z487)*-'BMP P Tracking Table'!$AB487)))/(2*(149.919*'BMP P Tracking Table'!$W487+236.676*'BMP P Tracking Table'!$X487+726*'BMP P Tracking Table'!$Y487+996.798*'BMP P Tracking Table'!$Z487))))),"")</f>
        <v/>
      </c>
      <c r="AF487" s="101" t="str">
        <f>IFERROR((VLOOKUP(CONCATENATE('BMP P Tracking Table'!$T487," ",'BMP P Tracking Table'!$AC487),'Performance Curves'!$C$1:$L$45,MATCH('BMP P Tracking Table'!$AE487,'Performance Curves'!$E$1:$L$1,1)+2,FALSE)-VLOOKUP(CONCATENATE('BMP P Tracking Table'!$T487," ",'BMP P Tracking Table'!$AC487),'Performance Curves'!$C$1:$L$45,MATCH('BMP P Tracking Table'!$AE487,'Performance Curves'!$E$1:$L$1,1)+1,FALSE)),"")</f>
        <v/>
      </c>
      <c r="AG487" s="101" t="str">
        <f>IFERROR(('BMP P Tracking Table'!$AE487-INDEX('Performance Curves'!$E$1:$L$1,1,MATCH('BMP P Tracking Table'!$AE487,'Performance Curves'!$E$1:$L$1,1)))/(INDEX('Performance Curves'!$E$1:$L$1,1,MATCH('BMP P Tracking Table'!$AE487,'Performance Curves'!$E$1:$L$1,1)+1)-INDEX('Performance Curves'!$E$1:$L$1,1,MATCH('BMP P Tracking Table'!$AE487,'Performance Curves'!$E$1:$L$1,1))),"")</f>
        <v/>
      </c>
      <c r="AH487" s="102" t="str">
        <f>IFERROR(IF('BMP P Tracking Table'!$AE487=2,VLOOKUP(CONCATENATE('BMP P Tracking Table'!$T487," ",'BMP P Tracking Table'!$AC487),'Performance Curves'!$C$1:$L$45,MATCH('BMP P Tracking Table'!$AE487,'Performance Curves'!$E$1:$L$1,1)+1,FALSE),'BMP P Tracking Table'!$AF487*'BMP P Tracking Table'!$AG487+VLOOKUP(CONCATENATE('BMP P Tracking Table'!$T487," ",'BMP P Tracking Table'!$AC487),'Performance Curves'!$C$1:$L$45,MATCH('BMP P Tracking Table'!$AE487,'Performance Curves'!$E$1:$L$1,1)+1,FALSE)),"")</f>
        <v/>
      </c>
      <c r="AI487" s="101" t="str">
        <f>IFERROR('BMP P Tracking Table'!$AH487*'BMP P Tracking Table'!$AD487,"")</f>
        <v/>
      </c>
      <c r="AJ487" s="64"/>
      <c r="AK487" s="96"/>
      <c r="AL487" s="96"/>
      <c r="AM487" s="63"/>
      <c r="AN487" s="99" t="str">
        <f t="shared" si="26"/>
        <v/>
      </c>
      <c r="AO487" s="96"/>
      <c r="AP487" s="96"/>
      <c r="AQ487" s="96"/>
      <c r="AR487" s="96"/>
      <c r="AS487" s="96"/>
      <c r="AT487" s="96"/>
      <c r="AU487" s="96"/>
      <c r="AV487" s="64"/>
      <c r="AW487" s="97"/>
      <c r="AX487" s="97"/>
      <c r="AY487" s="101" t="str">
        <f>IF('BMP P Tracking Table'!$AK487="Yes",IF('BMP P Tracking Table'!$AL487="No",'BMP P Tracking Table'!$U487*VLOOKUP('BMP P Tracking Table'!$Q487,'Loading Rates'!$B$1:$L$24,4,FALSE)+IF('BMP P Tracking Table'!$V487="By HSG",'BMP P Tracking Table'!$W487*VLOOKUP('BMP P Tracking Table'!$Q487,'Loading Rates'!$B$1:$L$24,6,FALSE)+'BMP P Tracking Table'!$X487*VLOOKUP('BMP P Tracking Table'!$Q487,'Loading Rates'!$B$1:$L$24,7,FALSE)+'BMP P Tracking Table'!$Y487*VLOOKUP('BMP P Tracking Table'!$Q487,'Loading Rates'!$B$1:$L$24,8,FALSE)+'BMP P Tracking Table'!$Z487*VLOOKUP('BMP P Tracking Table'!$Q487,'Loading Rates'!$B$1:$L$24,9,FALSE),'BMP P Tracking Table'!$AA487*VLOOKUP('BMP P Tracking Table'!$Q487,'Loading Rates'!$B$1:$L$24,10,FALSE)),'BMP P Tracking Table'!$AO487*VLOOKUP('BMP P Tracking Table'!$Q487,'Loading Rates'!$B$1:$L$24,4,FALSE)+IF('BMP P Tracking Table'!$AP487="By HSG",'BMP P Tracking Table'!$AQ487*VLOOKUP('BMP P Tracking Table'!$Q487,'Loading Rates'!$B$1:$L$24,6,FALSE)+'BMP P Tracking Table'!$AR487*VLOOKUP('BMP P Tracking Table'!$Q487,'Loading Rates'!$B$1:$L$24,7,FALSE)+'BMP P Tracking Table'!$AS487*VLOOKUP('BMP P Tracking Table'!$Q487,'Loading Rates'!$B$1:$L$24,8,FALSE)+'BMP P Tracking Table'!$AT487*VLOOKUP('BMP P Tracking Table'!$Q487,'Loading Rates'!$B$1:$L$24,9,FALSE),'BMP P Tracking Table'!$AU487*VLOOKUP('BMP P Tracking Table'!$Q487,'Loading Rates'!$B$1:$L$24,10,FALSE))),"")</f>
        <v/>
      </c>
      <c r="AZ487" s="101" t="str">
        <f>IFERROR(IF('BMP P Tracking Table'!$AL487="Yes",MIN(2,IF('BMP P Tracking Table'!$AP487="Total Pervious",(-(3630*'BMP P Tracking Table'!$AO487+20.691*'BMP P Tracking Table'!$AU487)+SQRT((3630*'BMP P Tracking Table'!$AO487+20.691*'BMP P Tracking Table'!$AU487)^2-(4*(996.798*'BMP P Tracking Table'!$AU487)*-'BMP P Tracking Table'!$AW487)))/(2*(996.798*'BMP P Tracking Table'!$AU487)),IF(SUM('BMP P Tracking Table'!$AQ487:$AT487)=0,'BMP P Tracking Table'!$AU487/(-3630*'BMP P Tracking Table'!$AO487),(-(3630*'BMP P Tracking Table'!$AO487+20.691*'BMP P Tracking Table'!$AT487-216.711*'BMP P Tracking Table'!$AS487-83.853*'BMP P Tracking Table'!$AR487-42.834*'BMP P Tracking Table'!$AQ487)+SQRT((3630*'BMP P Tracking Table'!$AO487+20.691*'BMP P Tracking Table'!$AT487-216.711*'BMP P Tracking Table'!$AS487-83.853*'BMP P Tracking Table'!$AR487-42.834*'BMP P Tracking Table'!$AQ487)^2-(4*(149.919*'BMP P Tracking Table'!$AQ487+236.676*'BMP P Tracking Table'!$AR487+726*'BMP P Tracking Table'!$AS487+996.798*'BMP P Tracking Table'!$AT487)*-'BMP P Tracking Table'!$AW487)))/(2*(149.919*'BMP P Tracking Table'!$AQ487+236.676*'BMP P Tracking Table'!$AR487+726*'BMP P Tracking Table'!$AS487+996.798*'BMP P Tracking Table'!$AT487))))),MIN(2,IF('BMP P Tracking Table'!$AP487="Total Pervious",(-(3630*'BMP P Tracking Table'!$U487+20.691*'BMP P Tracking Table'!$AA487)+SQRT((3630*'BMP P Tracking Table'!$U487+20.691*'BMP P Tracking Table'!$AA487)^2-(4*(996.798*'BMP P Tracking Table'!$AA487)*-'BMP P Tracking Table'!$AW487)))/(2*(996.798*'BMP P Tracking Table'!$AA487)),IF(SUM('BMP P Tracking Table'!$W487:$Z487)=0,'BMP P Tracking Table'!$AW487/(-3630*'BMP P Tracking Table'!$U487),(-(3630*'BMP P Tracking Table'!$U487+20.691*'BMP P Tracking Table'!$Z487-216.711*'BMP P Tracking Table'!$Y487-83.853*'BMP P Tracking Table'!$X487-42.834*'BMP P Tracking Table'!$W487)+SQRT((3630*'BMP P Tracking Table'!$U487+20.691*'BMP P Tracking Table'!$Z487-216.711*'BMP P Tracking Table'!$Y487-83.853*'BMP P Tracking Table'!$X487-42.834*'BMP P Tracking Table'!$W487)^2-(4*(149.919*'BMP P Tracking Table'!$W487+236.676*'BMP P Tracking Table'!$X487+726*'BMP P Tracking Table'!$Y487+996.798*'BMP P Tracking Table'!$Z487)*-'BMP P Tracking Table'!$AW487)))/(2*(149.919*'BMP P Tracking Table'!$W487+236.676*'BMP P Tracking Table'!$X487+726*'BMP P Tracking Table'!$Y487+996.798*'BMP P Tracking Table'!$Z487)))))),"")</f>
        <v/>
      </c>
      <c r="BA487" s="101" t="str">
        <f>IFERROR((VLOOKUP(CONCATENATE('BMP P Tracking Table'!$AV487," ",'BMP P Tracking Table'!$AX487),'Performance Curves'!$C$1:$L$45,MATCH('BMP P Tracking Table'!$AZ487,'Performance Curves'!$E$1:$L$1,1)+2,FALSE)-VLOOKUP(CONCATENATE('BMP P Tracking Table'!$AV487," ",'BMP P Tracking Table'!$AX487),'Performance Curves'!$C$1:$L$45,MATCH('BMP P Tracking Table'!$AZ487,'Performance Curves'!$E$1:$L$1,1)+1,FALSE)),"")</f>
        <v/>
      </c>
      <c r="BB487" s="101" t="str">
        <f>IFERROR(('BMP P Tracking Table'!$AZ487-INDEX('Performance Curves'!$E$1:$L$1,1,MATCH('BMP P Tracking Table'!$AZ487,'Performance Curves'!$E$1:$L$1,1)))/(INDEX('Performance Curves'!$E$1:$L$1,1,MATCH('BMP P Tracking Table'!$AZ487,'Performance Curves'!$E$1:$L$1,1)+1)-INDEX('Performance Curves'!$E$1:$L$1,1,MATCH('BMP P Tracking Table'!$AZ487,'Performance Curves'!$E$1:$L$1,1))),"")</f>
        <v/>
      </c>
      <c r="BC487" s="102" t="str">
        <f>IFERROR(IF('BMP P Tracking Table'!$AZ487=2,VLOOKUP(CONCATENATE('BMP P Tracking Table'!$AV487," ",'BMP P Tracking Table'!$AX487),'Performance Curves'!$C$1:$L$44,MATCH('BMP P Tracking Table'!$AZ487,'Performance Curves'!$E$1:$L$1,1)+1,FALSE),'BMP P Tracking Table'!$BA487*'BMP P Tracking Table'!$BB487+VLOOKUP(CONCATENATE('BMP P Tracking Table'!$AV487," ",'BMP P Tracking Table'!$AX487),'Performance Curves'!$C$1:$L$44,MATCH('BMP P Tracking Table'!$AZ487,'Performance Curves'!$E$1:$L$1,1)+1,FALSE)),"")</f>
        <v/>
      </c>
      <c r="BD487" s="101" t="str">
        <f>IFERROR('BMP P Tracking Table'!$BC487*'BMP P Tracking Table'!$AY487,"")</f>
        <v/>
      </c>
      <c r="BE487" s="96"/>
      <c r="BF487" s="37">
        <f t="shared" si="27"/>
        <v>0</v>
      </c>
    </row>
    <row r="488" spans="1:58" x14ac:dyDescent="0.3">
      <c r="A488" s="64"/>
      <c r="B488" s="64"/>
      <c r="C488" s="64"/>
      <c r="D488" s="64"/>
      <c r="E488" s="93"/>
      <c r="F488" s="93"/>
      <c r="G488" s="64"/>
      <c r="H488" s="64"/>
      <c r="I488" s="64"/>
      <c r="J488" s="94"/>
      <c r="K488" s="64"/>
      <c r="L488" s="64"/>
      <c r="M488" s="64"/>
      <c r="N488" s="64"/>
      <c r="O488" s="64"/>
      <c r="P488" s="64"/>
      <c r="Q488" s="64" t="str">
        <f>IFERROR(VLOOKUP('BMP P Tracking Table'!$P488,Dropdowns!$C$2:$E$15,3,FALSE),"")</f>
        <v/>
      </c>
      <c r="R488" s="64" t="str">
        <f>IFERROR(VLOOKUP('BMP P Tracking Table'!$Q488,Dropdowns!$P$3:$Q$23,2,FALSE),"")</f>
        <v/>
      </c>
      <c r="S488" s="64"/>
      <c r="T488" s="64"/>
      <c r="U488" s="64"/>
      <c r="V488" s="64"/>
      <c r="W488" s="64"/>
      <c r="X488" s="64"/>
      <c r="Y488" s="64"/>
      <c r="Z488" s="64"/>
      <c r="AA488" s="64"/>
      <c r="AB488" s="95"/>
      <c r="AC488" s="64"/>
      <c r="AD488" s="101" t="str">
        <f>IFERROR('BMP P Tracking Table'!$U488*VLOOKUP('BMP P Tracking Table'!$Q488,'Loading Rates'!$B$1:$L$24,4,FALSE)+IF('BMP P Tracking Table'!$V488="By HSG",'BMP P Tracking Table'!$W488*VLOOKUP('BMP P Tracking Table'!$Q488,'Loading Rates'!$B$1:$L$24,6,FALSE)+'BMP P Tracking Table'!$X488*VLOOKUP('BMP P Tracking Table'!$Q488,'Loading Rates'!$B$1:$L$24,7,FALSE)+'BMP P Tracking Table'!$Y488*VLOOKUP('BMP P Tracking Table'!$Q488,'Loading Rates'!$B$1:$L$24,8,FALSE)+'BMP P Tracking Table'!$Z488*VLOOKUP('BMP P Tracking Table'!$Q488,'Loading Rates'!$B$1:$L$24,9,FALSE),'BMP P Tracking Table'!$AA488*VLOOKUP('BMP P Tracking Table'!$Q488,'Loading Rates'!$B$1:$L$24,10,FALSE)),"")</f>
        <v/>
      </c>
      <c r="AE488" s="101" t="str">
        <f>IFERROR(MIN(2,IF('BMP P Tracking Table'!$V488="Total Pervious",(-(3630*'BMP P Tracking Table'!$U488+20.691*'BMP P Tracking Table'!$AA488)+SQRT((3630*'BMP P Tracking Table'!$U488+20.691*'BMP P Tracking Table'!$AA488)^2-(4*(996.798*'BMP P Tracking Table'!$AA488)*-'BMP P Tracking Table'!$AB488)))/(2*(996.798*'BMP P Tracking Table'!$AA488)),IF(SUM('BMP P Tracking Table'!$W488:$Z488)=0,'BMP P Tracking Table'!$AB488/(-3630*'BMP P Tracking Table'!$U488),(-(3630*'BMP P Tracking Table'!$U488+20.691*'BMP P Tracking Table'!$Z488-216.711*'BMP P Tracking Table'!$Y488-83.853*'BMP P Tracking Table'!$X488-42.834*'BMP P Tracking Table'!$W488)+SQRT((3630*'BMP P Tracking Table'!$U488+20.691*'BMP P Tracking Table'!$Z488-216.711*'BMP P Tracking Table'!$Y488-83.853*'BMP P Tracking Table'!$X488-42.834*'BMP P Tracking Table'!$W488)^2-(4*(149.919*'BMP P Tracking Table'!$W488+236.676*'BMP P Tracking Table'!$X488+726*'BMP P Tracking Table'!$Y488+996.798*'BMP P Tracking Table'!$Z488)*-'BMP P Tracking Table'!$AB488)))/(2*(149.919*'BMP P Tracking Table'!$W488+236.676*'BMP P Tracking Table'!$X488+726*'BMP P Tracking Table'!$Y488+996.798*'BMP P Tracking Table'!$Z488))))),"")</f>
        <v/>
      </c>
      <c r="AF488" s="101" t="str">
        <f>IFERROR((VLOOKUP(CONCATENATE('BMP P Tracking Table'!$T488," ",'BMP P Tracking Table'!$AC488),'Performance Curves'!$C$1:$L$45,MATCH('BMP P Tracking Table'!$AE488,'Performance Curves'!$E$1:$L$1,1)+2,FALSE)-VLOOKUP(CONCATENATE('BMP P Tracking Table'!$T488," ",'BMP P Tracking Table'!$AC488),'Performance Curves'!$C$1:$L$45,MATCH('BMP P Tracking Table'!$AE488,'Performance Curves'!$E$1:$L$1,1)+1,FALSE)),"")</f>
        <v/>
      </c>
      <c r="AG488" s="101" t="str">
        <f>IFERROR(('BMP P Tracking Table'!$AE488-INDEX('Performance Curves'!$E$1:$L$1,1,MATCH('BMP P Tracking Table'!$AE488,'Performance Curves'!$E$1:$L$1,1)))/(INDEX('Performance Curves'!$E$1:$L$1,1,MATCH('BMP P Tracking Table'!$AE488,'Performance Curves'!$E$1:$L$1,1)+1)-INDEX('Performance Curves'!$E$1:$L$1,1,MATCH('BMP P Tracking Table'!$AE488,'Performance Curves'!$E$1:$L$1,1))),"")</f>
        <v/>
      </c>
      <c r="AH488" s="102" t="str">
        <f>IFERROR(IF('BMP P Tracking Table'!$AE488=2,VLOOKUP(CONCATENATE('BMP P Tracking Table'!$T488," ",'BMP P Tracking Table'!$AC488),'Performance Curves'!$C$1:$L$45,MATCH('BMP P Tracking Table'!$AE488,'Performance Curves'!$E$1:$L$1,1)+1,FALSE),'BMP P Tracking Table'!$AF488*'BMP P Tracking Table'!$AG488+VLOOKUP(CONCATENATE('BMP P Tracking Table'!$T488," ",'BMP P Tracking Table'!$AC488),'Performance Curves'!$C$1:$L$45,MATCH('BMP P Tracking Table'!$AE488,'Performance Curves'!$E$1:$L$1,1)+1,FALSE)),"")</f>
        <v/>
      </c>
      <c r="AI488" s="101" t="str">
        <f>IFERROR('BMP P Tracking Table'!$AH488*'BMP P Tracking Table'!$AD488,"")</f>
        <v/>
      </c>
      <c r="AJ488" s="64"/>
      <c r="AK488" s="96"/>
      <c r="AL488" s="96"/>
      <c r="AM488" s="63"/>
      <c r="AN488" s="99" t="str">
        <f t="shared" si="26"/>
        <v/>
      </c>
      <c r="AO488" s="96"/>
      <c r="AP488" s="96"/>
      <c r="AQ488" s="96"/>
      <c r="AR488" s="96"/>
      <c r="AS488" s="96"/>
      <c r="AT488" s="96"/>
      <c r="AU488" s="96"/>
      <c r="AV488" s="64"/>
      <c r="AW488" s="97"/>
      <c r="AX488" s="97"/>
      <c r="AY488" s="101" t="str">
        <f>IF('BMP P Tracking Table'!$AK488="Yes",IF('BMP P Tracking Table'!$AL488="No",'BMP P Tracking Table'!$U488*VLOOKUP('BMP P Tracking Table'!$Q488,'Loading Rates'!$B$1:$L$24,4,FALSE)+IF('BMP P Tracking Table'!$V488="By HSG",'BMP P Tracking Table'!$W488*VLOOKUP('BMP P Tracking Table'!$Q488,'Loading Rates'!$B$1:$L$24,6,FALSE)+'BMP P Tracking Table'!$X488*VLOOKUP('BMP P Tracking Table'!$Q488,'Loading Rates'!$B$1:$L$24,7,FALSE)+'BMP P Tracking Table'!$Y488*VLOOKUP('BMP P Tracking Table'!$Q488,'Loading Rates'!$B$1:$L$24,8,FALSE)+'BMP P Tracking Table'!$Z488*VLOOKUP('BMP P Tracking Table'!$Q488,'Loading Rates'!$B$1:$L$24,9,FALSE),'BMP P Tracking Table'!$AA488*VLOOKUP('BMP P Tracking Table'!$Q488,'Loading Rates'!$B$1:$L$24,10,FALSE)),'BMP P Tracking Table'!$AO488*VLOOKUP('BMP P Tracking Table'!$Q488,'Loading Rates'!$B$1:$L$24,4,FALSE)+IF('BMP P Tracking Table'!$AP488="By HSG",'BMP P Tracking Table'!$AQ488*VLOOKUP('BMP P Tracking Table'!$Q488,'Loading Rates'!$B$1:$L$24,6,FALSE)+'BMP P Tracking Table'!$AR488*VLOOKUP('BMP P Tracking Table'!$Q488,'Loading Rates'!$B$1:$L$24,7,FALSE)+'BMP P Tracking Table'!$AS488*VLOOKUP('BMP P Tracking Table'!$Q488,'Loading Rates'!$B$1:$L$24,8,FALSE)+'BMP P Tracking Table'!$AT488*VLOOKUP('BMP P Tracking Table'!$Q488,'Loading Rates'!$B$1:$L$24,9,FALSE),'BMP P Tracking Table'!$AU488*VLOOKUP('BMP P Tracking Table'!$Q488,'Loading Rates'!$B$1:$L$24,10,FALSE))),"")</f>
        <v/>
      </c>
      <c r="AZ488" s="101" t="str">
        <f>IFERROR(IF('BMP P Tracking Table'!$AL488="Yes",MIN(2,IF('BMP P Tracking Table'!$AP488="Total Pervious",(-(3630*'BMP P Tracking Table'!$AO488+20.691*'BMP P Tracking Table'!$AU488)+SQRT((3630*'BMP P Tracking Table'!$AO488+20.691*'BMP P Tracking Table'!$AU488)^2-(4*(996.798*'BMP P Tracking Table'!$AU488)*-'BMP P Tracking Table'!$AW488)))/(2*(996.798*'BMP P Tracking Table'!$AU488)),IF(SUM('BMP P Tracking Table'!$AQ488:$AT488)=0,'BMP P Tracking Table'!$AU488/(-3630*'BMP P Tracking Table'!$AO488),(-(3630*'BMP P Tracking Table'!$AO488+20.691*'BMP P Tracking Table'!$AT488-216.711*'BMP P Tracking Table'!$AS488-83.853*'BMP P Tracking Table'!$AR488-42.834*'BMP P Tracking Table'!$AQ488)+SQRT((3630*'BMP P Tracking Table'!$AO488+20.691*'BMP P Tracking Table'!$AT488-216.711*'BMP P Tracking Table'!$AS488-83.853*'BMP P Tracking Table'!$AR488-42.834*'BMP P Tracking Table'!$AQ488)^2-(4*(149.919*'BMP P Tracking Table'!$AQ488+236.676*'BMP P Tracking Table'!$AR488+726*'BMP P Tracking Table'!$AS488+996.798*'BMP P Tracking Table'!$AT488)*-'BMP P Tracking Table'!$AW488)))/(2*(149.919*'BMP P Tracking Table'!$AQ488+236.676*'BMP P Tracking Table'!$AR488+726*'BMP P Tracking Table'!$AS488+996.798*'BMP P Tracking Table'!$AT488))))),MIN(2,IF('BMP P Tracking Table'!$AP488="Total Pervious",(-(3630*'BMP P Tracking Table'!$U488+20.691*'BMP P Tracking Table'!$AA488)+SQRT((3630*'BMP P Tracking Table'!$U488+20.691*'BMP P Tracking Table'!$AA488)^2-(4*(996.798*'BMP P Tracking Table'!$AA488)*-'BMP P Tracking Table'!$AW488)))/(2*(996.798*'BMP P Tracking Table'!$AA488)),IF(SUM('BMP P Tracking Table'!$W488:$Z488)=0,'BMP P Tracking Table'!$AW488/(-3630*'BMP P Tracking Table'!$U488),(-(3630*'BMP P Tracking Table'!$U488+20.691*'BMP P Tracking Table'!$Z488-216.711*'BMP P Tracking Table'!$Y488-83.853*'BMP P Tracking Table'!$X488-42.834*'BMP P Tracking Table'!$W488)+SQRT((3630*'BMP P Tracking Table'!$U488+20.691*'BMP P Tracking Table'!$Z488-216.711*'BMP P Tracking Table'!$Y488-83.853*'BMP P Tracking Table'!$X488-42.834*'BMP P Tracking Table'!$W488)^2-(4*(149.919*'BMP P Tracking Table'!$W488+236.676*'BMP P Tracking Table'!$X488+726*'BMP P Tracking Table'!$Y488+996.798*'BMP P Tracking Table'!$Z488)*-'BMP P Tracking Table'!$AW488)))/(2*(149.919*'BMP P Tracking Table'!$W488+236.676*'BMP P Tracking Table'!$X488+726*'BMP P Tracking Table'!$Y488+996.798*'BMP P Tracking Table'!$Z488)))))),"")</f>
        <v/>
      </c>
      <c r="BA488" s="101" t="str">
        <f>IFERROR((VLOOKUP(CONCATENATE('BMP P Tracking Table'!$AV488," ",'BMP P Tracking Table'!$AX488),'Performance Curves'!$C$1:$L$45,MATCH('BMP P Tracking Table'!$AZ488,'Performance Curves'!$E$1:$L$1,1)+2,FALSE)-VLOOKUP(CONCATENATE('BMP P Tracking Table'!$AV488," ",'BMP P Tracking Table'!$AX488),'Performance Curves'!$C$1:$L$45,MATCH('BMP P Tracking Table'!$AZ488,'Performance Curves'!$E$1:$L$1,1)+1,FALSE)),"")</f>
        <v/>
      </c>
      <c r="BB488" s="101" t="str">
        <f>IFERROR(('BMP P Tracking Table'!$AZ488-INDEX('Performance Curves'!$E$1:$L$1,1,MATCH('BMP P Tracking Table'!$AZ488,'Performance Curves'!$E$1:$L$1,1)))/(INDEX('Performance Curves'!$E$1:$L$1,1,MATCH('BMP P Tracking Table'!$AZ488,'Performance Curves'!$E$1:$L$1,1)+1)-INDEX('Performance Curves'!$E$1:$L$1,1,MATCH('BMP P Tracking Table'!$AZ488,'Performance Curves'!$E$1:$L$1,1))),"")</f>
        <v/>
      </c>
      <c r="BC488" s="102" t="str">
        <f>IFERROR(IF('BMP P Tracking Table'!$AZ488=2,VLOOKUP(CONCATENATE('BMP P Tracking Table'!$AV488," ",'BMP P Tracking Table'!$AX488),'Performance Curves'!$C$1:$L$44,MATCH('BMP P Tracking Table'!$AZ488,'Performance Curves'!$E$1:$L$1,1)+1,FALSE),'BMP P Tracking Table'!$BA488*'BMP P Tracking Table'!$BB488+VLOOKUP(CONCATENATE('BMP P Tracking Table'!$AV488," ",'BMP P Tracking Table'!$AX488),'Performance Curves'!$C$1:$L$44,MATCH('BMP P Tracking Table'!$AZ488,'Performance Curves'!$E$1:$L$1,1)+1,FALSE)),"")</f>
        <v/>
      </c>
      <c r="BD488" s="101" t="str">
        <f>IFERROR('BMP P Tracking Table'!$BC488*'BMP P Tracking Table'!$AY488,"")</f>
        <v/>
      </c>
      <c r="BE488" s="96"/>
      <c r="BF488" s="37">
        <f t="shared" si="27"/>
        <v>0</v>
      </c>
    </row>
    <row r="489" spans="1:58" x14ac:dyDescent="0.3">
      <c r="A489" s="64"/>
      <c r="B489" s="64"/>
      <c r="C489" s="64"/>
      <c r="D489" s="64"/>
      <c r="E489" s="93"/>
      <c r="F489" s="93"/>
      <c r="G489" s="64"/>
      <c r="H489" s="64"/>
      <c r="I489" s="64"/>
      <c r="J489" s="94"/>
      <c r="K489" s="64"/>
      <c r="L489" s="64"/>
      <c r="M489" s="64"/>
      <c r="N489" s="64"/>
      <c r="O489" s="64"/>
      <c r="P489" s="64"/>
      <c r="Q489" s="64" t="str">
        <f>IFERROR(VLOOKUP('BMP P Tracking Table'!$P489,Dropdowns!$C$2:$E$15,3,FALSE),"")</f>
        <v/>
      </c>
      <c r="R489" s="64" t="str">
        <f>IFERROR(VLOOKUP('BMP P Tracking Table'!$Q489,Dropdowns!$P$3:$Q$23,2,FALSE),"")</f>
        <v/>
      </c>
      <c r="S489" s="64"/>
      <c r="T489" s="64"/>
      <c r="U489" s="64"/>
      <c r="V489" s="64"/>
      <c r="W489" s="64"/>
      <c r="X489" s="64"/>
      <c r="Y489" s="64"/>
      <c r="Z489" s="64"/>
      <c r="AA489" s="64"/>
      <c r="AB489" s="95"/>
      <c r="AC489" s="64"/>
      <c r="AD489" s="101" t="str">
        <f>IFERROR('BMP P Tracking Table'!$U489*VLOOKUP('BMP P Tracking Table'!$Q489,'Loading Rates'!$B$1:$L$24,4,FALSE)+IF('BMP P Tracking Table'!$V489="By HSG",'BMP P Tracking Table'!$W489*VLOOKUP('BMP P Tracking Table'!$Q489,'Loading Rates'!$B$1:$L$24,6,FALSE)+'BMP P Tracking Table'!$X489*VLOOKUP('BMP P Tracking Table'!$Q489,'Loading Rates'!$B$1:$L$24,7,FALSE)+'BMP P Tracking Table'!$Y489*VLOOKUP('BMP P Tracking Table'!$Q489,'Loading Rates'!$B$1:$L$24,8,FALSE)+'BMP P Tracking Table'!$Z489*VLOOKUP('BMP P Tracking Table'!$Q489,'Loading Rates'!$B$1:$L$24,9,FALSE),'BMP P Tracking Table'!$AA489*VLOOKUP('BMP P Tracking Table'!$Q489,'Loading Rates'!$B$1:$L$24,10,FALSE)),"")</f>
        <v/>
      </c>
      <c r="AE489" s="101" t="str">
        <f>IFERROR(MIN(2,IF('BMP P Tracking Table'!$V489="Total Pervious",(-(3630*'BMP P Tracking Table'!$U489+20.691*'BMP P Tracking Table'!$AA489)+SQRT((3630*'BMP P Tracking Table'!$U489+20.691*'BMP P Tracking Table'!$AA489)^2-(4*(996.798*'BMP P Tracking Table'!$AA489)*-'BMP P Tracking Table'!$AB489)))/(2*(996.798*'BMP P Tracking Table'!$AA489)),IF(SUM('BMP P Tracking Table'!$W489:$Z489)=0,'BMP P Tracking Table'!$AB489/(-3630*'BMP P Tracking Table'!$U489),(-(3630*'BMP P Tracking Table'!$U489+20.691*'BMP P Tracking Table'!$Z489-216.711*'BMP P Tracking Table'!$Y489-83.853*'BMP P Tracking Table'!$X489-42.834*'BMP P Tracking Table'!$W489)+SQRT((3630*'BMP P Tracking Table'!$U489+20.691*'BMP P Tracking Table'!$Z489-216.711*'BMP P Tracking Table'!$Y489-83.853*'BMP P Tracking Table'!$X489-42.834*'BMP P Tracking Table'!$W489)^2-(4*(149.919*'BMP P Tracking Table'!$W489+236.676*'BMP P Tracking Table'!$X489+726*'BMP P Tracking Table'!$Y489+996.798*'BMP P Tracking Table'!$Z489)*-'BMP P Tracking Table'!$AB489)))/(2*(149.919*'BMP P Tracking Table'!$W489+236.676*'BMP P Tracking Table'!$X489+726*'BMP P Tracking Table'!$Y489+996.798*'BMP P Tracking Table'!$Z489))))),"")</f>
        <v/>
      </c>
      <c r="AF489" s="101" t="str">
        <f>IFERROR((VLOOKUP(CONCATENATE('BMP P Tracking Table'!$T489," ",'BMP P Tracking Table'!$AC489),'Performance Curves'!$C$1:$L$45,MATCH('BMP P Tracking Table'!$AE489,'Performance Curves'!$E$1:$L$1,1)+2,FALSE)-VLOOKUP(CONCATENATE('BMP P Tracking Table'!$T489," ",'BMP P Tracking Table'!$AC489),'Performance Curves'!$C$1:$L$45,MATCH('BMP P Tracking Table'!$AE489,'Performance Curves'!$E$1:$L$1,1)+1,FALSE)),"")</f>
        <v/>
      </c>
      <c r="AG489" s="101" t="str">
        <f>IFERROR(('BMP P Tracking Table'!$AE489-INDEX('Performance Curves'!$E$1:$L$1,1,MATCH('BMP P Tracking Table'!$AE489,'Performance Curves'!$E$1:$L$1,1)))/(INDEX('Performance Curves'!$E$1:$L$1,1,MATCH('BMP P Tracking Table'!$AE489,'Performance Curves'!$E$1:$L$1,1)+1)-INDEX('Performance Curves'!$E$1:$L$1,1,MATCH('BMP P Tracking Table'!$AE489,'Performance Curves'!$E$1:$L$1,1))),"")</f>
        <v/>
      </c>
      <c r="AH489" s="102" t="str">
        <f>IFERROR(IF('BMP P Tracking Table'!$AE489=2,VLOOKUP(CONCATENATE('BMP P Tracking Table'!$T489," ",'BMP P Tracking Table'!$AC489),'Performance Curves'!$C$1:$L$45,MATCH('BMP P Tracking Table'!$AE489,'Performance Curves'!$E$1:$L$1,1)+1,FALSE),'BMP P Tracking Table'!$AF489*'BMP P Tracking Table'!$AG489+VLOOKUP(CONCATENATE('BMP P Tracking Table'!$T489," ",'BMP P Tracking Table'!$AC489),'Performance Curves'!$C$1:$L$45,MATCH('BMP P Tracking Table'!$AE489,'Performance Curves'!$E$1:$L$1,1)+1,FALSE)),"")</f>
        <v/>
      </c>
      <c r="AI489" s="101" t="str">
        <f>IFERROR('BMP P Tracking Table'!$AH489*'BMP P Tracking Table'!$AD489,"")</f>
        <v/>
      </c>
      <c r="AJ489" s="64"/>
      <c r="AK489" s="96"/>
      <c r="AL489" s="96"/>
      <c r="AM489" s="63"/>
      <c r="AN489" s="99" t="str">
        <f t="shared" si="26"/>
        <v/>
      </c>
      <c r="AO489" s="96"/>
      <c r="AP489" s="96"/>
      <c r="AQ489" s="96"/>
      <c r="AR489" s="96"/>
      <c r="AS489" s="96"/>
      <c r="AT489" s="96"/>
      <c r="AU489" s="96"/>
      <c r="AV489" s="64"/>
      <c r="AW489" s="97"/>
      <c r="AX489" s="97"/>
      <c r="AY489" s="101" t="str">
        <f>IF('BMP P Tracking Table'!$AK489="Yes",IF('BMP P Tracking Table'!$AL489="No",'BMP P Tracking Table'!$U489*VLOOKUP('BMP P Tracking Table'!$Q489,'Loading Rates'!$B$1:$L$24,4,FALSE)+IF('BMP P Tracking Table'!$V489="By HSG",'BMP P Tracking Table'!$W489*VLOOKUP('BMP P Tracking Table'!$Q489,'Loading Rates'!$B$1:$L$24,6,FALSE)+'BMP P Tracking Table'!$X489*VLOOKUP('BMP P Tracking Table'!$Q489,'Loading Rates'!$B$1:$L$24,7,FALSE)+'BMP P Tracking Table'!$Y489*VLOOKUP('BMP P Tracking Table'!$Q489,'Loading Rates'!$B$1:$L$24,8,FALSE)+'BMP P Tracking Table'!$Z489*VLOOKUP('BMP P Tracking Table'!$Q489,'Loading Rates'!$B$1:$L$24,9,FALSE),'BMP P Tracking Table'!$AA489*VLOOKUP('BMP P Tracking Table'!$Q489,'Loading Rates'!$B$1:$L$24,10,FALSE)),'BMP P Tracking Table'!$AO489*VLOOKUP('BMP P Tracking Table'!$Q489,'Loading Rates'!$B$1:$L$24,4,FALSE)+IF('BMP P Tracking Table'!$AP489="By HSG",'BMP P Tracking Table'!$AQ489*VLOOKUP('BMP P Tracking Table'!$Q489,'Loading Rates'!$B$1:$L$24,6,FALSE)+'BMP P Tracking Table'!$AR489*VLOOKUP('BMP P Tracking Table'!$Q489,'Loading Rates'!$B$1:$L$24,7,FALSE)+'BMP P Tracking Table'!$AS489*VLOOKUP('BMP P Tracking Table'!$Q489,'Loading Rates'!$B$1:$L$24,8,FALSE)+'BMP P Tracking Table'!$AT489*VLOOKUP('BMP P Tracking Table'!$Q489,'Loading Rates'!$B$1:$L$24,9,FALSE),'BMP P Tracking Table'!$AU489*VLOOKUP('BMP P Tracking Table'!$Q489,'Loading Rates'!$B$1:$L$24,10,FALSE))),"")</f>
        <v/>
      </c>
      <c r="AZ489" s="101" t="str">
        <f>IFERROR(IF('BMP P Tracking Table'!$AL489="Yes",MIN(2,IF('BMP P Tracking Table'!$AP489="Total Pervious",(-(3630*'BMP P Tracking Table'!$AO489+20.691*'BMP P Tracking Table'!$AU489)+SQRT((3630*'BMP P Tracking Table'!$AO489+20.691*'BMP P Tracking Table'!$AU489)^2-(4*(996.798*'BMP P Tracking Table'!$AU489)*-'BMP P Tracking Table'!$AW489)))/(2*(996.798*'BMP P Tracking Table'!$AU489)),IF(SUM('BMP P Tracking Table'!$AQ489:$AT489)=0,'BMP P Tracking Table'!$AU489/(-3630*'BMP P Tracking Table'!$AO489),(-(3630*'BMP P Tracking Table'!$AO489+20.691*'BMP P Tracking Table'!$AT489-216.711*'BMP P Tracking Table'!$AS489-83.853*'BMP P Tracking Table'!$AR489-42.834*'BMP P Tracking Table'!$AQ489)+SQRT((3630*'BMP P Tracking Table'!$AO489+20.691*'BMP P Tracking Table'!$AT489-216.711*'BMP P Tracking Table'!$AS489-83.853*'BMP P Tracking Table'!$AR489-42.834*'BMP P Tracking Table'!$AQ489)^2-(4*(149.919*'BMP P Tracking Table'!$AQ489+236.676*'BMP P Tracking Table'!$AR489+726*'BMP P Tracking Table'!$AS489+996.798*'BMP P Tracking Table'!$AT489)*-'BMP P Tracking Table'!$AW489)))/(2*(149.919*'BMP P Tracking Table'!$AQ489+236.676*'BMP P Tracking Table'!$AR489+726*'BMP P Tracking Table'!$AS489+996.798*'BMP P Tracking Table'!$AT489))))),MIN(2,IF('BMP P Tracking Table'!$AP489="Total Pervious",(-(3630*'BMP P Tracking Table'!$U489+20.691*'BMP P Tracking Table'!$AA489)+SQRT((3630*'BMP P Tracking Table'!$U489+20.691*'BMP P Tracking Table'!$AA489)^2-(4*(996.798*'BMP P Tracking Table'!$AA489)*-'BMP P Tracking Table'!$AW489)))/(2*(996.798*'BMP P Tracking Table'!$AA489)),IF(SUM('BMP P Tracking Table'!$W489:$Z489)=0,'BMP P Tracking Table'!$AW489/(-3630*'BMP P Tracking Table'!$U489),(-(3630*'BMP P Tracking Table'!$U489+20.691*'BMP P Tracking Table'!$Z489-216.711*'BMP P Tracking Table'!$Y489-83.853*'BMP P Tracking Table'!$X489-42.834*'BMP P Tracking Table'!$W489)+SQRT((3630*'BMP P Tracking Table'!$U489+20.691*'BMP P Tracking Table'!$Z489-216.711*'BMP P Tracking Table'!$Y489-83.853*'BMP P Tracking Table'!$X489-42.834*'BMP P Tracking Table'!$W489)^2-(4*(149.919*'BMP P Tracking Table'!$W489+236.676*'BMP P Tracking Table'!$X489+726*'BMP P Tracking Table'!$Y489+996.798*'BMP P Tracking Table'!$Z489)*-'BMP P Tracking Table'!$AW489)))/(2*(149.919*'BMP P Tracking Table'!$W489+236.676*'BMP P Tracking Table'!$X489+726*'BMP P Tracking Table'!$Y489+996.798*'BMP P Tracking Table'!$Z489)))))),"")</f>
        <v/>
      </c>
      <c r="BA489" s="101" t="str">
        <f>IFERROR((VLOOKUP(CONCATENATE('BMP P Tracking Table'!$AV489," ",'BMP P Tracking Table'!$AX489),'Performance Curves'!$C$1:$L$45,MATCH('BMP P Tracking Table'!$AZ489,'Performance Curves'!$E$1:$L$1,1)+2,FALSE)-VLOOKUP(CONCATENATE('BMP P Tracking Table'!$AV489," ",'BMP P Tracking Table'!$AX489),'Performance Curves'!$C$1:$L$45,MATCH('BMP P Tracking Table'!$AZ489,'Performance Curves'!$E$1:$L$1,1)+1,FALSE)),"")</f>
        <v/>
      </c>
      <c r="BB489" s="101" t="str">
        <f>IFERROR(('BMP P Tracking Table'!$AZ489-INDEX('Performance Curves'!$E$1:$L$1,1,MATCH('BMP P Tracking Table'!$AZ489,'Performance Curves'!$E$1:$L$1,1)))/(INDEX('Performance Curves'!$E$1:$L$1,1,MATCH('BMP P Tracking Table'!$AZ489,'Performance Curves'!$E$1:$L$1,1)+1)-INDEX('Performance Curves'!$E$1:$L$1,1,MATCH('BMP P Tracking Table'!$AZ489,'Performance Curves'!$E$1:$L$1,1))),"")</f>
        <v/>
      </c>
      <c r="BC489" s="102" t="str">
        <f>IFERROR(IF('BMP P Tracking Table'!$AZ489=2,VLOOKUP(CONCATENATE('BMP P Tracking Table'!$AV489," ",'BMP P Tracking Table'!$AX489),'Performance Curves'!$C$1:$L$44,MATCH('BMP P Tracking Table'!$AZ489,'Performance Curves'!$E$1:$L$1,1)+1,FALSE),'BMP P Tracking Table'!$BA489*'BMP P Tracking Table'!$BB489+VLOOKUP(CONCATENATE('BMP P Tracking Table'!$AV489," ",'BMP P Tracking Table'!$AX489),'Performance Curves'!$C$1:$L$44,MATCH('BMP P Tracking Table'!$AZ489,'Performance Curves'!$E$1:$L$1,1)+1,FALSE)),"")</f>
        <v/>
      </c>
      <c r="BD489" s="101" t="str">
        <f>IFERROR('BMP P Tracking Table'!$BC489*'BMP P Tracking Table'!$AY489,"")</f>
        <v/>
      </c>
      <c r="BE489" s="96"/>
      <c r="BF489" s="37">
        <f t="shared" si="27"/>
        <v>0</v>
      </c>
    </row>
    <row r="490" spans="1:58" x14ac:dyDescent="0.3">
      <c r="A490" s="64"/>
      <c r="B490" s="64"/>
      <c r="C490" s="64"/>
      <c r="D490" s="64"/>
      <c r="E490" s="93"/>
      <c r="F490" s="93"/>
      <c r="G490" s="64"/>
      <c r="H490" s="64"/>
      <c r="I490" s="64"/>
      <c r="J490" s="94"/>
      <c r="K490" s="64"/>
      <c r="L490" s="64"/>
      <c r="M490" s="64"/>
      <c r="N490" s="64"/>
      <c r="O490" s="64"/>
      <c r="P490" s="64"/>
      <c r="Q490" s="64" t="str">
        <f>IFERROR(VLOOKUP('BMP P Tracking Table'!$P490,Dropdowns!$C$2:$E$15,3,FALSE),"")</f>
        <v/>
      </c>
      <c r="R490" s="64" t="str">
        <f>IFERROR(VLOOKUP('BMP P Tracking Table'!$Q490,Dropdowns!$P$3:$Q$23,2,FALSE),"")</f>
        <v/>
      </c>
      <c r="S490" s="64"/>
      <c r="T490" s="64"/>
      <c r="U490" s="64"/>
      <c r="V490" s="64"/>
      <c r="W490" s="64"/>
      <c r="X490" s="64"/>
      <c r="Y490" s="64"/>
      <c r="Z490" s="64"/>
      <c r="AA490" s="64"/>
      <c r="AB490" s="95"/>
      <c r="AC490" s="64"/>
      <c r="AD490" s="101" t="str">
        <f>IFERROR('BMP P Tracking Table'!$U490*VLOOKUP('BMP P Tracking Table'!$Q490,'Loading Rates'!$B$1:$L$24,4,FALSE)+IF('BMP P Tracking Table'!$V490="By HSG",'BMP P Tracking Table'!$W490*VLOOKUP('BMP P Tracking Table'!$Q490,'Loading Rates'!$B$1:$L$24,6,FALSE)+'BMP P Tracking Table'!$X490*VLOOKUP('BMP P Tracking Table'!$Q490,'Loading Rates'!$B$1:$L$24,7,FALSE)+'BMP P Tracking Table'!$Y490*VLOOKUP('BMP P Tracking Table'!$Q490,'Loading Rates'!$B$1:$L$24,8,FALSE)+'BMP P Tracking Table'!$Z490*VLOOKUP('BMP P Tracking Table'!$Q490,'Loading Rates'!$B$1:$L$24,9,FALSE),'BMP P Tracking Table'!$AA490*VLOOKUP('BMP P Tracking Table'!$Q490,'Loading Rates'!$B$1:$L$24,10,FALSE)),"")</f>
        <v/>
      </c>
      <c r="AE490" s="101" t="str">
        <f>IFERROR(MIN(2,IF('BMP P Tracking Table'!$V490="Total Pervious",(-(3630*'BMP P Tracking Table'!$U490+20.691*'BMP P Tracking Table'!$AA490)+SQRT((3630*'BMP P Tracking Table'!$U490+20.691*'BMP P Tracking Table'!$AA490)^2-(4*(996.798*'BMP P Tracking Table'!$AA490)*-'BMP P Tracking Table'!$AB490)))/(2*(996.798*'BMP P Tracking Table'!$AA490)),IF(SUM('BMP P Tracking Table'!$W490:$Z490)=0,'BMP P Tracking Table'!$AB490/(-3630*'BMP P Tracking Table'!$U490),(-(3630*'BMP P Tracking Table'!$U490+20.691*'BMP P Tracking Table'!$Z490-216.711*'BMP P Tracking Table'!$Y490-83.853*'BMP P Tracking Table'!$X490-42.834*'BMP P Tracking Table'!$W490)+SQRT((3630*'BMP P Tracking Table'!$U490+20.691*'BMP P Tracking Table'!$Z490-216.711*'BMP P Tracking Table'!$Y490-83.853*'BMP P Tracking Table'!$X490-42.834*'BMP P Tracking Table'!$W490)^2-(4*(149.919*'BMP P Tracking Table'!$W490+236.676*'BMP P Tracking Table'!$X490+726*'BMP P Tracking Table'!$Y490+996.798*'BMP P Tracking Table'!$Z490)*-'BMP P Tracking Table'!$AB490)))/(2*(149.919*'BMP P Tracking Table'!$W490+236.676*'BMP P Tracking Table'!$X490+726*'BMP P Tracking Table'!$Y490+996.798*'BMP P Tracking Table'!$Z490))))),"")</f>
        <v/>
      </c>
      <c r="AF490" s="101" t="str">
        <f>IFERROR((VLOOKUP(CONCATENATE('BMP P Tracking Table'!$T490," ",'BMP P Tracking Table'!$AC490),'Performance Curves'!$C$1:$L$45,MATCH('BMP P Tracking Table'!$AE490,'Performance Curves'!$E$1:$L$1,1)+2,FALSE)-VLOOKUP(CONCATENATE('BMP P Tracking Table'!$T490," ",'BMP P Tracking Table'!$AC490),'Performance Curves'!$C$1:$L$45,MATCH('BMP P Tracking Table'!$AE490,'Performance Curves'!$E$1:$L$1,1)+1,FALSE)),"")</f>
        <v/>
      </c>
      <c r="AG490" s="101" t="str">
        <f>IFERROR(('BMP P Tracking Table'!$AE490-INDEX('Performance Curves'!$E$1:$L$1,1,MATCH('BMP P Tracking Table'!$AE490,'Performance Curves'!$E$1:$L$1,1)))/(INDEX('Performance Curves'!$E$1:$L$1,1,MATCH('BMP P Tracking Table'!$AE490,'Performance Curves'!$E$1:$L$1,1)+1)-INDEX('Performance Curves'!$E$1:$L$1,1,MATCH('BMP P Tracking Table'!$AE490,'Performance Curves'!$E$1:$L$1,1))),"")</f>
        <v/>
      </c>
      <c r="AH490" s="102" t="str">
        <f>IFERROR(IF('BMP P Tracking Table'!$AE490=2,VLOOKUP(CONCATENATE('BMP P Tracking Table'!$T490," ",'BMP P Tracking Table'!$AC490),'Performance Curves'!$C$1:$L$45,MATCH('BMP P Tracking Table'!$AE490,'Performance Curves'!$E$1:$L$1,1)+1,FALSE),'BMP P Tracking Table'!$AF490*'BMP P Tracking Table'!$AG490+VLOOKUP(CONCATENATE('BMP P Tracking Table'!$T490," ",'BMP P Tracking Table'!$AC490),'Performance Curves'!$C$1:$L$45,MATCH('BMP P Tracking Table'!$AE490,'Performance Curves'!$E$1:$L$1,1)+1,FALSE)),"")</f>
        <v/>
      </c>
      <c r="AI490" s="101" t="str">
        <f>IFERROR('BMP P Tracking Table'!$AH490*'BMP P Tracking Table'!$AD490,"")</f>
        <v/>
      </c>
      <c r="AJ490" s="64"/>
      <c r="AK490" s="96"/>
      <c r="AL490" s="96"/>
      <c r="AM490" s="63"/>
      <c r="AN490" s="99" t="str">
        <f t="shared" si="26"/>
        <v/>
      </c>
      <c r="AO490" s="96"/>
      <c r="AP490" s="96"/>
      <c r="AQ490" s="96"/>
      <c r="AR490" s="96"/>
      <c r="AS490" s="96"/>
      <c r="AT490" s="96"/>
      <c r="AU490" s="96"/>
      <c r="AV490" s="64"/>
      <c r="AW490" s="97"/>
      <c r="AX490" s="97"/>
      <c r="AY490" s="101" t="str">
        <f>IF('BMP P Tracking Table'!$AK490="Yes",IF('BMP P Tracking Table'!$AL490="No",'BMP P Tracking Table'!$U490*VLOOKUP('BMP P Tracking Table'!$Q490,'Loading Rates'!$B$1:$L$24,4,FALSE)+IF('BMP P Tracking Table'!$V490="By HSG",'BMP P Tracking Table'!$W490*VLOOKUP('BMP P Tracking Table'!$Q490,'Loading Rates'!$B$1:$L$24,6,FALSE)+'BMP P Tracking Table'!$X490*VLOOKUP('BMP P Tracking Table'!$Q490,'Loading Rates'!$B$1:$L$24,7,FALSE)+'BMP P Tracking Table'!$Y490*VLOOKUP('BMP P Tracking Table'!$Q490,'Loading Rates'!$B$1:$L$24,8,FALSE)+'BMP P Tracking Table'!$Z490*VLOOKUP('BMP P Tracking Table'!$Q490,'Loading Rates'!$B$1:$L$24,9,FALSE),'BMP P Tracking Table'!$AA490*VLOOKUP('BMP P Tracking Table'!$Q490,'Loading Rates'!$B$1:$L$24,10,FALSE)),'BMP P Tracking Table'!$AO490*VLOOKUP('BMP P Tracking Table'!$Q490,'Loading Rates'!$B$1:$L$24,4,FALSE)+IF('BMP P Tracking Table'!$AP490="By HSG",'BMP P Tracking Table'!$AQ490*VLOOKUP('BMP P Tracking Table'!$Q490,'Loading Rates'!$B$1:$L$24,6,FALSE)+'BMP P Tracking Table'!$AR490*VLOOKUP('BMP P Tracking Table'!$Q490,'Loading Rates'!$B$1:$L$24,7,FALSE)+'BMP P Tracking Table'!$AS490*VLOOKUP('BMP P Tracking Table'!$Q490,'Loading Rates'!$B$1:$L$24,8,FALSE)+'BMP P Tracking Table'!$AT490*VLOOKUP('BMP P Tracking Table'!$Q490,'Loading Rates'!$B$1:$L$24,9,FALSE),'BMP P Tracking Table'!$AU490*VLOOKUP('BMP P Tracking Table'!$Q490,'Loading Rates'!$B$1:$L$24,10,FALSE))),"")</f>
        <v/>
      </c>
      <c r="AZ490" s="101" t="str">
        <f>IFERROR(IF('BMP P Tracking Table'!$AL490="Yes",MIN(2,IF('BMP P Tracking Table'!$AP490="Total Pervious",(-(3630*'BMP P Tracking Table'!$AO490+20.691*'BMP P Tracking Table'!$AU490)+SQRT((3630*'BMP P Tracking Table'!$AO490+20.691*'BMP P Tracking Table'!$AU490)^2-(4*(996.798*'BMP P Tracking Table'!$AU490)*-'BMP P Tracking Table'!$AW490)))/(2*(996.798*'BMP P Tracking Table'!$AU490)),IF(SUM('BMP P Tracking Table'!$AQ490:$AT490)=0,'BMP P Tracking Table'!$AU490/(-3630*'BMP P Tracking Table'!$AO490),(-(3630*'BMP P Tracking Table'!$AO490+20.691*'BMP P Tracking Table'!$AT490-216.711*'BMP P Tracking Table'!$AS490-83.853*'BMP P Tracking Table'!$AR490-42.834*'BMP P Tracking Table'!$AQ490)+SQRT((3630*'BMP P Tracking Table'!$AO490+20.691*'BMP P Tracking Table'!$AT490-216.711*'BMP P Tracking Table'!$AS490-83.853*'BMP P Tracking Table'!$AR490-42.834*'BMP P Tracking Table'!$AQ490)^2-(4*(149.919*'BMP P Tracking Table'!$AQ490+236.676*'BMP P Tracking Table'!$AR490+726*'BMP P Tracking Table'!$AS490+996.798*'BMP P Tracking Table'!$AT490)*-'BMP P Tracking Table'!$AW490)))/(2*(149.919*'BMP P Tracking Table'!$AQ490+236.676*'BMP P Tracking Table'!$AR490+726*'BMP P Tracking Table'!$AS490+996.798*'BMP P Tracking Table'!$AT490))))),MIN(2,IF('BMP P Tracking Table'!$AP490="Total Pervious",(-(3630*'BMP P Tracking Table'!$U490+20.691*'BMP P Tracking Table'!$AA490)+SQRT((3630*'BMP P Tracking Table'!$U490+20.691*'BMP P Tracking Table'!$AA490)^2-(4*(996.798*'BMP P Tracking Table'!$AA490)*-'BMP P Tracking Table'!$AW490)))/(2*(996.798*'BMP P Tracking Table'!$AA490)),IF(SUM('BMP P Tracking Table'!$W490:$Z490)=0,'BMP P Tracking Table'!$AW490/(-3630*'BMP P Tracking Table'!$U490),(-(3630*'BMP P Tracking Table'!$U490+20.691*'BMP P Tracking Table'!$Z490-216.711*'BMP P Tracking Table'!$Y490-83.853*'BMP P Tracking Table'!$X490-42.834*'BMP P Tracking Table'!$W490)+SQRT((3630*'BMP P Tracking Table'!$U490+20.691*'BMP P Tracking Table'!$Z490-216.711*'BMP P Tracking Table'!$Y490-83.853*'BMP P Tracking Table'!$X490-42.834*'BMP P Tracking Table'!$W490)^2-(4*(149.919*'BMP P Tracking Table'!$W490+236.676*'BMP P Tracking Table'!$X490+726*'BMP P Tracking Table'!$Y490+996.798*'BMP P Tracking Table'!$Z490)*-'BMP P Tracking Table'!$AW490)))/(2*(149.919*'BMP P Tracking Table'!$W490+236.676*'BMP P Tracking Table'!$X490+726*'BMP P Tracking Table'!$Y490+996.798*'BMP P Tracking Table'!$Z490)))))),"")</f>
        <v/>
      </c>
      <c r="BA490" s="101" t="str">
        <f>IFERROR((VLOOKUP(CONCATENATE('BMP P Tracking Table'!$AV490," ",'BMP P Tracking Table'!$AX490),'Performance Curves'!$C$1:$L$45,MATCH('BMP P Tracking Table'!$AZ490,'Performance Curves'!$E$1:$L$1,1)+2,FALSE)-VLOOKUP(CONCATENATE('BMP P Tracking Table'!$AV490," ",'BMP P Tracking Table'!$AX490),'Performance Curves'!$C$1:$L$45,MATCH('BMP P Tracking Table'!$AZ490,'Performance Curves'!$E$1:$L$1,1)+1,FALSE)),"")</f>
        <v/>
      </c>
      <c r="BB490" s="101" t="str">
        <f>IFERROR(('BMP P Tracking Table'!$AZ490-INDEX('Performance Curves'!$E$1:$L$1,1,MATCH('BMP P Tracking Table'!$AZ490,'Performance Curves'!$E$1:$L$1,1)))/(INDEX('Performance Curves'!$E$1:$L$1,1,MATCH('BMP P Tracking Table'!$AZ490,'Performance Curves'!$E$1:$L$1,1)+1)-INDEX('Performance Curves'!$E$1:$L$1,1,MATCH('BMP P Tracking Table'!$AZ490,'Performance Curves'!$E$1:$L$1,1))),"")</f>
        <v/>
      </c>
      <c r="BC490" s="102" t="str">
        <f>IFERROR(IF('BMP P Tracking Table'!$AZ490=2,VLOOKUP(CONCATENATE('BMP P Tracking Table'!$AV490," ",'BMP P Tracking Table'!$AX490),'Performance Curves'!$C$1:$L$44,MATCH('BMP P Tracking Table'!$AZ490,'Performance Curves'!$E$1:$L$1,1)+1,FALSE),'BMP P Tracking Table'!$BA490*'BMP P Tracking Table'!$BB490+VLOOKUP(CONCATENATE('BMP P Tracking Table'!$AV490," ",'BMP P Tracking Table'!$AX490),'Performance Curves'!$C$1:$L$44,MATCH('BMP P Tracking Table'!$AZ490,'Performance Curves'!$E$1:$L$1,1)+1,FALSE)),"")</f>
        <v/>
      </c>
      <c r="BD490" s="101" t="str">
        <f>IFERROR('BMP P Tracking Table'!$BC490*'BMP P Tracking Table'!$AY490,"")</f>
        <v/>
      </c>
      <c r="BE490" s="96"/>
      <c r="BF490" s="37">
        <f t="shared" si="27"/>
        <v>0</v>
      </c>
    </row>
    <row r="491" spans="1:58" x14ac:dyDescent="0.3">
      <c r="A491" s="64"/>
      <c r="B491" s="64"/>
      <c r="C491" s="64"/>
      <c r="D491" s="64"/>
      <c r="E491" s="93"/>
      <c r="F491" s="93"/>
      <c r="G491" s="64"/>
      <c r="H491" s="64"/>
      <c r="I491" s="64"/>
      <c r="J491" s="94"/>
      <c r="K491" s="64"/>
      <c r="L491" s="64"/>
      <c r="M491" s="64"/>
      <c r="N491" s="64"/>
      <c r="O491" s="64"/>
      <c r="P491" s="64"/>
      <c r="Q491" s="64" t="str">
        <f>IFERROR(VLOOKUP('BMP P Tracking Table'!$P491,Dropdowns!$C$2:$E$15,3,FALSE),"")</f>
        <v/>
      </c>
      <c r="R491" s="64" t="str">
        <f>IFERROR(VLOOKUP('BMP P Tracking Table'!$Q491,Dropdowns!$P$3:$Q$23,2,FALSE),"")</f>
        <v/>
      </c>
      <c r="S491" s="64"/>
      <c r="T491" s="64"/>
      <c r="U491" s="64"/>
      <c r="V491" s="64"/>
      <c r="W491" s="64"/>
      <c r="X491" s="64"/>
      <c r="Y491" s="64"/>
      <c r="Z491" s="64"/>
      <c r="AA491" s="64"/>
      <c r="AB491" s="95"/>
      <c r="AC491" s="64"/>
      <c r="AD491" s="101" t="str">
        <f>IFERROR('BMP P Tracking Table'!$U491*VLOOKUP('BMP P Tracking Table'!$Q491,'Loading Rates'!$B$1:$L$24,4,FALSE)+IF('BMP P Tracking Table'!$V491="By HSG",'BMP P Tracking Table'!$W491*VLOOKUP('BMP P Tracking Table'!$Q491,'Loading Rates'!$B$1:$L$24,6,FALSE)+'BMP P Tracking Table'!$X491*VLOOKUP('BMP P Tracking Table'!$Q491,'Loading Rates'!$B$1:$L$24,7,FALSE)+'BMP P Tracking Table'!$Y491*VLOOKUP('BMP P Tracking Table'!$Q491,'Loading Rates'!$B$1:$L$24,8,FALSE)+'BMP P Tracking Table'!$Z491*VLOOKUP('BMP P Tracking Table'!$Q491,'Loading Rates'!$B$1:$L$24,9,FALSE),'BMP P Tracking Table'!$AA491*VLOOKUP('BMP P Tracking Table'!$Q491,'Loading Rates'!$B$1:$L$24,10,FALSE)),"")</f>
        <v/>
      </c>
      <c r="AE491" s="101" t="str">
        <f>IFERROR(MIN(2,IF('BMP P Tracking Table'!$V491="Total Pervious",(-(3630*'BMP P Tracking Table'!$U491+20.691*'BMP P Tracking Table'!$AA491)+SQRT((3630*'BMP P Tracking Table'!$U491+20.691*'BMP P Tracking Table'!$AA491)^2-(4*(996.798*'BMP P Tracking Table'!$AA491)*-'BMP P Tracking Table'!$AB491)))/(2*(996.798*'BMP P Tracking Table'!$AA491)),IF(SUM('BMP P Tracking Table'!$W491:$Z491)=0,'BMP P Tracking Table'!$AB491/(-3630*'BMP P Tracking Table'!$U491),(-(3630*'BMP P Tracking Table'!$U491+20.691*'BMP P Tracking Table'!$Z491-216.711*'BMP P Tracking Table'!$Y491-83.853*'BMP P Tracking Table'!$X491-42.834*'BMP P Tracking Table'!$W491)+SQRT((3630*'BMP P Tracking Table'!$U491+20.691*'BMP P Tracking Table'!$Z491-216.711*'BMP P Tracking Table'!$Y491-83.853*'BMP P Tracking Table'!$X491-42.834*'BMP P Tracking Table'!$W491)^2-(4*(149.919*'BMP P Tracking Table'!$W491+236.676*'BMP P Tracking Table'!$X491+726*'BMP P Tracking Table'!$Y491+996.798*'BMP P Tracking Table'!$Z491)*-'BMP P Tracking Table'!$AB491)))/(2*(149.919*'BMP P Tracking Table'!$W491+236.676*'BMP P Tracking Table'!$X491+726*'BMP P Tracking Table'!$Y491+996.798*'BMP P Tracking Table'!$Z491))))),"")</f>
        <v/>
      </c>
      <c r="AF491" s="101" t="str">
        <f>IFERROR((VLOOKUP(CONCATENATE('BMP P Tracking Table'!$T491," ",'BMP P Tracking Table'!$AC491),'Performance Curves'!$C$1:$L$45,MATCH('BMP P Tracking Table'!$AE491,'Performance Curves'!$E$1:$L$1,1)+2,FALSE)-VLOOKUP(CONCATENATE('BMP P Tracking Table'!$T491," ",'BMP P Tracking Table'!$AC491),'Performance Curves'!$C$1:$L$45,MATCH('BMP P Tracking Table'!$AE491,'Performance Curves'!$E$1:$L$1,1)+1,FALSE)),"")</f>
        <v/>
      </c>
      <c r="AG491" s="101" t="str">
        <f>IFERROR(('BMP P Tracking Table'!$AE491-INDEX('Performance Curves'!$E$1:$L$1,1,MATCH('BMP P Tracking Table'!$AE491,'Performance Curves'!$E$1:$L$1,1)))/(INDEX('Performance Curves'!$E$1:$L$1,1,MATCH('BMP P Tracking Table'!$AE491,'Performance Curves'!$E$1:$L$1,1)+1)-INDEX('Performance Curves'!$E$1:$L$1,1,MATCH('BMP P Tracking Table'!$AE491,'Performance Curves'!$E$1:$L$1,1))),"")</f>
        <v/>
      </c>
      <c r="AH491" s="102" t="str">
        <f>IFERROR(IF('BMP P Tracking Table'!$AE491=2,VLOOKUP(CONCATENATE('BMP P Tracking Table'!$T491," ",'BMP P Tracking Table'!$AC491),'Performance Curves'!$C$1:$L$45,MATCH('BMP P Tracking Table'!$AE491,'Performance Curves'!$E$1:$L$1,1)+1,FALSE),'BMP P Tracking Table'!$AF491*'BMP P Tracking Table'!$AG491+VLOOKUP(CONCATENATE('BMP P Tracking Table'!$T491," ",'BMP P Tracking Table'!$AC491),'Performance Curves'!$C$1:$L$45,MATCH('BMP P Tracking Table'!$AE491,'Performance Curves'!$E$1:$L$1,1)+1,FALSE)),"")</f>
        <v/>
      </c>
      <c r="AI491" s="101" t="str">
        <f>IFERROR('BMP P Tracking Table'!$AH491*'BMP P Tracking Table'!$AD491,"")</f>
        <v/>
      </c>
      <c r="AJ491" s="64"/>
      <c r="AK491" s="96"/>
      <c r="AL491" s="96"/>
      <c r="AM491" s="63"/>
      <c r="AN491" s="99" t="str">
        <f t="shared" si="26"/>
        <v/>
      </c>
      <c r="AO491" s="96"/>
      <c r="AP491" s="96"/>
      <c r="AQ491" s="96"/>
      <c r="AR491" s="96"/>
      <c r="AS491" s="96"/>
      <c r="AT491" s="96"/>
      <c r="AU491" s="96"/>
      <c r="AV491" s="64"/>
      <c r="AW491" s="97"/>
      <c r="AX491" s="97"/>
      <c r="AY491" s="101" t="str">
        <f>IF('BMP P Tracking Table'!$AK491="Yes",IF('BMP P Tracking Table'!$AL491="No",'BMP P Tracking Table'!$U491*VLOOKUP('BMP P Tracking Table'!$Q491,'Loading Rates'!$B$1:$L$24,4,FALSE)+IF('BMP P Tracking Table'!$V491="By HSG",'BMP P Tracking Table'!$W491*VLOOKUP('BMP P Tracking Table'!$Q491,'Loading Rates'!$B$1:$L$24,6,FALSE)+'BMP P Tracking Table'!$X491*VLOOKUP('BMP P Tracking Table'!$Q491,'Loading Rates'!$B$1:$L$24,7,FALSE)+'BMP P Tracking Table'!$Y491*VLOOKUP('BMP P Tracking Table'!$Q491,'Loading Rates'!$B$1:$L$24,8,FALSE)+'BMP P Tracking Table'!$Z491*VLOOKUP('BMP P Tracking Table'!$Q491,'Loading Rates'!$B$1:$L$24,9,FALSE),'BMP P Tracking Table'!$AA491*VLOOKUP('BMP P Tracking Table'!$Q491,'Loading Rates'!$B$1:$L$24,10,FALSE)),'BMP P Tracking Table'!$AO491*VLOOKUP('BMP P Tracking Table'!$Q491,'Loading Rates'!$B$1:$L$24,4,FALSE)+IF('BMP P Tracking Table'!$AP491="By HSG",'BMP P Tracking Table'!$AQ491*VLOOKUP('BMP P Tracking Table'!$Q491,'Loading Rates'!$B$1:$L$24,6,FALSE)+'BMP P Tracking Table'!$AR491*VLOOKUP('BMP P Tracking Table'!$Q491,'Loading Rates'!$B$1:$L$24,7,FALSE)+'BMP P Tracking Table'!$AS491*VLOOKUP('BMP P Tracking Table'!$Q491,'Loading Rates'!$B$1:$L$24,8,FALSE)+'BMP P Tracking Table'!$AT491*VLOOKUP('BMP P Tracking Table'!$Q491,'Loading Rates'!$B$1:$L$24,9,FALSE),'BMP P Tracking Table'!$AU491*VLOOKUP('BMP P Tracking Table'!$Q491,'Loading Rates'!$B$1:$L$24,10,FALSE))),"")</f>
        <v/>
      </c>
      <c r="AZ491" s="101" t="str">
        <f>IFERROR(IF('BMP P Tracking Table'!$AL491="Yes",MIN(2,IF('BMP P Tracking Table'!$AP491="Total Pervious",(-(3630*'BMP P Tracking Table'!$AO491+20.691*'BMP P Tracking Table'!$AU491)+SQRT((3630*'BMP P Tracking Table'!$AO491+20.691*'BMP P Tracking Table'!$AU491)^2-(4*(996.798*'BMP P Tracking Table'!$AU491)*-'BMP P Tracking Table'!$AW491)))/(2*(996.798*'BMP P Tracking Table'!$AU491)),IF(SUM('BMP P Tracking Table'!$AQ491:$AT491)=0,'BMP P Tracking Table'!$AU491/(-3630*'BMP P Tracking Table'!$AO491),(-(3630*'BMP P Tracking Table'!$AO491+20.691*'BMP P Tracking Table'!$AT491-216.711*'BMP P Tracking Table'!$AS491-83.853*'BMP P Tracking Table'!$AR491-42.834*'BMP P Tracking Table'!$AQ491)+SQRT((3630*'BMP P Tracking Table'!$AO491+20.691*'BMP P Tracking Table'!$AT491-216.711*'BMP P Tracking Table'!$AS491-83.853*'BMP P Tracking Table'!$AR491-42.834*'BMP P Tracking Table'!$AQ491)^2-(4*(149.919*'BMP P Tracking Table'!$AQ491+236.676*'BMP P Tracking Table'!$AR491+726*'BMP P Tracking Table'!$AS491+996.798*'BMP P Tracking Table'!$AT491)*-'BMP P Tracking Table'!$AW491)))/(2*(149.919*'BMP P Tracking Table'!$AQ491+236.676*'BMP P Tracking Table'!$AR491+726*'BMP P Tracking Table'!$AS491+996.798*'BMP P Tracking Table'!$AT491))))),MIN(2,IF('BMP P Tracking Table'!$AP491="Total Pervious",(-(3630*'BMP P Tracking Table'!$U491+20.691*'BMP P Tracking Table'!$AA491)+SQRT((3630*'BMP P Tracking Table'!$U491+20.691*'BMP P Tracking Table'!$AA491)^2-(4*(996.798*'BMP P Tracking Table'!$AA491)*-'BMP P Tracking Table'!$AW491)))/(2*(996.798*'BMP P Tracking Table'!$AA491)),IF(SUM('BMP P Tracking Table'!$W491:$Z491)=0,'BMP P Tracking Table'!$AW491/(-3630*'BMP P Tracking Table'!$U491),(-(3630*'BMP P Tracking Table'!$U491+20.691*'BMP P Tracking Table'!$Z491-216.711*'BMP P Tracking Table'!$Y491-83.853*'BMP P Tracking Table'!$X491-42.834*'BMP P Tracking Table'!$W491)+SQRT((3630*'BMP P Tracking Table'!$U491+20.691*'BMP P Tracking Table'!$Z491-216.711*'BMP P Tracking Table'!$Y491-83.853*'BMP P Tracking Table'!$X491-42.834*'BMP P Tracking Table'!$W491)^2-(4*(149.919*'BMP P Tracking Table'!$W491+236.676*'BMP P Tracking Table'!$X491+726*'BMP P Tracking Table'!$Y491+996.798*'BMP P Tracking Table'!$Z491)*-'BMP P Tracking Table'!$AW491)))/(2*(149.919*'BMP P Tracking Table'!$W491+236.676*'BMP P Tracking Table'!$X491+726*'BMP P Tracking Table'!$Y491+996.798*'BMP P Tracking Table'!$Z491)))))),"")</f>
        <v/>
      </c>
      <c r="BA491" s="101" t="str">
        <f>IFERROR((VLOOKUP(CONCATENATE('BMP P Tracking Table'!$AV491," ",'BMP P Tracking Table'!$AX491),'Performance Curves'!$C$1:$L$45,MATCH('BMP P Tracking Table'!$AZ491,'Performance Curves'!$E$1:$L$1,1)+2,FALSE)-VLOOKUP(CONCATENATE('BMP P Tracking Table'!$AV491," ",'BMP P Tracking Table'!$AX491),'Performance Curves'!$C$1:$L$45,MATCH('BMP P Tracking Table'!$AZ491,'Performance Curves'!$E$1:$L$1,1)+1,FALSE)),"")</f>
        <v/>
      </c>
      <c r="BB491" s="101" t="str">
        <f>IFERROR(('BMP P Tracking Table'!$AZ491-INDEX('Performance Curves'!$E$1:$L$1,1,MATCH('BMP P Tracking Table'!$AZ491,'Performance Curves'!$E$1:$L$1,1)))/(INDEX('Performance Curves'!$E$1:$L$1,1,MATCH('BMP P Tracking Table'!$AZ491,'Performance Curves'!$E$1:$L$1,1)+1)-INDEX('Performance Curves'!$E$1:$L$1,1,MATCH('BMP P Tracking Table'!$AZ491,'Performance Curves'!$E$1:$L$1,1))),"")</f>
        <v/>
      </c>
      <c r="BC491" s="102" t="str">
        <f>IFERROR(IF('BMP P Tracking Table'!$AZ491=2,VLOOKUP(CONCATENATE('BMP P Tracking Table'!$AV491," ",'BMP P Tracking Table'!$AX491),'Performance Curves'!$C$1:$L$44,MATCH('BMP P Tracking Table'!$AZ491,'Performance Curves'!$E$1:$L$1,1)+1,FALSE),'BMP P Tracking Table'!$BA491*'BMP P Tracking Table'!$BB491+VLOOKUP(CONCATENATE('BMP P Tracking Table'!$AV491," ",'BMP P Tracking Table'!$AX491),'Performance Curves'!$C$1:$L$44,MATCH('BMP P Tracking Table'!$AZ491,'Performance Curves'!$E$1:$L$1,1)+1,FALSE)),"")</f>
        <v/>
      </c>
      <c r="BD491" s="101" t="str">
        <f>IFERROR('BMP P Tracking Table'!$BC491*'BMP P Tracking Table'!$AY491,"")</f>
        <v/>
      </c>
      <c r="BE491" s="91"/>
      <c r="BF491" s="37">
        <f t="shared" si="27"/>
        <v>0</v>
      </c>
    </row>
    <row r="492" spans="1:58" x14ac:dyDescent="0.3">
      <c r="A492" s="64"/>
      <c r="B492" s="64"/>
      <c r="C492" s="64"/>
      <c r="D492" s="64"/>
      <c r="E492" s="93"/>
      <c r="F492" s="93"/>
      <c r="G492" s="64"/>
      <c r="H492" s="64"/>
      <c r="I492" s="64"/>
      <c r="J492" s="94"/>
      <c r="K492" s="64"/>
      <c r="L492" s="64"/>
      <c r="M492" s="64"/>
      <c r="N492" s="64"/>
      <c r="O492" s="64"/>
      <c r="P492" s="64"/>
      <c r="Q492" s="64" t="str">
        <f>IFERROR(VLOOKUP('BMP P Tracking Table'!$P492,Dropdowns!$C$2:$E$15,3,FALSE),"")</f>
        <v/>
      </c>
      <c r="R492" s="64" t="str">
        <f>IFERROR(VLOOKUP('BMP P Tracking Table'!$Q492,Dropdowns!$P$3:$Q$23,2,FALSE),"")</f>
        <v/>
      </c>
      <c r="S492" s="64"/>
      <c r="T492" s="64"/>
      <c r="U492" s="64"/>
      <c r="V492" s="64"/>
      <c r="W492" s="64"/>
      <c r="X492" s="64"/>
      <c r="Y492" s="64"/>
      <c r="Z492" s="64"/>
      <c r="AA492" s="64"/>
      <c r="AB492" s="95"/>
      <c r="AC492" s="64"/>
      <c r="AD492" s="101" t="str">
        <f>IFERROR('BMP P Tracking Table'!$U492*VLOOKUP('BMP P Tracking Table'!$Q492,'Loading Rates'!$B$1:$L$24,4,FALSE)+IF('BMP P Tracking Table'!$V492="By HSG",'BMP P Tracking Table'!$W492*VLOOKUP('BMP P Tracking Table'!$Q492,'Loading Rates'!$B$1:$L$24,6,FALSE)+'BMP P Tracking Table'!$X492*VLOOKUP('BMP P Tracking Table'!$Q492,'Loading Rates'!$B$1:$L$24,7,FALSE)+'BMP P Tracking Table'!$Y492*VLOOKUP('BMP P Tracking Table'!$Q492,'Loading Rates'!$B$1:$L$24,8,FALSE)+'BMP P Tracking Table'!$Z492*VLOOKUP('BMP P Tracking Table'!$Q492,'Loading Rates'!$B$1:$L$24,9,FALSE),'BMP P Tracking Table'!$AA492*VLOOKUP('BMP P Tracking Table'!$Q492,'Loading Rates'!$B$1:$L$24,10,FALSE)),"")</f>
        <v/>
      </c>
      <c r="AE492" s="101" t="str">
        <f>IFERROR(MIN(2,IF('BMP P Tracking Table'!$V492="Total Pervious",(-(3630*'BMP P Tracking Table'!$U492+20.691*'BMP P Tracking Table'!$AA492)+SQRT((3630*'BMP P Tracking Table'!$U492+20.691*'BMP P Tracking Table'!$AA492)^2-(4*(996.798*'BMP P Tracking Table'!$AA492)*-'BMP P Tracking Table'!$AB492)))/(2*(996.798*'BMP P Tracking Table'!$AA492)),IF(SUM('BMP P Tracking Table'!$W492:$Z492)=0,'BMP P Tracking Table'!$AB492/(-3630*'BMP P Tracking Table'!$U492),(-(3630*'BMP P Tracking Table'!$U492+20.691*'BMP P Tracking Table'!$Z492-216.711*'BMP P Tracking Table'!$Y492-83.853*'BMP P Tracking Table'!$X492-42.834*'BMP P Tracking Table'!$W492)+SQRT((3630*'BMP P Tracking Table'!$U492+20.691*'BMP P Tracking Table'!$Z492-216.711*'BMP P Tracking Table'!$Y492-83.853*'BMP P Tracking Table'!$X492-42.834*'BMP P Tracking Table'!$W492)^2-(4*(149.919*'BMP P Tracking Table'!$W492+236.676*'BMP P Tracking Table'!$X492+726*'BMP P Tracking Table'!$Y492+996.798*'BMP P Tracking Table'!$Z492)*-'BMP P Tracking Table'!$AB492)))/(2*(149.919*'BMP P Tracking Table'!$W492+236.676*'BMP P Tracking Table'!$X492+726*'BMP P Tracking Table'!$Y492+996.798*'BMP P Tracking Table'!$Z492))))),"")</f>
        <v/>
      </c>
      <c r="AF492" s="101" t="str">
        <f>IFERROR((VLOOKUP(CONCATENATE('BMP P Tracking Table'!$T492," ",'BMP P Tracking Table'!$AC492),'Performance Curves'!$C$1:$L$45,MATCH('BMP P Tracking Table'!$AE492,'Performance Curves'!$E$1:$L$1,1)+2,FALSE)-VLOOKUP(CONCATENATE('BMP P Tracking Table'!$T492," ",'BMP P Tracking Table'!$AC492),'Performance Curves'!$C$1:$L$45,MATCH('BMP P Tracking Table'!$AE492,'Performance Curves'!$E$1:$L$1,1)+1,FALSE)),"")</f>
        <v/>
      </c>
      <c r="AG492" s="101" t="str">
        <f>IFERROR(('BMP P Tracking Table'!$AE492-INDEX('Performance Curves'!$E$1:$L$1,1,MATCH('BMP P Tracking Table'!$AE492,'Performance Curves'!$E$1:$L$1,1)))/(INDEX('Performance Curves'!$E$1:$L$1,1,MATCH('BMP P Tracking Table'!$AE492,'Performance Curves'!$E$1:$L$1,1)+1)-INDEX('Performance Curves'!$E$1:$L$1,1,MATCH('BMP P Tracking Table'!$AE492,'Performance Curves'!$E$1:$L$1,1))),"")</f>
        <v/>
      </c>
      <c r="AH492" s="102" t="str">
        <f>IFERROR(IF('BMP P Tracking Table'!$AE492=2,VLOOKUP(CONCATENATE('BMP P Tracking Table'!$T492," ",'BMP P Tracking Table'!$AC492),'Performance Curves'!$C$1:$L$45,MATCH('BMP P Tracking Table'!$AE492,'Performance Curves'!$E$1:$L$1,1)+1,FALSE),'BMP P Tracking Table'!$AF492*'BMP P Tracking Table'!$AG492+VLOOKUP(CONCATENATE('BMP P Tracking Table'!$T492," ",'BMP P Tracking Table'!$AC492),'Performance Curves'!$C$1:$L$45,MATCH('BMP P Tracking Table'!$AE492,'Performance Curves'!$E$1:$L$1,1)+1,FALSE)),"")</f>
        <v/>
      </c>
      <c r="AI492" s="101" t="str">
        <f>IFERROR('BMP P Tracking Table'!$AH492*'BMP P Tracking Table'!$AD492,"")</f>
        <v/>
      </c>
      <c r="AJ492" s="64"/>
      <c r="AK492" s="96"/>
      <c r="AL492" s="96"/>
      <c r="AM492" s="63"/>
      <c r="AN492" s="99" t="str">
        <f t="shared" si="26"/>
        <v/>
      </c>
      <c r="AO492" s="96"/>
      <c r="AP492" s="96"/>
      <c r="AQ492" s="96"/>
      <c r="AR492" s="96"/>
      <c r="AS492" s="96"/>
      <c r="AT492" s="96"/>
      <c r="AU492" s="96"/>
      <c r="AV492" s="64"/>
      <c r="AW492" s="97"/>
      <c r="AX492" s="97"/>
      <c r="AY492" s="101" t="str">
        <f>IF('BMP P Tracking Table'!$AK492="Yes",IF('BMP P Tracking Table'!$AL492="No",'BMP P Tracking Table'!$U492*VLOOKUP('BMP P Tracking Table'!$Q492,'Loading Rates'!$B$1:$L$24,4,FALSE)+IF('BMP P Tracking Table'!$V492="By HSG",'BMP P Tracking Table'!$W492*VLOOKUP('BMP P Tracking Table'!$Q492,'Loading Rates'!$B$1:$L$24,6,FALSE)+'BMP P Tracking Table'!$X492*VLOOKUP('BMP P Tracking Table'!$Q492,'Loading Rates'!$B$1:$L$24,7,FALSE)+'BMP P Tracking Table'!$Y492*VLOOKUP('BMP P Tracking Table'!$Q492,'Loading Rates'!$B$1:$L$24,8,FALSE)+'BMP P Tracking Table'!$Z492*VLOOKUP('BMP P Tracking Table'!$Q492,'Loading Rates'!$B$1:$L$24,9,FALSE),'BMP P Tracking Table'!$AA492*VLOOKUP('BMP P Tracking Table'!$Q492,'Loading Rates'!$B$1:$L$24,10,FALSE)),'BMP P Tracking Table'!$AO492*VLOOKUP('BMP P Tracking Table'!$Q492,'Loading Rates'!$B$1:$L$24,4,FALSE)+IF('BMP P Tracking Table'!$AP492="By HSG",'BMP P Tracking Table'!$AQ492*VLOOKUP('BMP P Tracking Table'!$Q492,'Loading Rates'!$B$1:$L$24,6,FALSE)+'BMP P Tracking Table'!$AR492*VLOOKUP('BMP P Tracking Table'!$Q492,'Loading Rates'!$B$1:$L$24,7,FALSE)+'BMP P Tracking Table'!$AS492*VLOOKUP('BMP P Tracking Table'!$Q492,'Loading Rates'!$B$1:$L$24,8,FALSE)+'BMP P Tracking Table'!$AT492*VLOOKUP('BMP P Tracking Table'!$Q492,'Loading Rates'!$B$1:$L$24,9,FALSE),'BMP P Tracking Table'!$AU492*VLOOKUP('BMP P Tracking Table'!$Q492,'Loading Rates'!$B$1:$L$24,10,FALSE))),"")</f>
        <v/>
      </c>
      <c r="AZ492" s="101" t="str">
        <f>IFERROR(IF('BMP P Tracking Table'!$AL492="Yes",MIN(2,IF('BMP P Tracking Table'!$AP492="Total Pervious",(-(3630*'BMP P Tracking Table'!$AO492+20.691*'BMP P Tracking Table'!$AU492)+SQRT((3630*'BMP P Tracking Table'!$AO492+20.691*'BMP P Tracking Table'!$AU492)^2-(4*(996.798*'BMP P Tracking Table'!$AU492)*-'BMP P Tracking Table'!$AW492)))/(2*(996.798*'BMP P Tracking Table'!$AU492)),IF(SUM('BMP P Tracking Table'!$AQ492:$AT492)=0,'BMP P Tracking Table'!$AU492/(-3630*'BMP P Tracking Table'!$AO492),(-(3630*'BMP P Tracking Table'!$AO492+20.691*'BMP P Tracking Table'!$AT492-216.711*'BMP P Tracking Table'!$AS492-83.853*'BMP P Tracking Table'!$AR492-42.834*'BMP P Tracking Table'!$AQ492)+SQRT((3630*'BMP P Tracking Table'!$AO492+20.691*'BMP P Tracking Table'!$AT492-216.711*'BMP P Tracking Table'!$AS492-83.853*'BMP P Tracking Table'!$AR492-42.834*'BMP P Tracking Table'!$AQ492)^2-(4*(149.919*'BMP P Tracking Table'!$AQ492+236.676*'BMP P Tracking Table'!$AR492+726*'BMP P Tracking Table'!$AS492+996.798*'BMP P Tracking Table'!$AT492)*-'BMP P Tracking Table'!$AW492)))/(2*(149.919*'BMP P Tracking Table'!$AQ492+236.676*'BMP P Tracking Table'!$AR492+726*'BMP P Tracking Table'!$AS492+996.798*'BMP P Tracking Table'!$AT492))))),MIN(2,IF('BMP P Tracking Table'!$AP492="Total Pervious",(-(3630*'BMP P Tracking Table'!$U492+20.691*'BMP P Tracking Table'!$AA492)+SQRT((3630*'BMP P Tracking Table'!$U492+20.691*'BMP P Tracking Table'!$AA492)^2-(4*(996.798*'BMP P Tracking Table'!$AA492)*-'BMP P Tracking Table'!$AW492)))/(2*(996.798*'BMP P Tracking Table'!$AA492)),IF(SUM('BMP P Tracking Table'!$W492:$Z492)=0,'BMP P Tracking Table'!$AW492/(-3630*'BMP P Tracking Table'!$U492),(-(3630*'BMP P Tracking Table'!$U492+20.691*'BMP P Tracking Table'!$Z492-216.711*'BMP P Tracking Table'!$Y492-83.853*'BMP P Tracking Table'!$X492-42.834*'BMP P Tracking Table'!$W492)+SQRT((3630*'BMP P Tracking Table'!$U492+20.691*'BMP P Tracking Table'!$Z492-216.711*'BMP P Tracking Table'!$Y492-83.853*'BMP P Tracking Table'!$X492-42.834*'BMP P Tracking Table'!$W492)^2-(4*(149.919*'BMP P Tracking Table'!$W492+236.676*'BMP P Tracking Table'!$X492+726*'BMP P Tracking Table'!$Y492+996.798*'BMP P Tracking Table'!$Z492)*-'BMP P Tracking Table'!$AW492)))/(2*(149.919*'BMP P Tracking Table'!$W492+236.676*'BMP P Tracking Table'!$X492+726*'BMP P Tracking Table'!$Y492+996.798*'BMP P Tracking Table'!$Z492)))))),"")</f>
        <v/>
      </c>
      <c r="BA492" s="101" t="str">
        <f>IFERROR((VLOOKUP(CONCATENATE('BMP P Tracking Table'!$AV492," ",'BMP P Tracking Table'!$AX492),'Performance Curves'!$C$1:$L$45,MATCH('BMP P Tracking Table'!$AZ492,'Performance Curves'!$E$1:$L$1,1)+2,FALSE)-VLOOKUP(CONCATENATE('BMP P Tracking Table'!$AV492," ",'BMP P Tracking Table'!$AX492),'Performance Curves'!$C$1:$L$45,MATCH('BMP P Tracking Table'!$AZ492,'Performance Curves'!$E$1:$L$1,1)+1,FALSE)),"")</f>
        <v/>
      </c>
      <c r="BB492" s="101" t="str">
        <f>IFERROR(('BMP P Tracking Table'!$AZ492-INDEX('Performance Curves'!$E$1:$L$1,1,MATCH('BMP P Tracking Table'!$AZ492,'Performance Curves'!$E$1:$L$1,1)))/(INDEX('Performance Curves'!$E$1:$L$1,1,MATCH('BMP P Tracking Table'!$AZ492,'Performance Curves'!$E$1:$L$1,1)+1)-INDEX('Performance Curves'!$E$1:$L$1,1,MATCH('BMP P Tracking Table'!$AZ492,'Performance Curves'!$E$1:$L$1,1))),"")</f>
        <v/>
      </c>
      <c r="BC492" s="102" t="str">
        <f>IFERROR(IF('BMP P Tracking Table'!$AZ492=2,VLOOKUP(CONCATENATE('BMP P Tracking Table'!$AV492," ",'BMP P Tracking Table'!$AX492),'Performance Curves'!$C$1:$L$44,MATCH('BMP P Tracking Table'!$AZ492,'Performance Curves'!$E$1:$L$1,1)+1,FALSE),'BMP P Tracking Table'!$BA492*'BMP P Tracking Table'!$BB492+VLOOKUP(CONCATENATE('BMP P Tracking Table'!$AV492," ",'BMP P Tracking Table'!$AX492),'Performance Curves'!$C$1:$L$44,MATCH('BMP P Tracking Table'!$AZ492,'Performance Curves'!$E$1:$L$1,1)+1,FALSE)),"")</f>
        <v/>
      </c>
      <c r="BD492" s="101" t="str">
        <f>IFERROR('BMP P Tracking Table'!$BC492*'BMP P Tracking Table'!$AY492,"")</f>
        <v/>
      </c>
      <c r="BE492" s="96"/>
      <c r="BF492" s="37">
        <f t="shared" si="27"/>
        <v>0</v>
      </c>
    </row>
    <row r="493" spans="1:58" x14ac:dyDescent="0.3">
      <c r="A493" s="64"/>
      <c r="B493" s="64"/>
      <c r="C493" s="64"/>
      <c r="D493" s="64"/>
      <c r="E493" s="93"/>
      <c r="F493" s="93"/>
      <c r="G493" s="64"/>
      <c r="H493" s="64"/>
      <c r="I493" s="64"/>
      <c r="J493" s="94"/>
      <c r="K493" s="64"/>
      <c r="L493" s="64"/>
      <c r="M493" s="64"/>
      <c r="N493" s="64"/>
      <c r="O493" s="64"/>
      <c r="P493" s="64"/>
      <c r="Q493" s="64" t="str">
        <f>IFERROR(VLOOKUP('BMP P Tracking Table'!$P493,Dropdowns!$C$2:$E$15,3,FALSE),"")</f>
        <v/>
      </c>
      <c r="R493" s="64" t="str">
        <f>IFERROR(VLOOKUP('BMP P Tracking Table'!$Q493,Dropdowns!$P$3:$Q$23,2,FALSE),"")</f>
        <v/>
      </c>
      <c r="S493" s="64"/>
      <c r="T493" s="64"/>
      <c r="U493" s="64"/>
      <c r="V493" s="64"/>
      <c r="W493" s="64"/>
      <c r="X493" s="64"/>
      <c r="Y493" s="64"/>
      <c r="Z493" s="64"/>
      <c r="AA493" s="64"/>
      <c r="AB493" s="95"/>
      <c r="AC493" s="64"/>
      <c r="AD493" s="101" t="str">
        <f>IFERROR('BMP P Tracking Table'!$U493*VLOOKUP('BMP P Tracking Table'!$Q493,'Loading Rates'!$B$1:$L$24,4,FALSE)+IF('BMP P Tracking Table'!$V493="By HSG",'BMP P Tracking Table'!$W493*VLOOKUP('BMP P Tracking Table'!$Q493,'Loading Rates'!$B$1:$L$24,6,FALSE)+'BMP P Tracking Table'!$X493*VLOOKUP('BMP P Tracking Table'!$Q493,'Loading Rates'!$B$1:$L$24,7,FALSE)+'BMP P Tracking Table'!$Y493*VLOOKUP('BMP P Tracking Table'!$Q493,'Loading Rates'!$B$1:$L$24,8,FALSE)+'BMP P Tracking Table'!$Z493*VLOOKUP('BMP P Tracking Table'!$Q493,'Loading Rates'!$B$1:$L$24,9,FALSE),'BMP P Tracking Table'!$AA493*VLOOKUP('BMP P Tracking Table'!$Q493,'Loading Rates'!$B$1:$L$24,10,FALSE)),"")</f>
        <v/>
      </c>
      <c r="AE493" s="101" t="str">
        <f>IFERROR(MIN(2,IF('BMP P Tracking Table'!$V493="Total Pervious",(-(3630*'BMP P Tracking Table'!$U493+20.691*'BMP P Tracking Table'!$AA493)+SQRT((3630*'BMP P Tracking Table'!$U493+20.691*'BMP P Tracking Table'!$AA493)^2-(4*(996.798*'BMP P Tracking Table'!$AA493)*-'BMP P Tracking Table'!$AB493)))/(2*(996.798*'BMP P Tracking Table'!$AA493)),IF(SUM('BMP P Tracking Table'!$W493:$Z493)=0,'BMP P Tracking Table'!$AB493/(-3630*'BMP P Tracking Table'!$U493),(-(3630*'BMP P Tracking Table'!$U493+20.691*'BMP P Tracking Table'!$Z493-216.711*'BMP P Tracking Table'!$Y493-83.853*'BMP P Tracking Table'!$X493-42.834*'BMP P Tracking Table'!$W493)+SQRT((3630*'BMP P Tracking Table'!$U493+20.691*'BMP P Tracking Table'!$Z493-216.711*'BMP P Tracking Table'!$Y493-83.853*'BMP P Tracking Table'!$X493-42.834*'BMP P Tracking Table'!$W493)^2-(4*(149.919*'BMP P Tracking Table'!$W493+236.676*'BMP P Tracking Table'!$X493+726*'BMP P Tracking Table'!$Y493+996.798*'BMP P Tracking Table'!$Z493)*-'BMP P Tracking Table'!$AB493)))/(2*(149.919*'BMP P Tracking Table'!$W493+236.676*'BMP P Tracking Table'!$X493+726*'BMP P Tracking Table'!$Y493+996.798*'BMP P Tracking Table'!$Z493))))),"")</f>
        <v/>
      </c>
      <c r="AF493" s="101" t="str">
        <f>IFERROR((VLOOKUP(CONCATENATE('BMP P Tracking Table'!$T493," ",'BMP P Tracking Table'!$AC493),'Performance Curves'!$C$1:$L$45,MATCH('BMP P Tracking Table'!$AE493,'Performance Curves'!$E$1:$L$1,1)+2,FALSE)-VLOOKUP(CONCATENATE('BMP P Tracking Table'!$T493," ",'BMP P Tracking Table'!$AC493),'Performance Curves'!$C$1:$L$45,MATCH('BMP P Tracking Table'!$AE493,'Performance Curves'!$E$1:$L$1,1)+1,FALSE)),"")</f>
        <v/>
      </c>
      <c r="AG493" s="101" t="str">
        <f>IFERROR(('BMP P Tracking Table'!$AE493-INDEX('Performance Curves'!$E$1:$L$1,1,MATCH('BMP P Tracking Table'!$AE493,'Performance Curves'!$E$1:$L$1,1)))/(INDEX('Performance Curves'!$E$1:$L$1,1,MATCH('BMP P Tracking Table'!$AE493,'Performance Curves'!$E$1:$L$1,1)+1)-INDEX('Performance Curves'!$E$1:$L$1,1,MATCH('BMP P Tracking Table'!$AE493,'Performance Curves'!$E$1:$L$1,1))),"")</f>
        <v/>
      </c>
      <c r="AH493" s="102" t="str">
        <f>IFERROR(IF('BMP P Tracking Table'!$AE493=2,VLOOKUP(CONCATENATE('BMP P Tracking Table'!$T493," ",'BMP P Tracking Table'!$AC493),'Performance Curves'!$C$1:$L$45,MATCH('BMP P Tracking Table'!$AE493,'Performance Curves'!$E$1:$L$1,1)+1,FALSE),'BMP P Tracking Table'!$AF493*'BMP P Tracking Table'!$AG493+VLOOKUP(CONCATENATE('BMP P Tracking Table'!$T493," ",'BMP P Tracking Table'!$AC493),'Performance Curves'!$C$1:$L$45,MATCH('BMP P Tracking Table'!$AE493,'Performance Curves'!$E$1:$L$1,1)+1,FALSE)),"")</f>
        <v/>
      </c>
      <c r="AI493" s="101" t="str">
        <f>IFERROR('BMP P Tracking Table'!$AH493*'BMP P Tracking Table'!$AD493,"")</f>
        <v/>
      </c>
      <c r="AJ493" s="64"/>
      <c r="AK493" s="96"/>
      <c r="AL493" s="96"/>
      <c r="AM493" s="63"/>
      <c r="AN493" s="99" t="str">
        <f t="shared" si="26"/>
        <v/>
      </c>
      <c r="AO493" s="96"/>
      <c r="AP493" s="96"/>
      <c r="AQ493" s="96"/>
      <c r="AR493" s="96"/>
      <c r="AS493" s="96"/>
      <c r="AT493" s="96"/>
      <c r="AU493" s="96"/>
      <c r="AV493" s="64"/>
      <c r="AW493" s="97"/>
      <c r="AX493" s="97"/>
      <c r="AY493" s="101" t="str">
        <f>IF('BMP P Tracking Table'!$AK493="Yes",IF('BMP P Tracking Table'!$AL493="No",'BMP P Tracking Table'!$U493*VLOOKUP('BMP P Tracking Table'!$Q493,'Loading Rates'!$B$1:$L$24,4,FALSE)+IF('BMP P Tracking Table'!$V493="By HSG",'BMP P Tracking Table'!$W493*VLOOKUP('BMP P Tracking Table'!$Q493,'Loading Rates'!$B$1:$L$24,6,FALSE)+'BMP P Tracking Table'!$X493*VLOOKUP('BMP P Tracking Table'!$Q493,'Loading Rates'!$B$1:$L$24,7,FALSE)+'BMP P Tracking Table'!$Y493*VLOOKUP('BMP P Tracking Table'!$Q493,'Loading Rates'!$B$1:$L$24,8,FALSE)+'BMP P Tracking Table'!$Z493*VLOOKUP('BMP P Tracking Table'!$Q493,'Loading Rates'!$B$1:$L$24,9,FALSE),'BMP P Tracking Table'!$AA493*VLOOKUP('BMP P Tracking Table'!$Q493,'Loading Rates'!$B$1:$L$24,10,FALSE)),'BMP P Tracking Table'!$AO493*VLOOKUP('BMP P Tracking Table'!$Q493,'Loading Rates'!$B$1:$L$24,4,FALSE)+IF('BMP P Tracking Table'!$AP493="By HSG",'BMP P Tracking Table'!$AQ493*VLOOKUP('BMP P Tracking Table'!$Q493,'Loading Rates'!$B$1:$L$24,6,FALSE)+'BMP P Tracking Table'!$AR493*VLOOKUP('BMP P Tracking Table'!$Q493,'Loading Rates'!$B$1:$L$24,7,FALSE)+'BMP P Tracking Table'!$AS493*VLOOKUP('BMP P Tracking Table'!$Q493,'Loading Rates'!$B$1:$L$24,8,FALSE)+'BMP P Tracking Table'!$AT493*VLOOKUP('BMP P Tracking Table'!$Q493,'Loading Rates'!$B$1:$L$24,9,FALSE),'BMP P Tracking Table'!$AU493*VLOOKUP('BMP P Tracking Table'!$Q493,'Loading Rates'!$B$1:$L$24,10,FALSE))),"")</f>
        <v/>
      </c>
      <c r="AZ493" s="101" t="str">
        <f>IFERROR(IF('BMP P Tracking Table'!$AL493="Yes",MIN(2,IF('BMP P Tracking Table'!$AP493="Total Pervious",(-(3630*'BMP P Tracking Table'!$AO493+20.691*'BMP P Tracking Table'!$AU493)+SQRT((3630*'BMP P Tracking Table'!$AO493+20.691*'BMP P Tracking Table'!$AU493)^2-(4*(996.798*'BMP P Tracking Table'!$AU493)*-'BMP P Tracking Table'!$AW493)))/(2*(996.798*'BMP P Tracking Table'!$AU493)),IF(SUM('BMP P Tracking Table'!$AQ493:$AT493)=0,'BMP P Tracking Table'!$AU493/(-3630*'BMP P Tracking Table'!$AO493),(-(3630*'BMP P Tracking Table'!$AO493+20.691*'BMP P Tracking Table'!$AT493-216.711*'BMP P Tracking Table'!$AS493-83.853*'BMP P Tracking Table'!$AR493-42.834*'BMP P Tracking Table'!$AQ493)+SQRT((3630*'BMP P Tracking Table'!$AO493+20.691*'BMP P Tracking Table'!$AT493-216.711*'BMP P Tracking Table'!$AS493-83.853*'BMP P Tracking Table'!$AR493-42.834*'BMP P Tracking Table'!$AQ493)^2-(4*(149.919*'BMP P Tracking Table'!$AQ493+236.676*'BMP P Tracking Table'!$AR493+726*'BMP P Tracking Table'!$AS493+996.798*'BMP P Tracking Table'!$AT493)*-'BMP P Tracking Table'!$AW493)))/(2*(149.919*'BMP P Tracking Table'!$AQ493+236.676*'BMP P Tracking Table'!$AR493+726*'BMP P Tracking Table'!$AS493+996.798*'BMP P Tracking Table'!$AT493))))),MIN(2,IF('BMP P Tracking Table'!$AP493="Total Pervious",(-(3630*'BMP P Tracking Table'!$U493+20.691*'BMP P Tracking Table'!$AA493)+SQRT((3630*'BMP P Tracking Table'!$U493+20.691*'BMP P Tracking Table'!$AA493)^2-(4*(996.798*'BMP P Tracking Table'!$AA493)*-'BMP P Tracking Table'!$AW493)))/(2*(996.798*'BMP P Tracking Table'!$AA493)),IF(SUM('BMP P Tracking Table'!$W493:$Z493)=0,'BMP P Tracking Table'!$AW493/(-3630*'BMP P Tracking Table'!$U493),(-(3630*'BMP P Tracking Table'!$U493+20.691*'BMP P Tracking Table'!$Z493-216.711*'BMP P Tracking Table'!$Y493-83.853*'BMP P Tracking Table'!$X493-42.834*'BMP P Tracking Table'!$W493)+SQRT((3630*'BMP P Tracking Table'!$U493+20.691*'BMP P Tracking Table'!$Z493-216.711*'BMP P Tracking Table'!$Y493-83.853*'BMP P Tracking Table'!$X493-42.834*'BMP P Tracking Table'!$W493)^2-(4*(149.919*'BMP P Tracking Table'!$W493+236.676*'BMP P Tracking Table'!$X493+726*'BMP P Tracking Table'!$Y493+996.798*'BMP P Tracking Table'!$Z493)*-'BMP P Tracking Table'!$AW493)))/(2*(149.919*'BMP P Tracking Table'!$W493+236.676*'BMP P Tracking Table'!$X493+726*'BMP P Tracking Table'!$Y493+996.798*'BMP P Tracking Table'!$Z493)))))),"")</f>
        <v/>
      </c>
      <c r="BA493" s="101" t="str">
        <f>IFERROR((VLOOKUP(CONCATENATE('BMP P Tracking Table'!$AV493," ",'BMP P Tracking Table'!$AX493),'Performance Curves'!$C$1:$L$45,MATCH('BMP P Tracking Table'!$AZ493,'Performance Curves'!$E$1:$L$1,1)+2,FALSE)-VLOOKUP(CONCATENATE('BMP P Tracking Table'!$AV493," ",'BMP P Tracking Table'!$AX493),'Performance Curves'!$C$1:$L$45,MATCH('BMP P Tracking Table'!$AZ493,'Performance Curves'!$E$1:$L$1,1)+1,FALSE)),"")</f>
        <v/>
      </c>
      <c r="BB493" s="101" t="str">
        <f>IFERROR(('BMP P Tracking Table'!$AZ493-INDEX('Performance Curves'!$E$1:$L$1,1,MATCH('BMP P Tracking Table'!$AZ493,'Performance Curves'!$E$1:$L$1,1)))/(INDEX('Performance Curves'!$E$1:$L$1,1,MATCH('BMP P Tracking Table'!$AZ493,'Performance Curves'!$E$1:$L$1,1)+1)-INDEX('Performance Curves'!$E$1:$L$1,1,MATCH('BMP P Tracking Table'!$AZ493,'Performance Curves'!$E$1:$L$1,1))),"")</f>
        <v/>
      </c>
      <c r="BC493" s="102" t="str">
        <f>IFERROR(IF('BMP P Tracking Table'!$AZ493=2,VLOOKUP(CONCATENATE('BMP P Tracking Table'!$AV493," ",'BMP P Tracking Table'!$AX493),'Performance Curves'!$C$1:$L$44,MATCH('BMP P Tracking Table'!$AZ493,'Performance Curves'!$E$1:$L$1,1)+1,FALSE),'BMP P Tracking Table'!$BA493*'BMP P Tracking Table'!$BB493+VLOOKUP(CONCATENATE('BMP P Tracking Table'!$AV493," ",'BMP P Tracking Table'!$AX493),'Performance Curves'!$C$1:$L$44,MATCH('BMP P Tracking Table'!$AZ493,'Performance Curves'!$E$1:$L$1,1)+1,FALSE)),"")</f>
        <v/>
      </c>
      <c r="BD493" s="101" t="str">
        <f>IFERROR('BMP P Tracking Table'!$BC493*'BMP P Tracking Table'!$AY493,"")</f>
        <v/>
      </c>
      <c r="BE493" s="96"/>
      <c r="BF493" s="37">
        <f t="shared" si="27"/>
        <v>0</v>
      </c>
    </row>
    <row r="494" spans="1:58" x14ac:dyDescent="0.3">
      <c r="A494" s="64"/>
      <c r="B494" s="64"/>
      <c r="C494" s="64"/>
      <c r="D494" s="64"/>
      <c r="E494" s="93"/>
      <c r="F494" s="93"/>
      <c r="G494" s="64"/>
      <c r="H494" s="64"/>
      <c r="I494" s="64"/>
      <c r="J494" s="94"/>
      <c r="K494" s="64"/>
      <c r="L494" s="64"/>
      <c r="M494" s="64"/>
      <c r="N494" s="64"/>
      <c r="O494" s="64"/>
      <c r="P494" s="64"/>
      <c r="Q494" s="64" t="str">
        <f>IFERROR(VLOOKUP('BMP P Tracking Table'!$P494,Dropdowns!$C$2:$E$15,3,FALSE),"")</f>
        <v/>
      </c>
      <c r="R494" s="64" t="str">
        <f>IFERROR(VLOOKUP('BMP P Tracking Table'!$Q494,Dropdowns!$P$3:$Q$23,2,FALSE),"")</f>
        <v/>
      </c>
      <c r="S494" s="64"/>
      <c r="T494" s="64"/>
      <c r="U494" s="64"/>
      <c r="V494" s="64"/>
      <c r="W494" s="64"/>
      <c r="X494" s="64"/>
      <c r="Y494" s="64"/>
      <c r="Z494" s="64"/>
      <c r="AA494" s="64"/>
      <c r="AB494" s="95"/>
      <c r="AC494" s="64"/>
      <c r="AD494" s="101" t="str">
        <f>IFERROR('BMP P Tracking Table'!$U494*VLOOKUP('BMP P Tracking Table'!$Q494,'Loading Rates'!$B$1:$L$24,4,FALSE)+IF('BMP P Tracking Table'!$V494="By HSG",'BMP P Tracking Table'!$W494*VLOOKUP('BMP P Tracking Table'!$Q494,'Loading Rates'!$B$1:$L$24,6,FALSE)+'BMP P Tracking Table'!$X494*VLOOKUP('BMP P Tracking Table'!$Q494,'Loading Rates'!$B$1:$L$24,7,FALSE)+'BMP P Tracking Table'!$Y494*VLOOKUP('BMP P Tracking Table'!$Q494,'Loading Rates'!$B$1:$L$24,8,FALSE)+'BMP P Tracking Table'!$Z494*VLOOKUP('BMP P Tracking Table'!$Q494,'Loading Rates'!$B$1:$L$24,9,FALSE),'BMP P Tracking Table'!$AA494*VLOOKUP('BMP P Tracking Table'!$Q494,'Loading Rates'!$B$1:$L$24,10,FALSE)),"")</f>
        <v/>
      </c>
      <c r="AE494" s="101" t="str">
        <f>IFERROR(MIN(2,IF('BMP P Tracking Table'!$V494="Total Pervious",(-(3630*'BMP P Tracking Table'!$U494+20.691*'BMP P Tracking Table'!$AA494)+SQRT((3630*'BMP P Tracking Table'!$U494+20.691*'BMP P Tracking Table'!$AA494)^2-(4*(996.798*'BMP P Tracking Table'!$AA494)*-'BMP P Tracking Table'!$AB494)))/(2*(996.798*'BMP P Tracking Table'!$AA494)),IF(SUM('BMP P Tracking Table'!$W494:$Z494)=0,'BMP P Tracking Table'!$AB494/(-3630*'BMP P Tracking Table'!$U494),(-(3630*'BMP P Tracking Table'!$U494+20.691*'BMP P Tracking Table'!$Z494-216.711*'BMP P Tracking Table'!$Y494-83.853*'BMP P Tracking Table'!$X494-42.834*'BMP P Tracking Table'!$W494)+SQRT((3630*'BMP P Tracking Table'!$U494+20.691*'BMP P Tracking Table'!$Z494-216.711*'BMP P Tracking Table'!$Y494-83.853*'BMP P Tracking Table'!$X494-42.834*'BMP P Tracking Table'!$W494)^2-(4*(149.919*'BMP P Tracking Table'!$W494+236.676*'BMP P Tracking Table'!$X494+726*'BMP P Tracking Table'!$Y494+996.798*'BMP P Tracking Table'!$Z494)*-'BMP P Tracking Table'!$AB494)))/(2*(149.919*'BMP P Tracking Table'!$W494+236.676*'BMP P Tracking Table'!$X494+726*'BMP P Tracking Table'!$Y494+996.798*'BMP P Tracking Table'!$Z494))))),"")</f>
        <v/>
      </c>
      <c r="AF494" s="101" t="str">
        <f>IFERROR((VLOOKUP(CONCATENATE('BMP P Tracking Table'!$T494," ",'BMP P Tracking Table'!$AC494),'Performance Curves'!$C$1:$L$45,MATCH('BMP P Tracking Table'!$AE494,'Performance Curves'!$E$1:$L$1,1)+2,FALSE)-VLOOKUP(CONCATENATE('BMP P Tracking Table'!$T494," ",'BMP P Tracking Table'!$AC494),'Performance Curves'!$C$1:$L$45,MATCH('BMP P Tracking Table'!$AE494,'Performance Curves'!$E$1:$L$1,1)+1,FALSE)),"")</f>
        <v/>
      </c>
      <c r="AG494" s="101" t="str">
        <f>IFERROR(('BMP P Tracking Table'!$AE494-INDEX('Performance Curves'!$E$1:$L$1,1,MATCH('BMP P Tracking Table'!$AE494,'Performance Curves'!$E$1:$L$1,1)))/(INDEX('Performance Curves'!$E$1:$L$1,1,MATCH('BMP P Tracking Table'!$AE494,'Performance Curves'!$E$1:$L$1,1)+1)-INDEX('Performance Curves'!$E$1:$L$1,1,MATCH('BMP P Tracking Table'!$AE494,'Performance Curves'!$E$1:$L$1,1))),"")</f>
        <v/>
      </c>
      <c r="AH494" s="102" t="str">
        <f>IFERROR(IF('BMP P Tracking Table'!$AE494=2,VLOOKUP(CONCATENATE('BMP P Tracking Table'!$T494," ",'BMP P Tracking Table'!$AC494),'Performance Curves'!$C$1:$L$45,MATCH('BMP P Tracking Table'!$AE494,'Performance Curves'!$E$1:$L$1,1)+1,FALSE),'BMP P Tracking Table'!$AF494*'BMP P Tracking Table'!$AG494+VLOOKUP(CONCATENATE('BMP P Tracking Table'!$T494," ",'BMP P Tracking Table'!$AC494),'Performance Curves'!$C$1:$L$45,MATCH('BMP P Tracking Table'!$AE494,'Performance Curves'!$E$1:$L$1,1)+1,FALSE)),"")</f>
        <v/>
      </c>
      <c r="AI494" s="101" t="str">
        <f>IFERROR('BMP P Tracking Table'!$AH494*'BMP P Tracking Table'!$AD494,"")</f>
        <v/>
      </c>
      <c r="AJ494" s="64"/>
      <c r="AK494" s="96"/>
      <c r="AL494" s="96"/>
      <c r="AM494" s="63"/>
      <c r="AN494" s="99" t="str">
        <f t="shared" si="26"/>
        <v/>
      </c>
      <c r="AO494" s="96"/>
      <c r="AP494" s="96"/>
      <c r="AQ494" s="96"/>
      <c r="AR494" s="96"/>
      <c r="AS494" s="96"/>
      <c r="AT494" s="96"/>
      <c r="AU494" s="96"/>
      <c r="AV494" s="64"/>
      <c r="AW494" s="97"/>
      <c r="AX494" s="97"/>
      <c r="AY494" s="101" t="str">
        <f>IF('BMP P Tracking Table'!$AK494="Yes",IF('BMP P Tracking Table'!$AL494="No",'BMP P Tracking Table'!$U494*VLOOKUP('BMP P Tracking Table'!$Q494,'Loading Rates'!$B$1:$L$24,4,FALSE)+IF('BMP P Tracking Table'!$V494="By HSG",'BMP P Tracking Table'!$W494*VLOOKUP('BMP P Tracking Table'!$Q494,'Loading Rates'!$B$1:$L$24,6,FALSE)+'BMP P Tracking Table'!$X494*VLOOKUP('BMP P Tracking Table'!$Q494,'Loading Rates'!$B$1:$L$24,7,FALSE)+'BMP P Tracking Table'!$Y494*VLOOKUP('BMP P Tracking Table'!$Q494,'Loading Rates'!$B$1:$L$24,8,FALSE)+'BMP P Tracking Table'!$Z494*VLOOKUP('BMP P Tracking Table'!$Q494,'Loading Rates'!$B$1:$L$24,9,FALSE),'BMP P Tracking Table'!$AA494*VLOOKUP('BMP P Tracking Table'!$Q494,'Loading Rates'!$B$1:$L$24,10,FALSE)),'BMP P Tracking Table'!$AO494*VLOOKUP('BMP P Tracking Table'!$Q494,'Loading Rates'!$B$1:$L$24,4,FALSE)+IF('BMP P Tracking Table'!$AP494="By HSG",'BMP P Tracking Table'!$AQ494*VLOOKUP('BMP P Tracking Table'!$Q494,'Loading Rates'!$B$1:$L$24,6,FALSE)+'BMP P Tracking Table'!$AR494*VLOOKUP('BMP P Tracking Table'!$Q494,'Loading Rates'!$B$1:$L$24,7,FALSE)+'BMP P Tracking Table'!$AS494*VLOOKUP('BMP P Tracking Table'!$Q494,'Loading Rates'!$B$1:$L$24,8,FALSE)+'BMP P Tracking Table'!$AT494*VLOOKUP('BMP P Tracking Table'!$Q494,'Loading Rates'!$B$1:$L$24,9,FALSE),'BMP P Tracking Table'!$AU494*VLOOKUP('BMP P Tracking Table'!$Q494,'Loading Rates'!$B$1:$L$24,10,FALSE))),"")</f>
        <v/>
      </c>
      <c r="AZ494" s="101" t="str">
        <f>IFERROR(IF('BMP P Tracking Table'!$AL494="Yes",MIN(2,IF('BMP P Tracking Table'!$AP494="Total Pervious",(-(3630*'BMP P Tracking Table'!$AO494+20.691*'BMP P Tracking Table'!$AU494)+SQRT((3630*'BMP P Tracking Table'!$AO494+20.691*'BMP P Tracking Table'!$AU494)^2-(4*(996.798*'BMP P Tracking Table'!$AU494)*-'BMP P Tracking Table'!$AW494)))/(2*(996.798*'BMP P Tracking Table'!$AU494)),IF(SUM('BMP P Tracking Table'!$AQ494:$AT494)=0,'BMP P Tracking Table'!$AU494/(-3630*'BMP P Tracking Table'!$AO494),(-(3630*'BMP P Tracking Table'!$AO494+20.691*'BMP P Tracking Table'!$AT494-216.711*'BMP P Tracking Table'!$AS494-83.853*'BMP P Tracking Table'!$AR494-42.834*'BMP P Tracking Table'!$AQ494)+SQRT((3630*'BMP P Tracking Table'!$AO494+20.691*'BMP P Tracking Table'!$AT494-216.711*'BMP P Tracking Table'!$AS494-83.853*'BMP P Tracking Table'!$AR494-42.834*'BMP P Tracking Table'!$AQ494)^2-(4*(149.919*'BMP P Tracking Table'!$AQ494+236.676*'BMP P Tracking Table'!$AR494+726*'BMP P Tracking Table'!$AS494+996.798*'BMP P Tracking Table'!$AT494)*-'BMP P Tracking Table'!$AW494)))/(2*(149.919*'BMP P Tracking Table'!$AQ494+236.676*'BMP P Tracking Table'!$AR494+726*'BMP P Tracking Table'!$AS494+996.798*'BMP P Tracking Table'!$AT494))))),MIN(2,IF('BMP P Tracking Table'!$AP494="Total Pervious",(-(3630*'BMP P Tracking Table'!$U494+20.691*'BMP P Tracking Table'!$AA494)+SQRT((3630*'BMP P Tracking Table'!$U494+20.691*'BMP P Tracking Table'!$AA494)^2-(4*(996.798*'BMP P Tracking Table'!$AA494)*-'BMP P Tracking Table'!$AW494)))/(2*(996.798*'BMP P Tracking Table'!$AA494)),IF(SUM('BMP P Tracking Table'!$W494:$Z494)=0,'BMP P Tracking Table'!$AW494/(-3630*'BMP P Tracking Table'!$U494),(-(3630*'BMP P Tracking Table'!$U494+20.691*'BMP P Tracking Table'!$Z494-216.711*'BMP P Tracking Table'!$Y494-83.853*'BMP P Tracking Table'!$X494-42.834*'BMP P Tracking Table'!$W494)+SQRT((3630*'BMP P Tracking Table'!$U494+20.691*'BMP P Tracking Table'!$Z494-216.711*'BMP P Tracking Table'!$Y494-83.853*'BMP P Tracking Table'!$X494-42.834*'BMP P Tracking Table'!$W494)^2-(4*(149.919*'BMP P Tracking Table'!$W494+236.676*'BMP P Tracking Table'!$X494+726*'BMP P Tracking Table'!$Y494+996.798*'BMP P Tracking Table'!$Z494)*-'BMP P Tracking Table'!$AW494)))/(2*(149.919*'BMP P Tracking Table'!$W494+236.676*'BMP P Tracking Table'!$X494+726*'BMP P Tracking Table'!$Y494+996.798*'BMP P Tracking Table'!$Z494)))))),"")</f>
        <v/>
      </c>
      <c r="BA494" s="101" t="str">
        <f>IFERROR((VLOOKUP(CONCATENATE('BMP P Tracking Table'!$AV494," ",'BMP P Tracking Table'!$AX494),'Performance Curves'!$C$1:$L$45,MATCH('BMP P Tracking Table'!$AZ494,'Performance Curves'!$E$1:$L$1,1)+2,FALSE)-VLOOKUP(CONCATENATE('BMP P Tracking Table'!$AV494," ",'BMP P Tracking Table'!$AX494),'Performance Curves'!$C$1:$L$45,MATCH('BMP P Tracking Table'!$AZ494,'Performance Curves'!$E$1:$L$1,1)+1,FALSE)),"")</f>
        <v/>
      </c>
      <c r="BB494" s="101" t="str">
        <f>IFERROR(('BMP P Tracking Table'!$AZ494-INDEX('Performance Curves'!$E$1:$L$1,1,MATCH('BMP P Tracking Table'!$AZ494,'Performance Curves'!$E$1:$L$1,1)))/(INDEX('Performance Curves'!$E$1:$L$1,1,MATCH('BMP P Tracking Table'!$AZ494,'Performance Curves'!$E$1:$L$1,1)+1)-INDEX('Performance Curves'!$E$1:$L$1,1,MATCH('BMP P Tracking Table'!$AZ494,'Performance Curves'!$E$1:$L$1,1))),"")</f>
        <v/>
      </c>
      <c r="BC494" s="102" t="str">
        <f>IFERROR(IF('BMP P Tracking Table'!$AZ494=2,VLOOKUP(CONCATENATE('BMP P Tracking Table'!$AV494," ",'BMP P Tracking Table'!$AX494),'Performance Curves'!$C$1:$L$44,MATCH('BMP P Tracking Table'!$AZ494,'Performance Curves'!$E$1:$L$1,1)+1,FALSE),'BMP P Tracking Table'!$BA494*'BMP P Tracking Table'!$BB494+VLOOKUP(CONCATENATE('BMP P Tracking Table'!$AV494," ",'BMP P Tracking Table'!$AX494),'Performance Curves'!$C$1:$L$44,MATCH('BMP P Tracking Table'!$AZ494,'Performance Curves'!$E$1:$L$1,1)+1,FALSE)),"")</f>
        <v/>
      </c>
      <c r="BD494" s="101" t="str">
        <f>IFERROR('BMP P Tracking Table'!$BC494*'BMP P Tracking Table'!$AY494,"")</f>
        <v/>
      </c>
      <c r="BE494" s="96"/>
      <c r="BF494" s="37">
        <f t="shared" si="27"/>
        <v>0</v>
      </c>
    </row>
    <row r="495" spans="1:58" x14ac:dyDescent="0.3">
      <c r="A495" s="64"/>
      <c r="B495" s="64"/>
      <c r="C495" s="64"/>
      <c r="D495" s="64"/>
      <c r="E495" s="93"/>
      <c r="F495" s="93"/>
      <c r="G495" s="64"/>
      <c r="H495" s="64"/>
      <c r="I495" s="64"/>
      <c r="J495" s="94"/>
      <c r="K495" s="64"/>
      <c r="L495" s="64"/>
      <c r="M495" s="64"/>
      <c r="N495" s="64"/>
      <c r="O495" s="64"/>
      <c r="P495" s="64"/>
      <c r="Q495" s="64" t="str">
        <f>IFERROR(VLOOKUP('BMP P Tracking Table'!$P495,Dropdowns!$C$2:$E$15,3,FALSE),"")</f>
        <v/>
      </c>
      <c r="R495" s="64" t="str">
        <f>IFERROR(VLOOKUP('BMP P Tracking Table'!$Q495,Dropdowns!$P$3:$Q$23,2,FALSE),"")</f>
        <v/>
      </c>
      <c r="S495" s="64"/>
      <c r="T495" s="64"/>
      <c r="U495" s="64"/>
      <c r="V495" s="64"/>
      <c r="W495" s="64"/>
      <c r="X495" s="64"/>
      <c r="Y495" s="64"/>
      <c r="Z495" s="64"/>
      <c r="AA495" s="64"/>
      <c r="AB495" s="95"/>
      <c r="AC495" s="64"/>
      <c r="AD495" s="101" t="str">
        <f>IFERROR('BMP P Tracking Table'!$U495*VLOOKUP('BMP P Tracking Table'!$Q495,'Loading Rates'!$B$1:$L$24,4,FALSE)+IF('BMP P Tracking Table'!$V495="By HSG",'BMP P Tracking Table'!$W495*VLOOKUP('BMP P Tracking Table'!$Q495,'Loading Rates'!$B$1:$L$24,6,FALSE)+'BMP P Tracking Table'!$X495*VLOOKUP('BMP P Tracking Table'!$Q495,'Loading Rates'!$B$1:$L$24,7,FALSE)+'BMP P Tracking Table'!$Y495*VLOOKUP('BMP P Tracking Table'!$Q495,'Loading Rates'!$B$1:$L$24,8,FALSE)+'BMP P Tracking Table'!$Z495*VLOOKUP('BMP P Tracking Table'!$Q495,'Loading Rates'!$B$1:$L$24,9,FALSE),'BMP P Tracking Table'!$AA495*VLOOKUP('BMP P Tracking Table'!$Q495,'Loading Rates'!$B$1:$L$24,10,FALSE)),"")</f>
        <v/>
      </c>
      <c r="AE495" s="101" t="str">
        <f>IFERROR(MIN(2,IF('BMP P Tracking Table'!$V495="Total Pervious",(-(3630*'BMP P Tracking Table'!$U495+20.691*'BMP P Tracking Table'!$AA495)+SQRT((3630*'BMP P Tracking Table'!$U495+20.691*'BMP P Tracking Table'!$AA495)^2-(4*(996.798*'BMP P Tracking Table'!$AA495)*-'BMP P Tracking Table'!$AB495)))/(2*(996.798*'BMP P Tracking Table'!$AA495)),IF(SUM('BMP P Tracking Table'!$W495:$Z495)=0,'BMP P Tracking Table'!$AB495/(-3630*'BMP P Tracking Table'!$U495),(-(3630*'BMP P Tracking Table'!$U495+20.691*'BMP P Tracking Table'!$Z495-216.711*'BMP P Tracking Table'!$Y495-83.853*'BMP P Tracking Table'!$X495-42.834*'BMP P Tracking Table'!$W495)+SQRT((3630*'BMP P Tracking Table'!$U495+20.691*'BMP P Tracking Table'!$Z495-216.711*'BMP P Tracking Table'!$Y495-83.853*'BMP P Tracking Table'!$X495-42.834*'BMP P Tracking Table'!$W495)^2-(4*(149.919*'BMP P Tracking Table'!$W495+236.676*'BMP P Tracking Table'!$X495+726*'BMP P Tracking Table'!$Y495+996.798*'BMP P Tracking Table'!$Z495)*-'BMP P Tracking Table'!$AB495)))/(2*(149.919*'BMP P Tracking Table'!$W495+236.676*'BMP P Tracking Table'!$X495+726*'BMP P Tracking Table'!$Y495+996.798*'BMP P Tracking Table'!$Z495))))),"")</f>
        <v/>
      </c>
      <c r="AF495" s="101" t="str">
        <f>IFERROR((VLOOKUP(CONCATENATE('BMP P Tracking Table'!$T495," ",'BMP P Tracking Table'!$AC495),'Performance Curves'!$C$1:$L$45,MATCH('BMP P Tracking Table'!$AE495,'Performance Curves'!$E$1:$L$1,1)+2,FALSE)-VLOOKUP(CONCATENATE('BMP P Tracking Table'!$T495," ",'BMP P Tracking Table'!$AC495),'Performance Curves'!$C$1:$L$45,MATCH('BMP P Tracking Table'!$AE495,'Performance Curves'!$E$1:$L$1,1)+1,FALSE)),"")</f>
        <v/>
      </c>
      <c r="AG495" s="101" t="str">
        <f>IFERROR(('BMP P Tracking Table'!$AE495-INDEX('Performance Curves'!$E$1:$L$1,1,MATCH('BMP P Tracking Table'!$AE495,'Performance Curves'!$E$1:$L$1,1)))/(INDEX('Performance Curves'!$E$1:$L$1,1,MATCH('BMP P Tracking Table'!$AE495,'Performance Curves'!$E$1:$L$1,1)+1)-INDEX('Performance Curves'!$E$1:$L$1,1,MATCH('BMP P Tracking Table'!$AE495,'Performance Curves'!$E$1:$L$1,1))),"")</f>
        <v/>
      </c>
      <c r="AH495" s="102" t="str">
        <f>IFERROR(IF('BMP P Tracking Table'!$AE495=2,VLOOKUP(CONCATENATE('BMP P Tracking Table'!$T495," ",'BMP P Tracking Table'!$AC495),'Performance Curves'!$C$1:$L$45,MATCH('BMP P Tracking Table'!$AE495,'Performance Curves'!$E$1:$L$1,1)+1,FALSE),'BMP P Tracking Table'!$AF495*'BMP P Tracking Table'!$AG495+VLOOKUP(CONCATENATE('BMP P Tracking Table'!$T495," ",'BMP P Tracking Table'!$AC495),'Performance Curves'!$C$1:$L$45,MATCH('BMP P Tracking Table'!$AE495,'Performance Curves'!$E$1:$L$1,1)+1,FALSE)),"")</f>
        <v/>
      </c>
      <c r="AI495" s="101" t="str">
        <f>IFERROR('BMP P Tracking Table'!$AH495*'BMP P Tracking Table'!$AD495,"")</f>
        <v/>
      </c>
      <c r="AJ495" s="64"/>
      <c r="AK495" s="96"/>
      <c r="AL495" s="96"/>
      <c r="AM495" s="63"/>
      <c r="AN495" s="99" t="str">
        <f t="shared" si="26"/>
        <v/>
      </c>
      <c r="AO495" s="96"/>
      <c r="AP495" s="96"/>
      <c r="AQ495" s="96"/>
      <c r="AR495" s="96"/>
      <c r="AS495" s="96"/>
      <c r="AT495" s="96"/>
      <c r="AU495" s="96"/>
      <c r="AV495" s="64"/>
      <c r="AW495" s="97"/>
      <c r="AX495" s="97"/>
      <c r="AY495" s="101" t="str">
        <f>IF('BMP P Tracking Table'!$AK495="Yes",IF('BMP P Tracking Table'!$AL495="No",'BMP P Tracking Table'!$U495*VLOOKUP('BMP P Tracking Table'!$Q495,'Loading Rates'!$B$1:$L$24,4,FALSE)+IF('BMP P Tracking Table'!$V495="By HSG",'BMP P Tracking Table'!$W495*VLOOKUP('BMP P Tracking Table'!$Q495,'Loading Rates'!$B$1:$L$24,6,FALSE)+'BMP P Tracking Table'!$X495*VLOOKUP('BMP P Tracking Table'!$Q495,'Loading Rates'!$B$1:$L$24,7,FALSE)+'BMP P Tracking Table'!$Y495*VLOOKUP('BMP P Tracking Table'!$Q495,'Loading Rates'!$B$1:$L$24,8,FALSE)+'BMP P Tracking Table'!$Z495*VLOOKUP('BMP P Tracking Table'!$Q495,'Loading Rates'!$B$1:$L$24,9,FALSE),'BMP P Tracking Table'!$AA495*VLOOKUP('BMP P Tracking Table'!$Q495,'Loading Rates'!$B$1:$L$24,10,FALSE)),'BMP P Tracking Table'!$AO495*VLOOKUP('BMP P Tracking Table'!$Q495,'Loading Rates'!$B$1:$L$24,4,FALSE)+IF('BMP P Tracking Table'!$AP495="By HSG",'BMP P Tracking Table'!$AQ495*VLOOKUP('BMP P Tracking Table'!$Q495,'Loading Rates'!$B$1:$L$24,6,FALSE)+'BMP P Tracking Table'!$AR495*VLOOKUP('BMP P Tracking Table'!$Q495,'Loading Rates'!$B$1:$L$24,7,FALSE)+'BMP P Tracking Table'!$AS495*VLOOKUP('BMP P Tracking Table'!$Q495,'Loading Rates'!$B$1:$L$24,8,FALSE)+'BMP P Tracking Table'!$AT495*VLOOKUP('BMP P Tracking Table'!$Q495,'Loading Rates'!$B$1:$L$24,9,FALSE),'BMP P Tracking Table'!$AU495*VLOOKUP('BMP P Tracking Table'!$Q495,'Loading Rates'!$B$1:$L$24,10,FALSE))),"")</f>
        <v/>
      </c>
      <c r="AZ495" s="101" t="str">
        <f>IFERROR(IF('BMP P Tracking Table'!$AL495="Yes",MIN(2,IF('BMP P Tracking Table'!$AP495="Total Pervious",(-(3630*'BMP P Tracking Table'!$AO495+20.691*'BMP P Tracking Table'!$AU495)+SQRT((3630*'BMP P Tracking Table'!$AO495+20.691*'BMP P Tracking Table'!$AU495)^2-(4*(996.798*'BMP P Tracking Table'!$AU495)*-'BMP P Tracking Table'!$AW495)))/(2*(996.798*'BMP P Tracking Table'!$AU495)),IF(SUM('BMP P Tracking Table'!$AQ495:$AT495)=0,'BMP P Tracking Table'!$AU495/(-3630*'BMP P Tracking Table'!$AO495),(-(3630*'BMP P Tracking Table'!$AO495+20.691*'BMP P Tracking Table'!$AT495-216.711*'BMP P Tracking Table'!$AS495-83.853*'BMP P Tracking Table'!$AR495-42.834*'BMP P Tracking Table'!$AQ495)+SQRT((3630*'BMP P Tracking Table'!$AO495+20.691*'BMP P Tracking Table'!$AT495-216.711*'BMP P Tracking Table'!$AS495-83.853*'BMP P Tracking Table'!$AR495-42.834*'BMP P Tracking Table'!$AQ495)^2-(4*(149.919*'BMP P Tracking Table'!$AQ495+236.676*'BMP P Tracking Table'!$AR495+726*'BMP P Tracking Table'!$AS495+996.798*'BMP P Tracking Table'!$AT495)*-'BMP P Tracking Table'!$AW495)))/(2*(149.919*'BMP P Tracking Table'!$AQ495+236.676*'BMP P Tracking Table'!$AR495+726*'BMP P Tracking Table'!$AS495+996.798*'BMP P Tracking Table'!$AT495))))),MIN(2,IF('BMP P Tracking Table'!$AP495="Total Pervious",(-(3630*'BMP P Tracking Table'!$U495+20.691*'BMP P Tracking Table'!$AA495)+SQRT((3630*'BMP P Tracking Table'!$U495+20.691*'BMP P Tracking Table'!$AA495)^2-(4*(996.798*'BMP P Tracking Table'!$AA495)*-'BMP P Tracking Table'!$AW495)))/(2*(996.798*'BMP P Tracking Table'!$AA495)),IF(SUM('BMP P Tracking Table'!$W495:$Z495)=0,'BMP P Tracking Table'!$AW495/(-3630*'BMP P Tracking Table'!$U495),(-(3630*'BMP P Tracking Table'!$U495+20.691*'BMP P Tracking Table'!$Z495-216.711*'BMP P Tracking Table'!$Y495-83.853*'BMP P Tracking Table'!$X495-42.834*'BMP P Tracking Table'!$W495)+SQRT((3630*'BMP P Tracking Table'!$U495+20.691*'BMP P Tracking Table'!$Z495-216.711*'BMP P Tracking Table'!$Y495-83.853*'BMP P Tracking Table'!$X495-42.834*'BMP P Tracking Table'!$W495)^2-(4*(149.919*'BMP P Tracking Table'!$W495+236.676*'BMP P Tracking Table'!$X495+726*'BMP P Tracking Table'!$Y495+996.798*'BMP P Tracking Table'!$Z495)*-'BMP P Tracking Table'!$AW495)))/(2*(149.919*'BMP P Tracking Table'!$W495+236.676*'BMP P Tracking Table'!$X495+726*'BMP P Tracking Table'!$Y495+996.798*'BMP P Tracking Table'!$Z495)))))),"")</f>
        <v/>
      </c>
      <c r="BA495" s="101" t="str">
        <f>IFERROR((VLOOKUP(CONCATENATE('BMP P Tracking Table'!$AV495," ",'BMP P Tracking Table'!$AX495),'Performance Curves'!$C$1:$L$45,MATCH('BMP P Tracking Table'!$AZ495,'Performance Curves'!$E$1:$L$1,1)+2,FALSE)-VLOOKUP(CONCATENATE('BMP P Tracking Table'!$AV495," ",'BMP P Tracking Table'!$AX495),'Performance Curves'!$C$1:$L$45,MATCH('BMP P Tracking Table'!$AZ495,'Performance Curves'!$E$1:$L$1,1)+1,FALSE)),"")</f>
        <v/>
      </c>
      <c r="BB495" s="101" t="str">
        <f>IFERROR(('BMP P Tracking Table'!$AZ495-INDEX('Performance Curves'!$E$1:$L$1,1,MATCH('BMP P Tracking Table'!$AZ495,'Performance Curves'!$E$1:$L$1,1)))/(INDEX('Performance Curves'!$E$1:$L$1,1,MATCH('BMP P Tracking Table'!$AZ495,'Performance Curves'!$E$1:$L$1,1)+1)-INDEX('Performance Curves'!$E$1:$L$1,1,MATCH('BMP P Tracking Table'!$AZ495,'Performance Curves'!$E$1:$L$1,1))),"")</f>
        <v/>
      </c>
      <c r="BC495" s="102" t="str">
        <f>IFERROR(IF('BMP P Tracking Table'!$AZ495=2,VLOOKUP(CONCATENATE('BMP P Tracking Table'!$AV495," ",'BMP P Tracking Table'!$AX495),'Performance Curves'!$C$1:$L$44,MATCH('BMP P Tracking Table'!$AZ495,'Performance Curves'!$E$1:$L$1,1)+1,FALSE),'BMP P Tracking Table'!$BA495*'BMP P Tracking Table'!$BB495+VLOOKUP(CONCATENATE('BMP P Tracking Table'!$AV495," ",'BMP P Tracking Table'!$AX495),'Performance Curves'!$C$1:$L$44,MATCH('BMP P Tracking Table'!$AZ495,'Performance Curves'!$E$1:$L$1,1)+1,FALSE)),"")</f>
        <v/>
      </c>
      <c r="BD495" s="101" t="str">
        <f>IFERROR('BMP P Tracking Table'!$BC495*'BMP P Tracking Table'!$AY495,"")</f>
        <v/>
      </c>
      <c r="BE495" s="96"/>
      <c r="BF495" s="37">
        <f t="shared" si="27"/>
        <v>0</v>
      </c>
    </row>
    <row r="496" spans="1:58" x14ac:dyDescent="0.3">
      <c r="A496" s="64"/>
      <c r="B496" s="64"/>
      <c r="C496" s="64"/>
      <c r="D496" s="64"/>
      <c r="E496" s="93"/>
      <c r="F496" s="93"/>
      <c r="G496" s="64"/>
      <c r="H496" s="64"/>
      <c r="I496" s="64"/>
      <c r="J496" s="94"/>
      <c r="K496" s="64"/>
      <c r="L496" s="64"/>
      <c r="M496" s="64"/>
      <c r="N496" s="64"/>
      <c r="O496" s="64"/>
      <c r="P496" s="64"/>
      <c r="Q496" s="64" t="str">
        <f>IFERROR(VLOOKUP('BMP P Tracking Table'!$P496,Dropdowns!$C$2:$E$15,3,FALSE),"")</f>
        <v/>
      </c>
      <c r="R496" s="64" t="str">
        <f>IFERROR(VLOOKUP('BMP P Tracking Table'!$Q496,Dropdowns!$P$3:$Q$23,2,FALSE),"")</f>
        <v/>
      </c>
      <c r="S496" s="64"/>
      <c r="T496" s="64"/>
      <c r="U496" s="64"/>
      <c r="V496" s="64"/>
      <c r="W496" s="64"/>
      <c r="X496" s="64"/>
      <c r="Y496" s="64"/>
      <c r="Z496" s="64"/>
      <c r="AA496" s="64"/>
      <c r="AB496" s="95"/>
      <c r="AC496" s="64"/>
      <c r="AD496" s="101" t="str">
        <f>IFERROR('BMP P Tracking Table'!$U496*VLOOKUP('BMP P Tracking Table'!$Q496,'Loading Rates'!$B$1:$L$24,4,FALSE)+IF('BMP P Tracking Table'!$V496="By HSG",'BMP P Tracking Table'!$W496*VLOOKUP('BMP P Tracking Table'!$Q496,'Loading Rates'!$B$1:$L$24,6,FALSE)+'BMP P Tracking Table'!$X496*VLOOKUP('BMP P Tracking Table'!$Q496,'Loading Rates'!$B$1:$L$24,7,FALSE)+'BMP P Tracking Table'!$Y496*VLOOKUP('BMP P Tracking Table'!$Q496,'Loading Rates'!$B$1:$L$24,8,FALSE)+'BMP P Tracking Table'!$Z496*VLOOKUP('BMP P Tracking Table'!$Q496,'Loading Rates'!$B$1:$L$24,9,FALSE),'BMP P Tracking Table'!$AA496*VLOOKUP('BMP P Tracking Table'!$Q496,'Loading Rates'!$B$1:$L$24,10,FALSE)),"")</f>
        <v/>
      </c>
      <c r="AE496" s="101" t="str">
        <f>IFERROR(MIN(2,IF('BMP P Tracking Table'!$V496="Total Pervious",(-(3630*'BMP P Tracking Table'!$U496+20.691*'BMP P Tracking Table'!$AA496)+SQRT((3630*'BMP P Tracking Table'!$U496+20.691*'BMP P Tracking Table'!$AA496)^2-(4*(996.798*'BMP P Tracking Table'!$AA496)*-'BMP P Tracking Table'!$AB496)))/(2*(996.798*'BMP P Tracking Table'!$AA496)),IF(SUM('BMP P Tracking Table'!$W496:$Z496)=0,'BMP P Tracking Table'!$AB496/(-3630*'BMP P Tracking Table'!$U496),(-(3630*'BMP P Tracking Table'!$U496+20.691*'BMP P Tracking Table'!$Z496-216.711*'BMP P Tracking Table'!$Y496-83.853*'BMP P Tracking Table'!$X496-42.834*'BMP P Tracking Table'!$W496)+SQRT((3630*'BMP P Tracking Table'!$U496+20.691*'BMP P Tracking Table'!$Z496-216.711*'BMP P Tracking Table'!$Y496-83.853*'BMP P Tracking Table'!$X496-42.834*'BMP P Tracking Table'!$W496)^2-(4*(149.919*'BMP P Tracking Table'!$W496+236.676*'BMP P Tracking Table'!$X496+726*'BMP P Tracking Table'!$Y496+996.798*'BMP P Tracking Table'!$Z496)*-'BMP P Tracking Table'!$AB496)))/(2*(149.919*'BMP P Tracking Table'!$W496+236.676*'BMP P Tracking Table'!$X496+726*'BMP P Tracking Table'!$Y496+996.798*'BMP P Tracking Table'!$Z496))))),"")</f>
        <v/>
      </c>
      <c r="AF496" s="101" t="str">
        <f>IFERROR((VLOOKUP(CONCATENATE('BMP P Tracking Table'!$T496," ",'BMP P Tracking Table'!$AC496),'Performance Curves'!$C$1:$L$45,MATCH('BMP P Tracking Table'!$AE496,'Performance Curves'!$E$1:$L$1,1)+2,FALSE)-VLOOKUP(CONCATENATE('BMP P Tracking Table'!$T496," ",'BMP P Tracking Table'!$AC496),'Performance Curves'!$C$1:$L$45,MATCH('BMP P Tracking Table'!$AE496,'Performance Curves'!$E$1:$L$1,1)+1,FALSE)),"")</f>
        <v/>
      </c>
      <c r="AG496" s="101" t="str">
        <f>IFERROR(('BMP P Tracking Table'!$AE496-INDEX('Performance Curves'!$E$1:$L$1,1,MATCH('BMP P Tracking Table'!$AE496,'Performance Curves'!$E$1:$L$1,1)))/(INDEX('Performance Curves'!$E$1:$L$1,1,MATCH('BMP P Tracking Table'!$AE496,'Performance Curves'!$E$1:$L$1,1)+1)-INDEX('Performance Curves'!$E$1:$L$1,1,MATCH('BMP P Tracking Table'!$AE496,'Performance Curves'!$E$1:$L$1,1))),"")</f>
        <v/>
      </c>
      <c r="AH496" s="102" t="str">
        <f>IFERROR(IF('BMP P Tracking Table'!$AE496=2,VLOOKUP(CONCATENATE('BMP P Tracking Table'!$T496," ",'BMP P Tracking Table'!$AC496),'Performance Curves'!$C$1:$L$45,MATCH('BMP P Tracking Table'!$AE496,'Performance Curves'!$E$1:$L$1,1)+1,FALSE),'BMP P Tracking Table'!$AF496*'BMP P Tracking Table'!$AG496+VLOOKUP(CONCATENATE('BMP P Tracking Table'!$T496," ",'BMP P Tracking Table'!$AC496),'Performance Curves'!$C$1:$L$45,MATCH('BMP P Tracking Table'!$AE496,'Performance Curves'!$E$1:$L$1,1)+1,FALSE)),"")</f>
        <v/>
      </c>
      <c r="AI496" s="101" t="str">
        <f>IFERROR('BMP P Tracking Table'!$AH496*'BMP P Tracking Table'!$AD496,"")</f>
        <v/>
      </c>
      <c r="AJ496" s="64"/>
      <c r="AK496" s="96"/>
      <c r="AL496" s="96"/>
      <c r="AM496" s="63"/>
      <c r="AN496" s="99" t="str">
        <f t="shared" si="26"/>
        <v/>
      </c>
      <c r="AO496" s="96"/>
      <c r="AP496" s="96"/>
      <c r="AQ496" s="96"/>
      <c r="AR496" s="96"/>
      <c r="AS496" s="96"/>
      <c r="AT496" s="96"/>
      <c r="AU496" s="96"/>
      <c r="AV496" s="64"/>
      <c r="AW496" s="97"/>
      <c r="AX496" s="97"/>
      <c r="AY496" s="101" t="str">
        <f>IF('BMP P Tracking Table'!$AK496="Yes",IF('BMP P Tracking Table'!$AL496="No",'BMP P Tracking Table'!$U496*VLOOKUP('BMP P Tracking Table'!$Q496,'Loading Rates'!$B$1:$L$24,4,FALSE)+IF('BMP P Tracking Table'!$V496="By HSG",'BMP P Tracking Table'!$W496*VLOOKUP('BMP P Tracking Table'!$Q496,'Loading Rates'!$B$1:$L$24,6,FALSE)+'BMP P Tracking Table'!$X496*VLOOKUP('BMP P Tracking Table'!$Q496,'Loading Rates'!$B$1:$L$24,7,FALSE)+'BMP P Tracking Table'!$Y496*VLOOKUP('BMP P Tracking Table'!$Q496,'Loading Rates'!$B$1:$L$24,8,FALSE)+'BMP P Tracking Table'!$Z496*VLOOKUP('BMP P Tracking Table'!$Q496,'Loading Rates'!$B$1:$L$24,9,FALSE),'BMP P Tracking Table'!$AA496*VLOOKUP('BMP P Tracking Table'!$Q496,'Loading Rates'!$B$1:$L$24,10,FALSE)),'BMP P Tracking Table'!$AO496*VLOOKUP('BMP P Tracking Table'!$Q496,'Loading Rates'!$B$1:$L$24,4,FALSE)+IF('BMP P Tracking Table'!$AP496="By HSG",'BMP P Tracking Table'!$AQ496*VLOOKUP('BMP P Tracking Table'!$Q496,'Loading Rates'!$B$1:$L$24,6,FALSE)+'BMP P Tracking Table'!$AR496*VLOOKUP('BMP P Tracking Table'!$Q496,'Loading Rates'!$B$1:$L$24,7,FALSE)+'BMP P Tracking Table'!$AS496*VLOOKUP('BMP P Tracking Table'!$Q496,'Loading Rates'!$B$1:$L$24,8,FALSE)+'BMP P Tracking Table'!$AT496*VLOOKUP('BMP P Tracking Table'!$Q496,'Loading Rates'!$B$1:$L$24,9,FALSE),'BMP P Tracking Table'!$AU496*VLOOKUP('BMP P Tracking Table'!$Q496,'Loading Rates'!$B$1:$L$24,10,FALSE))),"")</f>
        <v/>
      </c>
      <c r="AZ496" s="101" t="str">
        <f>IFERROR(IF('BMP P Tracking Table'!$AL496="Yes",MIN(2,IF('BMP P Tracking Table'!$AP496="Total Pervious",(-(3630*'BMP P Tracking Table'!$AO496+20.691*'BMP P Tracking Table'!$AU496)+SQRT((3630*'BMP P Tracking Table'!$AO496+20.691*'BMP P Tracking Table'!$AU496)^2-(4*(996.798*'BMP P Tracking Table'!$AU496)*-'BMP P Tracking Table'!$AW496)))/(2*(996.798*'BMP P Tracking Table'!$AU496)),IF(SUM('BMP P Tracking Table'!$AQ496:$AT496)=0,'BMP P Tracking Table'!$AU496/(-3630*'BMP P Tracking Table'!$AO496),(-(3630*'BMP P Tracking Table'!$AO496+20.691*'BMP P Tracking Table'!$AT496-216.711*'BMP P Tracking Table'!$AS496-83.853*'BMP P Tracking Table'!$AR496-42.834*'BMP P Tracking Table'!$AQ496)+SQRT((3630*'BMP P Tracking Table'!$AO496+20.691*'BMP P Tracking Table'!$AT496-216.711*'BMP P Tracking Table'!$AS496-83.853*'BMP P Tracking Table'!$AR496-42.834*'BMP P Tracking Table'!$AQ496)^2-(4*(149.919*'BMP P Tracking Table'!$AQ496+236.676*'BMP P Tracking Table'!$AR496+726*'BMP P Tracking Table'!$AS496+996.798*'BMP P Tracking Table'!$AT496)*-'BMP P Tracking Table'!$AW496)))/(2*(149.919*'BMP P Tracking Table'!$AQ496+236.676*'BMP P Tracking Table'!$AR496+726*'BMP P Tracking Table'!$AS496+996.798*'BMP P Tracking Table'!$AT496))))),MIN(2,IF('BMP P Tracking Table'!$AP496="Total Pervious",(-(3630*'BMP P Tracking Table'!$U496+20.691*'BMP P Tracking Table'!$AA496)+SQRT((3630*'BMP P Tracking Table'!$U496+20.691*'BMP P Tracking Table'!$AA496)^2-(4*(996.798*'BMP P Tracking Table'!$AA496)*-'BMP P Tracking Table'!$AW496)))/(2*(996.798*'BMP P Tracking Table'!$AA496)),IF(SUM('BMP P Tracking Table'!$W496:$Z496)=0,'BMP P Tracking Table'!$AW496/(-3630*'BMP P Tracking Table'!$U496),(-(3630*'BMP P Tracking Table'!$U496+20.691*'BMP P Tracking Table'!$Z496-216.711*'BMP P Tracking Table'!$Y496-83.853*'BMP P Tracking Table'!$X496-42.834*'BMP P Tracking Table'!$W496)+SQRT((3630*'BMP P Tracking Table'!$U496+20.691*'BMP P Tracking Table'!$Z496-216.711*'BMP P Tracking Table'!$Y496-83.853*'BMP P Tracking Table'!$X496-42.834*'BMP P Tracking Table'!$W496)^2-(4*(149.919*'BMP P Tracking Table'!$W496+236.676*'BMP P Tracking Table'!$X496+726*'BMP P Tracking Table'!$Y496+996.798*'BMP P Tracking Table'!$Z496)*-'BMP P Tracking Table'!$AW496)))/(2*(149.919*'BMP P Tracking Table'!$W496+236.676*'BMP P Tracking Table'!$X496+726*'BMP P Tracking Table'!$Y496+996.798*'BMP P Tracking Table'!$Z496)))))),"")</f>
        <v/>
      </c>
      <c r="BA496" s="101" t="str">
        <f>IFERROR((VLOOKUP(CONCATENATE('BMP P Tracking Table'!$AV496," ",'BMP P Tracking Table'!$AX496),'Performance Curves'!$C$1:$L$45,MATCH('BMP P Tracking Table'!$AZ496,'Performance Curves'!$E$1:$L$1,1)+2,FALSE)-VLOOKUP(CONCATENATE('BMP P Tracking Table'!$AV496," ",'BMP P Tracking Table'!$AX496),'Performance Curves'!$C$1:$L$45,MATCH('BMP P Tracking Table'!$AZ496,'Performance Curves'!$E$1:$L$1,1)+1,FALSE)),"")</f>
        <v/>
      </c>
      <c r="BB496" s="101" t="str">
        <f>IFERROR(('BMP P Tracking Table'!$AZ496-INDEX('Performance Curves'!$E$1:$L$1,1,MATCH('BMP P Tracking Table'!$AZ496,'Performance Curves'!$E$1:$L$1,1)))/(INDEX('Performance Curves'!$E$1:$L$1,1,MATCH('BMP P Tracking Table'!$AZ496,'Performance Curves'!$E$1:$L$1,1)+1)-INDEX('Performance Curves'!$E$1:$L$1,1,MATCH('BMP P Tracking Table'!$AZ496,'Performance Curves'!$E$1:$L$1,1))),"")</f>
        <v/>
      </c>
      <c r="BC496" s="102" t="str">
        <f>IFERROR(IF('BMP P Tracking Table'!$AZ496=2,VLOOKUP(CONCATENATE('BMP P Tracking Table'!$AV496," ",'BMP P Tracking Table'!$AX496),'Performance Curves'!$C$1:$L$44,MATCH('BMP P Tracking Table'!$AZ496,'Performance Curves'!$E$1:$L$1,1)+1,FALSE),'BMP P Tracking Table'!$BA496*'BMP P Tracking Table'!$BB496+VLOOKUP(CONCATENATE('BMP P Tracking Table'!$AV496," ",'BMP P Tracking Table'!$AX496),'Performance Curves'!$C$1:$L$44,MATCH('BMP P Tracking Table'!$AZ496,'Performance Curves'!$E$1:$L$1,1)+1,FALSE)),"")</f>
        <v/>
      </c>
      <c r="BD496" s="101" t="str">
        <f>IFERROR('BMP P Tracking Table'!$BC496*'BMP P Tracking Table'!$AY496,"")</f>
        <v/>
      </c>
      <c r="BE496" s="96"/>
      <c r="BF496" s="37">
        <f t="shared" si="27"/>
        <v>0</v>
      </c>
    </row>
    <row r="497" spans="1:58" x14ac:dyDescent="0.3">
      <c r="A497" s="64"/>
      <c r="B497" s="64"/>
      <c r="C497" s="64"/>
      <c r="D497" s="64"/>
      <c r="E497" s="93"/>
      <c r="F497" s="93"/>
      <c r="G497" s="64"/>
      <c r="H497" s="64"/>
      <c r="I497" s="64"/>
      <c r="J497" s="94"/>
      <c r="K497" s="64"/>
      <c r="L497" s="64"/>
      <c r="M497" s="64"/>
      <c r="N497" s="64"/>
      <c r="O497" s="64"/>
      <c r="P497" s="64"/>
      <c r="Q497" s="64" t="str">
        <f>IFERROR(VLOOKUP('BMP P Tracking Table'!$P497,Dropdowns!$C$2:$E$15,3,FALSE),"")</f>
        <v/>
      </c>
      <c r="R497" s="64" t="str">
        <f>IFERROR(VLOOKUP('BMP P Tracking Table'!$Q497,Dropdowns!$P$3:$Q$23,2,FALSE),"")</f>
        <v/>
      </c>
      <c r="S497" s="64"/>
      <c r="T497" s="64"/>
      <c r="U497" s="64"/>
      <c r="V497" s="64"/>
      <c r="W497" s="64"/>
      <c r="X497" s="64"/>
      <c r="Y497" s="64"/>
      <c r="Z497" s="64"/>
      <c r="AA497" s="64"/>
      <c r="AB497" s="95"/>
      <c r="AC497" s="64"/>
      <c r="AD497" s="101" t="str">
        <f>IFERROR('BMP P Tracking Table'!$U497*VLOOKUP('BMP P Tracking Table'!$Q497,'Loading Rates'!$B$1:$L$24,4,FALSE)+IF('BMP P Tracking Table'!$V497="By HSG",'BMP P Tracking Table'!$W497*VLOOKUP('BMP P Tracking Table'!$Q497,'Loading Rates'!$B$1:$L$24,6,FALSE)+'BMP P Tracking Table'!$X497*VLOOKUP('BMP P Tracking Table'!$Q497,'Loading Rates'!$B$1:$L$24,7,FALSE)+'BMP P Tracking Table'!$Y497*VLOOKUP('BMP P Tracking Table'!$Q497,'Loading Rates'!$B$1:$L$24,8,FALSE)+'BMP P Tracking Table'!$Z497*VLOOKUP('BMP P Tracking Table'!$Q497,'Loading Rates'!$B$1:$L$24,9,FALSE),'BMP P Tracking Table'!$AA497*VLOOKUP('BMP P Tracking Table'!$Q497,'Loading Rates'!$B$1:$L$24,10,FALSE)),"")</f>
        <v/>
      </c>
      <c r="AE497" s="101" t="str">
        <f>IFERROR(MIN(2,IF('BMP P Tracking Table'!$V497="Total Pervious",(-(3630*'BMP P Tracking Table'!$U497+20.691*'BMP P Tracking Table'!$AA497)+SQRT((3630*'BMP P Tracking Table'!$U497+20.691*'BMP P Tracking Table'!$AA497)^2-(4*(996.798*'BMP P Tracking Table'!$AA497)*-'BMP P Tracking Table'!$AB497)))/(2*(996.798*'BMP P Tracking Table'!$AA497)),IF(SUM('BMP P Tracking Table'!$W497:$Z497)=0,'BMP P Tracking Table'!$AB497/(-3630*'BMP P Tracking Table'!$U497),(-(3630*'BMP P Tracking Table'!$U497+20.691*'BMP P Tracking Table'!$Z497-216.711*'BMP P Tracking Table'!$Y497-83.853*'BMP P Tracking Table'!$X497-42.834*'BMP P Tracking Table'!$W497)+SQRT((3630*'BMP P Tracking Table'!$U497+20.691*'BMP P Tracking Table'!$Z497-216.711*'BMP P Tracking Table'!$Y497-83.853*'BMP P Tracking Table'!$X497-42.834*'BMP P Tracking Table'!$W497)^2-(4*(149.919*'BMP P Tracking Table'!$W497+236.676*'BMP P Tracking Table'!$X497+726*'BMP P Tracking Table'!$Y497+996.798*'BMP P Tracking Table'!$Z497)*-'BMP P Tracking Table'!$AB497)))/(2*(149.919*'BMP P Tracking Table'!$W497+236.676*'BMP P Tracking Table'!$X497+726*'BMP P Tracking Table'!$Y497+996.798*'BMP P Tracking Table'!$Z497))))),"")</f>
        <v/>
      </c>
      <c r="AF497" s="101" t="str">
        <f>IFERROR((VLOOKUP(CONCATENATE('BMP P Tracking Table'!$T497," ",'BMP P Tracking Table'!$AC497),'Performance Curves'!$C$1:$L$45,MATCH('BMP P Tracking Table'!$AE497,'Performance Curves'!$E$1:$L$1,1)+2,FALSE)-VLOOKUP(CONCATENATE('BMP P Tracking Table'!$T497," ",'BMP P Tracking Table'!$AC497),'Performance Curves'!$C$1:$L$45,MATCH('BMP P Tracking Table'!$AE497,'Performance Curves'!$E$1:$L$1,1)+1,FALSE)),"")</f>
        <v/>
      </c>
      <c r="AG497" s="101" t="str">
        <f>IFERROR(('BMP P Tracking Table'!$AE497-INDEX('Performance Curves'!$E$1:$L$1,1,MATCH('BMP P Tracking Table'!$AE497,'Performance Curves'!$E$1:$L$1,1)))/(INDEX('Performance Curves'!$E$1:$L$1,1,MATCH('BMP P Tracking Table'!$AE497,'Performance Curves'!$E$1:$L$1,1)+1)-INDEX('Performance Curves'!$E$1:$L$1,1,MATCH('BMP P Tracking Table'!$AE497,'Performance Curves'!$E$1:$L$1,1))),"")</f>
        <v/>
      </c>
      <c r="AH497" s="102" t="str">
        <f>IFERROR(IF('BMP P Tracking Table'!$AE497=2,VLOOKUP(CONCATENATE('BMP P Tracking Table'!$T497," ",'BMP P Tracking Table'!$AC497),'Performance Curves'!$C$1:$L$45,MATCH('BMP P Tracking Table'!$AE497,'Performance Curves'!$E$1:$L$1,1)+1,FALSE),'BMP P Tracking Table'!$AF497*'BMP P Tracking Table'!$AG497+VLOOKUP(CONCATENATE('BMP P Tracking Table'!$T497," ",'BMP P Tracking Table'!$AC497),'Performance Curves'!$C$1:$L$45,MATCH('BMP P Tracking Table'!$AE497,'Performance Curves'!$E$1:$L$1,1)+1,FALSE)),"")</f>
        <v/>
      </c>
      <c r="AI497" s="101" t="str">
        <f>IFERROR('BMP P Tracking Table'!$AH497*'BMP P Tracking Table'!$AD497,"")</f>
        <v/>
      </c>
      <c r="AJ497" s="64"/>
      <c r="AK497" s="96"/>
      <c r="AL497" s="96"/>
      <c r="AM497" s="63"/>
      <c r="AN497" s="99" t="str">
        <f t="shared" si="26"/>
        <v/>
      </c>
      <c r="AO497" s="96"/>
      <c r="AP497" s="96"/>
      <c r="AQ497" s="96"/>
      <c r="AR497" s="96"/>
      <c r="AS497" s="96"/>
      <c r="AT497" s="96"/>
      <c r="AU497" s="96"/>
      <c r="AV497" s="64"/>
      <c r="AW497" s="97"/>
      <c r="AX497" s="97"/>
      <c r="AY497" s="101" t="str">
        <f>IF('BMP P Tracking Table'!$AK497="Yes",IF('BMP P Tracking Table'!$AL497="No",'BMP P Tracking Table'!$U497*VLOOKUP('BMP P Tracking Table'!$Q497,'Loading Rates'!$B$1:$L$24,4,FALSE)+IF('BMP P Tracking Table'!$V497="By HSG",'BMP P Tracking Table'!$W497*VLOOKUP('BMP P Tracking Table'!$Q497,'Loading Rates'!$B$1:$L$24,6,FALSE)+'BMP P Tracking Table'!$X497*VLOOKUP('BMP P Tracking Table'!$Q497,'Loading Rates'!$B$1:$L$24,7,FALSE)+'BMP P Tracking Table'!$Y497*VLOOKUP('BMP P Tracking Table'!$Q497,'Loading Rates'!$B$1:$L$24,8,FALSE)+'BMP P Tracking Table'!$Z497*VLOOKUP('BMP P Tracking Table'!$Q497,'Loading Rates'!$B$1:$L$24,9,FALSE),'BMP P Tracking Table'!$AA497*VLOOKUP('BMP P Tracking Table'!$Q497,'Loading Rates'!$B$1:$L$24,10,FALSE)),'BMP P Tracking Table'!$AO497*VLOOKUP('BMP P Tracking Table'!$Q497,'Loading Rates'!$B$1:$L$24,4,FALSE)+IF('BMP P Tracking Table'!$AP497="By HSG",'BMP P Tracking Table'!$AQ497*VLOOKUP('BMP P Tracking Table'!$Q497,'Loading Rates'!$B$1:$L$24,6,FALSE)+'BMP P Tracking Table'!$AR497*VLOOKUP('BMP P Tracking Table'!$Q497,'Loading Rates'!$B$1:$L$24,7,FALSE)+'BMP P Tracking Table'!$AS497*VLOOKUP('BMP P Tracking Table'!$Q497,'Loading Rates'!$B$1:$L$24,8,FALSE)+'BMP P Tracking Table'!$AT497*VLOOKUP('BMP P Tracking Table'!$Q497,'Loading Rates'!$B$1:$L$24,9,FALSE),'BMP P Tracking Table'!$AU497*VLOOKUP('BMP P Tracking Table'!$Q497,'Loading Rates'!$B$1:$L$24,10,FALSE))),"")</f>
        <v/>
      </c>
      <c r="AZ497" s="101" t="str">
        <f>IFERROR(IF('BMP P Tracking Table'!$AL497="Yes",MIN(2,IF('BMP P Tracking Table'!$AP497="Total Pervious",(-(3630*'BMP P Tracking Table'!$AO497+20.691*'BMP P Tracking Table'!$AU497)+SQRT((3630*'BMP P Tracking Table'!$AO497+20.691*'BMP P Tracking Table'!$AU497)^2-(4*(996.798*'BMP P Tracking Table'!$AU497)*-'BMP P Tracking Table'!$AW497)))/(2*(996.798*'BMP P Tracking Table'!$AU497)),IF(SUM('BMP P Tracking Table'!$AQ497:$AT497)=0,'BMP P Tracking Table'!$AU497/(-3630*'BMP P Tracking Table'!$AO497),(-(3630*'BMP P Tracking Table'!$AO497+20.691*'BMP P Tracking Table'!$AT497-216.711*'BMP P Tracking Table'!$AS497-83.853*'BMP P Tracking Table'!$AR497-42.834*'BMP P Tracking Table'!$AQ497)+SQRT((3630*'BMP P Tracking Table'!$AO497+20.691*'BMP P Tracking Table'!$AT497-216.711*'BMP P Tracking Table'!$AS497-83.853*'BMP P Tracking Table'!$AR497-42.834*'BMP P Tracking Table'!$AQ497)^2-(4*(149.919*'BMP P Tracking Table'!$AQ497+236.676*'BMP P Tracking Table'!$AR497+726*'BMP P Tracking Table'!$AS497+996.798*'BMP P Tracking Table'!$AT497)*-'BMP P Tracking Table'!$AW497)))/(2*(149.919*'BMP P Tracking Table'!$AQ497+236.676*'BMP P Tracking Table'!$AR497+726*'BMP P Tracking Table'!$AS497+996.798*'BMP P Tracking Table'!$AT497))))),MIN(2,IF('BMP P Tracking Table'!$AP497="Total Pervious",(-(3630*'BMP P Tracking Table'!$U497+20.691*'BMP P Tracking Table'!$AA497)+SQRT((3630*'BMP P Tracking Table'!$U497+20.691*'BMP P Tracking Table'!$AA497)^2-(4*(996.798*'BMP P Tracking Table'!$AA497)*-'BMP P Tracking Table'!$AW497)))/(2*(996.798*'BMP P Tracking Table'!$AA497)),IF(SUM('BMP P Tracking Table'!$W497:$Z497)=0,'BMP P Tracking Table'!$AW497/(-3630*'BMP P Tracking Table'!$U497),(-(3630*'BMP P Tracking Table'!$U497+20.691*'BMP P Tracking Table'!$Z497-216.711*'BMP P Tracking Table'!$Y497-83.853*'BMP P Tracking Table'!$X497-42.834*'BMP P Tracking Table'!$W497)+SQRT((3630*'BMP P Tracking Table'!$U497+20.691*'BMP P Tracking Table'!$Z497-216.711*'BMP P Tracking Table'!$Y497-83.853*'BMP P Tracking Table'!$X497-42.834*'BMP P Tracking Table'!$W497)^2-(4*(149.919*'BMP P Tracking Table'!$W497+236.676*'BMP P Tracking Table'!$X497+726*'BMP P Tracking Table'!$Y497+996.798*'BMP P Tracking Table'!$Z497)*-'BMP P Tracking Table'!$AW497)))/(2*(149.919*'BMP P Tracking Table'!$W497+236.676*'BMP P Tracking Table'!$X497+726*'BMP P Tracking Table'!$Y497+996.798*'BMP P Tracking Table'!$Z497)))))),"")</f>
        <v/>
      </c>
      <c r="BA497" s="101" t="str">
        <f>IFERROR((VLOOKUP(CONCATENATE('BMP P Tracking Table'!$AV497," ",'BMP P Tracking Table'!$AX497),'Performance Curves'!$C$1:$L$45,MATCH('BMP P Tracking Table'!$AZ497,'Performance Curves'!$E$1:$L$1,1)+2,FALSE)-VLOOKUP(CONCATENATE('BMP P Tracking Table'!$AV497," ",'BMP P Tracking Table'!$AX497),'Performance Curves'!$C$1:$L$45,MATCH('BMP P Tracking Table'!$AZ497,'Performance Curves'!$E$1:$L$1,1)+1,FALSE)),"")</f>
        <v/>
      </c>
      <c r="BB497" s="101" t="str">
        <f>IFERROR(('BMP P Tracking Table'!$AZ497-INDEX('Performance Curves'!$E$1:$L$1,1,MATCH('BMP P Tracking Table'!$AZ497,'Performance Curves'!$E$1:$L$1,1)))/(INDEX('Performance Curves'!$E$1:$L$1,1,MATCH('BMP P Tracking Table'!$AZ497,'Performance Curves'!$E$1:$L$1,1)+1)-INDEX('Performance Curves'!$E$1:$L$1,1,MATCH('BMP P Tracking Table'!$AZ497,'Performance Curves'!$E$1:$L$1,1))),"")</f>
        <v/>
      </c>
      <c r="BC497" s="102" t="str">
        <f>IFERROR(IF('BMP P Tracking Table'!$AZ497=2,VLOOKUP(CONCATENATE('BMP P Tracking Table'!$AV497," ",'BMP P Tracking Table'!$AX497),'Performance Curves'!$C$1:$L$44,MATCH('BMP P Tracking Table'!$AZ497,'Performance Curves'!$E$1:$L$1,1)+1,FALSE),'BMP P Tracking Table'!$BA497*'BMP P Tracking Table'!$BB497+VLOOKUP(CONCATENATE('BMP P Tracking Table'!$AV497," ",'BMP P Tracking Table'!$AX497),'Performance Curves'!$C$1:$L$44,MATCH('BMP P Tracking Table'!$AZ497,'Performance Curves'!$E$1:$L$1,1)+1,FALSE)),"")</f>
        <v/>
      </c>
      <c r="BD497" s="101" t="str">
        <f>IFERROR('BMP P Tracking Table'!$BC497*'BMP P Tracking Table'!$AY497,"")</f>
        <v/>
      </c>
      <c r="BE497" s="96"/>
      <c r="BF497" s="37">
        <f t="shared" si="27"/>
        <v>0</v>
      </c>
    </row>
    <row r="498" spans="1:58" x14ac:dyDescent="0.3">
      <c r="A498" s="64"/>
      <c r="B498" s="64"/>
      <c r="C498" s="64"/>
      <c r="D498" s="64"/>
      <c r="E498" s="93"/>
      <c r="F498" s="93"/>
      <c r="G498" s="64"/>
      <c r="H498" s="64"/>
      <c r="I498" s="64"/>
      <c r="J498" s="94"/>
      <c r="K498" s="64"/>
      <c r="L498" s="64"/>
      <c r="M498" s="64"/>
      <c r="N498" s="64"/>
      <c r="O498" s="64"/>
      <c r="P498" s="64"/>
      <c r="Q498" s="64" t="str">
        <f>IFERROR(VLOOKUP('BMP P Tracking Table'!$P498,Dropdowns!$C$2:$E$15,3,FALSE),"")</f>
        <v/>
      </c>
      <c r="R498" s="64" t="str">
        <f>IFERROR(VLOOKUP('BMP P Tracking Table'!$Q498,Dropdowns!$P$3:$Q$23,2,FALSE),"")</f>
        <v/>
      </c>
      <c r="S498" s="64"/>
      <c r="T498" s="64"/>
      <c r="U498" s="64"/>
      <c r="V498" s="64"/>
      <c r="W498" s="64"/>
      <c r="X498" s="64"/>
      <c r="Y498" s="64"/>
      <c r="Z498" s="64"/>
      <c r="AA498" s="64"/>
      <c r="AB498" s="95"/>
      <c r="AC498" s="64"/>
      <c r="AD498" s="101" t="str">
        <f>IFERROR('BMP P Tracking Table'!$U498*VLOOKUP('BMP P Tracking Table'!$Q498,'Loading Rates'!$B$1:$L$24,4,FALSE)+IF('BMP P Tracking Table'!$V498="By HSG",'BMP P Tracking Table'!$W498*VLOOKUP('BMP P Tracking Table'!$Q498,'Loading Rates'!$B$1:$L$24,6,FALSE)+'BMP P Tracking Table'!$X498*VLOOKUP('BMP P Tracking Table'!$Q498,'Loading Rates'!$B$1:$L$24,7,FALSE)+'BMP P Tracking Table'!$Y498*VLOOKUP('BMP P Tracking Table'!$Q498,'Loading Rates'!$B$1:$L$24,8,FALSE)+'BMP P Tracking Table'!$Z498*VLOOKUP('BMP P Tracking Table'!$Q498,'Loading Rates'!$B$1:$L$24,9,FALSE),'BMP P Tracking Table'!$AA498*VLOOKUP('BMP P Tracking Table'!$Q498,'Loading Rates'!$B$1:$L$24,10,FALSE)),"")</f>
        <v/>
      </c>
      <c r="AE498" s="101" t="str">
        <f>IFERROR(MIN(2,IF('BMP P Tracking Table'!$V498="Total Pervious",(-(3630*'BMP P Tracking Table'!$U498+20.691*'BMP P Tracking Table'!$AA498)+SQRT((3630*'BMP P Tracking Table'!$U498+20.691*'BMP P Tracking Table'!$AA498)^2-(4*(996.798*'BMP P Tracking Table'!$AA498)*-'BMP P Tracking Table'!$AB498)))/(2*(996.798*'BMP P Tracking Table'!$AA498)),IF(SUM('BMP P Tracking Table'!$W498:$Z498)=0,'BMP P Tracking Table'!$AB498/(-3630*'BMP P Tracking Table'!$U498),(-(3630*'BMP P Tracking Table'!$U498+20.691*'BMP P Tracking Table'!$Z498-216.711*'BMP P Tracking Table'!$Y498-83.853*'BMP P Tracking Table'!$X498-42.834*'BMP P Tracking Table'!$W498)+SQRT((3630*'BMP P Tracking Table'!$U498+20.691*'BMP P Tracking Table'!$Z498-216.711*'BMP P Tracking Table'!$Y498-83.853*'BMP P Tracking Table'!$X498-42.834*'BMP P Tracking Table'!$W498)^2-(4*(149.919*'BMP P Tracking Table'!$W498+236.676*'BMP P Tracking Table'!$X498+726*'BMP P Tracking Table'!$Y498+996.798*'BMP P Tracking Table'!$Z498)*-'BMP P Tracking Table'!$AB498)))/(2*(149.919*'BMP P Tracking Table'!$W498+236.676*'BMP P Tracking Table'!$X498+726*'BMP P Tracking Table'!$Y498+996.798*'BMP P Tracking Table'!$Z498))))),"")</f>
        <v/>
      </c>
      <c r="AF498" s="101" t="str">
        <f>IFERROR((VLOOKUP(CONCATENATE('BMP P Tracking Table'!$T498," ",'BMP P Tracking Table'!$AC498),'Performance Curves'!$C$1:$L$45,MATCH('BMP P Tracking Table'!$AE498,'Performance Curves'!$E$1:$L$1,1)+2,FALSE)-VLOOKUP(CONCATENATE('BMP P Tracking Table'!$T498," ",'BMP P Tracking Table'!$AC498),'Performance Curves'!$C$1:$L$45,MATCH('BMP P Tracking Table'!$AE498,'Performance Curves'!$E$1:$L$1,1)+1,FALSE)),"")</f>
        <v/>
      </c>
      <c r="AG498" s="101" t="str">
        <f>IFERROR(('BMP P Tracking Table'!$AE498-INDEX('Performance Curves'!$E$1:$L$1,1,MATCH('BMP P Tracking Table'!$AE498,'Performance Curves'!$E$1:$L$1,1)))/(INDEX('Performance Curves'!$E$1:$L$1,1,MATCH('BMP P Tracking Table'!$AE498,'Performance Curves'!$E$1:$L$1,1)+1)-INDEX('Performance Curves'!$E$1:$L$1,1,MATCH('BMP P Tracking Table'!$AE498,'Performance Curves'!$E$1:$L$1,1))),"")</f>
        <v/>
      </c>
      <c r="AH498" s="102" t="str">
        <f>IFERROR(IF('BMP P Tracking Table'!$AE498=2,VLOOKUP(CONCATENATE('BMP P Tracking Table'!$T498," ",'BMP P Tracking Table'!$AC498),'Performance Curves'!$C$1:$L$45,MATCH('BMP P Tracking Table'!$AE498,'Performance Curves'!$E$1:$L$1,1)+1,FALSE),'BMP P Tracking Table'!$AF498*'BMP P Tracking Table'!$AG498+VLOOKUP(CONCATENATE('BMP P Tracking Table'!$T498," ",'BMP P Tracking Table'!$AC498),'Performance Curves'!$C$1:$L$45,MATCH('BMP P Tracking Table'!$AE498,'Performance Curves'!$E$1:$L$1,1)+1,FALSE)),"")</f>
        <v/>
      </c>
      <c r="AI498" s="101" t="str">
        <f>IFERROR('BMP P Tracking Table'!$AH498*'BMP P Tracking Table'!$AD498,"")</f>
        <v/>
      </c>
      <c r="AJ498" s="64"/>
      <c r="AK498" s="96"/>
      <c r="AL498" s="96"/>
      <c r="AM498" s="63"/>
      <c r="AN498" s="99" t="str">
        <f t="shared" si="26"/>
        <v/>
      </c>
      <c r="AO498" s="96"/>
      <c r="AP498" s="96"/>
      <c r="AQ498" s="96"/>
      <c r="AR498" s="96"/>
      <c r="AS498" s="96"/>
      <c r="AT498" s="96"/>
      <c r="AU498" s="96"/>
      <c r="AV498" s="64"/>
      <c r="AW498" s="97"/>
      <c r="AX498" s="97"/>
      <c r="AY498" s="101" t="str">
        <f>IF('BMP P Tracking Table'!$AK498="Yes",IF('BMP P Tracking Table'!$AL498="No",'BMP P Tracking Table'!$U498*VLOOKUP('BMP P Tracking Table'!$Q498,'Loading Rates'!$B$1:$L$24,4,FALSE)+IF('BMP P Tracking Table'!$V498="By HSG",'BMP P Tracking Table'!$W498*VLOOKUP('BMP P Tracking Table'!$Q498,'Loading Rates'!$B$1:$L$24,6,FALSE)+'BMP P Tracking Table'!$X498*VLOOKUP('BMP P Tracking Table'!$Q498,'Loading Rates'!$B$1:$L$24,7,FALSE)+'BMP P Tracking Table'!$Y498*VLOOKUP('BMP P Tracking Table'!$Q498,'Loading Rates'!$B$1:$L$24,8,FALSE)+'BMP P Tracking Table'!$Z498*VLOOKUP('BMP P Tracking Table'!$Q498,'Loading Rates'!$B$1:$L$24,9,FALSE),'BMP P Tracking Table'!$AA498*VLOOKUP('BMP P Tracking Table'!$Q498,'Loading Rates'!$B$1:$L$24,10,FALSE)),'BMP P Tracking Table'!$AO498*VLOOKUP('BMP P Tracking Table'!$Q498,'Loading Rates'!$B$1:$L$24,4,FALSE)+IF('BMP P Tracking Table'!$AP498="By HSG",'BMP P Tracking Table'!$AQ498*VLOOKUP('BMP P Tracking Table'!$Q498,'Loading Rates'!$B$1:$L$24,6,FALSE)+'BMP P Tracking Table'!$AR498*VLOOKUP('BMP P Tracking Table'!$Q498,'Loading Rates'!$B$1:$L$24,7,FALSE)+'BMP P Tracking Table'!$AS498*VLOOKUP('BMP P Tracking Table'!$Q498,'Loading Rates'!$B$1:$L$24,8,FALSE)+'BMP P Tracking Table'!$AT498*VLOOKUP('BMP P Tracking Table'!$Q498,'Loading Rates'!$B$1:$L$24,9,FALSE),'BMP P Tracking Table'!$AU498*VLOOKUP('BMP P Tracking Table'!$Q498,'Loading Rates'!$B$1:$L$24,10,FALSE))),"")</f>
        <v/>
      </c>
      <c r="AZ498" s="101" t="str">
        <f>IFERROR(IF('BMP P Tracking Table'!$AL498="Yes",MIN(2,IF('BMP P Tracking Table'!$AP498="Total Pervious",(-(3630*'BMP P Tracking Table'!$AO498+20.691*'BMP P Tracking Table'!$AU498)+SQRT((3630*'BMP P Tracking Table'!$AO498+20.691*'BMP P Tracking Table'!$AU498)^2-(4*(996.798*'BMP P Tracking Table'!$AU498)*-'BMP P Tracking Table'!$AW498)))/(2*(996.798*'BMP P Tracking Table'!$AU498)),IF(SUM('BMP P Tracking Table'!$AQ498:$AT498)=0,'BMP P Tracking Table'!$AU498/(-3630*'BMP P Tracking Table'!$AO498),(-(3630*'BMP P Tracking Table'!$AO498+20.691*'BMP P Tracking Table'!$AT498-216.711*'BMP P Tracking Table'!$AS498-83.853*'BMP P Tracking Table'!$AR498-42.834*'BMP P Tracking Table'!$AQ498)+SQRT((3630*'BMP P Tracking Table'!$AO498+20.691*'BMP P Tracking Table'!$AT498-216.711*'BMP P Tracking Table'!$AS498-83.853*'BMP P Tracking Table'!$AR498-42.834*'BMP P Tracking Table'!$AQ498)^2-(4*(149.919*'BMP P Tracking Table'!$AQ498+236.676*'BMP P Tracking Table'!$AR498+726*'BMP P Tracking Table'!$AS498+996.798*'BMP P Tracking Table'!$AT498)*-'BMP P Tracking Table'!$AW498)))/(2*(149.919*'BMP P Tracking Table'!$AQ498+236.676*'BMP P Tracking Table'!$AR498+726*'BMP P Tracking Table'!$AS498+996.798*'BMP P Tracking Table'!$AT498))))),MIN(2,IF('BMP P Tracking Table'!$AP498="Total Pervious",(-(3630*'BMP P Tracking Table'!$U498+20.691*'BMP P Tracking Table'!$AA498)+SQRT((3630*'BMP P Tracking Table'!$U498+20.691*'BMP P Tracking Table'!$AA498)^2-(4*(996.798*'BMP P Tracking Table'!$AA498)*-'BMP P Tracking Table'!$AW498)))/(2*(996.798*'BMP P Tracking Table'!$AA498)),IF(SUM('BMP P Tracking Table'!$W498:$Z498)=0,'BMP P Tracking Table'!$AW498/(-3630*'BMP P Tracking Table'!$U498),(-(3630*'BMP P Tracking Table'!$U498+20.691*'BMP P Tracking Table'!$Z498-216.711*'BMP P Tracking Table'!$Y498-83.853*'BMP P Tracking Table'!$X498-42.834*'BMP P Tracking Table'!$W498)+SQRT((3630*'BMP P Tracking Table'!$U498+20.691*'BMP P Tracking Table'!$Z498-216.711*'BMP P Tracking Table'!$Y498-83.853*'BMP P Tracking Table'!$X498-42.834*'BMP P Tracking Table'!$W498)^2-(4*(149.919*'BMP P Tracking Table'!$W498+236.676*'BMP P Tracking Table'!$X498+726*'BMP P Tracking Table'!$Y498+996.798*'BMP P Tracking Table'!$Z498)*-'BMP P Tracking Table'!$AW498)))/(2*(149.919*'BMP P Tracking Table'!$W498+236.676*'BMP P Tracking Table'!$X498+726*'BMP P Tracking Table'!$Y498+996.798*'BMP P Tracking Table'!$Z498)))))),"")</f>
        <v/>
      </c>
      <c r="BA498" s="101" t="str">
        <f>IFERROR((VLOOKUP(CONCATENATE('BMP P Tracking Table'!$AV498," ",'BMP P Tracking Table'!$AX498),'Performance Curves'!$C$1:$L$45,MATCH('BMP P Tracking Table'!$AZ498,'Performance Curves'!$E$1:$L$1,1)+2,FALSE)-VLOOKUP(CONCATENATE('BMP P Tracking Table'!$AV498," ",'BMP P Tracking Table'!$AX498),'Performance Curves'!$C$1:$L$45,MATCH('BMP P Tracking Table'!$AZ498,'Performance Curves'!$E$1:$L$1,1)+1,FALSE)),"")</f>
        <v/>
      </c>
      <c r="BB498" s="101" t="str">
        <f>IFERROR(('BMP P Tracking Table'!$AZ498-INDEX('Performance Curves'!$E$1:$L$1,1,MATCH('BMP P Tracking Table'!$AZ498,'Performance Curves'!$E$1:$L$1,1)))/(INDEX('Performance Curves'!$E$1:$L$1,1,MATCH('BMP P Tracking Table'!$AZ498,'Performance Curves'!$E$1:$L$1,1)+1)-INDEX('Performance Curves'!$E$1:$L$1,1,MATCH('BMP P Tracking Table'!$AZ498,'Performance Curves'!$E$1:$L$1,1))),"")</f>
        <v/>
      </c>
      <c r="BC498" s="102" t="str">
        <f>IFERROR(IF('BMP P Tracking Table'!$AZ498=2,VLOOKUP(CONCATENATE('BMP P Tracking Table'!$AV498," ",'BMP P Tracking Table'!$AX498),'Performance Curves'!$C$1:$L$44,MATCH('BMP P Tracking Table'!$AZ498,'Performance Curves'!$E$1:$L$1,1)+1,FALSE),'BMP P Tracking Table'!$BA498*'BMP P Tracking Table'!$BB498+VLOOKUP(CONCATENATE('BMP P Tracking Table'!$AV498," ",'BMP P Tracking Table'!$AX498),'Performance Curves'!$C$1:$L$44,MATCH('BMP P Tracking Table'!$AZ498,'Performance Curves'!$E$1:$L$1,1)+1,FALSE)),"")</f>
        <v/>
      </c>
      <c r="BD498" s="101" t="str">
        <f>IFERROR('BMP P Tracking Table'!$BC498*'BMP P Tracking Table'!$AY498,"")</f>
        <v/>
      </c>
      <c r="BE498" s="96"/>
      <c r="BF498" s="37">
        <f t="shared" si="27"/>
        <v>0</v>
      </c>
    </row>
    <row r="499" spans="1:58" x14ac:dyDescent="0.3">
      <c r="A499" s="64"/>
      <c r="B499" s="64"/>
      <c r="C499" s="64"/>
      <c r="D499" s="64"/>
      <c r="E499" s="93"/>
      <c r="F499" s="93"/>
      <c r="G499" s="64"/>
      <c r="H499" s="64"/>
      <c r="I499" s="64"/>
      <c r="J499" s="94"/>
      <c r="K499" s="64"/>
      <c r="L499" s="64"/>
      <c r="M499" s="64"/>
      <c r="N499" s="64"/>
      <c r="O499" s="64"/>
      <c r="P499" s="64"/>
      <c r="Q499" s="64" t="str">
        <f>IFERROR(VLOOKUP('BMP P Tracking Table'!$P499,Dropdowns!$C$2:$E$15,3,FALSE),"")</f>
        <v/>
      </c>
      <c r="R499" s="64" t="str">
        <f>IFERROR(VLOOKUP('BMP P Tracking Table'!$Q499,Dropdowns!$P$3:$Q$23,2,FALSE),"")</f>
        <v/>
      </c>
      <c r="S499" s="64"/>
      <c r="T499" s="64"/>
      <c r="U499" s="64"/>
      <c r="V499" s="64"/>
      <c r="W499" s="64"/>
      <c r="X499" s="64"/>
      <c r="Y499" s="64"/>
      <c r="Z499" s="64"/>
      <c r="AA499" s="64"/>
      <c r="AB499" s="95"/>
      <c r="AC499" s="64"/>
      <c r="AD499" s="101" t="str">
        <f>IFERROR('BMP P Tracking Table'!$U499*VLOOKUP('BMP P Tracking Table'!$Q499,'Loading Rates'!$B$1:$L$24,4,FALSE)+IF('BMP P Tracking Table'!$V499="By HSG",'BMP P Tracking Table'!$W499*VLOOKUP('BMP P Tracking Table'!$Q499,'Loading Rates'!$B$1:$L$24,6,FALSE)+'BMP P Tracking Table'!$X499*VLOOKUP('BMP P Tracking Table'!$Q499,'Loading Rates'!$B$1:$L$24,7,FALSE)+'BMP P Tracking Table'!$Y499*VLOOKUP('BMP P Tracking Table'!$Q499,'Loading Rates'!$B$1:$L$24,8,FALSE)+'BMP P Tracking Table'!$Z499*VLOOKUP('BMP P Tracking Table'!$Q499,'Loading Rates'!$B$1:$L$24,9,FALSE),'BMP P Tracking Table'!$AA499*VLOOKUP('BMP P Tracking Table'!$Q499,'Loading Rates'!$B$1:$L$24,10,FALSE)),"")</f>
        <v/>
      </c>
      <c r="AE499" s="101" t="str">
        <f>IFERROR(MIN(2,IF('BMP P Tracking Table'!$V499="Total Pervious",(-(3630*'BMP P Tracking Table'!$U499+20.691*'BMP P Tracking Table'!$AA499)+SQRT((3630*'BMP P Tracking Table'!$U499+20.691*'BMP P Tracking Table'!$AA499)^2-(4*(996.798*'BMP P Tracking Table'!$AA499)*-'BMP P Tracking Table'!$AB499)))/(2*(996.798*'BMP P Tracking Table'!$AA499)),IF(SUM('BMP P Tracking Table'!$W499:$Z499)=0,'BMP P Tracking Table'!$AB499/(-3630*'BMP P Tracking Table'!$U499),(-(3630*'BMP P Tracking Table'!$U499+20.691*'BMP P Tracking Table'!$Z499-216.711*'BMP P Tracking Table'!$Y499-83.853*'BMP P Tracking Table'!$X499-42.834*'BMP P Tracking Table'!$W499)+SQRT((3630*'BMP P Tracking Table'!$U499+20.691*'BMP P Tracking Table'!$Z499-216.711*'BMP P Tracking Table'!$Y499-83.853*'BMP P Tracking Table'!$X499-42.834*'BMP P Tracking Table'!$W499)^2-(4*(149.919*'BMP P Tracking Table'!$W499+236.676*'BMP P Tracking Table'!$X499+726*'BMP P Tracking Table'!$Y499+996.798*'BMP P Tracking Table'!$Z499)*-'BMP P Tracking Table'!$AB499)))/(2*(149.919*'BMP P Tracking Table'!$W499+236.676*'BMP P Tracking Table'!$X499+726*'BMP P Tracking Table'!$Y499+996.798*'BMP P Tracking Table'!$Z499))))),"")</f>
        <v/>
      </c>
      <c r="AF499" s="101" t="str">
        <f>IFERROR((VLOOKUP(CONCATENATE('BMP P Tracking Table'!$T499," ",'BMP P Tracking Table'!$AC499),'Performance Curves'!$C$1:$L$45,MATCH('BMP P Tracking Table'!$AE499,'Performance Curves'!$E$1:$L$1,1)+2,FALSE)-VLOOKUP(CONCATENATE('BMP P Tracking Table'!$T499," ",'BMP P Tracking Table'!$AC499),'Performance Curves'!$C$1:$L$45,MATCH('BMP P Tracking Table'!$AE499,'Performance Curves'!$E$1:$L$1,1)+1,FALSE)),"")</f>
        <v/>
      </c>
      <c r="AG499" s="101" t="str">
        <f>IFERROR(('BMP P Tracking Table'!$AE499-INDEX('Performance Curves'!$E$1:$L$1,1,MATCH('BMP P Tracking Table'!$AE499,'Performance Curves'!$E$1:$L$1,1)))/(INDEX('Performance Curves'!$E$1:$L$1,1,MATCH('BMP P Tracking Table'!$AE499,'Performance Curves'!$E$1:$L$1,1)+1)-INDEX('Performance Curves'!$E$1:$L$1,1,MATCH('BMP P Tracking Table'!$AE499,'Performance Curves'!$E$1:$L$1,1))),"")</f>
        <v/>
      </c>
      <c r="AH499" s="102" t="str">
        <f>IFERROR(IF('BMP P Tracking Table'!$AE499=2,VLOOKUP(CONCATENATE('BMP P Tracking Table'!$T499," ",'BMP P Tracking Table'!$AC499),'Performance Curves'!$C$1:$L$45,MATCH('BMP P Tracking Table'!$AE499,'Performance Curves'!$E$1:$L$1,1)+1,FALSE),'BMP P Tracking Table'!$AF499*'BMP P Tracking Table'!$AG499+VLOOKUP(CONCATENATE('BMP P Tracking Table'!$T499," ",'BMP P Tracking Table'!$AC499),'Performance Curves'!$C$1:$L$45,MATCH('BMP P Tracking Table'!$AE499,'Performance Curves'!$E$1:$L$1,1)+1,FALSE)),"")</f>
        <v/>
      </c>
      <c r="AI499" s="101" t="str">
        <f>IFERROR('BMP P Tracking Table'!$AH499*'BMP P Tracking Table'!$AD499,"")</f>
        <v/>
      </c>
      <c r="AJ499" s="64"/>
      <c r="AK499" s="96"/>
      <c r="AL499" s="96"/>
      <c r="AM499" s="63"/>
      <c r="AN499" s="99" t="str">
        <f t="shared" si="26"/>
        <v/>
      </c>
      <c r="AO499" s="96"/>
      <c r="AP499" s="96"/>
      <c r="AQ499" s="96"/>
      <c r="AR499" s="96"/>
      <c r="AS499" s="96"/>
      <c r="AT499" s="96"/>
      <c r="AU499" s="96"/>
      <c r="AV499" s="64"/>
      <c r="AW499" s="97"/>
      <c r="AX499" s="97"/>
      <c r="AY499" s="101" t="str">
        <f>IF('BMP P Tracking Table'!$AK499="Yes",IF('BMP P Tracking Table'!$AL499="No",'BMP P Tracking Table'!$U499*VLOOKUP('BMP P Tracking Table'!$Q499,'Loading Rates'!$B$1:$L$24,4,FALSE)+IF('BMP P Tracking Table'!$V499="By HSG",'BMP P Tracking Table'!$W499*VLOOKUP('BMP P Tracking Table'!$Q499,'Loading Rates'!$B$1:$L$24,6,FALSE)+'BMP P Tracking Table'!$X499*VLOOKUP('BMP P Tracking Table'!$Q499,'Loading Rates'!$B$1:$L$24,7,FALSE)+'BMP P Tracking Table'!$Y499*VLOOKUP('BMP P Tracking Table'!$Q499,'Loading Rates'!$B$1:$L$24,8,FALSE)+'BMP P Tracking Table'!$Z499*VLOOKUP('BMP P Tracking Table'!$Q499,'Loading Rates'!$B$1:$L$24,9,FALSE),'BMP P Tracking Table'!$AA499*VLOOKUP('BMP P Tracking Table'!$Q499,'Loading Rates'!$B$1:$L$24,10,FALSE)),'BMP P Tracking Table'!$AO499*VLOOKUP('BMP P Tracking Table'!$Q499,'Loading Rates'!$B$1:$L$24,4,FALSE)+IF('BMP P Tracking Table'!$AP499="By HSG",'BMP P Tracking Table'!$AQ499*VLOOKUP('BMP P Tracking Table'!$Q499,'Loading Rates'!$B$1:$L$24,6,FALSE)+'BMP P Tracking Table'!$AR499*VLOOKUP('BMP P Tracking Table'!$Q499,'Loading Rates'!$B$1:$L$24,7,FALSE)+'BMP P Tracking Table'!$AS499*VLOOKUP('BMP P Tracking Table'!$Q499,'Loading Rates'!$B$1:$L$24,8,FALSE)+'BMP P Tracking Table'!$AT499*VLOOKUP('BMP P Tracking Table'!$Q499,'Loading Rates'!$B$1:$L$24,9,FALSE),'BMP P Tracking Table'!$AU499*VLOOKUP('BMP P Tracking Table'!$Q499,'Loading Rates'!$B$1:$L$24,10,FALSE))),"")</f>
        <v/>
      </c>
      <c r="AZ499" s="101" t="str">
        <f>IFERROR(IF('BMP P Tracking Table'!$AL499="Yes",MIN(2,IF('BMP P Tracking Table'!$AP499="Total Pervious",(-(3630*'BMP P Tracking Table'!$AO499+20.691*'BMP P Tracking Table'!$AU499)+SQRT((3630*'BMP P Tracking Table'!$AO499+20.691*'BMP P Tracking Table'!$AU499)^2-(4*(996.798*'BMP P Tracking Table'!$AU499)*-'BMP P Tracking Table'!$AW499)))/(2*(996.798*'BMP P Tracking Table'!$AU499)),IF(SUM('BMP P Tracking Table'!$AQ499:$AT499)=0,'BMP P Tracking Table'!$AU499/(-3630*'BMP P Tracking Table'!$AO499),(-(3630*'BMP P Tracking Table'!$AO499+20.691*'BMP P Tracking Table'!$AT499-216.711*'BMP P Tracking Table'!$AS499-83.853*'BMP P Tracking Table'!$AR499-42.834*'BMP P Tracking Table'!$AQ499)+SQRT((3630*'BMP P Tracking Table'!$AO499+20.691*'BMP P Tracking Table'!$AT499-216.711*'BMP P Tracking Table'!$AS499-83.853*'BMP P Tracking Table'!$AR499-42.834*'BMP P Tracking Table'!$AQ499)^2-(4*(149.919*'BMP P Tracking Table'!$AQ499+236.676*'BMP P Tracking Table'!$AR499+726*'BMP P Tracking Table'!$AS499+996.798*'BMP P Tracking Table'!$AT499)*-'BMP P Tracking Table'!$AW499)))/(2*(149.919*'BMP P Tracking Table'!$AQ499+236.676*'BMP P Tracking Table'!$AR499+726*'BMP P Tracking Table'!$AS499+996.798*'BMP P Tracking Table'!$AT499))))),MIN(2,IF('BMP P Tracking Table'!$AP499="Total Pervious",(-(3630*'BMP P Tracking Table'!$U499+20.691*'BMP P Tracking Table'!$AA499)+SQRT((3630*'BMP P Tracking Table'!$U499+20.691*'BMP P Tracking Table'!$AA499)^2-(4*(996.798*'BMP P Tracking Table'!$AA499)*-'BMP P Tracking Table'!$AW499)))/(2*(996.798*'BMP P Tracking Table'!$AA499)),IF(SUM('BMP P Tracking Table'!$W499:$Z499)=0,'BMP P Tracking Table'!$AW499/(-3630*'BMP P Tracking Table'!$U499),(-(3630*'BMP P Tracking Table'!$U499+20.691*'BMP P Tracking Table'!$Z499-216.711*'BMP P Tracking Table'!$Y499-83.853*'BMP P Tracking Table'!$X499-42.834*'BMP P Tracking Table'!$W499)+SQRT((3630*'BMP P Tracking Table'!$U499+20.691*'BMP P Tracking Table'!$Z499-216.711*'BMP P Tracking Table'!$Y499-83.853*'BMP P Tracking Table'!$X499-42.834*'BMP P Tracking Table'!$W499)^2-(4*(149.919*'BMP P Tracking Table'!$W499+236.676*'BMP P Tracking Table'!$X499+726*'BMP P Tracking Table'!$Y499+996.798*'BMP P Tracking Table'!$Z499)*-'BMP P Tracking Table'!$AW499)))/(2*(149.919*'BMP P Tracking Table'!$W499+236.676*'BMP P Tracking Table'!$X499+726*'BMP P Tracking Table'!$Y499+996.798*'BMP P Tracking Table'!$Z499)))))),"")</f>
        <v/>
      </c>
      <c r="BA499" s="101" t="str">
        <f>IFERROR((VLOOKUP(CONCATENATE('BMP P Tracking Table'!$AV499," ",'BMP P Tracking Table'!$AX499),'Performance Curves'!$C$1:$L$45,MATCH('BMP P Tracking Table'!$AZ499,'Performance Curves'!$E$1:$L$1,1)+2,FALSE)-VLOOKUP(CONCATENATE('BMP P Tracking Table'!$AV499," ",'BMP P Tracking Table'!$AX499),'Performance Curves'!$C$1:$L$45,MATCH('BMP P Tracking Table'!$AZ499,'Performance Curves'!$E$1:$L$1,1)+1,FALSE)),"")</f>
        <v/>
      </c>
      <c r="BB499" s="101" t="str">
        <f>IFERROR(('BMP P Tracking Table'!$AZ499-INDEX('Performance Curves'!$E$1:$L$1,1,MATCH('BMP P Tracking Table'!$AZ499,'Performance Curves'!$E$1:$L$1,1)))/(INDEX('Performance Curves'!$E$1:$L$1,1,MATCH('BMP P Tracking Table'!$AZ499,'Performance Curves'!$E$1:$L$1,1)+1)-INDEX('Performance Curves'!$E$1:$L$1,1,MATCH('BMP P Tracking Table'!$AZ499,'Performance Curves'!$E$1:$L$1,1))),"")</f>
        <v/>
      </c>
      <c r="BC499" s="102" t="str">
        <f>IFERROR(IF('BMP P Tracking Table'!$AZ499=2,VLOOKUP(CONCATENATE('BMP P Tracking Table'!$AV499," ",'BMP P Tracking Table'!$AX499),'Performance Curves'!$C$1:$L$44,MATCH('BMP P Tracking Table'!$AZ499,'Performance Curves'!$E$1:$L$1,1)+1,FALSE),'BMP P Tracking Table'!$BA499*'BMP P Tracking Table'!$BB499+VLOOKUP(CONCATENATE('BMP P Tracking Table'!$AV499," ",'BMP P Tracking Table'!$AX499),'Performance Curves'!$C$1:$L$44,MATCH('BMP P Tracking Table'!$AZ499,'Performance Curves'!$E$1:$L$1,1)+1,FALSE)),"")</f>
        <v/>
      </c>
      <c r="BD499" s="101" t="str">
        <f>IFERROR('BMP P Tracking Table'!$BC499*'BMP P Tracking Table'!$AY499,"")</f>
        <v/>
      </c>
      <c r="BE499" s="96"/>
      <c r="BF499" s="37">
        <f t="shared" si="27"/>
        <v>0</v>
      </c>
    </row>
    <row r="500" spans="1:58" x14ac:dyDescent="0.3">
      <c r="A500" s="64"/>
      <c r="B500" s="64"/>
      <c r="C500" s="64"/>
      <c r="D500" s="64"/>
      <c r="E500" s="93"/>
      <c r="F500" s="93"/>
      <c r="G500" s="64"/>
      <c r="H500" s="64"/>
      <c r="I500" s="64"/>
      <c r="J500" s="94"/>
      <c r="K500" s="64"/>
      <c r="L500" s="64"/>
      <c r="M500" s="64"/>
      <c r="N500" s="64"/>
      <c r="O500" s="64"/>
      <c r="P500" s="64"/>
      <c r="Q500" s="64" t="str">
        <f>IFERROR(VLOOKUP('BMP P Tracking Table'!$P500,Dropdowns!$C$2:$E$15,3,FALSE),"")</f>
        <v/>
      </c>
      <c r="R500" s="64" t="str">
        <f>IFERROR(VLOOKUP('BMP P Tracking Table'!$Q500,Dropdowns!$P$3:$Q$23,2,FALSE),"")</f>
        <v/>
      </c>
      <c r="S500" s="64"/>
      <c r="T500" s="64"/>
      <c r="U500" s="64"/>
      <c r="V500" s="64"/>
      <c r="W500" s="64"/>
      <c r="X500" s="64"/>
      <c r="Y500" s="64"/>
      <c r="Z500" s="64"/>
      <c r="AA500" s="64"/>
      <c r="AB500" s="95"/>
      <c r="AC500" s="64"/>
      <c r="AD500" s="101" t="str">
        <f>IFERROR('BMP P Tracking Table'!$U500*VLOOKUP('BMP P Tracking Table'!$Q500,'Loading Rates'!$B$1:$L$24,4,FALSE)+IF('BMP P Tracking Table'!$V500="By HSG",'BMP P Tracking Table'!$W500*VLOOKUP('BMP P Tracking Table'!$Q500,'Loading Rates'!$B$1:$L$24,6,FALSE)+'BMP P Tracking Table'!$X500*VLOOKUP('BMP P Tracking Table'!$Q500,'Loading Rates'!$B$1:$L$24,7,FALSE)+'BMP P Tracking Table'!$Y500*VLOOKUP('BMP P Tracking Table'!$Q500,'Loading Rates'!$B$1:$L$24,8,FALSE)+'BMP P Tracking Table'!$Z500*VLOOKUP('BMP P Tracking Table'!$Q500,'Loading Rates'!$B$1:$L$24,9,FALSE),'BMP P Tracking Table'!$AA500*VLOOKUP('BMP P Tracking Table'!$Q500,'Loading Rates'!$B$1:$L$24,10,FALSE)),"")</f>
        <v/>
      </c>
      <c r="AE500" s="101" t="str">
        <f>IFERROR(MIN(2,IF('BMP P Tracking Table'!$V500="Total Pervious",(-(3630*'BMP P Tracking Table'!$U500+20.691*'BMP P Tracking Table'!$AA500)+SQRT((3630*'BMP P Tracking Table'!$U500+20.691*'BMP P Tracking Table'!$AA500)^2-(4*(996.798*'BMP P Tracking Table'!$AA500)*-'BMP P Tracking Table'!$AB500)))/(2*(996.798*'BMP P Tracking Table'!$AA500)),IF(SUM('BMP P Tracking Table'!$W500:$Z500)=0,'BMP P Tracking Table'!$AB500/(-3630*'BMP P Tracking Table'!$U500),(-(3630*'BMP P Tracking Table'!$U500+20.691*'BMP P Tracking Table'!$Z500-216.711*'BMP P Tracking Table'!$Y500-83.853*'BMP P Tracking Table'!$X500-42.834*'BMP P Tracking Table'!$W500)+SQRT((3630*'BMP P Tracking Table'!$U500+20.691*'BMP P Tracking Table'!$Z500-216.711*'BMP P Tracking Table'!$Y500-83.853*'BMP P Tracking Table'!$X500-42.834*'BMP P Tracking Table'!$W500)^2-(4*(149.919*'BMP P Tracking Table'!$W500+236.676*'BMP P Tracking Table'!$X500+726*'BMP P Tracking Table'!$Y500+996.798*'BMP P Tracking Table'!$Z500)*-'BMP P Tracking Table'!$AB500)))/(2*(149.919*'BMP P Tracking Table'!$W500+236.676*'BMP P Tracking Table'!$X500+726*'BMP P Tracking Table'!$Y500+996.798*'BMP P Tracking Table'!$Z500))))),"")</f>
        <v/>
      </c>
      <c r="AF500" s="101" t="str">
        <f>IFERROR((VLOOKUP(CONCATENATE('BMP P Tracking Table'!$T500," ",'BMP P Tracking Table'!$AC500),'Performance Curves'!$C$1:$L$45,MATCH('BMP P Tracking Table'!$AE500,'Performance Curves'!$E$1:$L$1,1)+2,FALSE)-VLOOKUP(CONCATENATE('BMP P Tracking Table'!$T500," ",'BMP P Tracking Table'!$AC500),'Performance Curves'!$C$1:$L$45,MATCH('BMP P Tracking Table'!$AE500,'Performance Curves'!$E$1:$L$1,1)+1,FALSE)),"")</f>
        <v/>
      </c>
      <c r="AG500" s="101" t="str">
        <f>IFERROR(('BMP P Tracking Table'!$AE500-INDEX('Performance Curves'!$E$1:$L$1,1,MATCH('BMP P Tracking Table'!$AE500,'Performance Curves'!$E$1:$L$1,1)))/(INDEX('Performance Curves'!$E$1:$L$1,1,MATCH('BMP P Tracking Table'!$AE500,'Performance Curves'!$E$1:$L$1,1)+1)-INDEX('Performance Curves'!$E$1:$L$1,1,MATCH('BMP P Tracking Table'!$AE500,'Performance Curves'!$E$1:$L$1,1))),"")</f>
        <v/>
      </c>
      <c r="AH500" s="102" t="str">
        <f>IFERROR(IF('BMP P Tracking Table'!$AE500=2,VLOOKUP(CONCATENATE('BMP P Tracking Table'!$T500," ",'BMP P Tracking Table'!$AC500),'Performance Curves'!$C$1:$L$45,MATCH('BMP P Tracking Table'!$AE500,'Performance Curves'!$E$1:$L$1,1)+1,FALSE),'BMP P Tracking Table'!$AF500*'BMP P Tracking Table'!$AG500+VLOOKUP(CONCATENATE('BMP P Tracking Table'!$T500," ",'BMP P Tracking Table'!$AC500),'Performance Curves'!$C$1:$L$45,MATCH('BMP P Tracking Table'!$AE500,'Performance Curves'!$E$1:$L$1,1)+1,FALSE)),"")</f>
        <v/>
      </c>
      <c r="AI500" s="101" t="str">
        <f>IFERROR('BMP P Tracking Table'!$AH500*'BMP P Tracking Table'!$AD500,"")</f>
        <v/>
      </c>
      <c r="AJ500" s="64"/>
      <c r="AK500" s="96"/>
      <c r="AL500" s="96"/>
      <c r="AM500" s="63"/>
      <c r="AN500" s="99" t="str">
        <f t="shared" si="26"/>
        <v/>
      </c>
      <c r="AO500" s="96"/>
      <c r="AP500" s="96"/>
      <c r="AQ500" s="96"/>
      <c r="AR500" s="96"/>
      <c r="AS500" s="96"/>
      <c r="AT500" s="96"/>
      <c r="AU500" s="96"/>
      <c r="AV500" s="64"/>
      <c r="AW500" s="97"/>
      <c r="AX500" s="97"/>
      <c r="AY500" s="101" t="str">
        <f>IF('BMP P Tracking Table'!$AK500="Yes",IF('BMP P Tracking Table'!$AL500="No",'BMP P Tracking Table'!$U500*VLOOKUP('BMP P Tracking Table'!$Q500,'Loading Rates'!$B$1:$L$24,4,FALSE)+IF('BMP P Tracking Table'!$V500="By HSG",'BMP P Tracking Table'!$W500*VLOOKUP('BMP P Tracking Table'!$Q500,'Loading Rates'!$B$1:$L$24,6,FALSE)+'BMP P Tracking Table'!$X500*VLOOKUP('BMP P Tracking Table'!$Q500,'Loading Rates'!$B$1:$L$24,7,FALSE)+'BMP P Tracking Table'!$Y500*VLOOKUP('BMP P Tracking Table'!$Q500,'Loading Rates'!$B$1:$L$24,8,FALSE)+'BMP P Tracking Table'!$Z500*VLOOKUP('BMP P Tracking Table'!$Q500,'Loading Rates'!$B$1:$L$24,9,FALSE),'BMP P Tracking Table'!$AA500*VLOOKUP('BMP P Tracking Table'!$Q500,'Loading Rates'!$B$1:$L$24,10,FALSE)),'BMP P Tracking Table'!$AO500*VLOOKUP('BMP P Tracking Table'!$Q500,'Loading Rates'!$B$1:$L$24,4,FALSE)+IF('BMP P Tracking Table'!$AP500="By HSG",'BMP P Tracking Table'!$AQ500*VLOOKUP('BMP P Tracking Table'!$Q500,'Loading Rates'!$B$1:$L$24,6,FALSE)+'BMP P Tracking Table'!$AR500*VLOOKUP('BMP P Tracking Table'!$Q500,'Loading Rates'!$B$1:$L$24,7,FALSE)+'BMP P Tracking Table'!$AS500*VLOOKUP('BMP P Tracking Table'!$Q500,'Loading Rates'!$B$1:$L$24,8,FALSE)+'BMP P Tracking Table'!$AT500*VLOOKUP('BMP P Tracking Table'!$Q500,'Loading Rates'!$B$1:$L$24,9,FALSE),'BMP P Tracking Table'!$AU500*VLOOKUP('BMP P Tracking Table'!$Q500,'Loading Rates'!$B$1:$L$24,10,FALSE))),"")</f>
        <v/>
      </c>
      <c r="AZ500" s="101" t="str">
        <f>IFERROR(IF('BMP P Tracking Table'!$AL500="Yes",MIN(2,IF('BMP P Tracking Table'!$AP500="Total Pervious",(-(3630*'BMP P Tracking Table'!$AO500+20.691*'BMP P Tracking Table'!$AU500)+SQRT((3630*'BMP P Tracking Table'!$AO500+20.691*'BMP P Tracking Table'!$AU500)^2-(4*(996.798*'BMP P Tracking Table'!$AU500)*-'BMP P Tracking Table'!$AW500)))/(2*(996.798*'BMP P Tracking Table'!$AU500)),IF(SUM('BMP P Tracking Table'!$AQ500:$AT500)=0,'BMP P Tracking Table'!$AU500/(-3630*'BMP P Tracking Table'!$AO500),(-(3630*'BMP P Tracking Table'!$AO500+20.691*'BMP P Tracking Table'!$AT500-216.711*'BMP P Tracking Table'!$AS500-83.853*'BMP P Tracking Table'!$AR500-42.834*'BMP P Tracking Table'!$AQ500)+SQRT((3630*'BMP P Tracking Table'!$AO500+20.691*'BMP P Tracking Table'!$AT500-216.711*'BMP P Tracking Table'!$AS500-83.853*'BMP P Tracking Table'!$AR500-42.834*'BMP P Tracking Table'!$AQ500)^2-(4*(149.919*'BMP P Tracking Table'!$AQ500+236.676*'BMP P Tracking Table'!$AR500+726*'BMP P Tracking Table'!$AS500+996.798*'BMP P Tracking Table'!$AT500)*-'BMP P Tracking Table'!$AW500)))/(2*(149.919*'BMP P Tracking Table'!$AQ500+236.676*'BMP P Tracking Table'!$AR500+726*'BMP P Tracking Table'!$AS500+996.798*'BMP P Tracking Table'!$AT500))))),MIN(2,IF('BMP P Tracking Table'!$AP500="Total Pervious",(-(3630*'BMP P Tracking Table'!$U500+20.691*'BMP P Tracking Table'!$AA500)+SQRT((3630*'BMP P Tracking Table'!$U500+20.691*'BMP P Tracking Table'!$AA500)^2-(4*(996.798*'BMP P Tracking Table'!$AA500)*-'BMP P Tracking Table'!$AW500)))/(2*(996.798*'BMP P Tracking Table'!$AA500)),IF(SUM('BMP P Tracking Table'!$W500:$Z500)=0,'BMP P Tracking Table'!$AW500/(-3630*'BMP P Tracking Table'!$U500),(-(3630*'BMP P Tracking Table'!$U500+20.691*'BMP P Tracking Table'!$Z500-216.711*'BMP P Tracking Table'!$Y500-83.853*'BMP P Tracking Table'!$X500-42.834*'BMP P Tracking Table'!$W500)+SQRT((3630*'BMP P Tracking Table'!$U500+20.691*'BMP P Tracking Table'!$Z500-216.711*'BMP P Tracking Table'!$Y500-83.853*'BMP P Tracking Table'!$X500-42.834*'BMP P Tracking Table'!$W500)^2-(4*(149.919*'BMP P Tracking Table'!$W500+236.676*'BMP P Tracking Table'!$X500+726*'BMP P Tracking Table'!$Y500+996.798*'BMP P Tracking Table'!$Z500)*-'BMP P Tracking Table'!$AW500)))/(2*(149.919*'BMP P Tracking Table'!$W500+236.676*'BMP P Tracking Table'!$X500+726*'BMP P Tracking Table'!$Y500+996.798*'BMP P Tracking Table'!$Z500)))))),"")</f>
        <v/>
      </c>
      <c r="BA500" s="101" t="str">
        <f>IFERROR((VLOOKUP(CONCATENATE('BMP P Tracking Table'!$AV500," ",'BMP P Tracking Table'!$AX500),'Performance Curves'!$C$1:$L$45,MATCH('BMP P Tracking Table'!$AZ500,'Performance Curves'!$E$1:$L$1,1)+2,FALSE)-VLOOKUP(CONCATENATE('BMP P Tracking Table'!$AV500," ",'BMP P Tracking Table'!$AX500),'Performance Curves'!$C$1:$L$45,MATCH('BMP P Tracking Table'!$AZ500,'Performance Curves'!$E$1:$L$1,1)+1,FALSE)),"")</f>
        <v/>
      </c>
      <c r="BB500" s="101" t="str">
        <f>IFERROR(('BMP P Tracking Table'!$AZ500-INDEX('Performance Curves'!$E$1:$L$1,1,MATCH('BMP P Tracking Table'!$AZ500,'Performance Curves'!$E$1:$L$1,1)))/(INDEX('Performance Curves'!$E$1:$L$1,1,MATCH('BMP P Tracking Table'!$AZ500,'Performance Curves'!$E$1:$L$1,1)+1)-INDEX('Performance Curves'!$E$1:$L$1,1,MATCH('BMP P Tracking Table'!$AZ500,'Performance Curves'!$E$1:$L$1,1))),"")</f>
        <v/>
      </c>
      <c r="BC500" s="102" t="str">
        <f>IFERROR(IF('BMP P Tracking Table'!$AZ500=2,VLOOKUP(CONCATENATE('BMP P Tracking Table'!$AV500," ",'BMP P Tracking Table'!$AX500),'Performance Curves'!$C$1:$L$44,MATCH('BMP P Tracking Table'!$AZ500,'Performance Curves'!$E$1:$L$1,1)+1,FALSE),'BMP P Tracking Table'!$BA500*'BMP P Tracking Table'!$BB500+VLOOKUP(CONCATENATE('BMP P Tracking Table'!$AV500," ",'BMP P Tracking Table'!$AX500),'Performance Curves'!$C$1:$L$44,MATCH('BMP P Tracking Table'!$AZ500,'Performance Curves'!$E$1:$L$1,1)+1,FALSE)),"")</f>
        <v/>
      </c>
      <c r="BD500" s="101" t="str">
        <f>IFERROR('BMP P Tracking Table'!$BC500*'BMP P Tracking Table'!$AY500,"")</f>
        <v/>
      </c>
      <c r="BE500" s="96"/>
      <c r="BF500" s="37">
        <f t="shared" si="27"/>
        <v>0</v>
      </c>
    </row>
    <row r="501" spans="1:58" x14ac:dyDescent="0.3">
      <c r="A501" s="64"/>
      <c r="B501" s="64"/>
      <c r="C501" s="64"/>
      <c r="D501" s="64"/>
      <c r="E501" s="93"/>
      <c r="F501" s="93"/>
      <c r="G501" s="64"/>
      <c r="H501" s="64"/>
      <c r="I501" s="64"/>
      <c r="J501" s="94"/>
      <c r="K501" s="64"/>
      <c r="L501" s="64"/>
      <c r="M501" s="64"/>
      <c r="N501" s="64"/>
      <c r="O501" s="64"/>
      <c r="P501" s="64"/>
      <c r="Q501" s="64" t="str">
        <f>IFERROR(VLOOKUP('BMP P Tracking Table'!$P501,Dropdowns!$C$2:$E$15,3,FALSE),"")</f>
        <v/>
      </c>
      <c r="R501" s="64" t="str">
        <f>IFERROR(VLOOKUP('BMP P Tracking Table'!$Q501,Dropdowns!$P$3:$Q$23,2,FALSE),"")</f>
        <v/>
      </c>
      <c r="S501" s="64"/>
      <c r="T501" s="64"/>
      <c r="U501" s="64"/>
      <c r="V501" s="64"/>
      <c r="W501" s="64"/>
      <c r="X501" s="64"/>
      <c r="Y501" s="64"/>
      <c r="Z501" s="64"/>
      <c r="AA501" s="64"/>
      <c r="AB501" s="95"/>
      <c r="AC501" s="64"/>
      <c r="AD501" s="101" t="str">
        <f>IFERROR('BMP P Tracking Table'!$U501*VLOOKUP('BMP P Tracking Table'!$Q501,'Loading Rates'!$B$1:$L$24,4,FALSE)+IF('BMP P Tracking Table'!$V501="By HSG",'BMP P Tracking Table'!$W501*VLOOKUP('BMP P Tracking Table'!$Q501,'Loading Rates'!$B$1:$L$24,6,FALSE)+'BMP P Tracking Table'!$X501*VLOOKUP('BMP P Tracking Table'!$Q501,'Loading Rates'!$B$1:$L$24,7,FALSE)+'BMP P Tracking Table'!$Y501*VLOOKUP('BMP P Tracking Table'!$Q501,'Loading Rates'!$B$1:$L$24,8,FALSE)+'BMP P Tracking Table'!$Z501*VLOOKUP('BMP P Tracking Table'!$Q501,'Loading Rates'!$B$1:$L$24,9,FALSE),'BMP P Tracking Table'!$AA501*VLOOKUP('BMP P Tracking Table'!$Q501,'Loading Rates'!$B$1:$L$24,10,FALSE)),"")</f>
        <v/>
      </c>
      <c r="AE501" s="101" t="str">
        <f>IFERROR(MIN(2,IF('BMP P Tracking Table'!$V501="Total Pervious",(-(3630*'BMP P Tracking Table'!$U501+20.691*'BMP P Tracking Table'!$AA501)+SQRT((3630*'BMP P Tracking Table'!$U501+20.691*'BMP P Tracking Table'!$AA501)^2-(4*(996.798*'BMP P Tracking Table'!$AA501)*-'BMP P Tracking Table'!$AB501)))/(2*(996.798*'BMP P Tracking Table'!$AA501)),IF(SUM('BMP P Tracking Table'!$W501:$Z501)=0,'BMP P Tracking Table'!$AB501/(-3630*'BMP P Tracking Table'!$U501),(-(3630*'BMP P Tracking Table'!$U501+20.691*'BMP P Tracking Table'!$Z501-216.711*'BMP P Tracking Table'!$Y501-83.853*'BMP P Tracking Table'!$X501-42.834*'BMP P Tracking Table'!$W501)+SQRT((3630*'BMP P Tracking Table'!$U501+20.691*'BMP P Tracking Table'!$Z501-216.711*'BMP P Tracking Table'!$Y501-83.853*'BMP P Tracking Table'!$X501-42.834*'BMP P Tracking Table'!$W501)^2-(4*(149.919*'BMP P Tracking Table'!$W501+236.676*'BMP P Tracking Table'!$X501+726*'BMP P Tracking Table'!$Y501+996.798*'BMP P Tracking Table'!$Z501)*-'BMP P Tracking Table'!$AB501)))/(2*(149.919*'BMP P Tracking Table'!$W501+236.676*'BMP P Tracking Table'!$X501+726*'BMP P Tracking Table'!$Y501+996.798*'BMP P Tracking Table'!$Z501))))),"")</f>
        <v/>
      </c>
      <c r="AF501" s="101" t="str">
        <f>IFERROR((VLOOKUP(CONCATENATE('BMP P Tracking Table'!$T501," ",'BMP P Tracking Table'!$AC501),'Performance Curves'!$C$1:$L$45,MATCH('BMP P Tracking Table'!$AE501,'Performance Curves'!$E$1:$L$1,1)+2,FALSE)-VLOOKUP(CONCATENATE('BMP P Tracking Table'!$T501," ",'BMP P Tracking Table'!$AC501),'Performance Curves'!$C$1:$L$45,MATCH('BMP P Tracking Table'!$AE501,'Performance Curves'!$E$1:$L$1,1)+1,FALSE)),"")</f>
        <v/>
      </c>
      <c r="AG501" s="101" t="str">
        <f>IFERROR(('BMP P Tracking Table'!$AE501-INDEX('Performance Curves'!$E$1:$L$1,1,MATCH('BMP P Tracking Table'!$AE501,'Performance Curves'!$E$1:$L$1,1)))/(INDEX('Performance Curves'!$E$1:$L$1,1,MATCH('BMP P Tracking Table'!$AE501,'Performance Curves'!$E$1:$L$1,1)+1)-INDEX('Performance Curves'!$E$1:$L$1,1,MATCH('BMP P Tracking Table'!$AE501,'Performance Curves'!$E$1:$L$1,1))),"")</f>
        <v/>
      </c>
      <c r="AH501" s="102" t="str">
        <f>IFERROR(IF('BMP P Tracking Table'!$AE501=2,VLOOKUP(CONCATENATE('BMP P Tracking Table'!$T501," ",'BMP P Tracking Table'!$AC501),'Performance Curves'!$C$1:$L$45,MATCH('BMP P Tracking Table'!$AE501,'Performance Curves'!$E$1:$L$1,1)+1,FALSE),'BMP P Tracking Table'!$AF501*'BMP P Tracking Table'!$AG501+VLOOKUP(CONCATENATE('BMP P Tracking Table'!$T501," ",'BMP P Tracking Table'!$AC501),'Performance Curves'!$C$1:$L$45,MATCH('BMP P Tracking Table'!$AE501,'Performance Curves'!$E$1:$L$1,1)+1,FALSE)),"")</f>
        <v/>
      </c>
      <c r="AI501" s="101" t="str">
        <f>IFERROR('BMP P Tracking Table'!$AH501*'BMP P Tracking Table'!$AD501,"")</f>
        <v/>
      </c>
      <c r="AJ501" s="64"/>
      <c r="AK501" s="96"/>
      <c r="AL501" s="96"/>
      <c r="AM501" s="63"/>
      <c r="AN501" s="99" t="str">
        <f t="shared" si="26"/>
        <v/>
      </c>
      <c r="AO501" s="96"/>
      <c r="AP501" s="96"/>
      <c r="AQ501" s="96"/>
      <c r="AR501" s="96"/>
      <c r="AS501" s="96"/>
      <c r="AT501" s="96"/>
      <c r="AU501" s="96"/>
      <c r="AV501" s="64"/>
      <c r="AW501" s="97"/>
      <c r="AX501" s="97"/>
      <c r="AY501" s="101" t="str">
        <f>IF('BMP P Tracking Table'!$AK501="Yes",IF('BMP P Tracking Table'!$AL501="No",'BMP P Tracking Table'!$U501*VLOOKUP('BMP P Tracking Table'!$Q501,'Loading Rates'!$B$1:$L$24,4,FALSE)+IF('BMP P Tracking Table'!$V501="By HSG",'BMP P Tracking Table'!$W501*VLOOKUP('BMP P Tracking Table'!$Q501,'Loading Rates'!$B$1:$L$24,6,FALSE)+'BMP P Tracking Table'!$X501*VLOOKUP('BMP P Tracking Table'!$Q501,'Loading Rates'!$B$1:$L$24,7,FALSE)+'BMP P Tracking Table'!$Y501*VLOOKUP('BMP P Tracking Table'!$Q501,'Loading Rates'!$B$1:$L$24,8,FALSE)+'BMP P Tracking Table'!$Z501*VLOOKUP('BMP P Tracking Table'!$Q501,'Loading Rates'!$B$1:$L$24,9,FALSE),'BMP P Tracking Table'!$AA501*VLOOKUP('BMP P Tracking Table'!$Q501,'Loading Rates'!$B$1:$L$24,10,FALSE)),'BMP P Tracking Table'!$AO501*VLOOKUP('BMP P Tracking Table'!$Q501,'Loading Rates'!$B$1:$L$24,4,FALSE)+IF('BMP P Tracking Table'!$AP501="By HSG",'BMP P Tracking Table'!$AQ501*VLOOKUP('BMP P Tracking Table'!$Q501,'Loading Rates'!$B$1:$L$24,6,FALSE)+'BMP P Tracking Table'!$AR501*VLOOKUP('BMP P Tracking Table'!$Q501,'Loading Rates'!$B$1:$L$24,7,FALSE)+'BMP P Tracking Table'!$AS501*VLOOKUP('BMP P Tracking Table'!$Q501,'Loading Rates'!$B$1:$L$24,8,FALSE)+'BMP P Tracking Table'!$AT501*VLOOKUP('BMP P Tracking Table'!$Q501,'Loading Rates'!$B$1:$L$24,9,FALSE),'BMP P Tracking Table'!$AU501*VLOOKUP('BMP P Tracking Table'!$Q501,'Loading Rates'!$B$1:$L$24,10,FALSE))),"")</f>
        <v/>
      </c>
      <c r="AZ501" s="101" t="str">
        <f>IFERROR(IF('BMP P Tracking Table'!$AL501="Yes",MIN(2,IF('BMP P Tracking Table'!$AP501="Total Pervious",(-(3630*'BMP P Tracking Table'!$AO501+20.691*'BMP P Tracking Table'!$AU501)+SQRT((3630*'BMP P Tracking Table'!$AO501+20.691*'BMP P Tracking Table'!$AU501)^2-(4*(996.798*'BMP P Tracking Table'!$AU501)*-'BMP P Tracking Table'!$AW501)))/(2*(996.798*'BMP P Tracking Table'!$AU501)),IF(SUM('BMP P Tracking Table'!$AQ501:$AT501)=0,'BMP P Tracking Table'!$AU501/(-3630*'BMP P Tracking Table'!$AO501),(-(3630*'BMP P Tracking Table'!$AO501+20.691*'BMP P Tracking Table'!$AT501-216.711*'BMP P Tracking Table'!$AS501-83.853*'BMP P Tracking Table'!$AR501-42.834*'BMP P Tracking Table'!$AQ501)+SQRT((3630*'BMP P Tracking Table'!$AO501+20.691*'BMP P Tracking Table'!$AT501-216.711*'BMP P Tracking Table'!$AS501-83.853*'BMP P Tracking Table'!$AR501-42.834*'BMP P Tracking Table'!$AQ501)^2-(4*(149.919*'BMP P Tracking Table'!$AQ501+236.676*'BMP P Tracking Table'!$AR501+726*'BMP P Tracking Table'!$AS501+996.798*'BMP P Tracking Table'!$AT501)*-'BMP P Tracking Table'!$AW501)))/(2*(149.919*'BMP P Tracking Table'!$AQ501+236.676*'BMP P Tracking Table'!$AR501+726*'BMP P Tracking Table'!$AS501+996.798*'BMP P Tracking Table'!$AT501))))),MIN(2,IF('BMP P Tracking Table'!$AP501="Total Pervious",(-(3630*'BMP P Tracking Table'!$U501+20.691*'BMP P Tracking Table'!$AA501)+SQRT((3630*'BMP P Tracking Table'!$U501+20.691*'BMP P Tracking Table'!$AA501)^2-(4*(996.798*'BMP P Tracking Table'!$AA501)*-'BMP P Tracking Table'!$AW501)))/(2*(996.798*'BMP P Tracking Table'!$AA501)),IF(SUM('BMP P Tracking Table'!$W501:$Z501)=0,'BMP P Tracking Table'!$AW501/(-3630*'BMP P Tracking Table'!$U501),(-(3630*'BMP P Tracking Table'!$U501+20.691*'BMP P Tracking Table'!$Z501-216.711*'BMP P Tracking Table'!$Y501-83.853*'BMP P Tracking Table'!$X501-42.834*'BMP P Tracking Table'!$W501)+SQRT((3630*'BMP P Tracking Table'!$U501+20.691*'BMP P Tracking Table'!$Z501-216.711*'BMP P Tracking Table'!$Y501-83.853*'BMP P Tracking Table'!$X501-42.834*'BMP P Tracking Table'!$W501)^2-(4*(149.919*'BMP P Tracking Table'!$W501+236.676*'BMP P Tracking Table'!$X501+726*'BMP P Tracking Table'!$Y501+996.798*'BMP P Tracking Table'!$Z501)*-'BMP P Tracking Table'!$AW501)))/(2*(149.919*'BMP P Tracking Table'!$W501+236.676*'BMP P Tracking Table'!$X501+726*'BMP P Tracking Table'!$Y501+996.798*'BMP P Tracking Table'!$Z501)))))),"")</f>
        <v/>
      </c>
      <c r="BA501" s="101" t="str">
        <f>IFERROR((VLOOKUP(CONCATENATE('BMP P Tracking Table'!$AV501," ",'BMP P Tracking Table'!$AX501),'Performance Curves'!$C$1:$L$45,MATCH('BMP P Tracking Table'!$AZ501,'Performance Curves'!$E$1:$L$1,1)+2,FALSE)-VLOOKUP(CONCATENATE('BMP P Tracking Table'!$AV501," ",'BMP P Tracking Table'!$AX501),'Performance Curves'!$C$1:$L$45,MATCH('BMP P Tracking Table'!$AZ501,'Performance Curves'!$E$1:$L$1,1)+1,FALSE)),"")</f>
        <v/>
      </c>
      <c r="BB501" s="101" t="str">
        <f>IFERROR(('BMP P Tracking Table'!$AZ501-INDEX('Performance Curves'!$E$1:$L$1,1,MATCH('BMP P Tracking Table'!$AZ501,'Performance Curves'!$E$1:$L$1,1)))/(INDEX('Performance Curves'!$E$1:$L$1,1,MATCH('BMP P Tracking Table'!$AZ501,'Performance Curves'!$E$1:$L$1,1)+1)-INDEX('Performance Curves'!$E$1:$L$1,1,MATCH('BMP P Tracking Table'!$AZ501,'Performance Curves'!$E$1:$L$1,1))),"")</f>
        <v/>
      </c>
      <c r="BC501" s="102" t="str">
        <f>IFERROR(IF('BMP P Tracking Table'!$AZ501=2,VLOOKUP(CONCATENATE('BMP P Tracking Table'!$AV501," ",'BMP P Tracking Table'!$AX501),'Performance Curves'!$C$1:$L$44,MATCH('BMP P Tracking Table'!$AZ501,'Performance Curves'!$E$1:$L$1,1)+1,FALSE),'BMP P Tracking Table'!$BA501*'BMP P Tracking Table'!$BB501+VLOOKUP(CONCATENATE('BMP P Tracking Table'!$AV501," ",'BMP P Tracking Table'!$AX501),'Performance Curves'!$C$1:$L$44,MATCH('BMP P Tracking Table'!$AZ501,'Performance Curves'!$E$1:$L$1,1)+1,FALSE)),"")</f>
        <v/>
      </c>
      <c r="BD501" s="101" t="str">
        <f>IFERROR('BMP P Tracking Table'!$BC501*'BMP P Tracking Table'!$AY501,"")</f>
        <v/>
      </c>
      <c r="BE501" s="96"/>
      <c r="BF501" s="37">
        <f t="shared" si="27"/>
        <v>0</v>
      </c>
    </row>
    <row r="502" spans="1:58" x14ac:dyDescent="0.3">
      <c r="A502" s="64"/>
      <c r="B502" s="64"/>
      <c r="C502" s="64"/>
      <c r="D502" s="64"/>
      <c r="E502" s="93"/>
      <c r="F502" s="93"/>
      <c r="G502" s="64"/>
      <c r="H502" s="64"/>
      <c r="I502" s="64"/>
      <c r="J502" s="94"/>
      <c r="K502" s="64"/>
      <c r="L502" s="64"/>
      <c r="M502" s="64"/>
      <c r="N502" s="64"/>
      <c r="O502" s="64"/>
      <c r="P502" s="64"/>
      <c r="Q502" s="64" t="str">
        <f>IFERROR(VLOOKUP('BMP P Tracking Table'!$P502,Dropdowns!$C$2:$E$15,3,FALSE),"")</f>
        <v/>
      </c>
      <c r="R502" s="64" t="str">
        <f>IFERROR(VLOOKUP('BMP P Tracking Table'!$Q502,Dropdowns!$P$3:$Q$23,2,FALSE),"")</f>
        <v/>
      </c>
      <c r="S502" s="64"/>
      <c r="T502" s="64"/>
      <c r="U502" s="64"/>
      <c r="V502" s="64"/>
      <c r="W502" s="64"/>
      <c r="X502" s="64"/>
      <c r="Y502" s="64"/>
      <c r="Z502" s="64"/>
      <c r="AA502" s="64"/>
      <c r="AB502" s="95"/>
      <c r="AC502" s="64"/>
      <c r="AD502" s="101" t="str">
        <f>IFERROR('BMP P Tracking Table'!$U502*VLOOKUP('BMP P Tracking Table'!$Q502,'Loading Rates'!$B$1:$L$24,4,FALSE)+IF('BMP P Tracking Table'!$V502="By HSG",'BMP P Tracking Table'!$W502*VLOOKUP('BMP P Tracking Table'!$Q502,'Loading Rates'!$B$1:$L$24,6,FALSE)+'BMP P Tracking Table'!$X502*VLOOKUP('BMP P Tracking Table'!$Q502,'Loading Rates'!$B$1:$L$24,7,FALSE)+'BMP P Tracking Table'!$Y502*VLOOKUP('BMP P Tracking Table'!$Q502,'Loading Rates'!$B$1:$L$24,8,FALSE)+'BMP P Tracking Table'!$Z502*VLOOKUP('BMP P Tracking Table'!$Q502,'Loading Rates'!$B$1:$L$24,9,FALSE),'BMP P Tracking Table'!$AA502*VLOOKUP('BMP P Tracking Table'!$Q502,'Loading Rates'!$B$1:$L$24,10,FALSE)),"")</f>
        <v/>
      </c>
      <c r="AE502" s="101" t="str">
        <f>IFERROR(MIN(2,IF('BMP P Tracking Table'!$V502="Total Pervious",(-(3630*'BMP P Tracking Table'!$U502+20.691*'BMP P Tracking Table'!$AA502)+SQRT((3630*'BMP P Tracking Table'!$U502+20.691*'BMP P Tracking Table'!$AA502)^2-(4*(996.798*'BMP P Tracking Table'!$AA502)*-'BMP P Tracking Table'!$AB502)))/(2*(996.798*'BMP P Tracking Table'!$AA502)),IF(SUM('BMP P Tracking Table'!$W502:$Z502)=0,'BMP P Tracking Table'!$AB502/(-3630*'BMP P Tracking Table'!$U502),(-(3630*'BMP P Tracking Table'!$U502+20.691*'BMP P Tracking Table'!$Z502-216.711*'BMP P Tracking Table'!$Y502-83.853*'BMP P Tracking Table'!$X502-42.834*'BMP P Tracking Table'!$W502)+SQRT((3630*'BMP P Tracking Table'!$U502+20.691*'BMP P Tracking Table'!$Z502-216.711*'BMP P Tracking Table'!$Y502-83.853*'BMP P Tracking Table'!$X502-42.834*'BMP P Tracking Table'!$W502)^2-(4*(149.919*'BMP P Tracking Table'!$W502+236.676*'BMP P Tracking Table'!$X502+726*'BMP P Tracking Table'!$Y502+996.798*'BMP P Tracking Table'!$Z502)*-'BMP P Tracking Table'!$AB502)))/(2*(149.919*'BMP P Tracking Table'!$W502+236.676*'BMP P Tracking Table'!$X502+726*'BMP P Tracking Table'!$Y502+996.798*'BMP P Tracking Table'!$Z502))))),"")</f>
        <v/>
      </c>
      <c r="AF502" s="101" t="str">
        <f>IFERROR((VLOOKUP(CONCATENATE('BMP P Tracking Table'!$T502," ",'BMP P Tracking Table'!$AC502),'Performance Curves'!$C$1:$L$45,MATCH('BMP P Tracking Table'!$AE502,'Performance Curves'!$E$1:$L$1,1)+2,FALSE)-VLOOKUP(CONCATENATE('BMP P Tracking Table'!$T502," ",'BMP P Tracking Table'!$AC502),'Performance Curves'!$C$1:$L$45,MATCH('BMP P Tracking Table'!$AE502,'Performance Curves'!$E$1:$L$1,1)+1,FALSE)),"")</f>
        <v/>
      </c>
      <c r="AG502" s="101" t="str">
        <f>IFERROR(('BMP P Tracking Table'!$AE502-INDEX('Performance Curves'!$E$1:$L$1,1,MATCH('BMP P Tracking Table'!$AE502,'Performance Curves'!$E$1:$L$1,1)))/(INDEX('Performance Curves'!$E$1:$L$1,1,MATCH('BMP P Tracking Table'!$AE502,'Performance Curves'!$E$1:$L$1,1)+1)-INDEX('Performance Curves'!$E$1:$L$1,1,MATCH('BMP P Tracking Table'!$AE502,'Performance Curves'!$E$1:$L$1,1))),"")</f>
        <v/>
      </c>
      <c r="AH502" s="102" t="str">
        <f>IFERROR(IF('BMP P Tracking Table'!$AE502=2,VLOOKUP(CONCATENATE('BMP P Tracking Table'!$T502," ",'BMP P Tracking Table'!$AC502),'Performance Curves'!$C$1:$L$45,MATCH('BMP P Tracking Table'!$AE502,'Performance Curves'!$E$1:$L$1,1)+1,FALSE),'BMP P Tracking Table'!$AF502*'BMP P Tracking Table'!$AG502+VLOOKUP(CONCATENATE('BMP P Tracking Table'!$T502," ",'BMP P Tracking Table'!$AC502),'Performance Curves'!$C$1:$L$45,MATCH('BMP P Tracking Table'!$AE502,'Performance Curves'!$E$1:$L$1,1)+1,FALSE)),"")</f>
        <v/>
      </c>
      <c r="AI502" s="101" t="str">
        <f>IFERROR('BMP P Tracking Table'!$AH502*'BMP P Tracking Table'!$AD502,"")</f>
        <v/>
      </c>
      <c r="AJ502" s="64"/>
      <c r="AK502" s="96"/>
      <c r="AL502" s="96"/>
      <c r="AM502" s="63"/>
      <c r="AN502" s="99" t="str">
        <f t="shared" si="26"/>
        <v/>
      </c>
      <c r="AO502" s="96"/>
      <c r="AP502" s="96"/>
      <c r="AQ502" s="96"/>
      <c r="AR502" s="96"/>
      <c r="AS502" s="96"/>
      <c r="AT502" s="96"/>
      <c r="AU502" s="96"/>
      <c r="AV502" s="64"/>
      <c r="AW502" s="97"/>
      <c r="AX502" s="97"/>
      <c r="AY502" s="101" t="str">
        <f>IF('BMP P Tracking Table'!$AK502="Yes",IF('BMP P Tracking Table'!$AL502="No",'BMP P Tracking Table'!$U502*VLOOKUP('BMP P Tracking Table'!$Q502,'Loading Rates'!$B$1:$L$24,4,FALSE)+IF('BMP P Tracking Table'!$V502="By HSG",'BMP P Tracking Table'!$W502*VLOOKUP('BMP P Tracking Table'!$Q502,'Loading Rates'!$B$1:$L$24,6,FALSE)+'BMP P Tracking Table'!$X502*VLOOKUP('BMP P Tracking Table'!$Q502,'Loading Rates'!$B$1:$L$24,7,FALSE)+'BMP P Tracking Table'!$Y502*VLOOKUP('BMP P Tracking Table'!$Q502,'Loading Rates'!$B$1:$L$24,8,FALSE)+'BMP P Tracking Table'!$Z502*VLOOKUP('BMP P Tracking Table'!$Q502,'Loading Rates'!$B$1:$L$24,9,FALSE),'BMP P Tracking Table'!$AA502*VLOOKUP('BMP P Tracking Table'!$Q502,'Loading Rates'!$B$1:$L$24,10,FALSE)),'BMP P Tracking Table'!$AO502*VLOOKUP('BMP P Tracking Table'!$Q502,'Loading Rates'!$B$1:$L$24,4,FALSE)+IF('BMP P Tracking Table'!$AP502="By HSG",'BMP P Tracking Table'!$AQ502*VLOOKUP('BMP P Tracking Table'!$Q502,'Loading Rates'!$B$1:$L$24,6,FALSE)+'BMP P Tracking Table'!$AR502*VLOOKUP('BMP P Tracking Table'!$Q502,'Loading Rates'!$B$1:$L$24,7,FALSE)+'BMP P Tracking Table'!$AS502*VLOOKUP('BMP P Tracking Table'!$Q502,'Loading Rates'!$B$1:$L$24,8,FALSE)+'BMP P Tracking Table'!$AT502*VLOOKUP('BMP P Tracking Table'!$Q502,'Loading Rates'!$B$1:$L$24,9,FALSE),'BMP P Tracking Table'!$AU502*VLOOKUP('BMP P Tracking Table'!$Q502,'Loading Rates'!$B$1:$L$24,10,FALSE))),"")</f>
        <v/>
      </c>
      <c r="AZ502" s="101" t="str">
        <f>IFERROR(IF('BMP P Tracking Table'!$AL502="Yes",MIN(2,IF('BMP P Tracking Table'!$AP502="Total Pervious",(-(3630*'BMP P Tracking Table'!$AO502+20.691*'BMP P Tracking Table'!$AU502)+SQRT((3630*'BMP P Tracking Table'!$AO502+20.691*'BMP P Tracking Table'!$AU502)^2-(4*(996.798*'BMP P Tracking Table'!$AU502)*-'BMP P Tracking Table'!$AW502)))/(2*(996.798*'BMP P Tracking Table'!$AU502)),IF(SUM('BMP P Tracking Table'!$AQ502:$AT502)=0,'BMP P Tracking Table'!$AU502/(-3630*'BMP P Tracking Table'!$AO502),(-(3630*'BMP P Tracking Table'!$AO502+20.691*'BMP P Tracking Table'!$AT502-216.711*'BMP P Tracking Table'!$AS502-83.853*'BMP P Tracking Table'!$AR502-42.834*'BMP P Tracking Table'!$AQ502)+SQRT((3630*'BMP P Tracking Table'!$AO502+20.691*'BMP P Tracking Table'!$AT502-216.711*'BMP P Tracking Table'!$AS502-83.853*'BMP P Tracking Table'!$AR502-42.834*'BMP P Tracking Table'!$AQ502)^2-(4*(149.919*'BMP P Tracking Table'!$AQ502+236.676*'BMP P Tracking Table'!$AR502+726*'BMP P Tracking Table'!$AS502+996.798*'BMP P Tracking Table'!$AT502)*-'BMP P Tracking Table'!$AW502)))/(2*(149.919*'BMP P Tracking Table'!$AQ502+236.676*'BMP P Tracking Table'!$AR502+726*'BMP P Tracking Table'!$AS502+996.798*'BMP P Tracking Table'!$AT502))))),MIN(2,IF('BMP P Tracking Table'!$AP502="Total Pervious",(-(3630*'BMP P Tracking Table'!$U502+20.691*'BMP P Tracking Table'!$AA502)+SQRT((3630*'BMP P Tracking Table'!$U502+20.691*'BMP P Tracking Table'!$AA502)^2-(4*(996.798*'BMP P Tracking Table'!$AA502)*-'BMP P Tracking Table'!$AW502)))/(2*(996.798*'BMP P Tracking Table'!$AA502)),IF(SUM('BMP P Tracking Table'!$W502:$Z502)=0,'BMP P Tracking Table'!$AW502/(-3630*'BMP P Tracking Table'!$U502),(-(3630*'BMP P Tracking Table'!$U502+20.691*'BMP P Tracking Table'!$Z502-216.711*'BMP P Tracking Table'!$Y502-83.853*'BMP P Tracking Table'!$X502-42.834*'BMP P Tracking Table'!$W502)+SQRT((3630*'BMP P Tracking Table'!$U502+20.691*'BMP P Tracking Table'!$Z502-216.711*'BMP P Tracking Table'!$Y502-83.853*'BMP P Tracking Table'!$X502-42.834*'BMP P Tracking Table'!$W502)^2-(4*(149.919*'BMP P Tracking Table'!$W502+236.676*'BMP P Tracking Table'!$X502+726*'BMP P Tracking Table'!$Y502+996.798*'BMP P Tracking Table'!$Z502)*-'BMP P Tracking Table'!$AW502)))/(2*(149.919*'BMP P Tracking Table'!$W502+236.676*'BMP P Tracking Table'!$X502+726*'BMP P Tracking Table'!$Y502+996.798*'BMP P Tracking Table'!$Z502)))))),"")</f>
        <v/>
      </c>
      <c r="BA502" s="101" t="str">
        <f>IFERROR((VLOOKUP(CONCATENATE('BMP P Tracking Table'!$AV502," ",'BMP P Tracking Table'!$AX502),'Performance Curves'!$C$1:$L$45,MATCH('BMP P Tracking Table'!$AZ502,'Performance Curves'!$E$1:$L$1,1)+2,FALSE)-VLOOKUP(CONCATENATE('BMP P Tracking Table'!$AV502," ",'BMP P Tracking Table'!$AX502),'Performance Curves'!$C$1:$L$45,MATCH('BMP P Tracking Table'!$AZ502,'Performance Curves'!$E$1:$L$1,1)+1,FALSE)),"")</f>
        <v/>
      </c>
      <c r="BB502" s="101" t="str">
        <f>IFERROR(('BMP P Tracking Table'!$AZ502-INDEX('Performance Curves'!$E$1:$L$1,1,MATCH('BMP P Tracking Table'!$AZ502,'Performance Curves'!$E$1:$L$1,1)))/(INDEX('Performance Curves'!$E$1:$L$1,1,MATCH('BMP P Tracking Table'!$AZ502,'Performance Curves'!$E$1:$L$1,1)+1)-INDEX('Performance Curves'!$E$1:$L$1,1,MATCH('BMP P Tracking Table'!$AZ502,'Performance Curves'!$E$1:$L$1,1))),"")</f>
        <v/>
      </c>
      <c r="BC502" s="102" t="str">
        <f>IFERROR(IF('BMP P Tracking Table'!$AZ502=2,VLOOKUP(CONCATENATE('BMP P Tracking Table'!$AV502," ",'BMP P Tracking Table'!$AX502),'Performance Curves'!$C$1:$L$44,MATCH('BMP P Tracking Table'!$AZ502,'Performance Curves'!$E$1:$L$1,1)+1,FALSE),'BMP P Tracking Table'!$BA502*'BMP P Tracking Table'!$BB502+VLOOKUP(CONCATENATE('BMP P Tracking Table'!$AV502," ",'BMP P Tracking Table'!$AX502),'Performance Curves'!$C$1:$L$44,MATCH('BMP P Tracking Table'!$AZ502,'Performance Curves'!$E$1:$L$1,1)+1,FALSE)),"")</f>
        <v/>
      </c>
      <c r="BD502" s="101" t="str">
        <f>IFERROR('BMP P Tracking Table'!$BC502*'BMP P Tracking Table'!$AY502,"")</f>
        <v/>
      </c>
      <c r="BE502" s="96"/>
      <c r="BF502" s="37">
        <f t="shared" si="27"/>
        <v>0</v>
      </c>
    </row>
    <row r="503" spans="1:58" x14ac:dyDescent="0.3">
      <c r="A503" s="64"/>
      <c r="B503" s="64"/>
      <c r="C503" s="64"/>
      <c r="D503" s="64"/>
      <c r="E503" s="93"/>
      <c r="F503" s="93"/>
      <c r="G503" s="64"/>
      <c r="H503" s="64"/>
      <c r="I503" s="64"/>
      <c r="J503" s="94"/>
      <c r="K503" s="64"/>
      <c r="L503" s="64"/>
      <c r="M503" s="64"/>
      <c r="N503" s="64"/>
      <c r="O503" s="64"/>
      <c r="P503" s="64"/>
      <c r="Q503" s="64" t="str">
        <f>IFERROR(VLOOKUP('BMP P Tracking Table'!$P503,Dropdowns!$C$2:$E$15,3,FALSE),"")</f>
        <v/>
      </c>
      <c r="R503" s="64" t="str">
        <f>IFERROR(VLOOKUP('BMP P Tracking Table'!$Q503,Dropdowns!$P$3:$Q$23,2,FALSE),"")</f>
        <v/>
      </c>
      <c r="S503" s="64"/>
      <c r="T503" s="64"/>
      <c r="U503" s="64"/>
      <c r="V503" s="64"/>
      <c r="W503" s="64"/>
      <c r="X503" s="64"/>
      <c r="Y503" s="64"/>
      <c r="Z503" s="64"/>
      <c r="AA503" s="64"/>
      <c r="AB503" s="95"/>
      <c r="AC503" s="64"/>
      <c r="AD503" s="101" t="str">
        <f>IFERROR('BMP P Tracking Table'!$U503*VLOOKUP('BMP P Tracking Table'!$Q503,'Loading Rates'!$B$1:$L$24,4,FALSE)+IF('BMP P Tracking Table'!$V503="By HSG",'BMP P Tracking Table'!$W503*VLOOKUP('BMP P Tracking Table'!$Q503,'Loading Rates'!$B$1:$L$24,6,FALSE)+'BMP P Tracking Table'!$X503*VLOOKUP('BMP P Tracking Table'!$Q503,'Loading Rates'!$B$1:$L$24,7,FALSE)+'BMP P Tracking Table'!$Y503*VLOOKUP('BMP P Tracking Table'!$Q503,'Loading Rates'!$B$1:$L$24,8,FALSE)+'BMP P Tracking Table'!$Z503*VLOOKUP('BMP P Tracking Table'!$Q503,'Loading Rates'!$B$1:$L$24,9,FALSE),'BMP P Tracking Table'!$AA503*VLOOKUP('BMP P Tracking Table'!$Q503,'Loading Rates'!$B$1:$L$24,10,FALSE)),"")</f>
        <v/>
      </c>
      <c r="AE503" s="101" t="str">
        <f>IFERROR(MIN(2,IF('BMP P Tracking Table'!$V503="Total Pervious",(-(3630*'BMP P Tracking Table'!$U503+20.691*'BMP P Tracking Table'!$AA503)+SQRT((3630*'BMP P Tracking Table'!$U503+20.691*'BMP P Tracking Table'!$AA503)^2-(4*(996.798*'BMP P Tracking Table'!$AA503)*-'BMP P Tracking Table'!$AB503)))/(2*(996.798*'BMP P Tracking Table'!$AA503)),IF(SUM('BMP P Tracking Table'!$W503:$Z503)=0,'BMP P Tracking Table'!$AB503/(-3630*'BMP P Tracking Table'!$U503),(-(3630*'BMP P Tracking Table'!$U503+20.691*'BMP P Tracking Table'!$Z503-216.711*'BMP P Tracking Table'!$Y503-83.853*'BMP P Tracking Table'!$X503-42.834*'BMP P Tracking Table'!$W503)+SQRT((3630*'BMP P Tracking Table'!$U503+20.691*'BMP P Tracking Table'!$Z503-216.711*'BMP P Tracking Table'!$Y503-83.853*'BMP P Tracking Table'!$X503-42.834*'BMP P Tracking Table'!$W503)^2-(4*(149.919*'BMP P Tracking Table'!$W503+236.676*'BMP P Tracking Table'!$X503+726*'BMP P Tracking Table'!$Y503+996.798*'BMP P Tracking Table'!$Z503)*-'BMP P Tracking Table'!$AB503)))/(2*(149.919*'BMP P Tracking Table'!$W503+236.676*'BMP P Tracking Table'!$X503+726*'BMP P Tracking Table'!$Y503+996.798*'BMP P Tracking Table'!$Z503))))),"")</f>
        <v/>
      </c>
      <c r="AF503" s="101" t="str">
        <f>IFERROR((VLOOKUP(CONCATENATE('BMP P Tracking Table'!$T503," ",'BMP P Tracking Table'!$AC503),'Performance Curves'!$C$1:$L$45,MATCH('BMP P Tracking Table'!$AE503,'Performance Curves'!$E$1:$L$1,1)+2,FALSE)-VLOOKUP(CONCATENATE('BMP P Tracking Table'!$T503," ",'BMP P Tracking Table'!$AC503),'Performance Curves'!$C$1:$L$45,MATCH('BMP P Tracking Table'!$AE503,'Performance Curves'!$E$1:$L$1,1)+1,FALSE)),"")</f>
        <v/>
      </c>
      <c r="AG503" s="101" t="str">
        <f>IFERROR(('BMP P Tracking Table'!$AE503-INDEX('Performance Curves'!$E$1:$L$1,1,MATCH('BMP P Tracking Table'!$AE503,'Performance Curves'!$E$1:$L$1,1)))/(INDEX('Performance Curves'!$E$1:$L$1,1,MATCH('BMP P Tracking Table'!$AE503,'Performance Curves'!$E$1:$L$1,1)+1)-INDEX('Performance Curves'!$E$1:$L$1,1,MATCH('BMP P Tracking Table'!$AE503,'Performance Curves'!$E$1:$L$1,1))),"")</f>
        <v/>
      </c>
      <c r="AH503" s="102" t="str">
        <f>IFERROR(IF('BMP P Tracking Table'!$AE503=2,VLOOKUP(CONCATENATE('BMP P Tracking Table'!$T503," ",'BMP P Tracking Table'!$AC503),'Performance Curves'!$C$1:$L$45,MATCH('BMP P Tracking Table'!$AE503,'Performance Curves'!$E$1:$L$1,1)+1,FALSE),'BMP P Tracking Table'!$AF503*'BMP P Tracking Table'!$AG503+VLOOKUP(CONCATENATE('BMP P Tracking Table'!$T503," ",'BMP P Tracking Table'!$AC503),'Performance Curves'!$C$1:$L$45,MATCH('BMP P Tracking Table'!$AE503,'Performance Curves'!$E$1:$L$1,1)+1,FALSE)),"")</f>
        <v/>
      </c>
      <c r="AI503" s="101" t="str">
        <f>IFERROR('BMP P Tracking Table'!$AH503*'BMP P Tracking Table'!$AD503,"")</f>
        <v/>
      </c>
      <c r="AJ503" s="64"/>
      <c r="AK503" s="96"/>
      <c r="AL503" s="96"/>
      <c r="AM503" s="63"/>
      <c r="AN503" s="99" t="str">
        <f t="shared" si="26"/>
        <v/>
      </c>
      <c r="AO503" s="96"/>
      <c r="AP503" s="96"/>
      <c r="AQ503" s="96"/>
      <c r="AR503" s="96"/>
      <c r="AS503" s="96"/>
      <c r="AT503" s="96"/>
      <c r="AU503" s="96"/>
      <c r="AV503" s="64"/>
      <c r="AW503" s="97"/>
      <c r="AX503" s="97"/>
      <c r="AY503" s="101" t="str">
        <f>IF('BMP P Tracking Table'!$AK503="Yes",IF('BMP P Tracking Table'!$AL503="No",'BMP P Tracking Table'!$U503*VLOOKUP('BMP P Tracking Table'!$Q503,'Loading Rates'!$B$1:$L$24,4,FALSE)+IF('BMP P Tracking Table'!$V503="By HSG",'BMP P Tracking Table'!$W503*VLOOKUP('BMP P Tracking Table'!$Q503,'Loading Rates'!$B$1:$L$24,6,FALSE)+'BMP P Tracking Table'!$X503*VLOOKUP('BMP P Tracking Table'!$Q503,'Loading Rates'!$B$1:$L$24,7,FALSE)+'BMP P Tracking Table'!$Y503*VLOOKUP('BMP P Tracking Table'!$Q503,'Loading Rates'!$B$1:$L$24,8,FALSE)+'BMP P Tracking Table'!$Z503*VLOOKUP('BMP P Tracking Table'!$Q503,'Loading Rates'!$B$1:$L$24,9,FALSE),'BMP P Tracking Table'!$AA503*VLOOKUP('BMP P Tracking Table'!$Q503,'Loading Rates'!$B$1:$L$24,10,FALSE)),'BMP P Tracking Table'!$AO503*VLOOKUP('BMP P Tracking Table'!$Q503,'Loading Rates'!$B$1:$L$24,4,FALSE)+IF('BMP P Tracking Table'!$AP503="By HSG",'BMP P Tracking Table'!$AQ503*VLOOKUP('BMP P Tracking Table'!$Q503,'Loading Rates'!$B$1:$L$24,6,FALSE)+'BMP P Tracking Table'!$AR503*VLOOKUP('BMP P Tracking Table'!$Q503,'Loading Rates'!$B$1:$L$24,7,FALSE)+'BMP P Tracking Table'!$AS503*VLOOKUP('BMP P Tracking Table'!$Q503,'Loading Rates'!$B$1:$L$24,8,FALSE)+'BMP P Tracking Table'!$AT503*VLOOKUP('BMP P Tracking Table'!$Q503,'Loading Rates'!$B$1:$L$24,9,FALSE),'BMP P Tracking Table'!$AU503*VLOOKUP('BMP P Tracking Table'!$Q503,'Loading Rates'!$B$1:$L$24,10,FALSE))),"")</f>
        <v/>
      </c>
      <c r="AZ503" s="101" t="str">
        <f>IFERROR(IF('BMP P Tracking Table'!$AL503="Yes",MIN(2,IF('BMP P Tracking Table'!$AP503="Total Pervious",(-(3630*'BMP P Tracking Table'!$AO503+20.691*'BMP P Tracking Table'!$AU503)+SQRT((3630*'BMP P Tracking Table'!$AO503+20.691*'BMP P Tracking Table'!$AU503)^2-(4*(996.798*'BMP P Tracking Table'!$AU503)*-'BMP P Tracking Table'!$AW503)))/(2*(996.798*'BMP P Tracking Table'!$AU503)),IF(SUM('BMP P Tracking Table'!$AQ503:$AT503)=0,'BMP P Tracking Table'!$AU503/(-3630*'BMP P Tracking Table'!$AO503),(-(3630*'BMP P Tracking Table'!$AO503+20.691*'BMP P Tracking Table'!$AT503-216.711*'BMP P Tracking Table'!$AS503-83.853*'BMP P Tracking Table'!$AR503-42.834*'BMP P Tracking Table'!$AQ503)+SQRT((3630*'BMP P Tracking Table'!$AO503+20.691*'BMP P Tracking Table'!$AT503-216.711*'BMP P Tracking Table'!$AS503-83.853*'BMP P Tracking Table'!$AR503-42.834*'BMP P Tracking Table'!$AQ503)^2-(4*(149.919*'BMP P Tracking Table'!$AQ503+236.676*'BMP P Tracking Table'!$AR503+726*'BMP P Tracking Table'!$AS503+996.798*'BMP P Tracking Table'!$AT503)*-'BMP P Tracking Table'!$AW503)))/(2*(149.919*'BMP P Tracking Table'!$AQ503+236.676*'BMP P Tracking Table'!$AR503+726*'BMP P Tracking Table'!$AS503+996.798*'BMP P Tracking Table'!$AT503))))),MIN(2,IF('BMP P Tracking Table'!$AP503="Total Pervious",(-(3630*'BMP P Tracking Table'!$U503+20.691*'BMP P Tracking Table'!$AA503)+SQRT((3630*'BMP P Tracking Table'!$U503+20.691*'BMP P Tracking Table'!$AA503)^2-(4*(996.798*'BMP P Tracking Table'!$AA503)*-'BMP P Tracking Table'!$AW503)))/(2*(996.798*'BMP P Tracking Table'!$AA503)),IF(SUM('BMP P Tracking Table'!$W503:$Z503)=0,'BMP P Tracking Table'!$AW503/(-3630*'BMP P Tracking Table'!$U503),(-(3630*'BMP P Tracking Table'!$U503+20.691*'BMP P Tracking Table'!$Z503-216.711*'BMP P Tracking Table'!$Y503-83.853*'BMP P Tracking Table'!$X503-42.834*'BMP P Tracking Table'!$W503)+SQRT((3630*'BMP P Tracking Table'!$U503+20.691*'BMP P Tracking Table'!$Z503-216.711*'BMP P Tracking Table'!$Y503-83.853*'BMP P Tracking Table'!$X503-42.834*'BMP P Tracking Table'!$W503)^2-(4*(149.919*'BMP P Tracking Table'!$W503+236.676*'BMP P Tracking Table'!$X503+726*'BMP P Tracking Table'!$Y503+996.798*'BMP P Tracking Table'!$Z503)*-'BMP P Tracking Table'!$AW503)))/(2*(149.919*'BMP P Tracking Table'!$W503+236.676*'BMP P Tracking Table'!$X503+726*'BMP P Tracking Table'!$Y503+996.798*'BMP P Tracking Table'!$Z503)))))),"")</f>
        <v/>
      </c>
      <c r="BA503" s="101" t="str">
        <f>IFERROR((VLOOKUP(CONCATENATE('BMP P Tracking Table'!$AV503," ",'BMP P Tracking Table'!$AX503),'Performance Curves'!$C$1:$L$45,MATCH('BMP P Tracking Table'!$AZ503,'Performance Curves'!$E$1:$L$1,1)+2,FALSE)-VLOOKUP(CONCATENATE('BMP P Tracking Table'!$AV503," ",'BMP P Tracking Table'!$AX503),'Performance Curves'!$C$1:$L$45,MATCH('BMP P Tracking Table'!$AZ503,'Performance Curves'!$E$1:$L$1,1)+1,FALSE)),"")</f>
        <v/>
      </c>
      <c r="BB503" s="101" t="str">
        <f>IFERROR(('BMP P Tracking Table'!$AZ503-INDEX('Performance Curves'!$E$1:$L$1,1,MATCH('BMP P Tracking Table'!$AZ503,'Performance Curves'!$E$1:$L$1,1)))/(INDEX('Performance Curves'!$E$1:$L$1,1,MATCH('BMP P Tracking Table'!$AZ503,'Performance Curves'!$E$1:$L$1,1)+1)-INDEX('Performance Curves'!$E$1:$L$1,1,MATCH('BMP P Tracking Table'!$AZ503,'Performance Curves'!$E$1:$L$1,1))),"")</f>
        <v/>
      </c>
      <c r="BC503" s="102" t="str">
        <f>IFERROR(IF('BMP P Tracking Table'!$AZ503=2,VLOOKUP(CONCATENATE('BMP P Tracking Table'!$AV503," ",'BMP P Tracking Table'!$AX503),'Performance Curves'!$C$1:$L$44,MATCH('BMP P Tracking Table'!$AZ503,'Performance Curves'!$E$1:$L$1,1)+1,FALSE),'BMP P Tracking Table'!$BA503*'BMP P Tracking Table'!$BB503+VLOOKUP(CONCATENATE('BMP P Tracking Table'!$AV503," ",'BMP P Tracking Table'!$AX503),'Performance Curves'!$C$1:$L$44,MATCH('BMP P Tracking Table'!$AZ503,'Performance Curves'!$E$1:$L$1,1)+1,FALSE)),"")</f>
        <v/>
      </c>
      <c r="BD503" s="101" t="str">
        <f>IFERROR('BMP P Tracking Table'!$BC503*'BMP P Tracking Table'!$AY503,"")</f>
        <v/>
      </c>
      <c r="BE503" s="96"/>
      <c r="BF503" s="37">
        <f t="shared" si="27"/>
        <v>0</v>
      </c>
    </row>
    <row r="504" spans="1:58" x14ac:dyDescent="0.3">
      <c r="A504" s="64"/>
      <c r="B504" s="64"/>
      <c r="C504" s="64"/>
      <c r="D504" s="64"/>
      <c r="E504" s="93"/>
      <c r="F504" s="93"/>
      <c r="G504" s="64"/>
      <c r="H504" s="64"/>
      <c r="I504" s="64"/>
      <c r="J504" s="94"/>
      <c r="K504" s="64"/>
      <c r="L504" s="64"/>
      <c r="M504" s="64"/>
      <c r="N504" s="64"/>
      <c r="O504" s="64"/>
      <c r="P504" s="64"/>
      <c r="Q504" s="64" t="str">
        <f>IFERROR(VLOOKUP('BMP P Tracking Table'!$P504,Dropdowns!$C$2:$E$15,3,FALSE),"")</f>
        <v/>
      </c>
      <c r="R504" s="64" t="str">
        <f>IFERROR(VLOOKUP('BMP P Tracking Table'!$Q504,Dropdowns!$P$3:$Q$23,2,FALSE),"")</f>
        <v/>
      </c>
      <c r="S504" s="64"/>
      <c r="T504" s="64"/>
      <c r="U504" s="64"/>
      <c r="V504" s="64"/>
      <c r="W504" s="64"/>
      <c r="X504" s="64"/>
      <c r="Y504" s="64"/>
      <c r="Z504" s="64"/>
      <c r="AA504" s="64"/>
      <c r="AB504" s="95"/>
      <c r="AC504" s="64"/>
      <c r="AD504" s="101" t="str">
        <f>IFERROR('BMP P Tracking Table'!$U504*VLOOKUP('BMP P Tracking Table'!$Q504,'Loading Rates'!$B$1:$L$24,4,FALSE)+IF('BMP P Tracking Table'!$V504="By HSG",'BMP P Tracking Table'!$W504*VLOOKUP('BMP P Tracking Table'!$Q504,'Loading Rates'!$B$1:$L$24,6,FALSE)+'BMP P Tracking Table'!$X504*VLOOKUP('BMP P Tracking Table'!$Q504,'Loading Rates'!$B$1:$L$24,7,FALSE)+'BMP P Tracking Table'!$Y504*VLOOKUP('BMP P Tracking Table'!$Q504,'Loading Rates'!$B$1:$L$24,8,FALSE)+'BMP P Tracking Table'!$Z504*VLOOKUP('BMP P Tracking Table'!$Q504,'Loading Rates'!$B$1:$L$24,9,FALSE),'BMP P Tracking Table'!$AA504*VLOOKUP('BMP P Tracking Table'!$Q504,'Loading Rates'!$B$1:$L$24,10,FALSE)),"")</f>
        <v/>
      </c>
      <c r="AE504" s="101" t="str">
        <f>IFERROR(MIN(2,IF('BMP P Tracking Table'!$V504="Total Pervious",(-(3630*'BMP P Tracking Table'!$U504+20.691*'BMP P Tracking Table'!$AA504)+SQRT((3630*'BMP P Tracking Table'!$U504+20.691*'BMP P Tracking Table'!$AA504)^2-(4*(996.798*'BMP P Tracking Table'!$AA504)*-'BMP P Tracking Table'!$AB504)))/(2*(996.798*'BMP P Tracking Table'!$AA504)),IF(SUM('BMP P Tracking Table'!$W504:$Z504)=0,'BMP P Tracking Table'!$AB504/(-3630*'BMP P Tracking Table'!$U504),(-(3630*'BMP P Tracking Table'!$U504+20.691*'BMP P Tracking Table'!$Z504-216.711*'BMP P Tracking Table'!$Y504-83.853*'BMP P Tracking Table'!$X504-42.834*'BMP P Tracking Table'!$W504)+SQRT((3630*'BMP P Tracking Table'!$U504+20.691*'BMP P Tracking Table'!$Z504-216.711*'BMP P Tracking Table'!$Y504-83.853*'BMP P Tracking Table'!$X504-42.834*'BMP P Tracking Table'!$W504)^2-(4*(149.919*'BMP P Tracking Table'!$W504+236.676*'BMP P Tracking Table'!$X504+726*'BMP P Tracking Table'!$Y504+996.798*'BMP P Tracking Table'!$Z504)*-'BMP P Tracking Table'!$AB504)))/(2*(149.919*'BMP P Tracking Table'!$W504+236.676*'BMP P Tracking Table'!$X504+726*'BMP P Tracking Table'!$Y504+996.798*'BMP P Tracking Table'!$Z504))))),"")</f>
        <v/>
      </c>
      <c r="AF504" s="101" t="str">
        <f>IFERROR((VLOOKUP(CONCATENATE('BMP P Tracking Table'!$T504," ",'BMP P Tracking Table'!$AC504),'Performance Curves'!$C$1:$L$45,MATCH('BMP P Tracking Table'!$AE504,'Performance Curves'!$E$1:$L$1,1)+2,FALSE)-VLOOKUP(CONCATENATE('BMP P Tracking Table'!$T504," ",'BMP P Tracking Table'!$AC504),'Performance Curves'!$C$1:$L$45,MATCH('BMP P Tracking Table'!$AE504,'Performance Curves'!$E$1:$L$1,1)+1,FALSE)),"")</f>
        <v/>
      </c>
      <c r="AG504" s="101" t="str">
        <f>IFERROR(('BMP P Tracking Table'!$AE504-INDEX('Performance Curves'!$E$1:$L$1,1,MATCH('BMP P Tracking Table'!$AE504,'Performance Curves'!$E$1:$L$1,1)))/(INDEX('Performance Curves'!$E$1:$L$1,1,MATCH('BMP P Tracking Table'!$AE504,'Performance Curves'!$E$1:$L$1,1)+1)-INDEX('Performance Curves'!$E$1:$L$1,1,MATCH('BMP P Tracking Table'!$AE504,'Performance Curves'!$E$1:$L$1,1))),"")</f>
        <v/>
      </c>
      <c r="AH504" s="102" t="str">
        <f>IFERROR(IF('BMP P Tracking Table'!$AE504=2,VLOOKUP(CONCATENATE('BMP P Tracking Table'!$T504," ",'BMP P Tracking Table'!$AC504),'Performance Curves'!$C$1:$L$45,MATCH('BMP P Tracking Table'!$AE504,'Performance Curves'!$E$1:$L$1,1)+1,FALSE),'BMP P Tracking Table'!$AF504*'BMP P Tracking Table'!$AG504+VLOOKUP(CONCATENATE('BMP P Tracking Table'!$T504," ",'BMP P Tracking Table'!$AC504),'Performance Curves'!$C$1:$L$45,MATCH('BMP P Tracking Table'!$AE504,'Performance Curves'!$E$1:$L$1,1)+1,FALSE)),"")</f>
        <v/>
      </c>
      <c r="AI504" s="101" t="str">
        <f>IFERROR('BMP P Tracking Table'!$AH504*'BMP P Tracking Table'!$AD504,"")</f>
        <v/>
      </c>
      <c r="AJ504" s="64"/>
      <c r="AK504" s="96"/>
      <c r="AL504" s="96"/>
      <c r="AM504" s="63"/>
      <c r="AN504" s="99" t="str">
        <f t="shared" si="26"/>
        <v/>
      </c>
      <c r="AO504" s="96"/>
      <c r="AP504" s="96"/>
      <c r="AQ504" s="96"/>
      <c r="AR504" s="96"/>
      <c r="AS504" s="96"/>
      <c r="AT504" s="96"/>
      <c r="AU504" s="96"/>
      <c r="AV504" s="64"/>
      <c r="AW504" s="97"/>
      <c r="AX504" s="97"/>
      <c r="AY504" s="101" t="str">
        <f>IF('BMP P Tracking Table'!$AK504="Yes",IF('BMP P Tracking Table'!$AL504="No",'BMP P Tracking Table'!$U504*VLOOKUP('BMP P Tracking Table'!$Q504,'Loading Rates'!$B$1:$L$24,4,FALSE)+IF('BMP P Tracking Table'!$V504="By HSG",'BMP P Tracking Table'!$W504*VLOOKUP('BMP P Tracking Table'!$Q504,'Loading Rates'!$B$1:$L$24,6,FALSE)+'BMP P Tracking Table'!$X504*VLOOKUP('BMP P Tracking Table'!$Q504,'Loading Rates'!$B$1:$L$24,7,FALSE)+'BMP P Tracking Table'!$Y504*VLOOKUP('BMP P Tracking Table'!$Q504,'Loading Rates'!$B$1:$L$24,8,FALSE)+'BMP P Tracking Table'!$Z504*VLOOKUP('BMP P Tracking Table'!$Q504,'Loading Rates'!$B$1:$L$24,9,FALSE),'BMP P Tracking Table'!$AA504*VLOOKUP('BMP P Tracking Table'!$Q504,'Loading Rates'!$B$1:$L$24,10,FALSE)),'BMP P Tracking Table'!$AO504*VLOOKUP('BMP P Tracking Table'!$Q504,'Loading Rates'!$B$1:$L$24,4,FALSE)+IF('BMP P Tracking Table'!$AP504="By HSG",'BMP P Tracking Table'!$AQ504*VLOOKUP('BMP P Tracking Table'!$Q504,'Loading Rates'!$B$1:$L$24,6,FALSE)+'BMP P Tracking Table'!$AR504*VLOOKUP('BMP P Tracking Table'!$Q504,'Loading Rates'!$B$1:$L$24,7,FALSE)+'BMP P Tracking Table'!$AS504*VLOOKUP('BMP P Tracking Table'!$Q504,'Loading Rates'!$B$1:$L$24,8,FALSE)+'BMP P Tracking Table'!$AT504*VLOOKUP('BMP P Tracking Table'!$Q504,'Loading Rates'!$B$1:$L$24,9,FALSE),'BMP P Tracking Table'!$AU504*VLOOKUP('BMP P Tracking Table'!$Q504,'Loading Rates'!$B$1:$L$24,10,FALSE))),"")</f>
        <v/>
      </c>
      <c r="AZ504" s="101" t="str">
        <f>IFERROR(IF('BMP P Tracking Table'!$AL504="Yes",MIN(2,IF('BMP P Tracking Table'!$AP504="Total Pervious",(-(3630*'BMP P Tracking Table'!$AO504+20.691*'BMP P Tracking Table'!$AU504)+SQRT((3630*'BMP P Tracking Table'!$AO504+20.691*'BMP P Tracking Table'!$AU504)^2-(4*(996.798*'BMP P Tracking Table'!$AU504)*-'BMP P Tracking Table'!$AW504)))/(2*(996.798*'BMP P Tracking Table'!$AU504)),IF(SUM('BMP P Tracking Table'!$AQ504:$AT504)=0,'BMP P Tracking Table'!$AU504/(-3630*'BMP P Tracking Table'!$AO504),(-(3630*'BMP P Tracking Table'!$AO504+20.691*'BMP P Tracking Table'!$AT504-216.711*'BMP P Tracking Table'!$AS504-83.853*'BMP P Tracking Table'!$AR504-42.834*'BMP P Tracking Table'!$AQ504)+SQRT((3630*'BMP P Tracking Table'!$AO504+20.691*'BMP P Tracking Table'!$AT504-216.711*'BMP P Tracking Table'!$AS504-83.853*'BMP P Tracking Table'!$AR504-42.834*'BMP P Tracking Table'!$AQ504)^2-(4*(149.919*'BMP P Tracking Table'!$AQ504+236.676*'BMP P Tracking Table'!$AR504+726*'BMP P Tracking Table'!$AS504+996.798*'BMP P Tracking Table'!$AT504)*-'BMP P Tracking Table'!$AW504)))/(2*(149.919*'BMP P Tracking Table'!$AQ504+236.676*'BMP P Tracking Table'!$AR504+726*'BMP P Tracking Table'!$AS504+996.798*'BMP P Tracking Table'!$AT504))))),MIN(2,IF('BMP P Tracking Table'!$AP504="Total Pervious",(-(3630*'BMP P Tracking Table'!$U504+20.691*'BMP P Tracking Table'!$AA504)+SQRT((3630*'BMP P Tracking Table'!$U504+20.691*'BMP P Tracking Table'!$AA504)^2-(4*(996.798*'BMP P Tracking Table'!$AA504)*-'BMP P Tracking Table'!$AW504)))/(2*(996.798*'BMP P Tracking Table'!$AA504)),IF(SUM('BMP P Tracking Table'!$W504:$Z504)=0,'BMP P Tracking Table'!$AW504/(-3630*'BMP P Tracking Table'!$U504),(-(3630*'BMP P Tracking Table'!$U504+20.691*'BMP P Tracking Table'!$Z504-216.711*'BMP P Tracking Table'!$Y504-83.853*'BMP P Tracking Table'!$X504-42.834*'BMP P Tracking Table'!$W504)+SQRT((3630*'BMP P Tracking Table'!$U504+20.691*'BMP P Tracking Table'!$Z504-216.711*'BMP P Tracking Table'!$Y504-83.853*'BMP P Tracking Table'!$X504-42.834*'BMP P Tracking Table'!$W504)^2-(4*(149.919*'BMP P Tracking Table'!$W504+236.676*'BMP P Tracking Table'!$X504+726*'BMP P Tracking Table'!$Y504+996.798*'BMP P Tracking Table'!$Z504)*-'BMP P Tracking Table'!$AW504)))/(2*(149.919*'BMP P Tracking Table'!$W504+236.676*'BMP P Tracking Table'!$X504+726*'BMP P Tracking Table'!$Y504+996.798*'BMP P Tracking Table'!$Z504)))))),"")</f>
        <v/>
      </c>
      <c r="BA504" s="101" t="str">
        <f>IFERROR((VLOOKUP(CONCATENATE('BMP P Tracking Table'!$AV504," ",'BMP P Tracking Table'!$AX504),'Performance Curves'!$C$1:$L$45,MATCH('BMP P Tracking Table'!$AZ504,'Performance Curves'!$E$1:$L$1,1)+2,FALSE)-VLOOKUP(CONCATENATE('BMP P Tracking Table'!$AV504," ",'BMP P Tracking Table'!$AX504),'Performance Curves'!$C$1:$L$45,MATCH('BMP P Tracking Table'!$AZ504,'Performance Curves'!$E$1:$L$1,1)+1,FALSE)),"")</f>
        <v/>
      </c>
      <c r="BB504" s="101" t="str">
        <f>IFERROR(('BMP P Tracking Table'!$AZ504-INDEX('Performance Curves'!$E$1:$L$1,1,MATCH('BMP P Tracking Table'!$AZ504,'Performance Curves'!$E$1:$L$1,1)))/(INDEX('Performance Curves'!$E$1:$L$1,1,MATCH('BMP P Tracking Table'!$AZ504,'Performance Curves'!$E$1:$L$1,1)+1)-INDEX('Performance Curves'!$E$1:$L$1,1,MATCH('BMP P Tracking Table'!$AZ504,'Performance Curves'!$E$1:$L$1,1))),"")</f>
        <v/>
      </c>
      <c r="BC504" s="102" t="str">
        <f>IFERROR(IF('BMP P Tracking Table'!$AZ504=2,VLOOKUP(CONCATENATE('BMP P Tracking Table'!$AV504," ",'BMP P Tracking Table'!$AX504),'Performance Curves'!$C$1:$L$44,MATCH('BMP P Tracking Table'!$AZ504,'Performance Curves'!$E$1:$L$1,1)+1,FALSE),'BMP P Tracking Table'!$BA504*'BMP P Tracking Table'!$BB504+VLOOKUP(CONCATENATE('BMP P Tracking Table'!$AV504," ",'BMP P Tracking Table'!$AX504),'Performance Curves'!$C$1:$L$44,MATCH('BMP P Tracking Table'!$AZ504,'Performance Curves'!$E$1:$L$1,1)+1,FALSE)),"")</f>
        <v/>
      </c>
      <c r="BD504" s="101" t="str">
        <f>IFERROR('BMP P Tracking Table'!$BC504*'BMP P Tracking Table'!$AY504,"")</f>
        <v/>
      </c>
      <c r="BE504" s="96"/>
      <c r="BF504" s="37">
        <f t="shared" si="27"/>
        <v>0</v>
      </c>
    </row>
    <row r="505" spans="1:58" x14ac:dyDescent="0.3">
      <c r="A505" s="64"/>
      <c r="B505" s="64"/>
      <c r="C505" s="64"/>
      <c r="D505" s="64"/>
      <c r="E505" s="93"/>
      <c r="F505" s="93"/>
      <c r="G505" s="64"/>
      <c r="H505" s="64"/>
      <c r="I505" s="64"/>
      <c r="J505" s="94"/>
      <c r="K505" s="64"/>
      <c r="L505" s="64"/>
      <c r="M505" s="64"/>
      <c r="N505" s="64"/>
      <c r="O505" s="64"/>
      <c r="P505" s="64"/>
      <c r="Q505" s="64" t="str">
        <f>IFERROR(VLOOKUP('BMP P Tracking Table'!$P505,Dropdowns!$C$2:$E$15,3,FALSE),"")</f>
        <v/>
      </c>
      <c r="R505" s="64" t="str">
        <f>IFERROR(VLOOKUP('BMP P Tracking Table'!$Q505,Dropdowns!$P$3:$Q$23,2,FALSE),"")</f>
        <v/>
      </c>
      <c r="S505" s="64"/>
      <c r="T505" s="64"/>
      <c r="U505" s="64"/>
      <c r="V505" s="64"/>
      <c r="W505" s="64"/>
      <c r="X505" s="64"/>
      <c r="Y505" s="64"/>
      <c r="Z505" s="64"/>
      <c r="AA505" s="64"/>
      <c r="AB505" s="95"/>
      <c r="AC505" s="64"/>
      <c r="AD505" s="101" t="str">
        <f>IFERROR('BMP P Tracking Table'!$U505*VLOOKUP('BMP P Tracking Table'!$Q505,'Loading Rates'!$B$1:$L$24,4,FALSE)+IF('BMP P Tracking Table'!$V505="By HSG",'BMP P Tracking Table'!$W505*VLOOKUP('BMP P Tracking Table'!$Q505,'Loading Rates'!$B$1:$L$24,6,FALSE)+'BMP P Tracking Table'!$X505*VLOOKUP('BMP P Tracking Table'!$Q505,'Loading Rates'!$B$1:$L$24,7,FALSE)+'BMP P Tracking Table'!$Y505*VLOOKUP('BMP P Tracking Table'!$Q505,'Loading Rates'!$B$1:$L$24,8,FALSE)+'BMP P Tracking Table'!$Z505*VLOOKUP('BMP P Tracking Table'!$Q505,'Loading Rates'!$B$1:$L$24,9,FALSE),'BMP P Tracking Table'!$AA505*VLOOKUP('BMP P Tracking Table'!$Q505,'Loading Rates'!$B$1:$L$24,10,FALSE)),"")</f>
        <v/>
      </c>
      <c r="AE505" s="101" t="str">
        <f>IFERROR(MIN(2,IF('BMP P Tracking Table'!$V505="Total Pervious",(-(3630*'BMP P Tracking Table'!$U505+20.691*'BMP P Tracking Table'!$AA505)+SQRT((3630*'BMP P Tracking Table'!$U505+20.691*'BMP P Tracking Table'!$AA505)^2-(4*(996.798*'BMP P Tracking Table'!$AA505)*-'BMP P Tracking Table'!$AB505)))/(2*(996.798*'BMP P Tracking Table'!$AA505)),IF(SUM('BMP P Tracking Table'!$W505:$Z505)=0,'BMP P Tracking Table'!$AB505/(-3630*'BMP P Tracking Table'!$U505),(-(3630*'BMP P Tracking Table'!$U505+20.691*'BMP P Tracking Table'!$Z505-216.711*'BMP P Tracking Table'!$Y505-83.853*'BMP P Tracking Table'!$X505-42.834*'BMP P Tracking Table'!$W505)+SQRT((3630*'BMP P Tracking Table'!$U505+20.691*'BMP P Tracking Table'!$Z505-216.711*'BMP P Tracking Table'!$Y505-83.853*'BMP P Tracking Table'!$X505-42.834*'BMP P Tracking Table'!$W505)^2-(4*(149.919*'BMP P Tracking Table'!$W505+236.676*'BMP P Tracking Table'!$X505+726*'BMP P Tracking Table'!$Y505+996.798*'BMP P Tracking Table'!$Z505)*-'BMP P Tracking Table'!$AB505)))/(2*(149.919*'BMP P Tracking Table'!$W505+236.676*'BMP P Tracking Table'!$X505+726*'BMP P Tracking Table'!$Y505+996.798*'BMP P Tracking Table'!$Z505))))),"")</f>
        <v/>
      </c>
      <c r="AF505" s="101" t="str">
        <f>IFERROR((VLOOKUP(CONCATENATE('BMP P Tracking Table'!$T505," ",'BMP P Tracking Table'!$AC505),'Performance Curves'!$C$1:$L$45,MATCH('BMP P Tracking Table'!$AE505,'Performance Curves'!$E$1:$L$1,1)+2,FALSE)-VLOOKUP(CONCATENATE('BMP P Tracking Table'!$T505," ",'BMP P Tracking Table'!$AC505),'Performance Curves'!$C$1:$L$45,MATCH('BMP P Tracking Table'!$AE505,'Performance Curves'!$E$1:$L$1,1)+1,FALSE)),"")</f>
        <v/>
      </c>
      <c r="AG505" s="101" t="str">
        <f>IFERROR(('BMP P Tracking Table'!$AE505-INDEX('Performance Curves'!$E$1:$L$1,1,MATCH('BMP P Tracking Table'!$AE505,'Performance Curves'!$E$1:$L$1,1)))/(INDEX('Performance Curves'!$E$1:$L$1,1,MATCH('BMP P Tracking Table'!$AE505,'Performance Curves'!$E$1:$L$1,1)+1)-INDEX('Performance Curves'!$E$1:$L$1,1,MATCH('BMP P Tracking Table'!$AE505,'Performance Curves'!$E$1:$L$1,1))),"")</f>
        <v/>
      </c>
      <c r="AH505" s="102" t="str">
        <f>IFERROR(IF('BMP P Tracking Table'!$AE505=2,VLOOKUP(CONCATENATE('BMP P Tracking Table'!$T505," ",'BMP P Tracking Table'!$AC505),'Performance Curves'!$C$1:$L$45,MATCH('BMP P Tracking Table'!$AE505,'Performance Curves'!$E$1:$L$1,1)+1,FALSE),'BMP P Tracking Table'!$AF505*'BMP P Tracking Table'!$AG505+VLOOKUP(CONCATENATE('BMP P Tracking Table'!$T505," ",'BMP P Tracking Table'!$AC505),'Performance Curves'!$C$1:$L$45,MATCH('BMP P Tracking Table'!$AE505,'Performance Curves'!$E$1:$L$1,1)+1,FALSE)),"")</f>
        <v/>
      </c>
      <c r="AI505" s="101" t="str">
        <f>IFERROR('BMP P Tracking Table'!$AH505*'BMP P Tracking Table'!$AD505,"")</f>
        <v/>
      </c>
      <c r="AJ505" s="64"/>
      <c r="AK505" s="96"/>
      <c r="AL505" s="96"/>
      <c r="AM505" s="63"/>
      <c r="AN505" s="99" t="str">
        <f t="shared" si="26"/>
        <v/>
      </c>
      <c r="AO505" s="96"/>
      <c r="AP505" s="96"/>
      <c r="AQ505" s="96"/>
      <c r="AR505" s="96"/>
      <c r="AS505" s="96"/>
      <c r="AT505" s="96"/>
      <c r="AU505" s="96"/>
      <c r="AV505" s="64"/>
      <c r="AW505" s="97"/>
      <c r="AX505" s="97"/>
      <c r="AY505" s="101" t="str">
        <f>IF('BMP P Tracking Table'!$AK505="Yes",IF('BMP P Tracking Table'!$AL505="No",'BMP P Tracking Table'!$U505*VLOOKUP('BMP P Tracking Table'!$Q505,'Loading Rates'!$B$1:$L$24,4,FALSE)+IF('BMP P Tracking Table'!$V505="By HSG",'BMP P Tracking Table'!$W505*VLOOKUP('BMP P Tracking Table'!$Q505,'Loading Rates'!$B$1:$L$24,6,FALSE)+'BMP P Tracking Table'!$X505*VLOOKUP('BMP P Tracking Table'!$Q505,'Loading Rates'!$B$1:$L$24,7,FALSE)+'BMP P Tracking Table'!$Y505*VLOOKUP('BMP P Tracking Table'!$Q505,'Loading Rates'!$B$1:$L$24,8,FALSE)+'BMP P Tracking Table'!$Z505*VLOOKUP('BMP P Tracking Table'!$Q505,'Loading Rates'!$B$1:$L$24,9,FALSE),'BMP P Tracking Table'!$AA505*VLOOKUP('BMP P Tracking Table'!$Q505,'Loading Rates'!$B$1:$L$24,10,FALSE)),'BMP P Tracking Table'!$AO505*VLOOKUP('BMP P Tracking Table'!$Q505,'Loading Rates'!$B$1:$L$24,4,FALSE)+IF('BMP P Tracking Table'!$AP505="By HSG",'BMP P Tracking Table'!$AQ505*VLOOKUP('BMP P Tracking Table'!$Q505,'Loading Rates'!$B$1:$L$24,6,FALSE)+'BMP P Tracking Table'!$AR505*VLOOKUP('BMP P Tracking Table'!$Q505,'Loading Rates'!$B$1:$L$24,7,FALSE)+'BMP P Tracking Table'!$AS505*VLOOKUP('BMP P Tracking Table'!$Q505,'Loading Rates'!$B$1:$L$24,8,FALSE)+'BMP P Tracking Table'!$AT505*VLOOKUP('BMP P Tracking Table'!$Q505,'Loading Rates'!$B$1:$L$24,9,FALSE),'BMP P Tracking Table'!$AU505*VLOOKUP('BMP P Tracking Table'!$Q505,'Loading Rates'!$B$1:$L$24,10,FALSE))),"")</f>
        <v/>
      </c>
      <c r="AZ505" s="101" t="str">
        <f>IFERROR(IF('BMP P Tracking Table'!$AL505="Yes",MIN(2,IF('BMP P Tracking Table'!$AP505="Total Pervious",(-(3630*'BMP P Tracking Table'!$AO505+20.691*'BMP P Tracking Table'!$AU505)+SQRT((3630*'BMP P Tracking Table'!$AO505+20.691*'BMP P Tracking Table'!$AU505)^2-(4*(996.798*'BMP P Tracking Table'!$AU505)*-'BMP P Tracking Table'!$AW505)))/(2*(996.798*'BMP P Tracking Table'!$AU505)),IF(SUM('BMP P Tracking Table'!$AQ505:$AT505)=0,'BMP P Tracking Table'!$AU505/(-3630*'BMP P Tracking Table'!$AO505),(-(3630*'BMP P Tracking Table'!$AO505+20.691*'BMP P Tracking Table'!$AT505-216.711*'BMP P Tracking Table'!$AS505-83.853*'BMP P Tracking Table'!$AR505-42.834*'BMP P Tracking Table'!$AQ505)+SQRT((3630*'BMP P Tracking Table'!$AO505+20.691*'BMP P Tracking Table'!$AT505-216.711*'BMP P Tracking Table'!$AS505-83.853*'BMP P Tracking Table'!$AR505-42.834*'BMP P Tracking Table'!$AQ505)^2-(4*(149.919*'BMP P Tracking Table'!$AQ505+236.676*'BMP P Tracking Table'!$AR505+726*'BMP P Tracking Table'!$AS505+996.798*'BMP P Tracking Table'!$AT505)*-'BMP P Tracking Table'!$AW505)))/(2*(149.919*'BMP P Tracking Table'!$AQ505+236.676*'BMP P Tracking Table'!$AR505+726*'BMP P Tracking Table'!$AS505+996.798*'BMP P Tracking Table'!$AT505))))),MIN(2,IF('BMP P Tracking Table'!$AP505="Total Pervious",(-(3630*'BMP P Tracking Table'!$U505+20.691*'BMP P Tracking Table'!$AA505)+SQRT((3630*'BMP P Tracking Table'!$U505+20.691*'BMP P Tracking Table'!$AA505)^2-(4*(996.798*'BMP P Tracking Table'!$AA505)*-'BMP P Tracking Table'!$AW505)))/(2*(996.798*'BMP P Tracking Table'!$AA505)),IF(SUM('BMP P Tracking Table'!$W505:$Z505)=0,'BMP P Tracking Table'!$AW505/(-3630*'BMP P Tracking Table'!$U505),(-(3630*'BMP P Tracking Table'!$U505+20.691*'BMP P Tracking Table'!$Z505-216.711*'BMP P Tracking Table'!$Y505-83.853*'BMP P Tracking Table'!$X505-42.834*'BMP P Tracking Table'!$W505)+SQRT((3630*'BMP P Tracking Table'!$U505+20.691*'BMP P Tracking Table'!$Z505-216.711*'BMP P Tracking Table'!$Y505-83.853*'BMP P Tracking Table'!$X505-42.834*'BMP P Tracking Table'!$W505)^2-(4*(149.919*'BMP P Tracking Table'!$W505+236.676*'BMP P Tracking Table'!$X505+726*'BMP P Tracking Table'!$Y505+996.798*'BMP P Tracking Table'!$Z505)*-'BMP P Tracking Table'!$AW505)))/(2*(149.919*'BMP P Tracking Table'!$W505+236.676*'BMP P Tracking Table'!$X505+726*'BMP P Tracking Table'!$Y505+996.798*'BMP P Tracking Table'!$Z505)))))),"")</f>
        <v/>
      </c>
      <c r="BA505" s="101" t="str">
        <f>IFERROR((VLOOKUP(CONCATENATE('BMP P Tracking Table'!$AV505," ",'BMP P Tracking Table'!$AX505),'Performance Curves'!$C$1:$L$45,MATCH('BMP P Tracking Table'!$AZ505,'Performance Curves'!$E$1:$L$1,1)+2,FALSE)-VLOOKUP(CONCATENATE('BMP P Tracking Table'!$AV505," ",'BMP P Tracking Table'!$AX505),'Performance Curves'!$C$1:$L$45,MATCH('BMP P Tracking Table'!$AZ505,'Performance Curves'!$E$1:$L$1,1)+1,FALSE)),"")</f>
        <v/>
      </c>
      <c r="BB505" s="101" t="str">
        <f>IFERROR(('BMP P Tracking Table'!$AZ505-INDEX('Performance Curves'!$E$1:$L$1,1,MATCH('BMP P Tracking Table'!$AZ505,'Performance Curves'!$E$1:$L$1,1)))/(INDEX('Performance Curves'!$E$1:$L$1,1,MATCH('BMP P Tracking Table'!$AZ505,'Performance Curves'!$E$1:$L$1,1)+1)-INDEX('Performance Curves'!$E$1:$L$1,1,MATCH('BMP P Tracking Table'!$AZ505,'Performance Curves'!$E$1:$L$1,1))),"")</f>
        <v/>
      </c>
      <c r="BC505" s="102" t="str">
        <f>IFERROR(IF('BMP P Tracking Table'!$AZ505=2,VLOOKUP(CONCATENATE('BMP P Tracking Table'!$AV505," ",'BMP P Tracking Table'!$AX505),'Performance Curves'!$C$1:$L$44,MATCH('BMP P Tracking Table'!$AZ505,'Performance Curves'!$E$1:$L$1,1)+1,FALSE),'BMP P Tracking Table'!$BA505*'BMP P Tracking Table'!$BB505+VLOOKUP(CONCATENATE('BMP P Tracking Table'!$AV505," ",'BMP P Tracking Table'!$AX505),'Performance Curves'!$C$1:$L$44,MATCH('BMP P Tracking Table'!$AZ505,'Performance Curves'!$E$1:$L$1,1)+1,FALSE)),"")</f>
        <v/>
      </c>
      <c r="BD505" s="101" t="str">
        <f>IFERROR('BMP P Tracking Table'!$BC505*'BMP P Tracking Table'!$AY505,"")</f>
        <v/>
      </c>
      <c r="BE505" s="96"/>
      <c r="BF505" s="37">
        <f t="shared" si="27"/>
        <v>0</v>
      </c>
    </row>
    <row r="506" spans="1:58" x14ac:dyDescent="0.3">
      <c r="A506" s="64"/>
      <c r="B506" s="64"/>
      <c r="C506" s="64"/>
      <c r="D506" s="64"/>
      <c r="E506" s="93"/>
      <c r="F506" s="93"/>
      <c r="G506" s="64"/>
      <c r="H506" s="64"/>
      <c r="I506" s="64"/>
      <c r="J506" s="94"/>
      <c r="K506" s="64"/>
      <c r="L506" s="64"/>
      <c r="M506" s="64"/>
      <c r="N506" s="64"/>
      <c r="O506" s="64"/>
      <c r="P506" s="64"/>
      <c r="Q506" s="64" t="str">
        <f>IFERROR(VLOOKUP('BMP P Tracking Table'!$P506,Dropdowns!$C$2:$E$15,3,FALSE),"")</f>
        <v/>
      </c>
      <c r="R506" s="64" t="str">
        <f>IFERROR(VLOOKUP('BMP P Tracking Table'!$Q506,Dropdowns!$P$3:$Q$23,2,FALSE),"")</f>
        <v/>
      </c>
      <c r="S506" s="64"/>
      <c r="T506" s="64"/>
      <c r="U506" s="64"/>
      <c r="V506" s="64"/>
      <c r="W506" s="64"/>
      <c r="X506" s="64"/>
      <c r="Y506" s="64"/>
      <c r="Z506" s="64"/>
      <c r="AA506" s="64"/>
      <c r="AB506" s="95"/>
      <c r="AC506" s="64"/>
      <c r="AD506" s="101" t="str">
        <f>IFERROR('BMP P Tracking Table'!$U506*VLOOKUP('BMP P Tracking Table'!$Q506,'Loading Rates'!$B$1:$L$24,4,FALSE)+IF('BMP P Tracking Table'!$V506="By HSG",'BMP P Tracking Table'!$W506*VLOOKUP('BMP P Tracking Table'!$Q506,'Loading Rates'!$B$1:$L$24,6,FALSE)+'BMP P Tracking Table'!$X506*VLOOKUP('BMP P Tracking Table'!$Q506,'Loading Rates'!$B$1:$L$24,7,FALSE)+'BMP P Tracking Table'!$Y506*VLOOKUP('BMP P Tracking Table'!$Q506,'Loading Rates'!$B$1:$L$24,8,FALSE)+'BMP P Tracking Table'!$Z506*VLOOKUP('BMP P Tracking Table'!$Q506,'Loading Rates'!$B$1:$L$24,9,FALSE),'BMP P Tracking Table'!$AA506*VLOOKUP('BMP P Tracking Table'!$Q506,'Loading Rates'!$B$1:$L$24,10,FALSE)),"")</f>
        <v/>
      </c>
      <c r="AE506" s="101" t="str">
        <f>IFERROR(MIN(2,IF('BMP P Tracking Table'!$V506="Total Pervious",(-(3630*'BMP P Tracking Table'!$U506+20.691*'BMP P Tracking Table'!$AA506)+SQRT((3630*'BMP P Tracking Table'!$U506+20.691*'BMP P Tracking Table'!$AA506)^2-(4*(996.798*'BMP P Tracking Table'!$AA506)*-'BMP P Tracking Table'!$AB506)))/(2*(996.798*'BMP P Tracking Table'!$AA506)),IF(SUM('BMP P Tracking Table'!$W506:$Z506)=0,'BMP P Tracking Table'!$AB506/(-3630*'BMP P Tracking Table'!$U506),(-(3630*'BMP P Tracking Table'!$U506+20.691*'BMP P Tracking Table'!$Z506-216.711*'BMP P Tracking Table'!$Y506-83.853*'BMP P Tracking Table'!$X506-42.834*'BMP P Tracking Table'!$W506)+SQRT((3630*'BMP P Tracking Table'!$U506+20.691*'BMP P Tracking Table'!$Z506-216.711*'BMP P Tracking Table'!$Y506-83.853*'BMP P Tracking Table'!$X506-42.834*'BMP P Tracking Table'!$W506)^2-(4*(149.919*'BMP P Tracking Table'!$W506+236.676*'BMP P Tracking Table'!$X506+726*'BMP P Tracking Table'!$Y506+996.798*'BMP P Tracking Table'!$Z506)*-'BMP P Tracking Table'!$AB506)))/(2*(149.919*'BMP P Tracking Table'!$W506+236.676*'BMP P Tracking Table'!$X506+726*'BMP P Tracking Table'!$Y506+996.798*'BMP P Tracking Table'!$Z506))))),"")</f>
        <v/>
      </c>
      <c r="AF506" s="101" t="str">
        <f>IFERROR((VLOOKUP(CONCATENATE('BMP P Tracking Table'!$T506," ",'BMP P Tracking Table'!$AC506),'Performance Curves'!$C$1:$L$45,MATCH('BMP P Tracking Table'!$AE506,'Performance Curves'!$E$1:$L$1,1)+2,FALSE)-VLOOKUP(CONCATENATE('BMP P Tracking Table'!$T506," ",'BMP P Tracking Table'!$AC506),'Performance Curves'!$C$1:$L$45,MATCH('BMP P Tracking Table'!$AE506,'Performance Curves'!$E$1:$L$1,1)+1,FALSE)),"")</f>
        <v/>
      </c>
      <c r="AG506" s="101" t="str">
        <f>IFERROR(('BMP P Tracking Table'!$AE506-INDEX('Performance Curves'!$E$1:$L$1,1,MATCH('BMP P Tracking Table'!$AE506,'Performance Curves'!$E$1:$L$1,1)))/(INDEX('Performance Curves'!$E$1:$L$1,1,MATCH('BMP P Tracking Table'!$AE506,'Performance Curves'!$E$1:$L$1,1)+1)-INDEX('Performance Curves'!$E$1:$L$1,1,MATCH('BMP P Tracking Table'!$AE506,'Performance Curves'!$E$1:$L$1,1))),"")</f>
        <v/>
      </c>
      <c r="AH506" s="102" t="str">
        <f>IFERROR(IF('BMP P Tracking Table'!$AE506=2,VLOOKUP(CONCATENATE('BMP P Tracking Table'!$T506," ",'BMP P Tracking Table'!$AC506),'Performance Curves'!$C$1:$L$45,MATCH('BMP P Tracking Table'!$AE506,'Performance Curves'!$E$1:$L$1,1)+1,FALSE),'BMP P Tracking Table'!$AF506*'BMP P Tracking Table'!$AG506+VLOOKUP(CONCATENATE('BMP P Tracking Table'!$T506," ",'BMP P Tracking Table'!$AC506),'Performance Curves'!$C$1:$L$45,MATCH('BMP P Tracking Table'!$AE506,'Performance Curves'!$E$1:$L$1,1)+1,FALSE)),"")</f>
        <v/>
      </c>
      <c r="AI506" s="101" t="str">
        <f>IFERROR('BMP P Tracking Table'!$AH506*'BMP P Tracking Table'!$AD506,"")</f>
        <v/>
      </c>
      <c r="AJ506" s="64"/>
      <c r="AK506" s="96"/>
      <c r="AL506" s="96"/>
      <c r="AM506" s="63"/>
      <c r="AN506" s="99" t="str">
        <f t="shared" si="26"/>
        <v/>
      </c>
      <c r="AO506" s="96"/>
      <c r="AP506" s="96"/>
      <c r="AQ506" s="96"/>
      <c r="AR506" s="96"/>
      <c r="AS506" s="96"/>
      <c r="AT506" s="96"/>
      <c r="AU506" s="96"/>
      <c r="AV506" s="64"/>
      <c r="AW506" s="97"/>
      <c r="AX506" s="97"/>
      <c r="AY506" s="101" t="str">
        <f>IF('BMP P Tracking Table'!$AK506="Yes",IF('BMP P Tracking Table'!$AL506="No",'BMP P Tracking Table'!$U506*VLOOKUP('BMP P Tracking Table'!$Q506,'Loading Rates'!$B$1:$L$24,4,FALSE)+IF('BMP P Tracking Table'!$V506="By HSG",'BMP P Tracking Table'!$W506*VLOOKUP('BMP P Tracking Table'!$Q506,'Loading Rates'!$B$1:$L$24,6,FALSE)+'BMP P Tracking Table'!$X506*VLOOKUP('BMP P Tracking Table'!$Q506,'Loading Rates'!$B$1:$L$24,7,FALSE)+'BMP P Tracking Table'!$Y506*VLOOKUP('BMP P Tracking Table'!$Q506,'Loading Rates'!$B$1:$L$24,8,FALSE)+'BMP P Tracking Table'!$Z506*VLOOKUP('BMP P Tracking Table'!$Q506,'Loading Rates'!$B$1:$L$24,9,FALSE),'BMP P Tracking Table'!$AA506*VLOOKUP('BMP P Tracking Table'!$Q506,'Loading Rates'!$B$1:$L$24,10,FALSE)),'BMP P Tracking Table'!$AO506*VLOOKUP('BMP P Tracking Table'!$Q506,'Loading Rates'!$B$1:$L$24,4,FALSE)+IF('BMP P Tracking Table'!$AP506="By HSG",'BMP P Tracking Table'!$AQ506*VLOOKUP('BMP P Tracking Table'!$Q506,'Loading Rates'!$B$1:$L$24,6,FALSE)+'BMP P Tracking Table'!$AR506*VLOOKUP('BMP P Tracking Table'!$Q506,'Loading Rates'!$B$1:$L$24,7,FALSE)+'BMP P Tracking Table'!$AS506*VLOOKUP('BMP P Tracking Table'!$Q506,'Loading Rates'!$B$1:$L$24,8,FALSE)+'BMP P Tracking Table'!$AT506*VLOOKUP('BMP P Tracking Table'!$Q506,'Loading Rates'!$B$1:$L$24,9,FALSE),'BMP P Tracking Table'!$AU506*VLOOKUP('BMP P Tracking Table'!$Q506,'Loading Rates'!$B$1:$L$24,10,FALSE))),"")</f>
        <v/>
      </c>
      <c r="AZ506" s="101" t="str">
        <f>IFERROR(IF('BMP P Tracking Table'!$AL506="Yes",MIN(2,IF('BMP P Tracking Table'!$AP506="Total Pervious",(-(3630*'BMP P Tracking Table'!$AO506+20.691*'BMP P Tracking Table'!$AU506)+SQRT((3630*'BMP P Tracking Table'!$AO506+20.691*'BMP P Tracking Table'!$AU506)^2-(4*(996.798*'BMP P Tracking Table'!$AU506)*-'BMP P Tracking Table'!$AW506)))/(2*(996.798*'BMP P Tracking Table'!$AU506)),IF(SUM('BMP P Tracking Table'!$AQ506:$AT506)=0,'BMP P Tracking Table'!$AU506/(-3630*'BMP P Tracking Table'!$AO506),(-(3630*'BMP P Tracking Table'!$AO506+20.691*'BMP P Tracking Table'!$AT506-216.711*'BMP P Tracking Table'!$AS506-83.853*'BMP P Tracking Table'!$AR506-42.834*'BMP P Tracking Table'!$AQ506)+SQRT((3630*'BMP P Tracking Table'!$AO506+20.691*'BMP P Tracking Table'!$AT506-216.711*'BMP P Tracking Table'!$AS506-83.853*'BMP P Tracking Table'!$AR506-42.834*'BMP P Tracking Table'!$AQ506)^2-(4*(149.919*'BMP P Tracking Table'!$AQ506+236.676*'BMP P Tracking Table'!$AR506+726*'BMP P Tracking Table'!$AS506+996.798*'BMP P Tracking Table'!$AT506)*-'BMP P Tracking Table'!$AW506)))/(2*(149.919*'BMP P Tracking Table'!$AQ506+236.676*'BMP P Tracking Table'!$AR506+726*'BMP P Tracking Table'!$AS506+996.798*'BMP P Tracking Table'!$AT506))))),MIN(2,IF('BMP P Tracking Table'!$AP506="Total Pervious",(-(3630*'BMP P Tracking Table'!$U506+20.691*'BMP P Tracking Table'!$AA506)+SQRT((3630*'BMP P Tracking Table'!$U506+20.691*'BMP P Tracking Table'!$AA506)^2-(4*(996.798*'BMP P Tracking Table'!$AA506)*-'BMP P Tracking Table'!$AW506)))/(2*(996.798*'BMP P Tracking Table'!$AA506)),IF(SUM('BMP P Tracking Table'!$W506:$Z506)=0,'BMP P Tracking Table'!$AW506/(-3630*'BMP P Tracking Table'!$U506),(-(3630*'BMP P Tracking Table'!$U506+20.691*'BMP P Tracking Table'!$Z506-216.711*'BMP P Tracking Table'!$Y506-83.853*'BMP P Tracking Table'!$X506-42.834*'BMP P Tracking Table'!$W506)+SQRT((3630*'BMP P Tracking Table'!$U506+20.691*'BMP P Tracking Table'!$Z506-216.711*'BMP P Tracking Table'!$Y506-83.853*'BMP P Tracking Table'!$X506-42.834*'BMP P Tracking Table'!$W506)^2-(4*(149.919*'BMP P Tracking Table'!$W506+236.676*'BMP P Tracking Table'!$X506+726*'BMP P Tracking Table'!$Y506+996.798*'BMP P Tracking Table'!$Z506)*-'BMP P Tracking Table'!$AW506)))/(2*(149.919*'BMP P Tracking Table'!$W506+236.676*'BMP P Tracking Table'!$X506+726*'BMP P Tracking Table'!$Y506+996.798*'BMP P Tracking Table'!$Z506)))))),"")</f>
        <v/>
      </c>
      <c r="BA506" s="101" t="str">
        <f>IFERROR((VLOOKUP(CONCATENATE('BMP P Tracking Table'!$AV506," ",'BMP P Tracking Table'!$AX506),'Performance Curves'!$C$1:$L$45,MATCH('BMP P Tracking Table'!$AZ506,'Performance Curves'!$E$1:$L$1,1)+2,FALSE)-VLOOKUP(CONCATENATE('BMP P Tracking Table'!$AV506," ",'BMP P Tracking Table'!$AX506),'Performance Curves'!$C$1:$L$45,MATCH('BMP P Tracking Table'!$AZ506,'Performance Curves'!$E$1:$L$1,1)+1,FALSE)),"")</f>
        <v/>
      </c>
      <c r="BB506" s="101" t="str">
        <f>IFERROR(('BMP P Tracking Table'!$AZ506-INDEX('Performance Curves'!$E$1:$L$1,1,MATCH('BMP P Tracking Table'!$AZ506,'Performance Curves'!$E$1:$L$1,1)))/(INDEX('Performance Curves'!$E$1:$L$1,1,MATCH('BMP P Tracking Table'!$AZ506,'Performance Curves'!$E$1:$L$1,1)+1)-INDEX('Performance Curves'!$E$1:$L$1,1,MATCH('BMP P Tracking Table'!$AZ506,'Performance Curves'!$E$1:$L$1,1))),"")</f>
        <v/>
      </c>
      <c r="BC506" s="102" t="str">
        <f>IFERROR(IF('BMP P Tracking Table'!$AZ506=2,VLOOKUP(CONCATENATE('BMP P Tracking Table'!$AV506," ",'BMP P Tracking Table'!$AX506),'Performance Curves'!$C$1:$L$44,MATCH('BMP P Tracking Table'!$AZ506,'Performance Curves'!$E$1:$L$1,1)+1,FALSE),'BMP P Tracking Table'!$BA506*'BMP P Tracking Table'!$BB506+VLOOKUP(CONCATENATE('BMP P Tracking Table'!$AV506," ",'BMP P Tracking Table'!$AX506),'Performance Curves'!$C$1:$L$44,MATCH('BMP P Tracking Table'!$AZ506,'Performance Curves'!$E$1:$L$1,1)+1,FALSE)),"")</f>
        <v/>
      </c>
      <c r="BD506" s="101" t="str">
        <f>IFERROR('BMP P Tracking Table'!$BC506*'BMP P Tracking Table'!$AY506,"")</f>
        <v/>
      </c>
      <c r="BE506" s="91"/>
      <c r="BF506" s="37">
        <f t="shared" si="27"/>
        <v>0</v>
      </c>
    </row>
    <row r="507" spans="1:58" x14ac:dyDescent="0.3">
      <c r="A507" s="64"/>
      <c r="B507" s="64"/>
      <c r="C507" s="64"/>
      <c r="D507" s="64"/>
      <c r="E507" s="93"/>
      <c r="F507" s="93"/>
      <c r="G507" s="64"/>
      <c r="H507" s="64"/>
      <c r="I507" s="64"/>
      <c r="J507" s="94"/>
      <c r="K507" s="64"/>
      <c r="L507" s="64"/>
      <c r="M507" s="64"/>
      <c r="N507" s="64"/>
      <c r="O507" s="64"/>
      <c r="P507" s="64"/>
      <c r="Q507" s="64" t="str">
        <f>IFERROR(VLOOKUP('BMP P Tracking Table'!$P507,Dropdowns!$C$2:$E$15,3,FALSE),"")</f>
        <v/>
      </c>
      <c r="R507" s="64" t="str">
        <f>IFERROR(VLOOKUP('BMP P Tracking Table'!$Q507,Dropdowns!$P$3:$Q$23,2,FALSE),"")</f>
        <v/>
      </c>
      <c r="S507" s="64"/>
      <c r="T507" s="64"/>
      <c r="U507" s="64"/>
      <c r="V507" s="64"/>
      <c r="W507" s="64"/>
      <c r="X507" s="64"/>
      <c r="Y507" s="64"/>
      <c r="Z507" s="64"/>
      <c r="AA507" s="64"/>
      <c r="AB507" s="95"/>
      <c r="AC507" s="64"/>
      <c r="AD507" s="101" t="str">
        <f>IFERROR('BMP P Tracking Table'!$U507*VLOOKUP('BMP P Tracking Table'!$Q507,'Loading Rates'!$B$1:$L$24,4,FALSE)+IF('BMP P Tracking Table'!$V507="By HSG",'BMP P Tracking Table'!$W507*VLOOKUP('BMP P Tracking Table'!$Q507,'Loading Rates'!$B$1:$L$24,6,FALSE)+'BMP P Tracking Table'!$X507*VLOOKUP('BMP P Tracking Table'!$Q507,'Loading Rates'!$B$1:$L$24,7,FALSE)+'BMP P Tracking Table'!$Y507*VLOOKUP('BMP P Tracking Table'!$Q507,'Loading Rates'!$B$1:$L$24,8,FALSE)+'BMP P Tracking Table'!$Z507*VLOOKUP('BMP P Tracking Table'!$Q507,'Loading Rates'!$B$1:$L$24,9,FALSE),'BMP P Tracking Table'!$AA507*VLOOKUP('BMP P Tracking Table'!$Q507,'Loading Rates'!$B$1:$L$24,10,FALSE)),"")</f>
        <v/>
      </c>
      <c r="AE507" s="101" t="str">
        <f>IFERROR(MIN(2,IF('BMP P Tracking Table'!$V507="Total Pervious",(-(3630*'BMP P Tracking Table'!$U507+20.691*'BMP P Tracking Table'!$AA507)+SQRT((3630*'BMP P Tracking Table'!$U507+20.691*'BMP P Tracking Table'!$AA507)^2-(4*(996.798*'BMP P Tracking Table'!$AA507)*-'BMP P Tracking Table'!$AB507)))/(2*(996.798*'BMP P Tracking Table'!$AA507)),IF(SUM('BMP P Tracking Table'!$W507:$Z507)=0,'BMP P Tracking Table'!$AB507/(-3630*'BMP P Tracking Table'!$U507),(-(3630*'BMP P Tracking Table'!$U507+20.691*'BMP P Tracking Table'!$Z507-216.711*'BMP P Tracking Table'!$Y507-83.853*'BMP P Tracking Table'!$X507-42.834*'BMP P Tracking Table'!$W507)+SQRT((3630*'BMP P Tracking Table'!$U507+20.691*'BMP P Tracking Table'!$Z507-216.711*'BMP P Tracking Table'!$Y507-83.853*'BMP P Tracking Table'!$X507-42.834*'BMP P Tracking Table'!$W507)^2-(4*(149.919*'BMP P Tracking Table'!$W507+236.676*'BMP P Tracking Table'!$X507+726*'BMP P Tracking Table'!$Y507+996.798*'BMP P Tracking Table'!$Z507)*-'BMP P Tracking Table'!$AB507)))/(2*(149.919*'BMP P Tracking Table'!$W507+236.676*'BMP P Tracking Table'!$X507+726*'BMP P Tracking Table'!$Y507+996.798*'BMP P Tracking Table'!$Z507))))),"")</f>
        <v/>
      </c>
      <c r="AF507" s="101" t="str">
        <f>IFERROR((VLOOKUP(CONCATENATE('BMP P Tracking Table'!$T507," ",'BMP P Tracking Table'!$AC507),'Performance Curves'!$C$1:$L$45,MATCH('BMP P Tracking Table'!$AE507,'Performance Curves'!$E$1:$L$1,1)+2,FALSE)-VLOOKUP(CONCATENATE('BMP P Tracking Table'!$T507," ",'BMP P Tracking Table'!$AC507),'Performance Curves'!$C$1:$L$45,MATCH('BMP P Tracking Table'!$AE507,'Performance Curves'!$E$1:$L$1,1)+1,FALSE)),"")</f>
        <v/>
      </c>
      <c r="AG507" s="101" t="str">
        <f>IFERROR(('BMP P Tracking Table'!$AE507-INDEX('Performance Curves'!$E$1:$L$1,1,MATCH('BMP P Tracking Table'!$AE507,'Performance Curves'!$E$1:$L$1,1)))/(INDEX('Performance Curves'!$E$1:$L$1,1,MATCH('BMP P Tracking Table'!$AE507,'Performance Curves'!$E$1:$L$1,1)+1)-INDEX('Performance Curves'!$E$1:$L$1,1,MATCH('BMP P Tracking Table'!$AE507,'Performance Curves'!$E$1:$L$1,1))),"")</f>
        <v/>
      </c>
      <c r="AH507" s="102" t="str">
        <f>IFERROR(IF('BMP P Tracking Table'!$AE507=2,VLOOKUP(CONCATENATE('BMP P Tracking Table'!$T507," ",'BMP P Tracking Table'!$AC507),'Performance Curves'!$C$1:$L$45,MATCH('BMP P Tracking Table'!$AE507,'Performance Curves'!$E$1:$L$1,1)+1,FALSE),'BMP P Tracking Table'!$AF507*'BMP P Tracking Table'!$AG507+VLOOKUP(CONCATENATE('BMP P Tracking Table'!$T507," ",'BMP P Tracking Table'!$AC507),'Performance Curves'!$C$1:$L$45,MATCH('BMP P Tracking Table'!$AE507,'Performance Curves'!$E$1:$L$1,1)+1,FALSE)),"")</f>
        <v/>
      </c>
      <c r="AI507" s="101" t="str">
        <f>IFERROR('BMP P Tracking Table'!$AH507*'BMP P Tracking Table'!$AD507,"")</f>
        <v/>
      </c>
      <c r="AJ507" s="64"/>
      <c r="AK507" s="96"/>
      <c r="AL507" s="96"/>
      <c r="AM507" s="63"/>
      <c r="AN507" s="99" t="str">
        <f t="shared" si="26"/>
        <v/>
      </c>
      <c r="AO507" s="96"/>
      <c r="AP507" s="96"/>
      <c r="AQ507" s="96"/>
      <c r="AR507" s="96"/>
      <c r="AS507" s="96"/>
      <c r="AT507" s="96"/>
      <c r="AU507" s="96"/>
      <c r="AV507" s="64"/>
      <c r="AW507" s="97"/>
      <c r="AX507" s="97"/>
      <c r="AY507" s="101" t="str">
        <f>IF('BMP P Tracking Table'!$AK507="Yes",IF('BMP P Tracking Table'!$AL507="No",'BMP P Tracking Table'!$U507*VLOOKUP('BMP P Tracking Table'!$Q507,'Loading Rates'!$B$1:$L$24,4,FALSE)+IF('BMP P Tracking Table'!$V507="By HSG",'BMP P Tracking Table'!$W507*VLOOKUP('BMP P Tracking Table'!$Q507,'Loading Rates'!$B$1:$L$24,6,FALSE)+'BMP P Tracking Table'!$X507*VLOOKUP('BMP P Tracking Table'!$Q507,'Loading Rates'!$B$1:$L$24,7,FALSE)+'BMP P Tracking Table'!$Y507*VLOOKUP('BMP P Tracking Table'!$Q507,'Loading Rates'!$B$1:$L$24,8,FALSE)+'BMP P Tracking Table'!$Z507*VLOOKUP('BMP P Tracking Table'!$Q507,'Loading Rates'!$B$1:$L$24,9,FALSE),'BMP P Tracking Table'!$AA507*VLOOKUP('BMP P Tracking Table'!$Q507,'Loading Rates'!$B$1:$L$24,10,FALSE)),'BMP P Tracking Table'!$AO507*VLOOKUP('BMP P Tracking Table'!$Q507,'Loading Rates'!$B$1:$L$24,4,FALSE)+IF('BMP P Tracking Table'!$AP507="By HSG",'BMP P Tracking Table'!$AQ507*VLOOKUP('BMP P Tracking Table'!$Q507,'Loading Rates'!$B$1:$L$24,6,FALSE)+'BMP P Tracking Table'!$AR507*VLOOKUP('BMP P Tracking Table'!$Q507,'Loading Rates'!$B$1:$L$24,7,FALSE)+'BMP P Tracking Table'!$AS507*VLOOKUP('BMP P Tracking Table'!$Q507,'Loading Rates'!$B$1:$L$24,8,FALSE)+'BMP P Tracking Table'!$AT507*VLOOKUP('BMP P Tracking Table'!$Q507,'Loading Rates'!$B$1:$L$24,9,FALSE),'BMP P Tracking Table'!$AU507*VLOOKUP('BMP P Tracking Table'!$Q507,'Loading Rates'!$B$1:$L$24,10,FALSE))),"")</f>
        <v/>
      </c>
      <c r="AZ507" s="101" t="str">
        <f>IFERROR(IF('BMP P Tracking Table'!$AL507="Yes",MIN(2,IF('BMP P Tracking Table'!$AP507="Total Pervious",(-(3630*'BMP P Tracking Table'!$AO507+20.691*'BMP P Tracking Table'!$AU507)+SQRT((3630*'BMP P Tracking Table'!$AO507+20.691*'BMP P Tracking Table'!$AU507)^2-(4*(996.798*'BMP P Tracking Table'!$AU507)*-'BMP P Tracking Table'!$AW507)))/(2*(996.798*'BMP P Tracking Table'!$AU507)),IF(SUM('BMP P Tracking Table'!$AQ507:$AT507)=0,'BMP P Tracking Table'!$AU507/(-3630*'BMP P Tracking Table'!$AO507),(-(3630*'BMP P Tracking Table'!$AO507+20.691*'BMP P Tracking Table'!$AT507-216.711*'BMP P Tracking Table'!$AS507-83.853*'BMP P Tracking Table'!$AR507-42.834*'BMP P Tracking Table'!$AQ507)+SQRT((3630*'BMP P Tracking Table'!$AO507+20.691*'BMP P Tracking Table'!$AT507-216.711*'BMP P Tracking Table'!$AS507-83.853*'BMP P Tracking Table'!$AR507-42.834*'BMP P Tracking Table'!$AQ507)^2-(4*(149.919*'BMP P Tracking Table'!$AQ507+236.676*'BMP P Tracking Table'!$AR507+726*'BMP P Tracking Table'!$AS507+996.798*'BMP P Tracking Table'!$AT507)*-'BMP P Tracking Table'!$AW507)))/(2*(149.919*'BMP P Tracking Table'!$AQ507+236.676*'BMP P Tracking Table'!$AR507+726*'BMP P Tracking Table'!$AS507+996.798*'BMP P Tracking Table'!$AT507))))),MIN(2,IF('BMP P Tracking Table'!$AP507="Total Pervious",(-(3630*'BMP P Tracking Table'!$U507+20.691*'BMP P Tracking Table'!$AA507)+SQRT((3630*'BMP P Tracking Table'!$U507+20.691*'BMP P Tracking Table'!$AA507)^2-(4*(996.798*'BMP P Tracking Table'!$AA507)*-'BMP P Tracking Table'!$AW507)))/(2*(996.798*'BMP P Tracking Table'!$AA507)),IF(SUM('BMP P Tracking Table'!$W507:$Z507)=0,'BMP P Tracking Table'!$AW507/(-3630*'BMP P Tracking Table'!$U507),(-(3630*'BMP P Tracking Table'!$U507+20.691*'BMP P Tracking Table'!$Z507-216.711*'BMP P Tracking Table'!$Y507-83.853*'BMP P Tracking Table'!$X507-42.834*'BMP P Tracking Table'!$W507)+SQRT((3630*'BMP P Tracking Table'!$U507+20.691*'BMP P Tracking Table'!$Z507-216.711*'BMP P Tracking Table'!$Y507-83.853*'BMP P Tracking Table'!$X507-42.834*'BMP P Tracking Table'!$W507)^2-(4*(149.919*'BMP P Tracking Table'!$W507+236.676*'BMP P Tracking Table'!$X507+726*'BMP P Tracking Table'!$Y507+996.798*'BMP P Tracking Table'!$Z507)*-'BMP P Tracking Table'!$AW507)))/(2*(149.919*'BMP P Tracking Table'!$W507+236.676*'BMP P Tracking Table'!$X507+726*'BMP P Tracking Table'!$Y507+996.798*'BMP P Tracking Table'!$Z507)))))),"")</f>
        <v/>
      </c>
      <c r="BA507" s="101" t="str">
        <f>IFERROR((VLOOKUP(CONCATENATE('BMP P Tracking Table'!$AV507," ",'BMP P Tracking Table'!$AX507),'Performance Curves'!$C$1:$L$45,MATCH('BMP P Tracking Table'!$AZ507,'Performance Curves'!$E$1:$L$1,1)+2,FALSE)-VLOOKUP(CONCATENATE('BMP P Tracking Table'!$AV507," ",'BMP P Tracking Table'!$AX507),'Performance Curves'!$C$1:$L$45,MATCH('BMP P Tracking Table'!$AZ507,'Performance Curves'!$E$1:$L$1,1)+1,FALSE)),"")</f>
        <v/>
      </c>
      <c r="BB507" s="101" t="str">
        <f>IFERROR(('BMP P Tracking Table'!$AZ507-INDEX('Performance Curves'!$E$1:$L$1,1,MATCH('BMP P Tracking Table'!$AZ507,'Performance Curves'!$E$1:$L$1,1)))/(INDEX('Performance Curves'!$E$1:$L$1,1,MATCH('BMP P Tracking Table'!$AZ507,'Performance Curves'!$E$1:$L$1,1)+1)-INDEX('Performance Curves'!$E$1:$L$1,1,MATCH('BMP P Tracking Table'!$AZ507,'Performance Curves'!$E$1:$L$1,1))),"")</f>
        <v/>
      </c>
      <c r="BC507" s="102" t="str">
        <f>IFERROR(IF('BMP P Tracking Table'!$AZ507=2,VLOOKUP(CONCATENATE('BMP P Tracking Table'!$AV507," ",'BMP P Tracking Table'!$AX507),'Performance Curves'!$C$1:$L$44,MATCH('BMP P Tracking Table'!$AZ507,'Performance Curves'!$E$1:$L$1,1)+1,FALSE),'BMP P Tracking Table'!$BA507*'BMP P Tracking Table'!$BB507+VLOOKUP(CONCATENATE('BMP P Tracking Table'!$AV507," ",'BMP P Tracking Table'!$AX507),'Performance Curves'!$C$1:$L$44,MATCH('BMP P Tracking Table'!$AZ507,'Performance Curves'!$E$1:$L$1,1)+1,FALSE)),"")</f>
        <v/>
      </c>
      <c r="BD507" s="101" t="str">
        <f>IFERROR('BMP P Tracking Table'!$BC507*'BMP P Tracking Table'!$AY507,"")</f>
        <v/>
      </c>
      <c r="BE507" s="96"/>
      <c r="BF507" s="37">
        <f t="shared" si="27"/>
        <v>0</v>
      </c>
    </row>
    <row r="508" spans="1:58" x14ac:dyDescent="0.3">
      <c r="A508" s="64"/>
      <c r="B508" s="64"/>
      <c r="C508" s="64"/>
      <c r="D508" s="64"/>
      <c r="E508" s="93"/>
      <c r="F508" s="93"/>
      <c r="G508" s="64"/>
      <c r="H508" s="64"/>
      <c r="I508" s="64"/>
      <c r="J508" s="94"/>
      <c r="K508" s="64"/>
      <c r="L508" s="64"/>
      <c r="M508" s="64"/>
      <c r="N508" s="64"/>
      <c r="O508" s="64"/>
      <c r="P508" s="64"/>
      <c r="Q508" s="64" t="str">
        <f>IFERROR(VLOOKUP('BMP P Tracking Table'!$P508,Dropdowns!$C$2:$E$15,3,FALSE),"")</f>
        <v/>
      </c>
      <c r="R508" s="64" t="str">
        <f>IFERROR(VLOOKUP('BMP P Tracking Table'!$Q508,Dropdowns!$P$3:$Q$23,2,FALSE),"")</f>
        <v/>
      </c>
      <c r="S508" s="64"/>
      <c r="T508" s="64"/>
      <c r="U508" s="64"/>
      <c r="V508" s="64"/>
      <c r="W508" s="64"/>
      <c r="X508" s="64"/>
      <c r="Y508" s="64"/>
      <c r="Z508" s="64"/>
      <c r="AA508" s="64"/>
      <c r="AB508" s="95"/>
      <c r="AC508" s="64"/>
      <c r="AD508" s="101" t="str">
        <f>IFERROR('BMP P Tracking Table'!$U508*VLOOKUP('BMP P Tracking Table'!$Q508,'Loading Rates'!$B$1:$L$24,4,FALSE)+IF('BMP P Tracking Table'!$V508="By HSG",'BMP P Tracking Table'!$W508*VLOOKUP('BMP P Tracking Table'!$Q508,'Loading Rates'!$B$1:$L$24,6,FALSE)+'BMP P Tracking Table'!$X508*VLOOKUP('BMP P Tracking Table'!$Q508,'Loading Rates'!$B$1:$L$24,7,FALSE)+'BMP P Tracking Table'!$Y508*VLOOKUP('BMP P Tracking Table'!$Q508,'Loading Rates'!$B$1:$L$24,8,FALSE)+'BMP P Tracking Table'!$Z508*VLOOKUP('BMP P Tracking Table'!$Q508,'Loading Rates'!$B$1:$L$24,9,FALSE),'BMP P Tracking Table'!$AA508*VLOOKUP('BMP P Tracking Table'!$Q508,'Loading Rates'!$B$1:$L$24,10,FALSE)),"")</f>
        <v/>
      </c>
      <c r="AE508" s="101" t="str">
        <f>IFERROR(MIN(2,IF('BMP P Tracking Table'!$V508="Total Pervious",(-(3630*'BMP P Tracking Table'!$U508+20.691*'BMP P Tracking Table'!$AA508)+SQRT((3630*'BMP P Tracking Table'!$U508+20.691*'BMP P Tracking Table'!$AA508)^2-(4*(996.798*'BMP P Tracking Table'!$AA508)*-'BMP P Tracking Table'!$AB508)))/(2*(996.798*'BMP P Tracking Table'!$AA508)),IF(SUM('BMP P Tracking Table'!$W508:$Z508)=0,'BMP P Tracking Table'!$AB508/(-3630*'BMP P Tracking Table'!$U508),(-(3630*'BMP P Tracking Table'!$U508+20.691*'BMP P Tracking Table'!$Z508-216.711*'BMP P Tracking Table'!$Y508-83.853*'BMP P Tracking Table'!$X508-42.834*'BMP P Tracking Table'!$W508)+SQRT((3630*'BMP P Tracking Table'!$U508+20.691*'BMP P Tracking Table'!$Z508-216.711*'BMP P Tracking Table'!$Y508-83.853*'BMP P Tracking Table'!$X508-42.834*'BMP P Tracking Table'!$W508)^2-(4*(149.919*'BMP P Tracking Table'!$W508+236.676*'BMP P Tracking Table'!$X508+726*'BMP P Tracking Table'!$Y508+996.798*'BMP P Tracking Table'!$Z508)*-'BMP P Tracking Table'!$AB508)))/(2*(149.919*'BMP P Tracking Table'!$W508+236.676*'BMP P Tracking Table'!$X508+726*'BMP P Tracking Table'!$Y508+996.798*'BMP P Tracking Table'!$Z508))))),"")</f>
        <v/>
      </c>
      <c r="AF508" s="101" t="str">
        <f>IFERROR((VLOOKUP(CONCATENATE('BMP P Tracking Table'!$T508," ",'BMP P Tracking Table'!$AC508),'Performance Curves'!$C$1:$L$45,MATCH('BMP P Tracking Table'!$AE508,'Performance Curves'!$E$1:$L$1,1)+2,FALSE)-VLOOKUP(CONCATENATE('BMP P Tracking Table'!$T508," ",'BMP P Tracking Table'!$AC508),'Performance Curves'!$C$1:$L$45,MATCH('BMP P Tracking Table'!$AE508,'Performance Curves'!$E$1:$L$1,1)+1,FALSE)),"")</f>
        <v/>
      </c>
      <c r="AG508" s="101" t="str">
        <f>IFERROR(('BMP P Tracking Table'!$AE508-INDEX('Performance Curves'!$E$1:$L$1,1,MATCH('BMP P Tracking Table'!$AE508,'Performance Curves'!$E$1:$L$1,1)))/(INDEX('Performance Curves'!$E$1:$L$1,1,MATCH('BMP P Tracking Table'!$AE508,'Performance Curves'!$E$1:$L$1,1)+1)-INDEX('Performance Curves'!$E$1:$L$1,1,MATCH('BMP P Tracking Table'!$AE508,'Performance Curves'!$E$1:$L$1,1))),"")</f>
        <v/>
      </c>
      <c r="AH508" s="102" t="str">
        <f>IFERROR(IF('BMP P Tracking Table'!$AE508=2,VLOOKUP(CONCATENATE('BMP P Tracking Table'!$T508," ",'BMP P Tracking Table'!$AC508),'Performance Curves'!$C$1:$L$45,MATCH('BMP P Tracking Table'!$AE508,'Performance Curves'!$E$1:$L$1,1)+1,FALSE),'BMP P Tracking Table'!$AF508*'BMP P Tracking Table'!$AG508+VLOOKUP(CONCATENATE('BMP P Tracking Table'!$T508," ",'BMP P Tracking Table'!$AC508),'Performance Curves'!$C$1:$L$45,MATCH('BMP P Tracking Table'!$AE508,'Performance Curves'!$E$1:$L$1,1)+1,FALSE)),"")</f>
        <v/>
      </c>
      <c r="AI508" s="101" t="str">
        <f>IFERROR('BMP P Tracking Table'!$AH508*'BMP P Tracking Table'!$AD508,"")</f>
        <v/>
      </c>
      <c r="AJ508" s="64"/>
      <c r="AK508" s="96"/>
      <c r="AL508" s="96"/>
      <c r="AM508" s="63"/>
      <c r="AN508" s="99" t="str">
        <f t="shared" si="26"/>
        <v/>
      </c>
      <c r="AO508" s="96"/>
      <c r="AP508" s="96"/>
      <c r="AQ508" s="96"/>
      <c r="AR508" s="96"/>
      <c r="AS508" s="96"/>
      <c r="AT508" s="96"/>
      <c r="AU508" s="96"/>
      <c r="AV508" s="64"/>
      <c r="AW508" s="97"/>
      <c r="AX508" s="97"/>
      <c r="AY508" s="101" t="str">
        <f>IF('BMP P Tracking Table'!$AK508="Yes",IF('BMP P Tracking Table'!$AL508="No",'BMP P Tracking Table'!$U508*VLOOKUP('BMP P Tracking Table'!$Q508,'Loading Rates'!$B$1:$L$24,4,FALSE)+IF('BMP P Tracking Table'!$V508="By HSG",'BMP P Tracking Table'!$W508*VLOOKUP('BMP P Tracking Table'!$Q508,'Loading Rates'!$B$1:$L$24,6,FALSE)+'BMP P Tracking Table'!$X508*VLOOKUP('BMP P Tracking Table'!$Q508,'Loading Rates'!$B$1:$L$24,7,FALSE)+'BMP P Tracking Table'!$Y508*VLOOKUP('BMP P Tracking Table'!$Q508,'Loading Rates'!$B$1:$L$24,8,FALSE)+'BMP P Tracking Table'!$Z508*VLOOKUP('BMP P Tracking Table'!$Q508,'Loading Rates'!$B$1:$L$24,9,FALSE),'BMP P Tracking Table'!$AA508*VLOOKUP('BMP P Tracking Table'!$Q508,'Loading Rates'!$B$1:$L$24,10,FALSE)),'BMP P Tracking Table'!$AO508*VLOOKUP('BMP P Tracking Table'!$Q508,'Loading Rates'!$B$1:$L$24,4,FALSE)+IF('BMP P Tracking Table'!$AP508="By HSG",'BMP P Tracking Table'!$AQ508*VLOOKUP('BMP P Tracking Table'!$Q508,'Loading Rates'!$B$1:$L$24,6,FALSE)+'BMP P Tracking Table'!$AR508*VLOOKUP('BMP P Tracking Table'!$Q508,'Loading Rates'!$B$1:$L$24,7,FALSE)+'BMP P Tracking Table'!$AS508*VLOOKUP('BMP P Tracking Table'!$Q508,'Loading Rates'!$B$1:$L$24,8,FALSE)+'BMP P Tracking Table'!$AT508*VLOOKUP('BMP P Tracking Table'!$Q508,'Loading Rates'!$B$1:$L$24,9,FALSE),'BMP P Tracking Table'!$AU508*VLOOKUP('BMP P Tracking Table'!$Q508,'Loading Rates'!$B$1:$L$24,10,FALSE))),"")</f>
        <v/>
      </c>
      <c r="AZ508" s="101" t="str">
        <f>IFERROR(IF('BMP P Tracking Table'!$AL508="Yes",MIN(2,IF('BMP P Tracking Table'!$AP508="Total Pervious",(-(3630*'BMP P Tracking Table'!$AO508+20.691*'BMP P Tracking Table'!$AU508)+SQRT((3630*'BMP P Tracking Table'!$AO508+20.691*'BMP P Tracking Table'!$AU508)^2-(4*(996.798*'BMP P Tracking Table'!$AU508)*-'BMP P Tracking Table'!$AW508)))/(2*(996.798*'BMP P Tracking Table'!$AU508)),IF(SUM('BMP P Tracking Table'!$AQ508:$AT508)=0,'BMP P Tracking Table'!$AU508/(-3630*'BMP P Tracking Table'!$AO508),(-(3630*'BMP P Tracking Table'!$AO508+20.691*'BMP P Tracking Table'!$AT508-216.711*'BMP P Tracking Table'!$AS508-83.853*'BMP P Tracking Table'!$AR508-42.834*'BMP P Tracking Table'!$AQ508)+SQRT((3630*'BMP P Tracking Table'!$AO508+20.691*'BMP P Tracking Table'!$AT508-216.711*'BMP P Tracking Table'!$AS508-83.853*'BMP P Tracking Table'!$AR508-42.834*'BMP P Tracking Table'!$AQ508)^2-(4*(149.919*'BMP P Tracking Table'!$AQ508+236.676*'BMP P Tracking Table'!$AR508+726*'BMP P Tracking Table'!$AS508+996.798*'BMP P Tracking Table'!$AT508)*-'BMP P Tracking Table'!$AW508)))/(2*(149.919*'BMP P Tracking Table'!$AQ508+236.676*'BMP P Tracking Table'!$AR508+726*'BMP P Tracking Table'!$AS508+996.798*'BMP P Tracking Table'!$AT508))))),MIN(2,IF('BMP P Tracking Table'!$AP508="Total Pervious",(-(3630*'BMP P Tracking Table'!$U508+20.691*'BMP P Tracking Table'!$AA508)+SQRT((3630*'BMP P Tracking Table'!$U508+20.691*'BMP P Tracking Table'!$AA508)^2-(4*(996.798*'BMP P Tracking Table'!$AA508)*-'BMP P Tracking Table'!$AW508)))/(2*(996.798*'BMP P Tracking Table'!$AA508)),IF(SUM('BMP P Tracking Table'!$W508:$Z508)=0,'BMP P Tracking Table'!$AW508/(-3630*'BMP P Tracking Table'!$U508),(-(3630*'BMP P Tracking Table'!$U508+20.691*'BMP P Tracking Table'!$Z508-216.711*'BMP P Tracking Table'!$Y508-83.853*'BMP P Tracking Table'!$X508-42.834*'BMP P Tracking Table'!$W508)+SQRT((3630*'BMP P Tracking Table'!$U508+20.691*'BMP P Tracking Table'!$Z508-216.711*'BMP P Tracking Table'!$Y508-83.853*'BMP P Tracking Table'!$X508-42.834*'BMP P Tracking Table'!$W508)^2-(4*(149.919*'BMP P Tracking Table'!$W508+236.676*'BMP P Tracking Table'!$X508+726*'BMP P Tracking Table'!$Y508+996.798*'BMP P Tracking Table'!$Z508)*-'BMP P Tracking Table'!$AW508)))/(2*(149.919*'BMP P Tracking Table'!$W508+236.676*'BMP P Tracking Table'!$X508+726*'BMP P Tracking Table'!$Y508+996.798*'BMP P Tracking Table'!$Z508)))))),"")</f>
        <v/>
      </c>
      <c r="BA508" s="101" t="str">
        <f>IFERROR((VLOOKUP(CONCATENATE('BMP P Tracking Table'!$AV508," ",'BMP P Tracking Table'!$AX508),'Performance Curves'!$C$1:$L$45,MATCH('BMP P Tracking Table'!$AZ508,'Performance Curves'!$E$1:$L$1,1)+2,FALSE)-VLOOKUP(CONCATENATE('BMP P Tracking Table'!$AV508," ",'BMP P Tracking Table'!$AX508),'Performance Curves'!$C$1:$L$45,MATCH('BMP P Tracking Table'!$AZ508,'Performance Curves'!$E$1:$L$1,1)+1,FALSE)),"")</f>
        <v/>
      </c>
      <c r="BB508" s="101" t="str">
        <f>IFERROR(('BMP P Tracking Table'!$AZ508-INDEX('Performance Curves'!$E$1:$L$1,1,MATCH('BMP P Tracking Table'!$AZ508,'Performance Curves'!$E$1:$L$1,1)))/(INDEX('Performance Curves'!$E$1:$L$1,1,MATCH('BMP P Tracking Table'!$AZ508,'Performance Curves'!$E$1:$L$1,1)+1)-INDEX('Performance Curves'!$E$1:$L$1,1,MATCH('BMP P Tracking Table'!$AZ508,'Performance Curves'!$E$1:$L$1,1))),"")</f>
        <v/>
      </c>
      <c r="BC508" s="102" t="str">
        <f>IFERROR(IF('BMP P Tracking Table'!$AZ508=2,VLOOKUP(CONCATENATE('BMP P Tracking Table'!$AV508," ",'BMP P Tracking Table'!$AX508),'Performance Curves'!$C$1:$L$44,MATCH('BMP P Tracking Table'!$AZ508,'Performance Curves'!$E$1:$L$1,1)+1,FALSE),'BMP P Tracking Table'!$BA508*'BMP P Tracking Table'!$BB508+VLOOKUP(CONCATENATE('BMP P Tracking Table'!$AV508," ",'BMP P Tracking Table'!$AX508),'Performance Curves'!$C$1:$L$44,MATCH('BMP P Tracking Table'!$AZ508,'Performance Curves'!$E$1:$L$1,1)+1,FALSE)),"")</f>
        <v/>
      </c>
      <c r="BD508" s="101" t="str">
        <f>IFERROR('BMP P Tracking Table'!$BC508*'BMP P Tracking Table'!$AY508,"")</f>
        <v/>
      </c>
      <c r="BE508" s="96"/>
      <c r="BF508" s="37">
        <f t="shared" si="27"/>
        <v>0</v>
      </c>
    </row>
    <row r="509" spans="1:58" x14ac:dyDescent="0.3">
      <c r="A509" s="64"/>
      <c r="B509" s="64"/>
      <c r="C509" s="64"/>
      <c r="D509" s="64"/>
      <c r="E509" s="93"/>
      <c r="F509" s="93"/>
      <c r="G509" s="64"/>
      <c r="H509" s="64"/>
      <c r="I509" s="64"/>
      <c r="J509" s="94"/>
      <c r="K509" s="64"/>
      <c r="L509" s="64"/>
      <c r="M509" s="64"/>
      <c r="N509" s="64"/>
      <c r="O509" s="64"/>
      <c r="P509" s="64"/>
      <c r="Q509" s="64" t="str">
        <f>IFERROR(VLOOKUP('BMP P Tracking Table'!$P509,Dropdowns!$C$2:$E$15,3,FALSE),"")</f>
        <v/>
      </c>
      <c r="R509" s="64" t="str">
        <f>IFERROR(VLOOKUP('BMP P Tracking Table'!$Q509,Dropdowns!$P$3:$Q$23,2,FALSE),"")</f>
        <v/>
      </c>
      <c r="S509" s="64"/>
      <c r="T509" s="64"/>
      <c r="U509" s="64"/>
      <c r="V509" s="64"/>
      <c r="W509" s="64"/>
      <c r="X509" s="64"/>
      <c r="Y509" s="64"/>
      <c r="Z509" s="64"/>
      <c r="AA509" s="64"/>
      <c r="AB509" s="95"/>
      <c r="AC509" s="64"/>
      <c r="AD509" s="101" t="str">
        <f>IFERROR('BMP P Tracking Table'!$U509*VLOOKUP('BMP P Tracking Table'!$Q509,'Loading Rates'!$B$1:$L$24,4,FALSE)+IF('BMP P Tracking Table'!$V509="By HSG",'BMP P Tracking Table'!$W509*VLOOKUP('BMP P Tracking Table'!$Q509,'Loading Rates'!$B$1:$L$24,6,FALSE)+'BMP P Tracking Table'!$X509*VLOOKUP('BMP P Tracking Table'!$Q509,'Loading Rates'!$B$1:$L$24,7,FALSE)+'BMP P Tracking Table'!$Y509*VLOOKUP('BMP P Tracking Table'!$Q509,'Loading Rates'!$B$1:$L$24,8,FALSE)+'BMP P Tracking Table'!$Z509*VLOOKUP('BMP P Tracking Table'!$Q509,'Loading Rates'!$B$1:$L$24,9,FALSE),'BMP P Tracking Table'!$AA509*VLOOKUP('BMP P Tracking Table'!$Q509,'Loading Rates'!$B$1:$L$24,10,FALSE)),"")</f>
        <v/>
      </c>
      <c r="AE509" s="101" t="str">
        <f>IFERROR(MIN(2,IF('BMP P Tracking Table'!$V509="Total Pervious",(-(3630*'BMP P Tracking Table'!$U509+20.691*'BMP P Tracking Table'!$AA509)+SQRT((3630*'BMP P Tracking Table'!$U509+20.691*'BMP P Tracking Table'!$AA509)^2-(4*(996.798*'BMP P Tracking Table'!$AA509)*-'BMP P Tracking Table'!$AB509)))/(2*(996.798*'BMP P Tracking Table'!$AA509)),IF(SUM('BMP P Tracking Table'!$W509:$Z509)=0,'BMP P Tracking Table'!$AB509/(-3630*'BMP P Tracking Table'!$U509),(-(3630*'BMP P Tracking Table'!$U509+20.691*'BMP P Tracking Table'!$Z509-216.711*'BMP P Tracking Table'!$Y509-83.853*'BMP P Tracking Table'!$X509-42.834*'BMP P Tracking Table'!$W509)+SQRT((3630*'BMP P Tracking Table'!$U509+20.691*'BMP P Tracking Table'!$Z509-216.711*'BMP P Tracking Table'!$Y509-83.853*'BMP P Tracking Table'!$X509-42.834*'BMP P Tracking Table'!$W509)^2-(4*(149.919*'BMP P Tracking Table'!$W509+236.676*'BMP P Tracking Table'!$X509+726*'BMP P Tracking Table'!$Y509+996.798*'BMP P Tracking Table'!$Z509)*-'BMP P Tracking Table'!$AB509)))/(2*(149.919*'BMP P Tracking Table'!$W509+236.676*'BMP P Tracking Table'!$X509+726*'BMP P Tracking Table'!$Y509+996.798*'BMP P Tracking Table'!$Z509))))),"")</f>
        <v/>
      </c>
      <c r="AF509" s="101" t="str">
        <f>IFERROR((VLOOKUP(CONCATENATE('BMP P Tracking Table'!$T509," ",'BMP P Tracking Table'!$AC509),'Performance Curves'!$C$1:$L$45,MATCH('BMP P Tracking Table'!$AE509,'Performance Curves'!$E$1:$L$1,1)+2,FALSE)-VLOOKUP(CONCATENATE('BMP P Tracking Table'!$T509," ",'BMP P Tracking Table'!$AC509),'Performance Curves'!$C$1:$L$45,MATCH('BMP P Tracking Table'!$AE509,'Performance Curves'!$E$1:$L$1,1)+1,FALSE)),"")</f>
        <v/>
      </c>
      <c r="AG509" s="101" t="str">
        <f>IFERROR(('BMP P Tracking Table'!$AE509-INDEX('Performance Curves'!$E$1:$L$1,1,MATCH('BMP P Tracking Table'!$AE509,'Performance Curves'!$E$1:$L$1,1)))/(INDEX('Performance Curves'!$E$1:$L$1,1,MATCH('BMP P Tracking Table'!$AE509,'Performance Curves'!$E$1:$L$1,1)+1)-INDEX('Performance Curves'!$E$1:$L$1,1,MATCH('BMP P Tracking Table'!$AE509,'Performance Curves'!$E$1:$L$1,1))),"")</f>
        <v/>
      </c>
      <c r="AH509" s="102" t="str">
        <f>IFERROR(IF('BMP P Tracking Table'!$AE509=2,VLOOKUP(CONCATENATE('BMP P Tracking Table'!$T509," ",'BMP P Tracking Table'!$AC509),'Performance Curves'!$C$1:$L$45,MATCH('BMP P Tracking Table'!$AE509,'Performance Curves'!$E$1:$L$1,1)+1,FALSE),'BMP P Tracking Table'!$AF509*'BMP P Tracking Table'!$AG509+VLOOKUP(CONCATENATE('BMP P Tracking Table'!$T509," ",'BMP P Tracking Table'!$AC509),'Performance Curves'!$C$1:$L$45,MATCH('BMP P Tracking Table'!$AE509,'Performance Curves'!$E$1:$L$1,1)+1,FALSE)),"")</f>
        <v/>
      </c>
      <c r="AI509" s="101" t="str">
        <f>IFERROR('BMP P Tracking Table'!$AH509*'BMP P Tracking Table'!$AD509,"")</f>
        <v/>
      </c>
      <c r="AJ509" s="64"/>
      <c r="AK509" s="96"/>
      <c r="AL509" s="96"/>
      <c r="AM509" s="63"/>
      <c r="AN509" s="99" t="str">
        <f t="shared" si="26"/>
        <v/>
      </c>
      <c r="AO509" s="96"/>
      <c r="AP509" s="96"/>
      <c r="AQ509" s="96"/>
      <c r="AR509" s="96"/>
      <c r="AS509" s="96"/>
      <c r="AT509" s="96"/>
      <c r="AU509" s="96"/>
      <c r="AV509" s="64"/>
      <c r="AW509" s="97"/>
      <c r="AX509" s="97"/>
      <c r="AY509" s="101" t="str">
        <f>IF('BMP P Tracking Table'!$AK509="Yes",IF('BMP P Tracking Table'!$AL509="No",'BMP P Tracking Table'!$U509*VLOOKUP('BMP P Tracking Table'!$Q509,'Loading Rates'!$B$1:$L$24,4,FALSE)+IF('BMP P Tracking Table'!$V509="By HSG",'BMP P Tracking Table'!$W509*VLOOKUP('BMP P Tracking Table'!$Q509,'Loading Rates'!$B$1:$L$24,6,FALSE)+'BMP P Tracking Table'!$X509*VLOOKUP('BMP P Tracking Table'!$Q509,'Loading Rates'!$B$1:$L$24,7,FALSE)+'BMP P Tracking Table'!$Y509*VLOOKUP('BMP P Tracking Table'!$Q509,'Loading Rates'!$B$1:$L$24,8,FALSE)+'BMP P Tracking Table'!$Z509*VLOOKUP('BMP P Tracking Table'!$Q509,'Loading Rates'!$B$1:$L$24,9,FALSE),'BMP P Tracking Table'!$AA509*VLOOKUP('BMP P Tracking Table'!$Q509,'Loading Rates'!$B$1:$L$24,10,FALSE)),'BMP P Tracking Table'!$AO509*VLOOKUP('BMP P Tracking Table'!$Q509,'Loading Rates'!$B$1:$L$24,4,FALSE)+IF('BMP P Tracking Table'!$AP509="By HSG",'BMP P Tracking Table'!$AQ509*VLOOKUP('BMP P Tracking Table'!$Q509,'Loading Rates'!$B$1:$L$24,6,FALSE)+'BMP P Tracking Table'!$AR509*VLOOKUP('BMP P Tracking Table'!$Q509,'Loading Rates'!$B$1:$L$24,7,FALSE)+'BMP P Tracking Table'!$AS509*VLOOKUP('BMP P Tracking Table'!$Q509,'Loading Rates'!$B$1:$L$24,8,FALSE)+'BMP P Tracking Table'!$AT509*VLOOKUP('BMP P Tracking Table'!$Q509,'Loading Rates'!$B$1:$L$24,9,FALSE),'BMP P Tracking Table'!$AU509*VLOOKUP('BMP P Tracking Table'!$Q509,'Loading Rates'!$B$1:$L$24,10,FALSE))),"")</f>
        <v/>
      </c>
      <c r="AZ509" s="101" t="str">
        <f>IFERROR(IF('BMP P Tracking Table'!$AL509="Yes",MIN(2,IF('BMP P Tracking Table'!$AP509="Total Pervious",(-(3630*'BMP P Tracking Table'!$AO509+20.691*'BMP P Tracking Table'!$AU509)+SQRT((3630*'BMP P Tracking Table'!$AO509+20.691*'BMP P Tracking Table'!$AU509)^2-(4*(996.798*'BMP P Tracking Table'!$AU509)*-'BMP P Tracking Table'!$AW509)))/(2*(996.798*'BMP P Tracking Table'!$AU509)),IF(SUM('BMP P Tracking Table'!$AQ509:$AT509)=0,'BMP P Tracking Table'!$AU509/(-3630*'BMP P Tracking Table'!$AO509),(-(3630*'BMP P Tracking Table'!$AO509+20.691*'BMP P Tracking Table'!$AT509-216.711*'BMP P Tracking Table'!$AS509-83.853*'BMP P Tracking Table'!$AR509-42.834*'BMP P Tracking Table'!$AQ509)+SQRT((3630*'BMP P Tracking Table'!$AO509+20.691*'BMP P Tracking Table'!$AT509-216.711*'BMP P Tracking Table'!$AS509-83.853*'BMP P Tracking Table'!$AR509-42.834*'BMP P Tracking Table'!$AQ509)^2-(4*(149.919*'BMP P Tracking Table'!$AQ509+236.676*'BMP P Tracking Table'!$AR509+726*'BMP P Tracking Table'!$AS509+996.798*'BMP P Tracking Table'!$AT509)*-'BMP P Tracking Table'!$AW509)))/(2*(149.919*'BMP P Tracking Table'!$AQ509+236.676*'BMP P Tracking Table'!$AR509+726*'BMP P Tracking Table'!$AS509+996.798*'BMP P Tracking Table'!$AT509))))),MIN(2,IF('BMP P Tracking Table'!$AP509="Total Pervious",(-(3630*'BMP P Tracking Table'!$U509+20.691*'BMP P Tracking Table'!$AA509)+SQRT((3630*'BMP P Tracking Table'!$U509+20.691*'BMP P Tracking Table'!$AA509)^2-(4*(996.798*'BMP P Tracking Table'!$AA509)*-'BMP P Tracking Table'!$AW509)))/(2*(996.798*'BMP P Tracking Table'!$AA509)),IF(SUM('BMP P Tracking Table'!$W509:$Z509)=0,'BMP P Tracking Table'!$AW509/(-3630*'BMP P Tracking Table'!$U509),(-(3630*'BMP P Tracking Table'!$U509+20.691*'BMP P Tracking Table'!$Z509-216.711*'BMP P Tracking Table'!$Y509-83.853*'BMP P Tracking Table'!$X509-42.834*'BMP P Tracking Table'!$W509)+SQRT((3630*'BMP P Tracking Table'!$U509+20.691*'BMP P Tracking Table'!$Z509-216.711*'BMP P Tracking Table'!$Y509-83.853*'BMP P Tracking Table'!$X509-42.834*'BMP P Tracking Table'!$W509)^2-(4*(149.919*'BMP P Tracking Table'!$W509+236.676*'BMP P Tracking Table'!$X509+726*'BMP P Tracking Table'!$Y509+996.798*'BMP P Tracking Table'!$Z509)*-'BMP P Tracking Table'!$AW509)))/(2*(149.919*'BMP P Tracking Table'!$W509+236.676*'BMP P Tracking Table'!$X509+726*'BMP P Tracking Table'!$Y509+996.798*'BMP P Tracking Table'!$Z509)))))),"")</f>
        <v/>
      </c>
      <c r="BA509" s="101" t="str">
        <f>IFERROR((VLOOKUP(CONCATENATE('BMP P Tracking Table'!$AV509," ",'BMP P Tracking Table'!$AX509),'Performance Curves'!$C$1:$L$45,MATCH('BMP P Tracking Table'!$AZ509,'Performance Curves'!$E$1:$L$1,1)+2,FALSE)-VLOOKUP(CONCATENATE('BMP P Tracking Table'!$AV509," ",'BMP P Tracking Table'!$AX509),'Performance Curves'!$C$1:$L$45,MATCH('BMP P Tracking Table'!$AZ509,'Performance Curves'!$E$1:$L$1,1)+1,FALSE)),"")</f>
        <v/>
      </c>
      <c r="BB509" s="101" t="str">
        <f>IFERROR(('BMP P Tracking Table'!$AZ509-INDEX('Performance Curves'!$E$1:$L$1,1,MATCH('BMP P Tracking Table'!$AZ509,'Performance Curves'!$E$1:$L$1,1)))/(INDEX('Performance Curves'!$E$1:$L$1,1,MATCH('BMP P Tracking Table'!$AZ509,'Performance Curves'!$E$1:$L$1,1)+1)-INDEX('Performance Curves'!$E$1:$L$1,1,MATCH('BMP P Tracking Table'!$AZ509,'Performance Curves'!$E$1:$L$1,1))),"")</f>
        <v/>
      </c>
      <c r="BC509" s="102" t="str">
        <f>IFERROR(IF('BMP P Tracking Table'!$AZ509=2,VLOOKUP(CONCATENATE('BMP P Tracking Table'!$AV509," ",'BMP P Tracking Table'!$AX509),'Performance Curves'!$C$1:$L$44,MATCH('BMP P Tracking Table'!$AZ509,'Performance Curves'!$E$1:$L$1,1)+1,FALSE),'BMP P Tracking Table'!$BA509*'BMP P Tracking Table'!$BB509+VLOOKUP(CONCATENATE('BMP P Tracking Table'!$AV509," ",'BMP P Tracking Table'!$AX509),'Performance Curves'!$C$1:$L$44,MATCH('BMP P Tracking Table'!$AZ509,'Performance Curves'!$E$1:$L$1,1)+1,FALSE)),"")</f>
        <v/>
      </c>
      <c r="BD509" s="101" t="str">
        <f>IFERROR('BMP P Tracking Table'!$BC509*'BMP P Tracking Table'!$AY509,"")</f>
        <v/>
      </c>
      <c r="BE509" s="96"/>
      <c r="BF509" s="37">
        <f t="shared" si="27"/>
        <v>0</v>
      </c>
    </row>
    <row r="510" spans="1:58" x14ac:dyDescent="0.3">
      <c r="A510" s="64"/>
      <c r="B510" s="64"/>
      <c r="C510" s="64"/>
      <c r="D510" s="64"/>
      <c r="E510" s="93"/>
      <c r="F510" s="93"/>
      <c r="G510" s="64"/>
      <c r="H510" s="64"/>
      <c r="I510" s="64"/>
      <c r="J510" s="94"/>
      <c r="K510" s="64"/>
      <c r="L510" s="64"/>
      <c r="M510" s="64"/>
      <c r="N510" s="64"/>
      <c r="O510" s="64"/>
      <c r="P510" s="64"/>
      <c r="Q510" s="64" t="str">
        <f>IFERROR(VLOOKUP('BMP P Tracking Table'!$P510,Dropdowns!$C$2:$E$15,3,FALSE),"")</f>
        <v/>
      </c>
      <c r="R510" s="64" t="str">
        <f>IFERROR(VLOOKUP('BMP P Tracking Table'!$Q510,Dropdowns!$P$3:$Q$23,2,FALSE),"")</f>
        <v/>
      </c>
      <c r="S510" s="64"/>
      <c r="T510" s="64"/>
      <c r="U510" s="64"/>
      <c r="V510" s="64"/>
      <c r="W510" s="64"/>
      <c r="X510" s="64"/>
      <c r="Y510" s="64"/>
      <c r="Z510" s="64"/>
      <c r="AA510" s="64"/>
      <c r="AB510" s="95"/>
      <c r="AC510" s="64"/>
      <c r="AD510" s="101" t="str">
        <f>IFERROR('BMP P Tracking Table'!$U510*VLOOKUP('BMP P Tracking Table'!$Q510,'Loading Rates'!$B$1:$L$24,4,FALSE)+IF('BMP P Tracking Table'!$V510="By HSG",'BMP P Tracking Table'!$W510*VLOOKUP('BMP P Tracking Table'!$Q510,'Loading Rates'!$B$1:$L$24,6,FALSE)+'BMP P Tracking Table'!$X510*VLOOKUP('BMP P Tracking Table'!$Q510,'Loading Rates'!$B$1:$L$24,7,FALSE)+'BMP P Tracking Table'!$Y510*VLOOKUP('BMP P Tracking Table'!$Q510,'Loading Rates'!$B$1:$L$24,8,FALSE)+'BMP P Tracking Table'!$Z510*VLOOKUP('BMP P Tracking Table'!$Q510,'Loading Rates'!$B$1:$L$24,9,FALSE),'BMP P Tracking Table'!$AA510*VLOOKUP('BMP P Tracking Table'!$Q510,'Loading Rates'!$B$1:$L$24,10,FALSE)),"")</f>
        <v/>
      </c>
      <c r="AE510" s="101" t="str">
        <f>IFERROR(MIN(2,IF('BMP P Tracking Table'!$V510="Total Pervious",(-(3630*'BMP P Tracking Table'!$U510+20.691*'BMP P Tracking Table'!$AA510)+SQRT((3630*'BMP P Tracking Table'!$U510+20.691*'BMP P Tracking Table'!$AA510)^2-(4*(996.798*'BMP P Tracking Table'!$AA510)*-'BMP P Tracking Table'!$AB510)))/(2*(996.798*'BMP P Tracking Table'!$AA510)),IF(SUM('BMP P Tracking Table'!$W510:$Z510)=0,'BMP P Tracking Table'!$AB510/(-3630*'BMP P Tracking Table'!$U510),(-(3630*'BMP P Tracking Table'!$U510+20.691*'BMP P Tracking Table'!$Z510-216.711*'BMP P Tracking Table'!$Y510-83.853*'BMP P Tracking Table'!$X510-42.834*'BMP P Tracking Table'!$W510)+SQRT((3630*'BMP P Tracking Table'!$U510+20.691*'BMP P Tracking Table'!$Z510-216.711*'BMP P Tracking Table'!$Y510-83.853*'BMP P Tracking Table'!$X510-42.834*'BMP P Tracking Table'!$W510)^2-(4*(149.919*'BMP P Tracking Table'!$W510+236.676*'BMP P Tracking Table'!$X510+726*'BMP P Tracking Table'!$Y510+996.798*'BMP P Tracking Table'!$Z510)*-'BMP P Tracking Table'!$AB510)))/(2*(149.919*'BMP P Tracking Table'!$W510+236.676*'BMP P Tracking Table'!$X510+726*'BMP P Tracking Table'!$Y510+996.798*'BMP P Tracking Table'!$Z510))))),"")</f>
        <v/>
      </c>
      <c r="AF510" s="101" t="str">
        <f>IFERROR((VLOOKUP(CONCATENATE('BMP P Tracking Table'!$T510," ",'BMP P Tracking Table'!$AC510),'Performance Curves'!$C$1:$L$45,MATCH('BMP P Tracking Table'!$AE510,'Performance Curves'!$E$1:$L$1,1)+2,FALSE)-VLOOKUP(CONCATENATE('BMP P Tracking Table'!$T510," ",'BMP P Tracking Table'!$AC510),'Performance Curves'!$C$1:$L$45,MATCH('BMP P Tracking Table'!$AE510,'Performance Curves'!$E$1:$L$1,1)+1,FALSE)),"")</f>
        <v/>
      </c>
      <c r="AG510" s="101" t="str">
        <f>IFERROR(('BMP P Tracking Table'!$AE510-INDEX('Performance Curves'!$E$1:$L$1,1,MATCH('BMP P Tracking Table'!$AE510,'Performance Curves'!$E$1:$L$1,1)))/(INDEX('Performance Curves'!$E$1:$L$1,1,MATCH('BMP P Tracking Table'!$AE510,'Performance Curves'!$E$1:$L$1,1)+1)-INDEX('Performance Curves'!$E$1:$L$1,1,MATCH('BMP P Tracking Table'!$AE510,'Performance Curves'!$E$1:$L$1,1))),"")</f>
        <v/>
      </c>
      <c r="AH510" s="102" t="str">
        <f>IFERROR(IF('BMP P Tracking Table'!$AE510=2,VLOOKUP(CONCATENATE('BMP P Tracking Table'!$T510," ",'BMP P Tracking Table'!$AC510),'Performance Curves'!$C$1:$L$45,MATCH('BMP P Tracking Table'!$AE510,'Performance Curves'!$E$1:$L$1,1)+1,FALSE),'BMP P Tracking Table'!$AF510*'BMP P Tracking Table'!$AG510+VLOOKUP(CONCATENATE('BMP P Tracking Table'!$T510," ",'BMP P Tracking Table'!$AC510),'Performance Curves'!$C$1:$L$45,MATCH('BMP P Tracking Table'!$AE510,'Performance Curves'!$E$1:$L$1,1)+1,FALSE)),"")</f>
        <v/>
      </c>
      <c r="AI510" s="101" t="str">
        <f>IFERROR('BMP P Tracking Table'!$AH510*'BMP P Tracking Table'!$AD510,"")</f>
        <v/>
      </c>
      <c r="AJ510" s="64"/>
      <c r="AK510" s="96"/>
      <c r="AL510" s="96"/>
      <c r="AM510" s="63"/>
      <c r="AN510" s="99" t="str">
        <f t="shared" si="26"/>
        <v/>
      </c>
      <c r="AO510" s="96"/>
      <c r="AP510" s="96"/>
      <c r="AQ510" s="96"/>
      <c r="AR510" s="96"/>
      <c r="AS510" s="96"/>
      <c r="AT510" s="96"/>
      <c r="AU510" s="96"/>
      <c r="AV510" s="64"/>
      <c r="AW510" s="97"/>
      <c r="AX510" s="97"/>
      <c r="AY510" s="101" t="str">
        <f>IF('BMP P Tracking Table'!$AK510="Yes",IF('BMP P Tracking Table'!$AL510="No",'BMP P Tracking Table'!$U510*VLOOKUP('BMP P Tracking Table'!$Q510,'Loading Rates'!$B$1:$L$24,4,FALSE)+IF('BMP P Tracking Table'!$V510="By HSG",'BMP P Tracking Table'!$W510*VLOOKUP('BMP P Tracking Table'!$Q510,'Loading Rates'!$B$1:$L$24,6,FALSE)+'BMP P Tracking Table'!$X510*VLOOKUP('BMP P Tracking Table'!$Q510,'Loading Rates'!$B$1:$L$24,7,FALSE)+'BMP P Tracking Table'!$Y510*VLOOKUP('BMP P Tracking Table'!$Q510,'Loading Rates'!$B$1:$L$24,8,FALSE)+'BMP P Tracking Table'!$Z510*VLOOKUP('BMP P Tracking Table'!$Q510,'Loading Rates'!$B$1:$L$24,9,FALSE),'BMP P Tracking Table'!$AA510*VLOOKUP('BMP P Tracking Table'!$Q510,'Loading Rates'!$B$1:$L$24,10,FALSE)),'BMP P Tracking Table'!$AO510*VLOOKUP('BMP P Tracking Table'!$Q510,'Loading Rates'!$B$1:$L$24,4,FALSE)+IF('BMP P Tracking Table'!$AP510="By HSG",'BMP P Tracking Table'!$AQ510*VLOOKUP('BMP P Tracking Table'!$Q510,'Loading Rates'!$B$1:$L$24,6,FALSE)+'BMP P Tracking Table'!$AR510*VLOOKUP('BMP P Tracking Table'!$Q510,'Loading Rates'!$B$1:$L$24,7,FALSE)+'BMP P Tracking Table'!$AS510*VLOOKUP('BMP P Tracking Table'!$Q510,'Loading Rates'!$B$1:$L$24,8,FALSE)+'BMP P Tracking Table'!$AT510*VLOOKUP('BMP P Tracking Table'!$Q510,'Loading Rates'!$B$1:$L$24,9,FALSE),'BMP P Tracking Table'!$AU510*VLOOKUP('BMP P Tracking Table'!$Q510,'Loading Rates'!$B$1:$L$24,10,FALSE))),"")</f>
        <v/>
      </c>
      <c r="AZ510" s="101" t="str">
        <f>IFERROR(IF('BMP P Tracking Table'!$AL510="Yes",MIN(2,IF('BMP P Tracking Table'!$AP510="Total Pervious",(-(3630*'BMP P Tracking Table'!$AO510+20.691*'BMP P Tracking Table'!$AU510)+SQRT((3630*'BMP P Tracking Table'!$AO510+20.691*'BMP P Tracking Table'!$AU510)^2-(4*(996.798*'BMP P Tracking Table'!$AU510)*-'BMP P Tracking Table'!$AW510)))/(2*(996.798*'BMP P Tracking Table'!$AU510)),IF(SUM('BMP P Tracking Table'!$AQ510:$AT510)=0,'BMP P Tracking Table'!$AU510/(-3630*'BMP P Tracking Table'!$AO510),(-(3630*'BMP P Tracking Table'!$AO510+20.691*'BMP P Tracking Table'!$AT510-216.711*'BMP P Tracking Table'!$AS510-83.853*'BMP P Tracking Table'!$AR510-42.834*'BMP P Tracking Table'!$AQ510)+SQRT((3630*'BMP P Tracking Table'!$AO510+20.691*'BMP P Tracking Table'!$AT510-216.711*'BMP P Tracking Table'!$AS510-83.853*'BMP P Tracking Table'!$AR510-42.834*'BMP P Tracking Table'!$AQ510)^2-(4*(149.919*'BMP P Tracking Table'!$AQ510+236.676*'BMP P Tracking Table'!$AR510+726*'BMP P Tracking Table'!$AS510+996.798*'BMP P Tracking Table'!$AT510)*-'BMP P Tracking Table'!$AW510)))/(2*(149.919*'BMP P Tracking Table'!$AQ510+236.676*'BMP P Tracking Table'!$AR510+726*'BMP P Tracking Table'!$AS510+996.798*'BMP P Tracking Table'!$AT510))))),MIN(2,IF('BMP P Tracking Table'!$AP510="Total Pervious",(-(3630*'BMP P Tracking Table'!$U510+20.691*'BMP P Tracking Table'!$AA510)+SQRT((3630*'BMP P Tracking Table'!$U510+20.691*'BMP P Tracking Table'!$AA510)^2-(4*(996.798*'BMP P Tracking Table'!$AA510)*-'BMP P Tracking Table'!$AW510)))/(2*(996.798*'BMP P Tracking Table'!$AA510)),IF(SUM('BMP P Tracking Table'!$W510:$Z510)=0,'BMP P Tracking Table'!$AW510/(-3630*'BMP P Tracking Table'!$U510),(-(3630*'BMP P Tracking Table'!$U510+20.691*'BMP P Tracking Table'!$Z510-216.711*'BMP P Tracking Table'!$Y510-83.853*'BMP P Tracking Table'!$X510-42.834*'BMP P Tracking Table'!$W510)+SQRT((3630*'BMP P Tracking Table'!$U510+20.691*'BMP P Tracking Table'!$Z510-216.711*'BMP P Tracking Table'!$Y510-83.853*'BMP P Tracking Table'!$X510-42.834*'BMP P Tracking Table'!$W510)^2-(4*(149.919*'BMP P Tracking Table'!$W510+236.676*'BMP P Tracking Table'!$X510+726*'BMP P Tracking Table'!$Y510+996.798*'BMP P Tracking Table'!$Z510)*-'BMP P Tracking Table'!$AW510)))/(2*(149.919*'BMP P Tracking Table'!$W510+236.676*'BMP P Tracking Table'!$X510+726*'BMP P Tracking Table'!$Y510+996.798*'BMP P Tracking Table'!$Z510)))))),"")</f>
        <v/>
      </c>
      <c r="BA510" s="101" t="str">
        <f>IFERROR((VLOOKUP(CONCATENATE('BMP P Tracking Table'!$AV510," ",'BMP P Tracking Table'!$AX510),'Performance Curves'!$C$1:$L$45,MATCH('BMP P Tracking Table'!$AZ510,'Performance Curves'!$E$1:$L$1,1)+2,FALSE)-VLOOKUP(CONCATENATE('BMP P Tracking Table'!$AV510," ",'BMP P Tracking Table'!$AX510),'Performance Curves'!$C$1:$L$45,MATCH('BMP P Tracking Table'!$AZ510,'Performance Curves'!$E$1:$L$1,1)+1,FALSE)),"")</f>
        <v/>
      </c>
      <c r="BB510" s="101" t="str">
        <f>IFERROR(('BMP P Tracking Table'!$AZ510-INDEX('Performance Curves'!$E$1:$L$1,1,MATCH('BMP P Tracking Table'!$AZ510,'Performance Curves'!$E$1:$L$1,1)))/(INDEX('Performance Curves'!$E$1:$L$1,1,MATCH('BMP P Tracking Table'!$AZ510,'Performance Curves'!$E$1:$L$1,1)+1)-INDEX('Performance Curves'!$E$1:$L$1,1,MATCH('BMP P Tracking Table'!$AZ510,'Performance Curves'!$E$1:$L$1,1))),"")</f>
        <v/>
      </c>
      <c r="BC510" s="102" t="str">
        <f>IFERROR(IF('BMP P Tracking Table'!$AZ510=2,VLOOKUP(CONCATENATE('BMP P Tracking Table'!$AV510," ",'BMP P Tracking Table'!$AX510),'Performance Curves'!$C$1:$L$44,MATCH('BMP P Tracking Table'!$AZ510,'Performance Curves'!$E$1:$L$1,1)+1,FALSE),'BMP P Tracking Table'!$BA510*'BMP P Tracking Table'!$BB510+VLOOKUP(CONCATENATE('BMP P Tracking Table'!$AV510," ",'BMP P Tracking Table'!$AX510),'Performance Curves'!$C$1:$L$44,MATCH('BMP P Tracking Table'!$AZ510,'Performance Curves'!$E$1:$L$1,1)+1,FALSE)),"")</f>
        <v/>
      </c>
      <c r="BD510" s="101" t="str">
        <f>IFERROR('BMP P Tracking Table'!$BC510*'BMP P Tracking Table'!$AY510,"")</f>
        <v/>
      </c>
      <c r="BE510" s="96"/>
      <c r="BF510" s="37">
        <f t="shared" si="27"/>
        <v>0</v>
      </c>
    </row>
    <row r="511" spans="1:58" x14ac:dyDescent="0.3">
      <c r="A511" s="64"/>
      <c r="B511" s="64"/>
      <c r="C511" s="64"/>
      <c r="D511" s="64"/>
      <c r="E511" s="93"/>
      <c r="F511" s="93"/>
      <c r="G511" s="64"/>
      <c r="H511" s="64"/>
      <c r="I511" s="64"/>
      <c r="J511" s="94"/>
      <c r="K511" s="64"/>
      <c r="L511" s="64"/>
      <c r="M511" s="64"/>
      <c r="N511" s="64"/>
      <c r="O511" s="64"/>
      <c r="P511" s="64"/>
      <c r="Q511" s="64" t="str">
        <f>IFERROR(VLOOKUP('BMP P Tracking Table'!$P511,Dropdowns!$C$2:$E$15,3,FALSE),"")</f>
        <v/>
      </c>
      <c r="R511" s="64" t="str">
        <f>IFERROR(VLOOKUP('BMP P Tracking Table'!$Q511,Dropdowns!$P$3:$Q$23,2,FALSE),"")</f>
        <v/>
      </c>
      <c r="S511" s="64"/>
      <c r="T511" s="64"/>
      <c r="U511" s="64"/>
      <c r="V511" s="64"/>
      <c r="W511" s="64"/>
      <c r="X511" s="64"/>
      <c r="Y511" s="64"/>
      <c r="Z511" s="64"/>
      <c r="AA511" s="64"/>
      <c r="AB511" s="95"/>
      <c r="AC511" s="64"/>
      <c r="AD511" s="101" t="str">
        <f>IFERROR('BMP P Tracking Table'!$U511*VLOOKUP('BMP P Tracking Table'!$Q511,'Loading Rates'!$B$1:$L$24,4,FALSE)+IF('BMP P Tracking Table'!$V511="By HSG",'BMP P Tracking Table'!$W511*VLOOKUP('BMP P Tracking Table'!$Q511,'Loading Rates'!$B$1:$L$24,6,FALSE)+'BMP P Tracking Table'!$X511*VLOOKUP('BMP P Tracking Table'!$Q511,'Loading Rates'!$B$1:$L$24,7,FALSE)+'BMP P Tracking Table'!$Y511*VLOOKUP('BMP P Tracking Table'!$Q511,'Loading Rates'!$B$1:$L$24,8,FALSE)+'BMP P Tracking Table'!$Z511*VLOOKUP('BMP P Tracking Table'!$Q511,'Loading Rates'!$B$1:$L$24,9,FALSE),'BMP P Tracking Table'!$AA511*VLOOKUP('BMP P Tracking Table'!$Q511,'Loading Rates'!$B$1:$L$24,10,FALSE)),"")</f>
        <v/>
      </c>
      <c r="AE511" s="101" t="str">
        <f>IFERROR(MIN(2,IF('BMP P Tracking Table'!$V511="Total Pervious",(-(3630*'BMP P Tracking Table'!$U511+20.691*'BMP P Tracking Table'!$AA511)+SQRT((3630*'BMP P Tracking Table'!$U511+20.691*'BMP P Tracking Table'!$AA511)^2-(4*(996.798*'BMP P Tracking Table'!$AA511)*-'BMP P Tracking Table'!$AB511)))/(2*(996.798*'BMP P Tracking Table'!$AA511)),IF(SUM('BMP P Tracking Table'!$W511:$Z511)=0,'BMP P Tracking Table'!$AB511/(-3630*'BMP P Tracking Table'!$U511),(-(3630*'BMP P Tracking Table'!$U511+20.691*'BMP P Tracking Table'!$Z511-216.711*'BMP P Tracking Table'!$Y511-83.853*'BMP P Tracking Table'!$X511-42.834*'BMP P Tracking Table'!$W511)+SQRT((3630*'BMP P Tracking Table'!$U511+20.691*'BMP P Tracking Table'!$Z511-216.711*'BMP P Tracking Table'!$Y511-83.853*'BMP P Tracking Table'!$X511-42.834*'BMP P Tracking Table'!$W511)^2-(4*(149.919*'BMP P Tracking Table'!$W511+236.676*'BMP P Tracking Table'!$X511+726*'BMP P Tracking Table'!$Y511+996.798*'BMP P Tracking Table'!$Z511)*-'BMP P Tracking Table'!$AB511)))/(2*(149.919*'BMP P Tracking Table'!$W511+236.676*'BMP P Tracking Table'!$X511+726*'BMP P Tracking Table'!$Y511+996.798*'BMP P Tracking Table'!$Z511))))),"")</f>
        <v/>
      </c>
      <c r="AF511" s="101" t="str">
        <f>IFERROR((VLOOKUP(CONCATENATE('BMP P Tracking Table'!$T511," ",'BMP P Tracking Table'!$AC511),'Performance Curves'!$C$1:$L$45,MATCH('BMP P Tracking Table'!$AE511,'Performance Curves'!$E$1:$L$1,1)+2,FALSE)-VLOOKUP(CONCATENATE('BMP P Tracking Table'!$T511," ",'BMP P Tracking Table'!$AC511),'Performance Curves'!$C$1:$L$45,MATCH('BMP P Tracking Table'!$AE511,'Performance Curves'!$E$1:$L$1,1)+1,FALSE)),"")</f>
        <v/>
      </c>
      <c r="AG511" s="101" t="str">
        <f>IFERROR(('BMP P Tracking Table'!$AE511-INDEX('Performance Curves'!$E$1:$L$1,1,MATCH('BMP P Tracking Table'!$AE511,'Performance Curves'!$E$1:$L$1,1)))/(INDEX('Performance Curves'!$E$1:$L$1,1,MATCH('BMP P Tracking Table'!$AE511,'Performance Curves'!$E$1:$L$1,1)+1)-INDEX('Performance Curves'!$E$1:$L$1,1,MATCH('BMP P Tracking Table'!$AE511,'Performance Curves'!$E$1:$L$1,1))),"")</f>
        <v/>
      </c>
      <c r="AH511" s="102" t="str">
        <f>IFERROR(IF('BMP P Tracking Table'!$AE511=2,VLOOKUP(CONCATENATE('BMP P Tracking Table'!$T511," ",'BMP P Tracking Table'!$AC511),'Performance Curves'!$C$1:$L$45,MATCH('BMP P Tracking Table'!$AE511,'Performance Curves'!$E$1:$L$1,1)+1,FALSE),'BMP P Tracking Table'!$AF511*'BMP P Tracking Table'!$AG511+VLOOKUP(CONCATENATE('BMP P Tracking Table'!$T511," ",'BMP P Tracking Table'!$AC511),'Performance Curves'!$C$1:$L$45,MATCH('BMP P Tracking Table'!$AE511,'Performance Curves'!$E$1:$L$1,1)+1,FALSE)),"")</f>
        <v/>
      </c>
      <c r="AI511" s="101" t="str">
        <f>IFERROR('BMP P Tracking Table'!$AH511*'BMP P Tracking Table'!$AD511,"")</f>
        <v/>
      </c>
      <c r="AJ511" s="64"/>
      <c r="AK511" s="96"/>
      <c r="AL511" s="96"/>
      <c r="AM511" s="63"/>
      <c r="AN511" s="99" t="str">
        <f t="shared" si="26"/>
        <v/>
      </c>
      <c r="AO511" s="96"/>
      <c r="AP511" s="96"/>
      <c r="AQ511" s="96"/>
      <c r="AR511" s="96"/>
      <c r="AS511" s="96"/>
      <c r="AT511" s="96"/>
      <c r="AU511" s="96"/>
      <c r="AV511" s="64"/>
      <c r="AW511" s="97"/>
      <c r="AX511" s="97"/>
      <c r="AY511" s="101" t="str">
        <f>IF('BMP P Tracking Table'!$AK511="Yes",IF('BMP P Tracking Table'!$AL511="No",'BMP P Tracking Table'!$U511*VLOOKUP('BMP P Tracking Table'!$Q511,'Loading Rates'!$B$1:$L$24,4,FALSE)+IF('BMP P Tracking Table'!$V511="By HSG",'BMP P Tracking Table'!$W511*VLOOKUP('BMP P Tracking Table'!$Q511,'Loading Rates'!$B$1:$L$24,6,FALSE)+'BMP P Tracking Table'!$X511*VLOOKUP('BMP P Tracking Table'!$Q511,'Loading Rates'!$B$1:$L$24,7,FALSE)+'BMP P Tracking Table'!$Y511*VLOOKUP('BMP P Tracking Table'!$Q511,'Loading Rates'!$B$1:$L$24,8,FALSE)+'BMP P Tracking Table'!$Z511*VLOOKUP('BMP P Tracking Table'!$Q511,'Loading Rates'!$B$1:$L$24,9,FALSE),'BMP P Tracking Table'!$AA511*VLOOKUP('BMP P Tracking Table'!$Q511,'Loading Rates'!$B$1:$L$24,10,FALSE)),'BMP P Tracking Table'!$AO511*VLOOKUP('BMP P Tracking Table'!$Q511,'Loading Rates'!$B$1:$L$24,4,FALSE)+IF('BMP P Tracking Table'!$AP511="By HSG",'BMP P Tracking Table'!$AQ511*VLOOKUP('BMP P Tracking Table'!$Q511,'Loading Rates'!$B$1:$L$24,6,FALSE)+'BMP P Tracking Table'!$AR511*VLOOKUP('BMP P Tracking Table'!$Q511,'Loading Rates'!$B$1:$L$24,7,FALSE)+'BMP P Tracking Table'!$AS511*VLOOKUP('BMP P Tracking Table'!$Q511,'Loading Rates'!$B$1:$L$24,8,FALSE)+'BMP P Tracking Table'!$AT511*VLOOKUP('BMP P Tracking Table'!$Q511,'Loading Rates'!$B$1:$L$24,9,FALSE),'BMP P Tracking Table'!$AU511*VLOOKUP('BMP P Tracking Table'!$Q511,'Loading Rates'!$B$1:$L$24,10,FALSE))),"")</f>
        <v/>
      </c>
      <c r="AZ511" s="101" t="str">
        <f>IFERROR(IF('BMP P Tracking Table'!$AL511="Yes",MIN(2,IF('BMP P Tracking Table'!$AP511="Total Pervious",(-(3630*'BMP P Tracking Table'!$AO511+20.691*'BMP P Tracking Table'!$AU511)+SQRT((3630*'BMP P Tracking Table'!$AO511+20.691*'BMP P Tracking Table'!$AU511)^2-(4*(996.798*'BMP P Tracking Table'!$AU511)*-'BMP P Tracking Table'!$AW511)))/(2*(996.798*'BMP P Tracking Table'!$AU511)),IF(SUM('BMP P Tracking Table'!$AQ511:$AT511)=0,'BMP P Tracking Table'!$AU511/(-3630*'BMP P Tracking Table'!$AO511),(-(3630*'BMP P Tracking Table'!$AO511+20.691*'BMP P Tracking Table'!$AT511-216.711*'BMP P Tracking Table'!$AS511-83.853*'BMP P Tracking Table'!$AR511-42.834*'BMP P Tracking Table'!$AQ511)+SQRT((3630*'BMP P Tracking Table'!$AO511+20.691*'BMP P Tracking Table'!$AT511-216.711*'BMP P Tracking Table'!$AS511-83.853*'BMP P Tracking Table'!$AR511-42.834*'BMP P Tracking Table'!$AQ511)^2-(4*(149.919*'BMP P Tracking Table'!$AQ511+236.676*'BMP P Tracking Table'!$AR511+726*'BMP P Tracking Table'!$AS511+996.798*'BMP P Tracking Table'!$AT511)*-'BMP P Tracking Table'!$AW511)))/(2*(149.919*'BMP P Tracking Table'!$AQ511+236.676*'BMP P Tracking Table'!$AR511+726*'BMP P Tracking Table'!$AS511+996.798*'BMP P Tracking Table'!$AT511))))),MIN(2,IF('BMP P Tracking Table'!$AP511="Total Pervious",(-(3630*'BMP P Tracking Table'!$U511+20.691*'BMP P Tracking Table'!$AA511)+SQRT((3630*'BMP P Tracking Table'!$U511+20.691*'BMP P Tracking Table'!$AA511)^2-(4*(996.798*'BMP P Tracking Table'!$AA511)*-'BMP P Tracking Table'!$AW511)))/(2*(996.798*'BMP P Tracking Table'!$AA511)),IF(SUM('BMP P Tracking Table'!$W511:$Z511)=0,'BMP P Tracking Table'!$AW511/(-3630*'BMP P Tracking Table'!$U511),(-(3630*'BMP P Tracking Table'!$U511+20.691*'BMP P Tracking Table'!$Z511-216.711*'BMP P Tracking Table'!$Y511-83.853*'BMP P Tracking Table'!$X511-42.834*'BMP P Tracking Table'!$W511)+SQRT((3630*'BMP P Tracking Table'!$U511+20.691*'BMP P Tracking Table'!$Z511-216.711*'BMP P Tracking Table'!$Y511-83.853*'BMP P Tracking Table'!$X511-42.834*'BMP P Tracking Table'!$W511)^2-(4*(149.919*'BMP P Tracking Table'!$W511+236.676*'BMP P Tracking Table'!$X511+726*'BMP P Tracking Table'!$Y511+996.798*'BMP P Tracking Table'!$Z511)*-'BMP P Tracking Table'!$AW511)))/(2*(149.919*'BMP P Tracking Table'!$W511+236.676*'BMP P Tracking Table'!$X511+726*'BMP P Tracking Table'!$Y511+996.798*'BMP P Tracking Table'!$Z511)))))),"")</f>
        <v/>
      </c>
      <c r="BA511" s="101" t="str">
        <f>IFERROR((VLOOKUP(CONCATENATE('BMP P Tracking Table'!$AV511," ",'BMP P Tracking Table'!$AX511),'Performance Curves'!$C$1:$L$45,MATCH('BMP P Tracking Table'!$AZ511,'Performance Curves'!$E$1:$L$1,1)+2,FALSE)-VLOOKUP(CONCATENATE('BMP P Tracking Table'!$AV511," ",'BMP P Tracking Table'!$AX511),'Performance Curves'!$C$1:$L$45,MATCH('BMP P Tracking Table'!$AZ511,'Performance Curves'!$E$1:$L$1,1)+1,FALSE)),"")</f>
        <v/>
      </c>
      <c r="BB511" s="101" t="str">
        <f>IFERROR(('BMP P Tracking Table'!$AZ511-INDEX('Performance Curves'!$E$1:$L$1,1,MATCH('BMP P Tracking Table'!$AZ511,'Performance Curves'!$E$1:$L$1,1)))/(INDEX('Performance Curves'!$E$1:$L$1,1,MATCH('BMP P Tracking Table'!$AZ511,'Performance Curves'!$E$1:$L$1,1)+1)-INDEX('Performance Curves'!$E$1:$L$1,1,MATCH('BMP P Tracking Table'!$AZ511,'Performance Curves'!$E$1:$L$1,1))),"")</f>
        <v/>
      </c>
      <c r="BC511" s="102" t="str">
        <f>IFERROR(IF('BMP P Tracking Table'!$AZ511=2,VLOOKUP(CONCATENATE('BMP P Tracking Table'!$AV511," ",'BMP P Tracking Table'!$AX511),'Performance Curves'!$C$1:$L$44,MATCH('BMP P Tracking Table'!$AZ511,'Performance Curves'!$E$1:$L$1,1)+1,FALSE),'BMP P Tracking Table'!$BA511*'BMP P Tracking Table'!$BB511+VLOOKUP(CONCATENATE('BMP P Tracking Table'!$AV511," ",'BMP P Tracking Table'!$AX511),'Performance Curves'!$C$1:$L$44,MATCH('BMP P Tracking Table'!$AZ511,'Performance Curves'!$E$1:$L$1,1)+1,FALSE)),"")</f>
        <v/>
      </c>
      <c r="BD511" s="101" t="str">
        <f>IFERROR('BMP P Tracking Table'!$BC511*'BMP P Tracking Table'!$AY511,"")</f>
        <v/>
      </c>
      <c r="BE511" s="96"/>
      <c r="BF511" s="37">
        <f t="shared" si="27"/>
        <v>0</v>
      </c>
    </row>
    <row r="512" spans="1:58" x14ac:dyDescent="0.3">
      <c r="A512" s="64"/>
      <c r="B512" s="64"/>
      <c r="C512" s="64"/>
      <c r="D512" s="64"/>
      <c r="E512" s="93"/>
      <c r="F512" s="93"/>
      <c r="G512" s="64"/>
      <c r="H512" s="64"/>
      <c r="I512" s="64"/>
      <c r="J512" s="94"/>
      <c r="K512" s="64"/>
      <c r="L512" s="64"/>
      <c r="M512" s="64"/>
      <c r="N512" s="64"/>
      <c r="O512" s="64"/>
      <c r="P512" s="64"/>
      <c r="Q512" s="64" t="str">
        <f>IFERROR(VLOOKUP('BMP P Tracking Table'!$P512,Dropdowns!$C$2:$E$15,3,FALSE),"")</f>
        <v/>
      </c>
      <c r="R512" s="64" t="str">
        <f>IFERROR(VLOOKUP('BMP P Tracking Table'!$Q512,Dropdowns!$P$3:$Q$23,2,FALSE),"")</f>
        <v/>
      </c>
      <c r="S512" s="64"/>
      <c r="T512" s="64"/>
      <c r="U512" s="64"/>
      <c r="V512" s="64"/>
      <c r="W512" s="64"/>
      <c r="X512" s="64"/>
      <c r="Y512" s="64"/>
      <c r="Z512" s="64"/>
      <c r="AA512" s="64"/>
      <c r="AB512" s="95"/>
      <c r="AC512" s="64"/>
      <c r="AD512" s="101" t="str">
        <f>IFERROR('BMP P Tracking Table'!$U512*VLOOKUP('BMP P Tracking Table'!$Q512,'Loading Rates'!$B$1:$L$24,4,FALSE)+IF('BMP P Tracking Table'!$V512="By HSG",'BMP P Tracking Table'!$W512*VLOOKUP('BMP P Tracking Table'!$Q512,'Loading Rates'!$B$1:$L$24,6,FALSE)+'BMP P Tracking Table'!$X512*VLOOKUP('BMP P Tracking Table'!$Q512,'Loading Rates'!$B$1:$L$24,7,FALSE)+'BMP P Tracking Table'!$Y512*VLOOKUP('BMP P Tracking Table'!$Q512,'Loading Rates'!$B$1:$L$24,8,FALSE)+'BMP P Tracking Table'!$Z512*VLOOKUP('BMP P Tracking Table'!$Q512,'Loading Rates'!$B$1:$L$24,9,FALSE),'BMP P Tracking Table'!$AA512*VLOOKUP('BMP P Tracking Table'!$Q512,'Loading Rates'!$B$1:$L$24,10,FALSE)),"")</f>
        <v/>
      </c>
      <c r="AE512" s="101" t="str">
        <f>IFERROR(MIN(2,IF('BMP P Tracking Table'!$V512="Total Pervious",(-(3630*'BMP P Tracking Table'!$U512+20.691*'BMP P Tracking Table'!$AA512)+SQRT((3630*'BMP P Tracking Table'!$U512+20.691*'BMP P Tracking Table'!$AA512)^2-(4*(996.798*'BMP P Tracking Table'!$AA512)*-'BMP P Tracking Table'!$AB512)))/(2*(996.798*'BMP P Tracking Table'!$AA512)),IF(SUM('BMP P Tracking Table'!$W512:$Z512)=0,'BMP P Tracking Table'!$AB512/(-3630*'BMP P Tracking Table'!$U512),(-(3630*'BMP P Tracking Table'!$U512+20.691*'BMP P Tracking Table'!$Z512-216.711*'BMP P Tracking Table'!$Y512-83.853*'BMP P Tracking Table'!$X512-42.834*'BMP P Tracking Table'!$W512)+SQRT((3630*'BMP P Tracking Table'!$U512+20.691*'BMP P Tracking Table'!$Z512-216.711*'BMP P Tracking Table'!$Y512-83.853*'BMP P Tracking Table'!$X512-42.834*'BMP P Tracking Table'!$W512)^2-(4*(149.919*'BMP P Tracking Table'!$W512+236.676*'BMP P Tracking Table'!$X512+726*'BMP P Tracking Table'!$Y512+996.798*'BMP P Tracking Table'!$Z512)*-'BMP P Tracking Table'!$AB512)))/(2*(149.919*'BMP P Tracking Table'!$W512+236.676*'BMP P Tracking Table'!$X512+726*'BMP P Tracking Table'!$Y512+996.798*'BMP P Tracking Table'!$Z512))))),"")</f>
        <v/>
      </c>
      <c r="AF512" s="101" t="str">
        <f>IFERROR((VLOOKUP(CONCATENATE('BMP P Tracking Table'!$T512," ",'BMP P Tracking Table'!$AC512),'Performance Curves'!$C$1:$L$45,MATCH('BMP P Tracking Table'!$AE512,'Performance Curves'!$E$1:$L$1,1)+2,FALSE)-VLOOKUP(CONCATENATE('BMP P Tracking Table'!$T512," ",'BMP P Tracking Table'!$AC512),'Performance Curves'!$C$1:$L$45,MATCH('BMP P Tracking Table'!$AE512,'Performance Curves'!$E$1:$L$1,1)+1,FALSE)),"")</f>
        <v/>
      </c>
      <c r="AG512" s="101" t="str">
        <f>IFERROR(('BMP P Tracking Table'!$AE512-INDEX('Performance Curves'!$E$1:$L$1,1,MATCH('BMP P Tracking Table'!$AE512,'Performance Curves'!$E$1:$L$1,1)))/(INDEX('Performance Curves'!$E$1:$L$1,1,MATCH('BMP P Tracking Table'!$AE512,'Performance Curves'!$E$1:$L$1,1)+1)-INDEX('Performance Curves'!$E$1:$L$1,1,MATCH('BMP P Tracking Table'!$AE512,'Performance Curves'!$E$1:$L$1,1))),"")</f>
        <v/>
      </c>
      <c r="AH512" s="102" t="str">
        <f>IFERROR(IF('BMP P Tracking Table'!$AE512=2,VLOOKUP(CONCATENATE('BMP P Tracking Table'!$T512," ",'BMP P Tracking Table'!$AC512),'Performance Curves'!$C$1:$L$45,MATCH('BMP P Tracking Table'!$AE512,'Performance Curves'!$E$1:$L$1,1)+1,FALSE),'BMP P Tracking Table'!$AF512*'BMP P Tracking Table'!$AG512+VLOOKUP(CONCATENATE('BMP P Tracking Table'!$T512," ",'BMP P Tracking Table'!$AC512),'Performance Curves'!$C$1:$L$45,MATCH('BMP P Tracking Table'!$AE512,'Performance Curves'!$E$1:$L$1,1)+1,FALSE)),"")</f>
        <v/>
      </c>
      <c r="AI512" s="101" t="str">
        <f>IFERROR('BMP P Tracking Table'!$AH512*'BMP P Tracking Table'!$AD512,"")</f>
        <v/>
      </c>
      <c r="AJ512" s="64"/>
      <c r="AK512" s="96"/>
      <c r="AL512" s="96"/>
      <c r="AM512" s="63"/>
      <c r="AN512" s="99" t="str">
        <f t="shared" si="26"/>
        <v/>
      </c>
      <c r="AO512" s="96"/>
      <c r="AP512" s="96"/>
      <c r="AQ512" s="96"/>
      <c r="AR512" s="96"/>
      <c r="AS512" s="96"/>
      <c r="AT512" s="96"/>
      <c r="AU512" s="96"/>
      <c r="AV512" s="64"/>
      <c r="AW512" s="97"/>
      <c r="AX512" s="97"/>
      <c r="AY512" s="101" t="str">
        <f>IF('BMP P Tracking Table'!$AK512="Yes",IF('BMP P Tracking Table'!$AL512="No",'BMP P Tracking Table'!$U512*VLOOKUP('BMP P Tracking Table'!$Q512,'Loading Rates'!$B$1:$L$24,4,FALSE)+IF('BMP P Tracking Table'!$V512="By HSG",'BMP P Tracking Table'!$W512*VLOOKUP('BMP P Tracking Table'!$Q512,'Loading Rates'!$B$1:$L$24,6,FALSE)+'BMP P Tracking Table'!$X512*VLOOKUP('BMP P Tracking Table'!$Q512,'Loading Rates'!$B$1:$L$24,7,FALSE)+'BMP P Tracking Table'!$Y512*VLOOKUP('BMP P Tracking Table'!$Q512,'Loading Rates'!$B$1:$L$24,8,FALSE)+'BMP P Tracking Table'!$Z512*VLOOKUP('BMP P Tracking Table'!$Q512,'Loading Rates'!$B$1:$L$24,9,FALSE),'BMP P Tracking Table'!$AA512*VLOOKUP('BMP P Tracking Table'!$Q512,'Loading Rates'!$B$1:$L$24,10,FALSE)),'BMP P Tracking Table'!$AO512*VLOOKUP('BMP P Tracking Table'!$Q512,'Loading Rates'!$B$1:$L$24,4,FALSE)+IF('BMP P Tracking Table'!$AP512="By HSG",'BMP P Tracking Table'!$AQ512*VLOOKUP('BMP P Tracking Table'!$Q512,'Loading Rates'!$B$1:$L$24,6,FALSE)+'BMP P Tracking Table'!$AR512*VLOOKUP('BMP P Tracking Table'!$Q512,'Loading Rates'!$B$1:$L$24,7,FALSE)+'BMP P Tracking Table'!$AS512*VLOOKUP('BMP P Tracking Table'!$Q512,'Loading Rates'!$B$1:$L$24,8,FALSE)+'BMP P Tracking Table'!$AT512*VLOOKUP('BMP P Tracking Table'!$Q512,'Loading Rates'!$B$1:$L$24,9,FALSE),'BMP P Tracking Table'!$AU512*VLOOKUP('BMP P Tracking Table'!$Q512,'Loading Rates'!$B$1:$L$24,10,FALSE))),"")</f>
        <v/>
      </c>
      <c r="AZ512" s="101" t="str">
        <f>IFERROR(IF('BMP P Tracking Table'!$AL512="Yes",MIN(2,IF('BMP P Tracking Table'!$AP512="Total Pervious",(-(3630*'BMP P Tracking Table'!$AO512+20.691*'BMP P Tracking Table'!$AU512)+SQRT((3630*'BMP P Tracking Table'!$AO512+20.691*'BMP P Tracking Table'!$AU512)^2-(4*(996.798*'BMP P Tracking Table'!$AU512)*-'BMP P Tracking Table'!$AW512)))/(2*(996.798*'BMP P Tracking Table'!$AU512)),IF(SUM('BMP P Tracking Table'!$AQ512:$AT512)=0,'BMP P Tracking Table'!$AU512/(-3630*'BMP P Tracking Table'!$AO512),(-(3630*'BMP P Tracking Table'!$AO512+20.691*'BMP P Tracking Table'!$AT512-216.711*'BMP P Tracking Table'!$AS512-83.853*'BMP P Tracking Table'!$AR512-42.834*'BMP P Tracking Table'!$AQ512)+SQRT((3630*'BMP P Tracking Table'!$AO512+20.691*'BMP P Tracking Table'!$AT512-216.711*'BMP P Tracking Table'!$AS512-83.853*'BMP P Tracking Table'!$AR512-42.834*'BMP P Tracking Table'!$AQ512)^2-(4*(149.919*'BMP P Tracking Table'!$AQ512+236.676*'BMP P Tracking Table'!$AR512+726*'BMP P Tracking Table'!$AS512+996.798*'BMP P Tracking Table'!$AT512)*-'BMP P Tracking Table'!$AW512)))/(2*(149.919*'BMP P Tracking Table'!$AQ512+236.676*'BMP P Tracking Table'!$AR512+726*'BMP P Tracking Table'!$AS512+996.798*'BMP P Tracking Table'!$AT512))))),MIN(2,IF('BMP P Tracking Table'!$AP512="Total Pervious",(-(3630*'BMP P Tracking Table'!$U512+20.691*'BMP P Tracking Table'!$AA512)+SQRT((3630*'BMP P Tracking Table'!$U512+20.691*'BMP P Tracking Table'!$AA512)^2-(4*(996.798*'BMP P Tracking Table'!$AA512)*-'BMP P Tracking Table'!$AW512)))/(2*(996.798*'BMP P Tracking Table'!$AA512)),IF(SUM('BMP P Tracking Table'!$W512:$Z512)=0,'BMP P Tracking Table'!$AW512/(-3630*'BMP P Tracking Table'!$U512),(-(3630*'BMP P Tracking Table'!$U512+20.691*'BMP P Tracking Table'!$Z512-216.711*'BMP P Tracking Table'!$Y512-83.853*'BMP P Tracking Table'!$X512-42.834*'BMP P Tracking Table'!$W512)+SQRT((3630*'BMP P Tracking Table'!$U512+20.691*'BMP P Tracking Table'!$Z512-216.711*'BMP P Tracking Table'!$Y512-83.853*'BMP P Tracking Table'!$X512-42.834*'BMP P Tracking Table'!$W512)^2-(4*(149.919*'BMP P Tracking Table'!$W512+236.676*'BMP P Tracking Table'!$X512+726*'BMP P Tracking Table'!$Y512+996.798*'BMP P Tracking Table'!$Z512)*-'BMP P Tracking Table'!$AW512)))/(2*(149.919*'BMP P Tracking Table'!$W512+236.676*'BMP P Tracking Table'!$X512+726*'BMP P Tracking Table'!$Y512+996.798*'BMP P Tracking Table'!$Z512)))))),"")</f>
        <v/>
      </c>
      <c r="BA512" s="101" t="str">
        <f>IFERROR((VLOOKUP(CONCATENATE('BMP P Tracking Table'!$AV512," ",'BMP P Tracking Table'!$AX512),'Performance Curves'!$C$1:$L$45,MATCH('BMP P Tracking Table'!$AZ512,'Performance Curves'!$E$1:$L$1,1)+2,FALSE)-VLOOKUP(CONCATENATE('BMP P Tracking Table'!$AV512," ",'BMP P Tracking Table'!$AX512),'Performance Curves'!$C$1:$L$45,MATCH('BMP P Tracking Table'!$AZ512,'Performance Curves'!$E$1:$L$1,1)+1,FALSE)),"")</f>
        <v/>
      </c>
      <c r="BB512" s="101" t="str">
        <f>IFERROR(('BMP P Tracking Table'!$AZ512-INDEX('Performance Curves'!$E$1:$L$1,1,MATCH('BMP P Tracking Table'!$AZ512,'Performance Curves'!$E$1:$L$1,1)))/(INDEX('Performance Curves'!$E$1:$L$1,1,MATCH('BMP P Tracking Table'!$AZ512,'Performance Curves'!$E$1:$L$1,1)+1)-INDEX('Performance Curves'!$E$1:$L$1,1,MATCH('BMP P Tracking Table'!$AZ512,'Performance Curves'!$E$1:$L$1,1))),"")</f>
        <v/>
      </c>
      <c r="BC512" s="102" t="str">
        <f>IFERROR(IF('BMP P Tracking Table'!$AZ512=2,VLOOKUP(CONCATENATE('BMP P Tracking Table'!$AV512," ",'BMP P Tracking Table'!$AX512),'Performance Curves'!$C$1:$L$44,MATCH('BMP P Tracking Table'!$AZ512,'Performance Curves'!$E$1:$L$1,1)+1,FALSE),'BMP P Tracking Table'!$BA512*'BMP P Tracking Table'!$BB512+VLOOKUP(CONCATENATE('BMP P Tracking Table'!$AV512," ",'BMP P Tracking Table'!$AX512),'Performance Curves'!$C$1:$L$44,MATCH('BMP P Tracking Table'!$AZ512,'Performance Curves'!$E$1:$L$1,1)+1,FALSE)),"")</f>
        <v/>
      </c>
      <c r="BD512" s="101" t="str">
        <f>IFERROR('BMP P Tracking Table'!$BC512*'BMP P Tracking Table'!$AY512,"")</f>
        <v/>
      </c>
      <c r="BE512" s="96"/>
      <c r="BF512" s="37">
        <f t="shared" si="27"/>
        <v>0</v>
      </c>
    </row>
    <row r="513" spans="1:58" x14ac:dyDescent="0.3">
      <c r="A513" s="64"/>
      <c r="B513" s="64"/>
      <c r="C513" s="64"/>
      <c r="D513" s="64"/>
      <c r="E513" s="93"/>
      <c r="F513" s="93"/>
      <c r="G513" s="64"/>
      <c r="H513" s="64"/>
      <c r="I513" s="64"/>
      <c r="J513" s="94"/>
      <c r="K513" s="64"/>
      <c r="L513" s="64"/>
      <c r="M513" s="64"/>
      <c r="N513" s="64"/>
      <c r="O513" s="64"/>
      <c r="P513" s="64"/>
      <c r="Q513" s="64" t="str">
        <f>IFERROR(VLOOKUP('BMP P Tracking Table'!$P513,Dropdowns!$C$2:$E$15,3,FALSE),"")</f>
        <v/>
      </c>
      <c r="R513" s="64" t="str">
        <f>IFERROR(VLOOKUP('BMP P Tracking Table'!$Q513,Dropdowns!$P$3:$Q$23,2,FALSE),"")</f>
        <v/>
      </c>
      <c r="S513" s="64"/>
      <c r="T513" s="64"/>
      <c r="U513" s="64"/>
      <c r="V513" s="64"/>
      <c r="W513" s="64"/>
      <c r="X513" s="64"/>
      <c r="Y513" s="64"/>
      <c r="Z513" s="64"/>
      <c r="AA513" s="64"/>
      <c r="AB513" s="95"/>
      <c r="AC513" s="64"/>
      <c r="AD513" s="101" t="str">
        <f>IFERROR('BMP P Tracking Table'!$U513*VLOOKUP('BMP P Tracking Table'!$Q513,'Loading Rates'!$B$1:$L$24,4,FALSE)+IF('BMP P Tracking Table'!$V513="By HSG",'BMP P Tracking Table'!$W513*VLOOKUP('BMP P Tracking Table'!$Q513,'Loading Rates'!$B$1:$L$24,6,FALSE)+'BMP P Tracking Table'!$X513*VLOOKUP('BMP P Tracking Table'!$Q513,'Loading Rates'!$B$1:$L$24,7,FALSE)+'BMP P Tracking Table'!$Y513*VLOOKUP('BMP P Tracking Table'!$Q513,'Loading Rates'!$B$1:$L$24,8,FALSE)+'BMP P Tracking Table'!$Z513*VLOOKUP('BMP P Tracking Table'!$Q513,'Loading Rates'!$B$1:$L$24,9,FALSE),'BMP P Tracking Table'!$AA513*VLOOKUP('BMP P Tracking Table'!$Q513,'Loading Rates'!$B$1:$L$24,10,FALSE)),"")</f>
        <v/>
      </c>
      <c r="AE513" s="101" t="str">
        <f>IFERROR(MIN(2,IF('BMP P Tracking Table'!$V513="Total Pervious",(-(3630*'BMP P Tracking Table'!$U513+20.691*'BMP P Tracking Table'!$AA513)+SQRT((3630*'BMP P Tracking Table'!$U513+20.691*'BMP P Tracking Table'!$AA513)^2-(4*(996.798*'BMP P Tracking Table'!$AA513)*-'BMP P Tracking Table'!$AB513)))/(2*(996.798*'BMP P Tracking Table'!$AA513)),IF(SUM('BMP P Tracking Table'!$W513:$Z513)=0,'BMP P Tracking Table'!$AB513/(-3630*'BMP P Tracking Table'!$U513),(-(3630*'BMP P Tracking Table'!$U513+20.691*'BMP P Tracking Table'!$Z513-216.711*'BMP P Tracking Table'!$Y513-83.853*'BMP P Tracking Table'!$X513-42.834*'BMP P Tracking Table'!$W513)+SQRT((3630*'BMP P Tracking Table'!$U513+20.691*'BMP P Tracking Table'!$Z513-216.711*'BMP P Tracking Table'!$Y513-83.853*'BMP P Tracking Table'!$X513-42.834*'BMP P Tracking Table'!$W513)^2-(4*(149.919*'BMP P Tracking Table'!$W513+236.676*'BMP P Tracking Table'!$X513+726*'BMP P Tracking Table'!$Y513+996.798*'BMP P Tracking Table'!$Z513)*-'BMP P Tracking Table'!$AB513)))/(2*(149.919*'BMP P Tracking Table'!$W513+236.676*'BMP P Tracking Table'!$X513+726*'BMP P Tracking Table'!$Y513+996.798*'BMP P Tracking Table'!$Z513))))),"")</f>
        <v/>
      </c>
      <c r="AF513" s="101" t="str">
        <f>IFERROR((VLOOKUP(CONCATENATE('BMP P Tracking Table'!$T513," ",'BMP P Tracking Table'!$AC513),'Performance Curves'!$C$1:$L$45,MATCH('BMP P Tracking Table'!$AE513,'Performance Curves'!$E$1:$L$1,1)+2,FALSE)-VLOOKUP(CONCATENATE('BMP P Tracking Table'!$T513," ",'BMP P Tracking Table'!$AC513),'Performance Curves'!$C$1:$L$45,MATCH('BMP P Tracking Table'!$AE513,'Performance Curves'!$E$1:$L$1,1)+1,FALSE)),"")</f>
        <v/>
      </c>
      <c r="AG513" s="101" t="str">
        <f>IFERROR(('BMP P Tracking Table'!$AE513-INDEX('Performance Curves'!$E$1:$L$1,1,MATCH('BMP P Tracking Table'!$AE513,'Performance Curves'!$E$1:$L$1,1)))/(INDEX('Performance Curves'!$E$1:$L$1,1,MATCH('BMP P Tracking Table'!$AE513,'Performance Curves'!$E$1:$L$1,1)+1)-INDEX('Performance Curves'!$E$1:$L$1,1,MATCH('BMP P Tracking Table'!$AE513,'Performance Curves'!$E$1:$L$1,1))),"")</f>
        <v/>
      </c>
      <c r="AH513" s="102" t="str">
        <f>IFERROR(IF('BMP P Tracking Table'!$AE513=2,VLOOKUP(CONCATENATE('BMP P Tracking Table'!$T513," ",'BMP P Tracking Table'!$AC513),'Performance Curves'!$C$1:$L$45,MATCH('BMP P Tracking Table'!$AE513,'Performance Curves'!$E$1:$L$1,1)+1,FALSE),'BMP P Tracking Table'!$AF513*'BMP P Tracking Table'!$AG513+VLOOKUP(CONCATENATE('BMP P Tracking Table'!$T513," ",'BMP P Tracking Table'!$AC513),'Performance Curves'!$C$1:$L$45,MATCH('BMP P Tracking Table'!$AE513,'Performance Curves'!$E$1:$L$1,1)+1,FALSE)),"")</f>
        <v/>
      </c>
      <c r="AI513" s="101" t="str">
        <f>IFERROR('BMP P Tracking Table'!$AH513*'BMP P Tracking Table'!$AD513,"")</f>
        <v/>
      </c>
      <c r="AJ513" s="64"/>
      <c r="AK513" s="96"/>
      <c r="AL513" s="96"/>
      <c r="AM513" s="63"/>
      <c r="AN513" s="99" t="str">
        <f t="shared" si="26"/>
        <v/>
      </c>
      <c r="AO513" s="96"/>
      <c r="AP513" s="96"/>
      <c r="AQ513" s="96"/>
      <c r="AR513" s="96"/>
      <c r="AS513" s="96"/>
      <c r="AT513" s="96"/>
      <c r="AU513" s="96"/>
      <c r="AV513" s="64"/>
      <c r="AW513" s="97"/>
      <c r="AX513" s="97"/>
      <c r="AY513" s="101" t="str">
        <f>IF('BMP P Tracking Table'!$AK513="Yes",IF('BMP P Tracking Table'!$AL513="No",'BMP P Tracking Table'!$U513*VLOOKUP('BMP P Tracking Table'!$Q513,'Loading Rates'!$B$1:$L$24,4,FALSE)+IF('BMP P Tracking Table'!$V513="By HSG",'BMP P Tracking Table'!$W513*VLOOKUP('BMP P Tracking Table'!$Q513,'Loading Rates'!$B$1:$L$24,6,FALSE)+'BMP P Tracking Table'!$X513*VLOOKUP('BMP P Tracking Table'!$Q513,'Loading Rates'!$B$1:$L$24,7,FALSE)+'BMP P Tracking Table'!$Y513*VLOOKUP('BMP P Tracking Table'!$Q513,'Loading Rates'!$B$1:$L$24,8,FALSE)+'BMP P Tracking Table'!$Z513*VLOOKUP('BMP P Tracking Table'!$Q513,'Loading Rates'!$B$1:$L$24,9,FALSE),'BMP P Tracking Table'!$AA513*VLOOKUP('BMP P Tracking Table'!$Q513,'Loading Rates'!$B$1:$L$24,10,FALSE)),'BMP P Tracking Table'!$AO513*VLOOKUP('BMP P Tracking Table'!$Q513,'Loading Rates'!$B$1:$L$24,4,FALSE)+IF('BMP P Tracking Table'!$AP513="By HSG",'BMP P Tracking Table'!$AQ513*VLOOKUP('BMP P Tracking Table'!$Q513,'Loading Rates'!$B$1:$L$24,6,FALSE)+'BMP P Tracking Table'!$AR513*VLOOKUP('BMP P Tracking Table'!$Q513,'Loading Rates'!$B$1:$L$24,7,FALSE)+'BMP P Tracking Table'!$AS513*VLOOKUP('BMP P Tracking Table'!$Q513,'Loading Rates'!$B$1:$L$24,8,FALSE)+'BMP P Tracking Table'!$AT513*VLOOKUP('BMP P Tracking Table'!$Q513,'Loading Rates'!$B$1:$L$24,9,FALSE),'BMP P Tracking Table'!$AU513*VLOOKUP('BMP P Tracking Table'!$Q513,'Loading Rates'!$B$1:$L$24,10,FALSE))),"")</f>
        <v/>
      </c>
      <c r="AZ513" s="101" t="str">
        <f>IFERROR(IF('BMP P Tracking Table'!$AL513="Yes",MIN(2,IF('BMP P Tracking Table'!$AP513="Total Pervious",(-(3630*'BMP P Tracking Table'!$AO513+20.691*'BMP P Tracking Table'!$AU513)+SQRT((3630*'BMP P Tracking Table'!$AO513+20.691*'BMP P Tracking Table'!$AU513)^2-(4*(996.798*'BMP P Tracking Table'!$AU513)*-'BMP P Tracking Table'!$AW513)))/(2*(996.798*'BMP P Tracking Table'!$AU513)),IF(SUM('BMP P Tracking Table'!$AQ513:$AT513)=0,'BMP P Tracking Table'!$AU513/(-3630*'BMP P Tracking Table'!$AO513),(-(3630*'BMP P Tracking Table'!$AO513+20.691*'BMP P Tracking Table'!$AT513-216.711*'BMP P Tracking Table'!$AS513-83.853*'BMP P Tracking Table'!$AR513-42.834*'BMP P Tracking Table'!$AQ513)+SQRT((3630*'BMP P Tracking Table'!$AO513+20.691*'BMP P Tracking Table'!$AT513-216.711*'BMP P Tracking Table'!$AS513-83.853*'BMP P Tracking Table'!$AR513-42.834*'BMP P Tracking Table'!$AQ513)^2-(4*(149.919*'BMP P Tracking Table'!$AQ513+236.676*'BMP P Tracking Table'!$AR513+726*'BMP P Tracking Table'!$AS513+996.798*'BMP P Tracking Table'!$AT513)*-'BMP P Tracking Table'!$AW513)))/(2*(149.919*'BMP P Tracking Table'!$AQ513+236.676*'BMP P Tracking Table'!$AR513+726*'BMP P Tracking Table'!$AS513+996.798*'BMP P Tracking Table'!$AT513))))),MIN(2,IF('BMP P Tracking Table'!$AP513="Total Pervious",(-(3630*'BMP P Tracking Table'!$U513+20.691*'BMP P Tracking Table'!$AA513)+SQRT((3630*'BMP P Tracking Table'!$U513+20.691*'BMP P Tracking Table'!$AA513)^2-(4*(996.798*'BMP P Tracking Table'!$AA513)*-'BMP P Tracking Table'!$AW513)))/(2*(996.798*'BMP P Tracking Table'!$AA513)),IF(SUM('BMP P Tracking Table'!$W513:$Z513)=0,'BMP P Tracking Table'!$AW513/(-3630*'BMP P Tracking Table'!$U513),(-(3630*'BMP P Tracking Table'!$U513+20.691*'BMP P Tracking Table'!$Z513-216.711*'BMP P Tracking Table'!$Y513-83.853*'BMP P Tracking Table'!$X513-42.834*'BMP P Tracking Table'!$W513)+SQRT((3630*'BMP P Tracking Table'!$U513+20.691*'BMP P Tracking Table'!$Z513-216.711*'BMP P Tracking Table'!$Y513-83.853*'BMP P Tracking Table'!$X513-42.834*'BMP P Tracking Table'!$W513)^2-(4*(149.919*'BMP P Tracking Table'!$W513+236.676*'BMP P Tracking Table'!$X513+726*'BMP P Tracking Table'!$Y513+996.798*'BMP P Tracking Table'!$Z513)*-'BMP P Tracking Table'!$AW513)))/(2*(149.919*'BMP P Tracking Table'!$W513+236.676*'BMP P Tracking Table'!$X513+726*'BMP P Tracking Table'!$Y513+996.798*'BMP P Tracking Table'!$Z513)))))),"")</f>
        <v/>
      </c>
      <c r="BA513" s="101" t="str">
        <f>IFERROR((VLOOKUP(CONCATENATE('BMP P Tracking Table'!$AV513," ",'BMP P Tracking Table'!$AX513),'Performance Curves'!$C$1:$L$45,MATCH('BMP P Tracking Table'!$AZ513,'Performance Curves'!$E$1:$L$1,1)+2,FALSE)-VLOOKUP(CONCATENATE('BMP P Tracking Table'!$AV513," ",'BMP P Tracking Table'!$AX513),'Performance Curves'!$C$1:$L$45,MATCH('BMP P Tracking Table'!$AZ513,'Performance Curves'!$E$1:$L$1,1)+1,FALSE)),"")</f>
        <v/>
      </c>
      <c r="BB513" s="101" t="str">
        <f>IFERROR(('BMP P Tracking Table'!$AZ513-INDEX('Performance Curves'!$E$1:$L$1,1,MATCH('BMP P Tracking Table'!$AZ513,'Performance Curves'!$E$1:$L$1,1)))/(INDEX('Performance Curves'!$E$1:$L$1,1,MATCH('BMP P Tracking Table'!$AZ513,'Performance Curves'!$E$1:$L$1,1)+1)-INDEX('Performance Curves'!$E$1:$L$1,1,MATCH('BMP P Tracking Table'!$AZ513,'Performance Curves'!$E$1:$L$1,1))),"")</f>
        <v/>
      </c>
      <c r="BC513" s="102" t="str">
        <f>IFERROR(IF('BMP P Tracking Table'!$AZ513=2,VLOOKUP(CONCATENATE('BMP P Tracking Table'!$AV513," ",'BMP P Tracking Table'!$AX513),'Performance Curves'!$C$1:$L$44,MATCH('BMP P Tracking Table'!$AZ513,'Performance Curves'!$E$1:$L$1,1)+1,FALSE),'BMP P Tracking Table'!$BA513*'BMP P Tracking Table'!$BB513+VLOOKUP(CONCATENATE('BMP P Tracking Table'!$AV513," ",'BMP P Tracking Table'!$AX513),'Performance Curves'!$C$1:$L$44,MATCH('BMP P Tracking Table'!$AZ513,'Performance Curves'!$E$1:$L$1,1)+1,FALSE)),"")</f>
        <v/>
      </c>
      <c r="BD513" s="101" t="str">
        <f>IFERROR('BMP P Tracking Table'!$BC513*'BMP P Tracking Table'!$AY513,"")</f>
        <v/>
      </c>
      <c r="BE513" s="96"/>
      <c r="BF513" s="37">
        <f t="shared" si="27"/>
        <v>0</v>
      </c>
    </row>
    <row r="514" spans="1:58" x14ac:dyDescent="0.3">
      <c r="A514" s="64"/>
      <c r="B514" s="64"/>
      <c r="C514" s="64"/>
      <c r="D514" s="64"/>
      <c r="E514" s="93"/>
      <c r="F514" s="93"/>
      <c r="G514" s="64"/>
      <c r="H514" s="64"/>
      <c r="I514" s="64"/>
      <c r="J514" s="94"/>
      <c r="K514" s="64"/>
      <c r="L514" s="64"/>
      <c r="M514" s="64"/>
      <c r="N514" s="64"/>
      <c r="O514" s="64"/>
      <c r="P514" s="64"/>
      <c r="Q514" s="64" t="str">
        <f>IFERROR(VLOOKUP('BMP P Tracking Table'!$P514,Dropdowns!$C$2:$E$15,3,FALSE),"")</f>
        <v/>
      </c>
      <c r="R514" s="64" t="str">
        <f>IFERROR(VLOOKUP('BMP P Tracking Table'!$Q514,Dropdowns!$P$3:$Q$23,2,FALSE),"")</f>
        <v/>
      </c>
      <c r="S514" s="64"/>
      <c r="T514" s="64"/>
      <c r="U514" s="64"/>
      <c r="V514" s="64"/>
      <c r="W514" s="64"/>
      <c r="X514" s="64"/>
      <c r="Y514" s="64"/>
      <c r="Z514" s="64"/>
      <c r="AA514" s="64"/>
      <c r="AB514" s="95"/>
      <c r="AC514" s="64"/>
      <c r="AD514" s="101" t="str">
        <f>IFERROR('BMP P Tracking Table'!$U514*VLOOKUP('BMP P Tracking Table'!$Q514,'Loading Rates'!$B$1:$L$24,4,FALSE)+IF('BMP P Tracking Table'!$V514="By HSG",'BMP P Tracking Table'!$W514*VLOOKUP('BMP P Tracking Table'!$Q514,'Loading Rates'!$B$1:$L$24,6,FALSE)+'BMP P Tracking Table'!$X514*VLOOKUP('BMP P Tracking Table'!$Q514,'Loading Rates'!$B$1:$L$24,7,FALSE)+'BMP P Tracking Table'!$Y514*VLOOKUP('BMP P Tracking Table'!$Q514,'Loading Rates'!$B$1:$L$24,8,FALSE)+'BMP P Tracking Table'!$Z514*VLOOKUP('BMP P Tracking Table'!$Q514,'Loading Rates'!$B$1:$L$24,9,FALSE),'BMP P Tracking Table'!$AA514*VLOOKUP('BMP P Tracking Table'!$Q514,'Loading Rates'!$B$1:$L$24,10,FALSE)),"")</f>
        <v/>
      </c>
      <c r="AE514" s="101" t="str">
        <f>IFERROR(MIN(2,IF('BMP P Tracking Table'!$V514="Total Pervious",(-(3630*'BMP P Tracking Table'!$U514+20.691*'BMP P Tracking Table'!$AA514)+SQRT((3630*'BMP P Tracking Table'!$U514+20.691*'BMP P Tracking Table'!$AA514)^2-(4*(996.798*'BMP P Tracking Table'!$AA514)*-'BMP P Tracking Table'!$AB514)))/(2*(996.798*'BMP P Tracking Table'!$AA514)),IF(SUM('BMP P Tracking Table'!$W514:$Z514)=0,'BMP P Tracking Table'!$AB514/(-3630*'BMP P Tracking Table'!$U514),(-(3630*'BMP P Tracking Table'!$U514+20.691*'BMP P Tracking Table'!$Z514-216.711*'BMP P Tracking Table'!$Y514-83.853*'BMP P Tracking Table'!$X514-42.834*'BMP P Tracking Table'!$W514)+SQRT((3630*'BMP P Tracking Table'!$U514+20.691*'BMP P Tracking Table'!$Z514-216.711*'BMP P Tracking Table'!$Y514-83.853*'BMP P Tracking Table'!$X514-42.834*'BMP P Tracking Table'!$W514)^2-(4*(149.919*'BMP P Tracking Table'!$W514+236.676*'BMP P Tracking Table'!$X514+726*'BMP P Tracking Table'!$Y514+996.798*'BMP P Tracking Table'!$Z514)*-'BMP P Tracking Table'!$AB514)))/(2*(149.919*'BMP P Tracking Table'!$W514+236.676*'BMP P Tracking Table'!$X514+726*'BMP P Tracking Table'!$Y514+996.798*'BMP P Tracking Table'!$Z514))))),"")</f>
        <v/>
      </c>
      <c r="AF514" s="101" t="str">
        <f>IFERROR((VLOOKUP(CONCATENATE('BMP P Tracking Table'!$T514," ",'BMP P Tracking Table'!$AC514),'Performance Curves'!$C$1:$L$45,MATCH('BMP P Tracking Table'!$AE514,'Performance Curves'!$E$1:$L$1,1)+2,FALSE)-VLOOKUP(CONCATENATE('BMP P Tracking Table'!$T514," ",'BMP P Tracking Table'!$AC514),'Performance Curves'!$C$1:$L$45,MATCH('BMP P Tracking Table'!$AE514,'Performance Curves'!$E$1:$L$1,1)+1,FALSE)),"")</f>
        <v/>
      </c>
      <c r="AG514" s="101" t="str">
        <f>IFERROR(('BMP P Tracking Table'!$AE514-INDEX('Performance Curves'!$E$1:$L$1,1,MATCH('BMP P Tracking Table'!$AE514,'Performance Curves'!$E$1:$L$1,1)))/(INDEX('Performance Curves'!$E$1:$L$1,1,MATCH('BMP P Tracking Table'!$AE514,'Performance Curves'!$E$1:$L$1,1)+1)-INDEX('Performance Curves'!$E$1:$L$1,1,MATCH('BMP P Tracking Table'!$AE514,'Performance Curves'!$E$1:$L$1,1))),"")</f>
        <v/>
      </c>
      <c r="AH514" s="102" t="str">
        <f>IFERROR(IF('BMP P Tracking Table'!$AE514=2,VLOOKUP(CONCATENATE('BMP P Tracking Table'!$T514," ",'BMP P Tracking Table'!$AC514),'Performance Curves'!$C$1:$L$45,MATCH('BMP P Tracking Table'!$AE514,'Performance Curves'!$E$1:$L$1,1)+1,FALSE),'BMP P Tracking Table'!$AF514*'BMP P Tracking Table'!$AG514+VLOOKUP(CONCATENATE('BMP P Tracking Table'!$T514," ",'BMP P Tracking Table'!$AC514),'Performance Curves'!$C$1:$L$45,MATCH('BMP P Tracking Table'!$AE514,'Performance Curves'!$E$1:$L$1,1)+1,FALSE)),"")</f>
        <v/>
      </c>
      <c r="AI514" s="101" t="str">
        <f>IFERROR('BMP P Tracking Table'!$AH514*'BMP P Tracking Table'!$AD514,"")</f>
        <v/>
      </c>
      <c r="AJ514" s="64"/>
      <c r="AK514" s="96"/>
      <c r="AL514" s="96"/>
      <c r="AM514" s="63"/>
      <c r="AN514" s="99" t="str">
        <f t="shared" si="26"/>
        <v/>
      </c>
      <c r="AO514" s="96"/>
      <c r="AP514" s="96"/>
      <c r="AQ514" s="96"/>
      <c r="AR514" s="96"/>
      <c r="AS514" s="96"/>
      <c r="AT514" s="96"/>
      <c r="AU514" s="96"/>
      <c r="AV514" s="64"/>
      <c r="AW514" s="97"/>
      <c r="AX514" s="97"/>
      <c r="AY514" s="101" t="str">
        <f>IF('BMP P Tracking Table'!$AK514="Yes",IF('BMP P Tracking Table'!$AL514="No",'BMP P Tracking Table'!$U514*VLOOKUP('BMP P Tracking Table'!$Q514,'Loading Rates'!$B$1:$L$24,4,FALSE)+IF('BMP P Tracking Table'!$V514="By HSG",'BMP P Tracking Table'!$W514*VLOOKUP('BMP P Tracking Table'!$Q514,'Loading Rates'!$B$1:$L$24,6,FALSE)+'BMP P Tracking Table'!$X514*VLOOKUP('BMP P Tracking Table'!$Q514,'Loading Rates'!$B$1:$L$24,7,FALSE)+'BMP P Tracking Table'!$Y514*VLOOKUP('BMP P Tracking Table'!$Q514,'Loading Rates'!$B$1:$L$24,8,FALSE)+'BMP P Tracking Table'!$Z514*VLOOKUP('BMP P Tracking Table'!$Q514,'Loading Rates'!$B$1:$L$24,9,FALSE),'BMP P Tracking Table'!$AA514*VLOOKUP('BMP P Tracking Table'!$Q514,'Loading Rates'!$B$1:$L$24,10,FALSE)),'BMP P Tracking Table'!$AO514*VLOOKUP('BMP P Tracking Table'!$Q514,'Loading Rates'!$B$1:$L$24,4,FALSE)+IF('BMP P Tracking Table'!$AP514="By HSG",'BMP P Tracking Table'!$AQ514*VLOOKUP('BMP P Tracking Table'!$Q514,'Loading Rates'!$B$1:$L$24,6,FALSE)+'BMP P Tracking Table'!$AR514*VLOOKUP('BMP P Tracking Table'!$Q514,'Loading Rates'!$B$1:$L$24,7,FALSE)+'BMP P Tracking Table'!$AS514*VLOOKUP('BMP P Tracking Table'!$Q514,'Loading Rates'!$B$1:$L$24,8,FALSE)+'BMP P Tracking Table'!$AT514*VLOOKUP('BMP P Tracking Table'!$Q514,'Loading Rates'!$B$1:$L$24,9,FALSE),'BMP P Tracking Table'!$AU514*VLOOKUP('BMP P Tracking Table'!$Q514,'Loading Rates'!$B$1:$L$24,10,FALSE))),"")</f>
        <v/>
      </c>
      <c r="AZ514" s="101" t="str">
        <f>IFERROR(IF('BMP P Tracking Table'!$AL514="Yes",MIN(2,IF('BMP P Tracking Table'!$AP514="Total Pervious",(-(3630*'BMP P Tracking Table'!$AO514+20.691*'BMP P Tracking Table'!$AU514)+SQRT((3630*'BMP P Tracking Table'!$AO514+20.691*'BMP P Tracking Table'!$AU514)^2-(4*(996.798*'BMP P Tracking Table'!$AU514)*-'BMP P Tracking Table'!$AW514)))/(2*(996.798*'BMP P Tracking Table'!$AU514)),IF(SUM('BMP P Tracking Table'!$AQ514:$AT514)=0,'BMP P Tracking Table'!$AU514/(-3630*'BMP P Tracking Table'!$AO514),(-(3630*'BMP P Tracking Table'!$AO514+20.691*'BMP P Tracking Table'!$AT514-216.711*'BMP P Tracking Table'!$AS514-83.853*'BMP P Tracking Table'!$AR514-42.834*'BMP P Tracking Table'!$AQ514)+SQRT((3630*'BMP P Tracking Table'!$AO514+20.691*'BMP P Tracking Table'!$AT514-216.711*'BMP P Tracking Table'!$AS514-83.853*'BMP P Tracking Table'!$AR514-42.834*'BMP P Tracking Table'!$AQ514)^2-(4*(149.919*'BMP P Tracking Table'!$AQ514+236.676*'BMP P Tracking Table'!$AR514+726*'BMP P Tracking Table'!$AS514+996.798*'BMP P Tracking Table'!$AT514)*-'BMP P Tracking Table'!$AW514)))/(2*(149.919*'BMP P Tracking Table'!$AQ514+236.676*'BMP P Tracking Table'!$AR514+726*'BMP P Tracking Table'!$AS514+996.798*'BMP P Tracking Table'!$AT514))))),MIN(2,IF('BMP P Tracking Table'!$AP514="Total Pervious",(-(3630*'BMP P Tracking Table'!$U514+20.691*'BMP P Tracking Table'!$AA514)+SQRT((3630*'BMP P Tracking Table'!$U514+20.691*'BMP P Tracking Table'!$AA514)^2-(4*(996.798*'BMP P Tracking Table'!$AA514)*-'BMP P Tracking Table'!$AW514)))/(2*(996.798*'BMP P Tracking Table'!$AA514)),IF(SUM('BMP P Tracking Table'!$W514:$Z514)=0,'BMP P Tracking Table'!$AW514/(-3630*'BMP P Tracking Table'!$U514),(-(3630*'BMP P Tracking Table'!$U514+20.691*'BMP P Tracking Table'!$Z514-216.711*'BMP P Tracking Table'!$Y514-83.853*'BMP P Tracking Table'!$X514-42.834*'BMP P Tracking Table'!$W514)+SQRT((3630*'BMP P Tracking Table'!$U514+20.691*'BMP P Tracking Table'!$Z514-216.711*'BMP P Tracking Table'!$Y514-83.853*'BMP P Tracking Table'!$X514-42.834*'BMP P Tracking Table'!$W514)^2-(4*(149.919*'BMP P Tracking Table'!$W514+236.676*'BMP P Tracking Table'!$X514+726*'BMP P Tracking Table'!$Y514+996.798*'BMP P Tracking Table'!$Z514)*-'BMP P Tracking Table'!$AW514)))/(2*(149.919*'BMP P Tracking Table'!$W514+236.676*'BMP P Tracking Table'!$X514+726*'BMP P Tracking Table'!$Y514+996.798*'BMP P Tracking Table'!$Z514)))))),"")</f>
        <v/>
      </c>
      <c r="BA514" s="101" t="str">
        <f>IFERROR((VLOOKUP(CONCATENATE('BMP P Tracking Table'!$AV514," ",'BMP P Tracking Table'!$AX514),'Performance Curves'!$C$1:$L$45,MATCH('BMP P Tracking Table'!$AZ514,'Performance Curves'!$E$1:$L$1,1)+2,FALSE)-VLOOKUP(CONCATENATE('BMP P Tracking Table'!$AV514," ",'BMP P Tracking Table'!$AX514),'Performance Curves'!$C$1:$L$45,MATCH('BMP P Tracking Table'!$AZ514,'Performance Curves'!$E$1:$L$1,1)+1,FALSE)),"")</f>
        <v/>
      </c>
      <c r="BB514" s="101" t="str">
        <f>IFERROR(('BMP P Tracking Table'!$AZ514-INDEX('Performance Curves'!$E$1:$L$1,1,MATCH('BMP P Tracking Table'!$AZ514,'Performance Curves'!$E$1:$L$1,1)))/(INDEX('Performance Curves'!$E$1:$L$1,1,MATCH('BMP P Tracking Table'!$AZ514,'Performance Curves'!$E$1:$L$1,1)+1)-INDEX('Performance Curves'!$E$1:$L$1,1,MATCH('BMP P Tracking Table'!$AZ514,'Performance Curves'!$E$1:$L$1,1))),"")</f>
        <v/>
      </c>
      <c r="BC514" s="102" t="str">
        <f>IFERROR(IF('BMP P Tracking Table'!$AZ514=2,VLOOKUP(CONCATENATE('BMP P Tracking Table'!$AV514," ",'BMP P Tracking Table'!$AX514),'Performance Curves'!$C$1:$L$44,MATCH('BMP P Tracking Table'!$AZ514,'Performance Curves'!$E$1:$L$1,1)+1,FALSE),'BMP P Tracking Table'!$BA514*'BMP P Tracking Table'!$BB514+VLOOKUP(CONCATENATE('BMP P Tracking Table'!$AV514," ",'BMP P Tracking Table'!$AX514),'Performance Curves'!$C$1:$L$44,MATCH('BMP P Tracking Table'!$AZ514,'Performance Curves'!$E$1:$L$1,1)+1,FALSE)),"")</f>
        <v/>
      </c>
      <c r="BD514" s="101" t="str">
        <f>IFERROR('BMP P Tracking Table'!$BC514*'BMP P Tracking Table'!$AY514,"")</f>
        <v/>
      </c>
      <c r="BE514" s="96"/>
      <c r="BF514" s="37">
        <f t="shared" si="27"/>
        <v>0</v>
      </c>
    </row>
    <row r="515" spans="1:58" x14ac:dyDescent="0.3">
      <c r="A515" s="64"/>
      <c r="B515" s="64"/>
      <c r="C515" s="64"/>
      <c r="D515" s="64"/>
      <c r="E515" s="93"/>
      <c r="F515" s="93"/>
      <c r="G515" s="64"/>
      <c r="H515" s="64"/>
      <c r="I515" s="64"/>
      <c r="J515" s="94"/>
      <c r="K515" s="64"/>
      <c r="L515" s="64"/>
      <c r="M515" s="64"/>
      <c r="N515" s="64"/>
      <c r="O515" s="64"/>
      <c r="P515" s="64"/>
      <c r="Q515" s="64" t="str">
        <f>IFERROR(VLOOKUP('BMP P Tracking Table'!$P515,Dropdowns!$C$2:$E$15,3,FALSE),"")</f>
        <v/>
      </c>
      <c r="R515" s="64" t="str">
        <f>IFERROR(VLOOKUP('BMP P Tracking Table'!$Q515,Dropdowns!$P$3:$Q$23,2,FALSE),"")</f>
        <v/>
      </c>
      <c r="S515" s="64"/>
      <c r="T515" s="64"/>
      <c r="U515" s="64"/>
      <c r="V515" s="64"/>
      <c r="W515" s="64"/>
      <c r="X515" s="64"/>
      <c r="Y515" s="64"/>
      <c r="Z515" s="64"/>
      <c r="AA515" s="64"/>
      <c r="AB515" s="95"/>
      <c r="AC515" s="64"/>
      <c r="AD515" s="101" t="str">
        <f>IFERROR('BMP P Tracking Table'!$U515*VLOOKUP('BMP P Tracking Table'!$Q515,'Loading Rates'!$B$1:$L$24,4,FALSE)+IF('BMP P Tracking Table'!$V515="By HSG",'BMP P Tracking Table'!$W515*VLOOKUP('BMP P Tracking Table'!$Q515,'Loading Rates'!$B$1:$L$24,6,FALSE)+'BMP P Tracking Table'!$X515*VLOOKUP('BMP P Tracking Table'!$Q515,'Loading Rates'!$B$1:$L$24,7,FALSE)+'BMP P Tracking Table'!$Y515*VLOOKUP('BMP P Tracking Table'!$Q515,'Loading Rates'!$B$1:$L$24,8,FALSE)+'BMP P Tracking Table'!$Z515*VLOOKUP('BMP P Tracking Table'!$Q515,'Loading Rates'!$B$1:$L$24,9,FALSE),'BMP P Tracking Table'!$AA515*VLOOKUP('BMP P Tracking Table'!$Q515,'Loading Rates'!$B$1:$L$24,10,FALSE)),"")</f>
        <v/>
      </c>
      <c r="AE515" s="101" t="str">
        <f>IFERROR(MIN(2,IF('BMP P Tracking Table'!$V515="Total Pervious",(-(3630*'BMP P Tracking Table'!$U515+20.691*'BMP P Tracking Table'!$AA515)+SQRT((3630*'BMP P Tracking Table'!$U515+20.691*'BMP P Tracking Table'!$AA515)^2-(4*(996.798*'BMP P Tracking Table'!$AA515)*-'BMP P Tracking Table'!$AB515)))/(2*(996.798*'BMP P Tracking Table'!$AA515)),IF(SUM('BMP P Tracking Table'!$W515:$Z515)=0,'BMP P Tracking Table'!$AB515/(-3630*'BMP P Tracking Table'!$U515),(-(3630*'BMP P Tracking Table'!$U515+20.691*'BMP P Tracking Table'!$Z515-216.711*'BMP P Tracking Table'!$Y515-83.853*'BMP P Tracking Table'!$X515-42.834*'BMP P Tracking Table'!$W515)+SQRT((3630*'BMP P Tracking Table'!$U515+20.691*'BMP P Tracking Table'!$Z515-216.711*'BMP P Tracking Table'!$Y515-83.853*'BMP P Tracking Table'!$X515-42.834*'BMP P Tracking Table'!$W515)^2-(4*(149.919*'BMP P Tracking Table'!$W515+236.676*'BMP P Tracking Table'!$X515+726*'BMP P Tracking Table'!$Y515+996.798*'BMP P Tracking Table'!$Z515)*-'BMP P Tracking Table'!$AB515)))/(2*(149.919*'BMP P Tracking Table'!$W515+236.676*'BMP P Tracking Table'!$X515+726*'BMP P Tracking Table'!$Y515+996.798*'BMP P Tracking Table'!$Z515))))),"")</f>
        <v/>
      </c>
      <c r="AF515" s="101" t="str">
        <f>IFERROR((VLOOKUP(CONCATENATE('BMP P Tracking Table'!$T515," ",'BMP P Tracking Table'!$AC515),'Performance Curves'!$C$1:$L$45,MATCH('BMP P Tracking Table'!$AE515,'Performance Curves'!$E$1:$L$1,1)+2,FALSE)-VLOOKUP(CONCATENATE('BMP P Tracking Table'!$T515," ",'BMP P Tracking Table'!$AC515),'Performance Curves'!$C$1:$L$45,MATCH('BMP P Tracking Table'!$AE515,'Performance Curves'!$E$1:$L$1,1)+1,FALSE)),"")</f>
        <v/>
      </c>
      <c r="AG515" s="101" t="str">
        <f>IFERROR(('BMP P Tracking Table'!$AE515-INDEX('Performance Curves'!$E$1:$L$1,1,MATCH('BMP P Tracking Table'!$AE515,'Performance Curves'!$E$1:$L$1,1)))/(INDEX('Performance Curves'!$E$1:$L$1,1,MATCH('BMP P Tracking Table'!$AE515,'Performance Curves'!$E$1:$L$1,1)+1)-INDEX('Performance Curves'!$E$1:$L$1,1,MATCH('BMP P Tracking Table'!$AE515,'Performance Curves'!$E$1:$L$1,1))),"")</f>
        <v/>
      </c>
      <c r="AH515" s="102" t="str">
        <f>IFERROR(IF('BMP P Tracking Table'!$AE515=2,VLOOKUP(CONCATENATE('BMP P Tracking Table'!$T515," ",'BMP P Tracking Table'!$AC515),'Performance Curves'!$C$1:$L$45,MATCH('BMP P Tracking Table'!$AE515,'Performance Curves'!$E$1:$L$1,1)+1,FALSE),'BMP P Tracking Table'!$AF515*'BMP P Tracking Table'!$AG515+VLOOKUP(CONCATENATE('BMP P Tracking Table'!$T515," ",'BMP P Tracking Table'!$AC515),'Performance Curves'!$C$1:$L$45,MATCH('BMP P Tracking Table'!$AE515,'Performance Curves'!$E$1:$L$1,1)+1,FALSE)),"")</f>
        <v/>
      </c>
      <c r="AI515" s="101" t="str">
        <f>IFERROR('BMP P Tracking Table'!$AH515*'BMP P Tracking Table'!$AD515,"")</f>
        <v/>
      </c>
      <c r="AJ515" s="64"/>
      <c r="AK515" s="96"/>
      <c r="AL515" s="96"/>
      <c r="AM515" s="63"/>
      <c r="AN515" s="99" t="str">
        <f t="shared" si="26"/>
        <v/>
      </c>
      <c r="AO515" s="96"/>
      <c r="AP515" s="96"/>
      <c r="AQ515" s="96"/>
      <c r="AR515" s="96"/>
      <c r="AS515" s="96"/>
      <c r="AT515" s="96"/>
      <c r="AU515" s="96"/>
      <c r="AV515" s="64"/>
      <c r="AW515" s="97"/>
      <c r="AX515" s="97"/>
      <c r="AY515" s="101" t="str">
        <f>IF('BMP P Tracking Table'!$AK515="Yes",IF('BMP P Tracking Table'!$AL515="No",'BMP P Tracking Table'!$U515*VLOOKUP('BMP P Tracking Table'!$Q515,'Loading Rates'!$B$1:$L$24,4,FALSE)+IF('BMP P Tracking Table'!$V515="By HSG",'BMP P Tracking Table'!$W515*VLOOKUP('BMP P Tracking Table'!$Q515,'Loading Rates'!$B$1:$L$24,6,FALSE)+'BMP P Tracking Table'!$X515*VLOOKUP('BMP P Tracking Table'!$Q515,'Loading Rates'!$B$1:$L$24,7,FALSE)+'BMP P Tracking Table'!$Y515*VLOOKUP('BMP P Tracking Table'!$Q515,'Loading Rates'!$B$1:$L$24,8,FALSE)+'BMP P Tracking Table'!$Z515*VLOOKUP('BMP P Tracking Table'!$Q515,'Loading Rates'!$B$1:$L$24,9,FALSE),'BMP P Tracking Table'!$AA515*VLOOKUP('BMP P Tracking Table'!$Q515,'Loading Rates'!$B$1:$L$24,10,FALSE)),'BMP P Tracking Table'!$AO515*VLOOKUP('BMP P Tracking Table'!$Q515,'Loading Rates'!$B$1:$L$24,4,FALSE)+IF('BMP P Tracking Table'!$AP515="By HSG",'BMP P Tracking Table'!$AQ515*VLOOKUP('BMP P Tracking Table'!$Q515,'Loading Rates'!$B$1:$L$24,6,FALSE)+'BMP P Tracking Table'!$AR515*VLOOKUP('BMP P Tracking Table'!$Q515,'Loading Rates'!$B$1:$L$24,7,FALSE)+'BMP P Tracking Table'!$AS515*VLOOKUP('BMP P Tracking Table'!$Q515,'Loading Rates'!$B$1:$L$24,8,FALSE)+'BMP P Tracking Table'!$AT515*VLOOKUP('BMP P Tracking Table'!$Q515,'Loading Rates'!$B$1:$L$24,9,FALSE),'BMP P Tracking Table'!$AU515*VLOOKUP('BMP P Tracking Table'!$Q515,'Loading Rates'!$B$1:$L$24,10,FALSE))),"")</f>
        <v/>
      </c>
      <c r="AZ515" s="101" t="str">
        <f>IFERROR(IF('BMP P Tracking Table'!$AL515="Yes",MIN(2,IF('BMP P Tracking Table'!$AP515="Total Pervious",(-(3630*'BMP P Tracking Table'!$AO515+20.691*'BMP P Tracking Table'!$AU515)+SQRT((3630*'BMP P Tracking Table'!$AO515+20.691*'BMP P Tracking Table'!$AU515)^2-(4*(996.798*'BMP P Tracking Table'!$AU515)*-'BMP P Tracking Table'!$AW515)))/(2*(996.798*'BMP P Tracking Table'!$AU515)),IF(SUM('BMP P Tracking Table'!$AQ515:$AT515)=0,'BMP P Tracking Table'!$AU515/(-3630*'BMP P Tracking Table'!$AO515),(-(3630*'BMP P Tracking Table'!$AO515+20.691*'BMP P Tracking Table'!$AT515-216.711*'BMP P Tracking Table'!$AS515-83.853*'BMP P Tracking Table'!$AR515-42.834*'BMP P Tracking Table'!$AQ515)+SQRT((3630*'BMP P Tracking Table'!$AO515+20.691*'BMP P Tracking Table'!$AT515-216.711*'BMP P Tracking Table'!$AS515-83.853*'BMP P Tracking Table'!$AR515-42.834*'BMP P Tracking Table'!$AQ515)^2-(4*(149.919*'BMP P Tracking Table'!$AQ515+236.676*'BMP P Tracking Table'!$AR515+726*'BMP P Tracking Table'!$AS515+996.798*'BMP P Tracking Table'!$AT515)*-'BMP P Tracking Table'!$AW515)))/(2*(149.919*'BMP P Tracking Table'!$AQ515+236.676*'BMP P Tracking Table'!$AR515+726*'BMP P Tracking Table'!$AS515+996.798*'BMP P Tracking Table'!$AT515))))),MIN(2,IF('BMP P Tracking Table'!$AP515="Total Pervious",(-(3630*'BMP P Tracking Table'!$U515+20.691*'BMP P Tracking Table'!$AA515)+SQRT((3630*'BMP P Tracking Table'!$U515+20.691*'BMP P Tracking Table'!$AA515)^2-(4*(996.798*'BMP P Tracking Table'!$AA515)*-'BMP P Tracking Table'!$AW515)))/(2*(996.798*'BMP P Tracking Table'!$AA515)),IF(SUM('BMP P Tracking Table'!$W515:$Z515)=0,'BMP P Tracking Table'!$AW515/(-3630*'BMP P Tracking Table'!$U515),(-(3630*'BMP P Tracking Table'!$U515+20.691*'BMP P Tracking Table'!$Z515-216.711*'BMP P Tracking Table'!$Y515-83.853*'BMP P Tracking Table'!$X515-42.834*'BMP P Tracking Table'!$W515)+SQRT((3630*'BMP P Tracking Table'!$U515+20.691*'BMP P Tracking Table'!$Z515-216.711*'BMP P Tracking Table'!$Y515-83.853*'BMP P Tracking Table'!$X515-42.834*'BMP P Tracking Table'!$W515)^2-(4*(149.919*'BMP P Tracking Table'!$W515+236.676*'BMP P Tracking Table'!$X515+726*'BMP P Tracking Table'!$Y515+996.798*'BMP P Tracking Table'!$Z515)*-'BMP P Tracking Table'!$AW515)))/(2*(149.919*'BMP P Tracking Table'!$W515+236.676*'BMP P Tracking Table'!$X515+726*'BMP P Tracking Table'!$Y515+996.798*'BMP P Tracking Table'!$Z515)))))),"")</f>
        <v/>
      </c>
      <c r="BA515" s="101" t="str">
        <f>IFERROR((VLOOKUP(CONCATENATE('BMP P Tracking Table'!$AV515," ",'BMP P Tracking Table'!$AX515),'Performance Curves'!$C$1:$L$45,MATCH('BMP P Tracking Table'!$AZ515,'Performance Curves'!$E$1:$L$1,1)+2,FALSE)-VLOOKUP(CONCATENATE('BMP P Tracking Table'!$AV515," ",'BMP P Tracking Table'!$AX515),'Performance Curves'!$C$1:$L$45,MATCH('BMP P Tracking Table'!$AZ515,'Performance Curves'!$E$1:$L$1,1)+1,FALSE)),"")</f>
        <v/>
      </c>
      <c r="BB515" s="101" t="str">
        <f>IFERROR(('BMP P Tracking Table'!$AZ515-INDEX('Performance Curves'!$E$1:$L$1,1,MATCH('BMP P Tracking Table'!$AZ515,'Performance Curves'!$E$1:$L$1,1)))/(INDEX('Performance Curves'!$E$1:$L$1,1,MATCH('BMP P Tracking Table'!$AZ515,'Performance Curves'!$E$1:$L$1,1)+1)-INDEX('Performance Curves'!$E$1:$L$1,1,MATCH('BMP P Tracking Table'!$AZ515,'Performance Curves'!$E$1:$L$1,1))),"")</f>
        <v/>
      </c>
      <c r="BC515" s="102" t="str">
        <f>IFERROR(IF('BMP P Tracking Table'!$AZ515=2,VLOOKUP(CONCATENATE('BMP P Tracking Table'!$AV515," ",'BMP P Tracking Table'!$AX515),'Performance Curves'!$C$1:$L$44,MATCH('BMP P Tracking Table'!$AZ515,'Performance Curves'!$E$1:$L$1,1)+1,FALSE),'BMP P Tracking Table'!$BA515*'BMP P Tracking Table'!$BB515+VLOOKUP(CONCATENATE('BMP P Tracking Table'!$AV515," ",'BMP P Tracking Table'!$AX515),'Performance Curves'!$C$1:$L$44,MATCH('BMP P Tracking Table'!$AZ515,'Performance Curves'!$E$1:$L$1,1)+1,FALSE)),"")</f>
        <v/>
      </c>
      <c r="BD515" s="101" t="str">
        <f>IFERROR('BMP P Tracking Table'!$BC515*'BMP P Tracking Table'!$AY515,"")</f>
        <v/>
      </c>
      <c r="BE515" s="96"/>
      <c r="BF515" s="37">
        <f t="shared" si="27"/>
        <v>0</v>
      </c>
    </row>
    <row r="516" spans="1:58" x14ac:dyDescent="0.3">
      <c r="A516" s="64"/>
      <c r="B516" s="64"/>
      <c r="C516" s="64"/>
      <c r="D516" s="64"/>
      <c r="E516" s="93"/>
      <c r="F516" s="93"/>
      <c r="G516" s="64"/>
      <c r="H516" s="64"/>
      <c r="I516" s="64"/>
      <c r="J516" s="94"/>
      <c r="K516" s="64"/>
      <c r="L516" s="64"/>
      <c r="M516" s="64"/>
      <c r="N516" s="64"/>
      <c r="O516" s="64"/>
      <c r="P516" s="64"/>
      <c r="Q516" s="64" t="str">
        <f>IFERROR(VLOOKUP('BMP P Tracking Table'!$P516,Dropdowns!$C$2:$E$15,3,FALSE),"")</f>
        <v/>
      </c>
      <c r="R516" s="64" t="str">
        <f>IFERROR(VLOOKUP('BMP P Tracking Table'!$Q516,Dropdowns!$P$3:$Q$23,2,FALSE),"")</f>
        <v/>
      </c>
      <c r="S516" s="64"/>
      <c r="T516" s="64"/>
      <c r="U516" s="64"/>
      <c r="V516" s="64"/>
      <c r="W516" s="64"/>
      <c r="X516" s="64"/>
      <c r="Y516" s="64"/>
      <c r="Z516" s="64"/>
      <c r="AA516" s="64"/>
      <c r="AB516" s="95"/>
      <c r="AC516" s="64"/>
      <c r="AD516" s="101" t="str">
        <f>IFERROR('BMP P Tracking Table'!$U516*VLOOKUP('BMP P Tracking Table'!$Q516,'Loading Rates'!$B$1:$L$24,4,FALSE)+IF('BMP P Tracking Table'!$V516="By HSG",'BMP P Tracking Table'!$W516*VLOOKUP('BMP P Tracking Table'!$Q516,'Loading Rates'!$B$1:$L$24,6,FALSE)+'BMP P Tracking Table'!$X516*VLOOKUP('BMP P Tracking Table'!$Q516,'Loading Rates'!$B$1:$L$24,7,FALSE)+'BMP P Tracking Table'!$Y516*VLOOKUP('BMP P Tracking Table'!$Q516,'Loading Rates'!$B$1:$L$24,8,FALSE)+'BMP P Tracking Table'!$Z516*VLOOKUP('BMP P Tracking Table'!$Q516,'Loading Rates'!$B$1:$L$24,9,FALSE),'BMP P Tracking Table'!$AA516*VLOOKUP('BMP P Tracking Table'!$Q516,'Loading Rates'!$B$1:$L$24,10,FALSE)),"")</f>
        <v/>
      </c>
      <c r="AE516" s="101" t="str">
        <f>IFERROR(MIN(2,IF('BMP P Tracking Table'!$V516="Total Pervious",(-(3630*'BMP P Tracking Table'!$U516+20.691*'BMP P Tracking Table'!$AA516)+SQRT((3630*'BMP P Tracking Table'!$U516+20.691*'BMP P Tracking Table'!$AA516)^2-(4*(996.798*'BMP P Tracking Table'!$AA516)*-'BMP P Tracking Table'!$AB516)))/(2*(996.798*'BMP P Tracking Table'!$AA516)),IF(SUM('BMP P Tracking Table'!$W516:$Z516)=0,'BMP P Tracking Table'!$AB516/(-3630*'BMP P Tracking Table'!$U516),(-(3630*'BMP P Tracking Table'!$U516+20.691*'BMP P Tracking Table'!$Z516-216.711*'BMP P Tracking Table'!$Y516-83.853*'BMP P Tracking Table'!$X516-42.834*'BMP P Tracking Table'!$W516)+SQRT((3630*'BMP P Tracking Table'!$U516+20.691*'BMP P Tracking Table'!$Z516-216.711*'BMP P Tracking Table'!$Y516-83.853*'BMP P Tracking Table'!$X516-42.834*'BMP P Tracking Table'!$W516)^2-(4*(149.919*'BMP P Tracking Table'!$W516+236.676*'BMP P Tracking Table'!$X516+726*'BMP P Tracking Table'!$Y516+996.798*'BMP P Tracking Table'!$Z516)*-'BMP P Tracking Table'!$AB516)))/(2*(149.919*'BMP P Tracking Table'!$W516+236.676*'BMP P Tracking Table'!$X516+726*'BMP P Tracking Table'!$Y516+996.798*'BMP P Tracking Table'!$Z516))))),"")</f>
        <v/>
      </c>
      <c r="AF516" s="101" t="str">
        <f>IFERROR((VLOOKUP(CONCATENATE('BMP P Tracking Table'!$T516," ",'BMP P Tracking Table'!$AC516),'Performance Curves'!$C$1:$L$45,MATCH('BMP P Tracking Table'!$AE516,'Performance Curves'!$E$1:$L$1,1)+2,FALSE)-VLOOKUP(CONCATENATE('BMP P Tracking Table'!$T516," ",'BMP P Tracking Table'!$AC516),'Performance Curves'!$C$1:$L$45,MATCH('BMP P Tracking Table'!$AE516,'Performance Curves'!$E$1:$L$1,1)+1,FALSE)),"")</f>
        <v/>
      </c>
      <c r="AG516" s="101" t="str">
        <f>IFERROR(('BMP P Tracking Table'!$AE516-INDEX('Performance Curves'!$E$1:$L$1,1,MATCH('BMP P Tracking Table'!$AE516,'Performance Curves'!$E$1:$L$1,1)))/(INDEX('Performance Curves'!$E$1:$L$1,1,MATCH('BMP P Tracking Table'!$AE516,'Performance Curves'!$E$1:$L$1,1)+1)-INDEX('Performance Curves'!$E$1:$L$1,1,MATCH('BMP P Tracking Table'!$AE516,'Performance Curves'!$E$1:$L$1,1))),"")</f>
        <v/>
      </c>
      <c r="AH516" s="102" t="str">
        <f>IFERROR(IF('BMP P Tracking Table'!$AE516=2,VLOOKUP(CONCATENATE('BMP P Tracking Table'!$T516," ",'BMP P Tracking Table'!$AC516),'Performance Curves'!$C$1:$L$45,MATCH('BMP P Tracking Table'!$AE516,'Performance Curves'!$E$1:$L$1,1)+1,FALSE),'BMP P Tracking Table'!$AF516*'BMP P Tracking Table'!$AG516+VLOOKUP(CONCATENATE('BMP P Tracking Table'!$T516," ",'BMP P Tracking Table'!$AC516),'Performance Curves'!$C$1:$L$45,MATCH('BMP P Tracking Table'!$AE516,'Performance Curves'!$E$1:$L$1,1)+1,FALSE)),"")</f>
        <v/>
      </c>
      <c r="AI516" s="101" t="str">
        <f>IFERROR('BMP P Tracking Table'!$AH516*'BMP P Tracking Table'!$AD516,"")</f>
        <v/>
      </c>
      <c r="AJ516" s="64"/>
      <c r="AK516" s="96"/>
      <c r="AL516" s="96"/>
      <c r="AM516" s="63"/>
      <c r="AN516" s="99" t="str">
        <f t="shared" si="26"/>
        <v/>
      </c>
      <c r="AO516" s="96"/>
      <c r="AP516" s="96"/>
      <c r="AQ516" s="96"/>
      <c r="AR516" s="96"/>
      <c r="AS516" s="96"/>
      <c r="AT516" s="96"/>
      <c r="AU516" s="96"/>
      <c r="AV516" s="64"/>
      <c r="AW516" s="97"/>
      <c r="AX516" s="97"/>
      <c r="AY516" s="101" t="str">
        <f>IF('BMP P Tracking Table'!$AK516="Yes",IF('BMP P Tracking Table'!$AL516="No",'BMP P Tracking Table'!$U516*VLOOKUP('BMP P Tracking Table'!$Q516,'Loading Rates'!$B$1:$L$24,4,FALSE)+IF('BMP P Tracking Table'!$V516="By HSG",'BMP P Tracking Table'!$W516*VLOOKUP('BMP P Tracking Table'!$Q516,'Loading Rates'!$B$1:$L$24,6,FALSE)+'BMP P Tracking Table'!$X516*VLOOKUP('BMP P Tracking Table'!$Q516,'Loading Rates'!$B$1:$L$24,7,FALSE)+'BMP P Tracking Table'!$Y516*VLOOKUP('BMP P Tracking Table'!$Q516,'Loading Rates'!$B$1:$L$24,8,FALSE)+'BMP P Tracking Table'!$Z516*VLOOKUP('BMP P Tracking Table'!$Q516,'Loading Rates'!$B$1:$L$24,9,FALSE),'BMP P Tracking Table'!$AA516*VLOOKUP('BMP P Tracking Table'!$Q516,'Loading Rates'!$B$1:$L$24,10,FALSE)),'BMP P Tracking Table'!$AO516*VLOOKUP('BMP P Tracking Table'!$Q516,'Loading Rates'!$B$1:$L$24,4,FALSE)+IF('BMP P Tracking Table'!$AP516="By HSG",'BMP P Tracking Table'!$AQ516*VLOOKUP('BMP P Tracking Table'!$Q516,'Loading Rates'!$B$1:$L$24,6,FALSE)+'BMP P Tracking Table'!$AR516*VLOOKUP('BMP P Tracking Table'!$Q516,'Loading Rates'!$B$1:$L$24,7,FALSE)+'BMP P Tracking Table'!$AS516*VLOOKUP('BMP P Tracking Table'!$Q516,'Loading Rates'!$B$1:$L$24,8,FALSE)+'BMP P Tracking Table'!$AT516*VLOOKUP('BMP P Tracking Table'!$Q516,'Loading Rates'!$B$1:$L$24,9,FALSE),'BMP P Tracking Table'!$AU516*VLOOKUP('BMP P Tracking Table'!$Q516,'Loading Rates'!$B$1:$L$24,10,FALSE))),"")</f>
        <v/>
      </c>
      <c r="AZ516" s="101" t="str">
        <f>IFERROR(IF('BMP P Tracking Table'!$AL516="Yes",MIN(2,IF('BMP P Tracking Table'!$AP516="Total Pervious",(-(3630*'BMP P Tracking Table'!$AO516+20.691*'BMP P Tracking Table'!$AU516)+SQRT((3630*'BMP P Tracking Table'!$AO516+20.691*'BMP P Tracking Table'!$AU516)^2-(4*(996.798*'BMP P Tracking Table'!$AU516)*-'BMP P Tracking Table'!$AW516)))/(2*(996.798*'BMP P Tracking Table'!$AU516)),IF(SUM('BMP P Tracking Table'!$AQ516:$AT516)=0,'BMP P Tracking Table'!$AU516/(-3630*'BMP P Tracking Table'!$AO516),(-(3630*'BMP P Tracking Table'!$AO516+20.691*'BMP P Tracking Table'!$AT516-216.711*'BMP P Tracking Table'!$AS516-83.853*'BMP P Tracking Table'!$AR516-42.834*'BMP P Tracking Table'!$AQ516)+SQRT((3630*'BMP P Tracking Table'!$AO516+20.691*'BMP P Tracking Table'!$AT516-216.711*'BMP P Tracking Table'!$AS516-83.853*'BMP P Tracking Table'!$AR516-42.834*'BMP P Tracking Table'!$AQ516)^2-(4*(149.919*'BMP P Tracking Table'!$AQ516+236.676*'BMP P Tracking Table'!$AR516+726*'BMP P Tracking Table'!$AS516+996.798*'BMP P Tracking Table'!$AT516)*-'BMP P Tracking Table'!$AW516)))/(2*(149.919*'BMP P Tracking Table'!$AQ516+236.676*'BMP P Tracking Table'!$AR516+726*'BMP P Tracking Table'!$AS516+996.798*'BMP P Tracking Table'!$AT516))))),MIN(2,IF('BMP P Tracking Table'!$AP516="Total Pervious",(-(3630*'BMP P Tracking Table'!$U516+20.691*'BMP P Tracking Table'!$AA516)+SQRT((3630*'BMP P Tracking Table'!$U516+20.691*'BMP P Tracking Table'!$AA516)^2-(4*(996.798*'BMP P Tracking Table'!$AA516)*-'BMP P Tracking Table'!$AW516)))/(2*(996.798*'BMP P Tracking Table'!$AA516)),IF(SUM('BMP P Tracking Table'!$W516:$Z516)=0,'BMP P Tracking Table'!$AW516/(-3630*'BMP P Tracking Table'!$U516),(-(3630*'BMP P Tracking Table'!$U516+20.691*'BMP P Tracking Table'!$Z516-216.711*'BMP P Tracking Table'!$Y516-83.853*'BMP P Tracking Table'!$X516-42.834*'BMP P Tracking Table'!$W516)+SQRT((3630*'BMP P Tracking Table'!$U516+20.691*'BMP P Tracking Table'!$Z516-216.711*'BMP P Tracking Table'!$Y516-83.853*'BMP P Tracking Table'!$X516-42.834*'BMP P Tracking Table'!$W516)^2-(4*(149.919*'BMP P Tracking Table'!$W516+236.676*'BMP P Tracking Table'!$X516+726*'BMP P Tracking Table'!$Y516+996.798*'BMP P Tracking Table'!$Z516)*-'BMP P Tracking Table'!$AW516)))/(2*(149.919*'BMP P Tracking Table'!$W516+236.676*'BMP P Tracking Table'!$X516+726*'BMP P Tracking Table'!$Y516+996.798*'BMP P Tracking Table'!$Z516)))))),"")</f>
        <v/>
      </c>
      <c r="BA516" s="101" t="str">
        <f>IFERROR((VLOOKUP(CONCATENATE('BMP P Tracking Table'!$AV516," ",'BMP P Tracking Table'!$AX516),'Performance Curves'!$C$1:$L$45,MATCH('BMP P Tracking Table'!$AZ516,'Performance Curves'!$E$1:$L$1,1)+2,FALSE)-VLOOKUP(CONCATENATE('BMP P Tracking Table'!$AV516," ",'BMP P Tracking Table'!$AX516),'Performance Curves'!$C$1:$L$45,MATCH('BMP P Tracking Table'!$AZ516,'Performance Curves'!$E$1:$L$1,1)+1,FALSE)),"")</f>
        <v/>
      </c>
      <c r="BB516" s="101" t="str">
        <f>IFERROR(('BMP P Tracking Table'!$AZ516-INDEX('Performance Curves'!$E$1:$L$1,1,MATCH('BMP P Tracking Table'!$AZ516,'Performance Curves'!$E$1:$L$1,1)))/(INDEX('Performance Curves'!$E$1:$L$1,1,MATCH('BMP P Tracking Table'!$AZ516,'Performance Curves'!$E$1:$L$1,1)+1)-INDEX('Performance Curves'!$E$1:$L$1,1,MATCH('BMP P Tracking Table'!$AZ516,'Performance Curves'!$E$1:$L$1,1))),"")</f>
        <v/>
      </c>
      <c r="BC516" s="102" t="str">
        <f>IFERROR(IF('BMP P Tracking Table'!$AZ516=2,VLOOKUP(CONCATENATE('BMP P Tracking Table'!$AV516," ",'BMP P Tracking Table'!$AX516),'Performance Curves'!$C$1:$L$44,MATCH('BMP P Tracking Table'!$AZ516,'Performance Curves'!$E$1:$L$1,1)+1,FALSE),'BMP P Tracking Table'!$BA516*'BMP P Tracking Table'!$BB516+VLOOKUP(CONCATENATE('BMP P Tracking Table'!$AV516," ",'BMP P Tracking Table'!$AX516),'Performance Curves'!$C$1:$L$44,MATCH('BMP P Tracking Table'!$AZ516,'Performance Curves'!$E$1:$L$1,1)+1,FALSE)),"")</f>
        <v/>
      </c>
      <c r="BD516" s="101" t="str">
        <f>IFERROR('BMP P Tracking Table'!$BC516*'BMP P Tracking Table'!$AY516,"")</f>
        <v/>
      </c>
      <c r="BE516" s="96"/>
      <c r="BF516" s="37">
        <f t="shared" si="27"/>
        <v>0</v>
      </c>
    </row>
    <row r="517" spans="1:58" x14ac:dyDescent="0.3">
      <c r="A517" s="64"/>
      <c r="B517" s="64"/>
      <c r="C517" s="64"/>
      <c r="D517" s="64"/>
      <c r="E517" s="93"/>
      <c r="F517" s="93"/>
      <c r="G517" s="64"/>
      <c r="H517" s="64"/>
      <c r="I517" s="64"/>
      <c r="J517" s="94"/>
      <c r="K517" s="64"/>
      <c r="L517" s="64"/>
      <c r="M517" s="64"/>
      <c r="N517" s="64"/>
      <c r="O517" s="64"/>
      <c r="P517" s="64"/>
      <c r="Q517" s="64" t="str">
        <f>IFERROR(VLOOKUP('BMP P Tracking Table'!$P517,Dropdowns!$C$2:$E$15,3,FALSE),"")</f>
        <v/>
      </c>
      <c r="R517" s="64" t="str">
        <f>IFERROR(VLOOKUP('BMP P Tracking Table'!$Q517,Dropdowns!$P$3:$Q$23,2,FALSE),"")</f>
        <v/>
      </c>
      <c r="S517" s="64"/>
      <c r="T517" s="64"/>
      <c r="U517" s="64"/>
      <c r="V517" s="64"/>
      <c r="W517" s="64"/>
      <c r="X517" s="64"/>
      <c r="Y517" s="64"/>
      <c r="Z517" s="64"/>
      <c r="AA517" s="64"/>
      <c r="AB517" s="95"/>
      <c r="AC517" s="64"/>
      <c r="AD517" s="101" t="str">
        <f>IFERROR('BMP P Tracking Table'!$U517*VLOOKUP('BMP P Tracking Table'!$Q517,'Loading Rates'!$B$1:$L$24,4,FALSE)+IF('BMP P Tracking Table'!$V517="By HSG",'BMP P Tracking Table'!$W517*VLOOKUP('BMP P Tracking Table'!$Q517,'Loading Rates'!$B$1:$L$24,6,FALSE)+'BMP P Tracking Table'!$X517*VLOOKUP('BMP P Tracking Table'!$Q517,'Loading Rates'!$B$1:$L$24,7,FALSE)+'BMP P Tracking Table'!$Y517*VLOOKUP('BMP P Tracking Table'!$Q517,'Loading Rates'!$B$1:$L$24,8,FALSE)+'BMP P Tracking Table'!$Z517*VLOOKUP('BMP P Tracking Table'!$Q517,'Loading Rates'!$B$1:$L$24,9,FALSE),'BMP P Tracking Table'!$AA517*VLOOKUP('BMP P Tracking Table'!$Q517,'Loading Rates'!$B$1:$L$24,10,FALSE)),"")</f>
        <v/>
      </c>
      <c r="AE517" s="101" t="str">
        <f>IFERROR(MIN(2,IF('BMP P Tracking Table'!$V517="Total Pervious",(-(3630*'BMP P Tracking Table'!$U517+20.691*'BMP P Tracking Table'!$AA517)+SQRT((3630*'BMP P Tracking Table'!$U517+20.691*'BMP P Tracking Table'!$AA517)^2-(4*(996.798*'BMP P Tracking Table'!$AA517)*-'BMP P Tracking Table'!$AB517)))/(2*(996.798*'BMP P Tracking Table'!$AA517)),IF(SUM('BMP P Tracking Table'!$W517:$Z517)=0,'BMP P Tracking Table'!$AB517/(-3630*'BMP P Tracking Table'!$U517),(-(3630*'BMP P Tracking Table'!$U517+20.691*'BMP P Tracking Table'!$Z517-216.711*'BMP P Tracking Table'!$Y517-83.853*'BMP P Tracking Table'!$X517-42.834*'BMP P Tracking Table'!$W517)+SQRT((3630*'BMP P Tracking Table'!$U517+20.691*'BMP P Tracking Table'!$Z517-216.711*'BMP P Tracking Table'!$Y517-83.853*'BMP P Tracking Table'!$X517-42.834*'BMP P Tracking Table'!$W517)^2-(4*(149.919*'BMP P Tracking Table'!$W517+236.676*'BMP P Tracking Table'!$X517+726*'BMP P Tracking Table'!$Y517+996.798*'BMP P Tracking Table'!$Z517)*-'BMP P Tracking Table'!$AB517)))/(2*(149.919*'BMP P Tracking Table'!$W517+236.676*'BMP P Tracking Table'!$X517+726*'BMP P Tracking Table'!$Y517+996.798*'BMP P Tracking Table'!$Z517))))),"")</f>
        <v/>
      </c>
      <c r="AF517" s="101" t="str">
        <f>IFERROR((VLOOKUP(CONCATENATE('BMP P Tracking Table'!$T517," ",'BMP P Tracking Table'!$AC517),'Performance Curves'!$C$1:$L$45,MATCH('BMP P Tracking Table'!$AE517,'Performance Curves'!$E$1:$L$1,1)+2,FALSE)-VLOOKUP(CONCATENATE('BMP P Tracking Table'!$T517," ",'BMP P Tracking Table'!$AC517),'Performance Curves'!$C$1:$L$45,MATCH('BMP P Tracking Table'!$AE517,'Performance Curves'!$E$1:$L$1,1)+1,FALSE)),"")</f>
        <v/>
      </c>
      <c r="AG517" s="101" t="str">
        <f>IFERROR(('BMP P Tracking Table'!$AE517-INDEX('Performance Curves'!$E$1:$L$1,1,MATCH('BMP P Tracking Table'!$AE517,'Performance Curves'!$E$1:$L$1,1)))/(INDEX('Performance Curves'!$E$1:$L$1,1,MATCH('BMP P Tracking Table'!$AE517,'Performance Curves'!$E$1:$L$1,1)+1)-INDEX('Performance Curves'!$E$1:$L$1,1,MATCH('BMP P Tracking Table'!$AE517,'Performance Curves'!$E$1:$L$1,1))),"")</f>
        <v/>
      </c>
      <c r="AH517" s="102" t="str">
        <f>IFERROR(IF('BMP P Tracking Table'!$AE517=2,VLOOKUP(CONCATENATE('BMP P Tracking Table'!$T517," ",'BMP P Tracking Table'!$AC517),'Performance Curves'!$C$1:$L$45,MATCH('BMP P Tracking Table'!$AE517,'Performance Curves'!$E$1:$L$1,1)+1,FALSE),'BMP P Tracking Table'!$AF517*'BMP P Tracking Table'!$AG517+VLOOKUP(CONCATENATE('BMP P Tracking Table'!$T517," ",'BMP P Tracking Table'!$AC517),'Performance Curves'!$C$1:$L$45,MATCH('BMP P Tracking Table'!$AE517,'Performance Curves'!$E$1:$L$1,1)+1,FALSE)),"")</f>
        <v/>
      </c>
      <c r="AI517" s="101" t="str">
        <f>IFERROR('BMP P Tracking Table'!$AH517*'BMP P Tracking Table'!$AD517,"")</f>
        <v/>
      </c>
      <c r="AJ517" s="64"/>
      <c r="AK517" s="96"/>
      <c r="AL517" s="96"/>
      <c r="AM517" s="63"/>
      <c r="AN517" s="99" t="str">
        <f t="shared" si="26"/>
        <v/>
      </c>
      <c r="AO517" s="96"/>
      <c r="AP517" s="96"/>
      <c r="AQ517" s="96"/>
      <c r="AR517" s="96"/>
      <c r="AS517" s="96"/>
      <c r="AT517" s="96"/>
      <c r="AU517" s="96"/>
      <c r="AV517" s="64"/>
      <c r="AW517" s="97"/>
      <c r="AX517" s="97"/>
      <c r="AY517" s="101" t="str">
        <f>IF('BMP P Tracking Table'!$AK517="Yes",IF('BMP P Tracking Table'!$AL517="No",'BMP P Tracking Table'!$U517*VLOOKUP('BMP P Tracking Table'!$Q517,'Loading Rates'!$B$1:$L$24,4,FALSE)+IF('BMP P Tracking Table'!$V517="By HSG",'BMP P Tracking Table'!$W517*VLOOKUP('BMP P Tracking Table'!$Q517,'Loading Rates'!$B$1:$L$24,6,FALSE)+'BMP P Tracking Table'!$X517*VLOOKUP('BMP P Tracking Table'!$Q517,'Loading Rates'!$B$1:$L$24,7,FALSE)+'BMP P Tracking Table'!$Y517*VLOOKUP('BMP P Tracking Table'!$Q517,'Loading Rates'!$B$1:$L$24,8,FALSE)+'BMP P Tracking Table'!$Z517*VLOOKUP('BMP P Tracking Table'!$Q517,'Loading Rates'!$B$1:$L$24,9,FALSE),'BMP P Tracking Table'!$AA517*VLOOKUP('BMP P Tracking Table'!$Q517,'Loading Rates'!$B$1:$L$24,10,FALSE)),'BMP P Tracking Table'!$AO517*VLOOKUP('BMP P Tracking Table'!$Q517,'Loading Rates'!$B$1:$L$24,4,FALSE)+IF('BMP P Tracking Table'!$AP517="By HSG",'BMP P Tracking Table'!$AQ517*VLOOKUP('BMP P Tracking Table'!$Q517,'Loading Rates'!$B$1:$L$24,6,FALSE)+'BMP P Tracking Table'!$AR517*VLOOKUP('BMP P Tracking Table'!$Q517,'Loading Rates'!$B$1:$L$24,7,FALSE)+'BMP P Tracking Table'!$AS517*VLOOKUP('BMP P Tracking Table'!$Q517,'Loading Rates'!$B$1:$L$24,8,FALSE)+'BMP P Tracking Table'!$AT517*VLOOKUP('BMP P Tracking Table'!$Q517,'Loading Rates'!$B$1:$L$24,9,FALSE),'BMP P Tracking Table'!$AU517*VLOOKUP('BMP P Tracking Table'!$Q517,'Loading Rates'!$B$1:$L$24,10,FALSE))),"")</f>
        <v/>
      </c>
      <c r="AZ517" s="101" t="str">
        <f>IFERROR(IF('BMP P Tracking Table'!$AL517="Yes",MIN(2,IF('BMP P Tracking Table'!$AP517="Total Pervious",(-(3630*'BMP P Tracking Table'!$AO517+20.691*'BMP P Tracking Table'!$AU517)+SQRT((3630*'BMP P Tracking Table'!$AO517+20.691*'BMP P Tracking Table'!$AU517)^2-(4*(996.798*'BMP P Tracking Table'!$AU517)*-'BMP P Tracking Table'!$AW517)))/(2*(996.798*'BMP P Tracking Table'!$AU517)),IF(SUM('BMP P Tracking Table'!$AQ517:$AT517)=0,'BMP P Tracking Table'!$AU517/(-3630*'BMP P Tracking Table'!$AO517),(-(3630*'BMP P Tracking Table'!$AO517+20.691*'BMP P Tracking Table'!$AT517-216.711*'BMP P Tracking Table'!$AS517-83.853*'BMP P Tracking Table'!$AR517-42.834*'BMP P Tracking Table'!$AQ517)+SQRT((3630*'BMP P Tracking Table'!$AO517+20.691*'BMP P Tracking Table'!$AT517-216.711*'BMP P Tracking Table'!$AS517-83.853*'BMP P Tracking Table'!$AR517-42.834*'BMP P Tracking Table'!$AQ517)^2-(4*(149.919*'BMP P Tracking Table'!$AQ517+236.676*'BMP P Tracking Table'!$AR517+726*'BMP P Tracking Table'!$AS517+996.798*'BMP P Tracking Table'!$AT517)*-'BMP P Tracking Table'!$AW517)))/(2*(149.919*'BMP P Tracking Table'!$AQ517+236.676*'BMP P Tracking Table'!$AR517+726*'BMP P Tracking Table'!$AS517+996.798*'BMP P Tracking Table'!$AT517))))),MIN(2,IF('BMP P Tracking Table'!$AP517="Total Pervious",(-(3630*'BMP P Tracking Table'!$U517+20.691*'BMP P Tracking Table'!$AA517)+SQRT((3630*'BMP P Tracking Table'!$U517+20.691*'BMP P Tracking Table'!$AA517)^2-(4*(996.798*'BMP P Tracking Table'!$AA517)*-'BMP P Tracking Table'!$AW517)))/(2*(996.798*'BMP P Tracking Table'!$AA517)),IF(SUM('BMP P Tracking Table'!$W517:$Z517)=0,'BMP P Tracking Table'!$AW517/(-3630*'BMP P Tracking Table'!$U517),(-(3630*'BMP P Tracking Table'!$U517+20.691*'BMP P Tracking Table'!$Z517-216.711*'BMP P Tracking Table'!$Y517-83.853*'BMP P Tracking Table'!$X517-42.834*'BMP P Tracking Table'!$W517)+SQRT((3630*'BMP P Tracking Table'!$U517+20.691*'BMP P Tracking Table'!$Z517-216.711*'BMP P Tracking Table'!$Y517-83.853*'BMP P Tracking Table'!$X517-42.834*'BMP P Tracking Table'!$W517)^2-(4*(149.919*'BMP P Tracking Table'!$W517+236.676*'BMP P Tracking Table'!$X517+726*'BMP P Tracking Table'!$Y517+996.798*'BMP P Tracking Table'!$Z517)*-'BMP P Tracking Table'!$AW517)))/(2*(149.919*'BMP P Tracking Table'!$W517+236.676*'BMP P Tracking Table'!$X517+726*'BMP P Tracking Table'!$Y517+996.798*'BMP P Tracking Table'!$Z517)))))),"")</f>
        <v/>
      </c>
      <c r="BA517" s="101" t="str">
        <f>IFERROR((VLOOKUP(CONCATENATE('BMP P Tracking Table'!$AV517," ",'BMP P Tracking Table'!$AX517),'Performance Curves'!$C$1:$L$45,MATCH('BMP P Tracking Table'!$AZ517,'Performance Curves'!$E$1:$L$1,1)+2,FALSE)-VLOOKUP(CONCATENATE('BMP P Tracking Table'!$AV517," ",'BMP P Tracking Table'!$AX517),'Performance Curves'!$C$1:$L$45,MATCH('BMP P Tracking Table'!$AZ517,'Performance Curves'!$E$1:$L$1,1)+1,FALSE)),"")</f>
        <v/>
      </c>
      <c r="BB517" s="101" t="str">
        <f>IFERROR(('BMP P Tracking Table'!$AZ517-INDEX('Performance Curves'!$E$1:$L$1,1,MATCH('BMP P Tracking Table'!$AZ517,'Performance Curves'!$E$1:$L$1,1)))/(INDEX('Performance Curves'!$E$1:$L$1,1,MATCH('BMP P Tracking Table'!$AZ517,'Performance Curves'!$E$1:$L$1,1)+1)-INDEX('Performance Curves'!$E$1:$L$1,1,MATCH('BMP P Tracking Table'!$AZ517,'Performance Curves'!$E$1:$L$1,1))),"")</f>
        <v/>
      </c>
      <c r="BC517" s="102" t="str">
        <f>IFERROR(IF('BMP P Tracking Table'!$AZ517=2,VLOOKUP(CONCATENATE('BMP P Tracking Table'!$AV517," ",'BMP P Tracking Table'!$AX517),'Performance Curves'!$C$1:$L$44,MATCH('BMP P Tracking Table'!$AZ517,'Performance Curves'!$E$1:$L$1,1)+1,FALSE),'BMP P Tracking Table'!$BA517*'BMP P Tracking Table'!$BB517+VLOOKUP(CONCATENATE('BMP P Tracking Table'!$AV517," ",'BMP P Tracking Table'!$AX517),'Performance Curves'!$C$1:$L$44,MATCH('BMP P Tracking Table'!$AZ517,'Performance Curves'!$E$1:$L$1,1)+1,FALSE)),"")</f>
        <v/>
      </c>
      <c r="BD517" s="101" t="str">
        <f>IFERROR('BMP P Tracking Table'!$BC517*'BMP P Tracking Table'!$AY517,"")</f>
        <v/>
      </c>
      <c r="BE517" s="96"/>
      <c r="BF517" s="37">
        <f t="shared" si="27"/>
        <v>0</v>
      </c>
    </row>
    <row r="518" spans="1:58" x14ac:dyDescent="0.3">
      <c r="A518" s="64"/>
      <c r="B518" s="64"/>
      <c r="C518" s="64"/>
      <c r="D518" s="64"/>
      <c r="E518" s="93"/>
      <c r="F518" s="93"/>
      <c r="G518" s="64"/>
      <c r="H518" s="64"/>
      <c r="I518" s="64"/>
      <c r="J518" s="94"/>
      <c r="K518" s="64"/>
      <c r="L518" s="64"/>
      <c r="M518" s="64"/>
      <c r="N518" s="64"/>
      <c r="O518" s="64"/>
      <c r="P518" s="64"/>
      <c r="Q518" s="64" t="str">
        <f>IFERROR(VLOOKUP('BMP P Tracking Table'!$P518,Dropdowns!$C$2:$E$15,3,FALSE),"")</f>
        <v/>
      </c>
      <c r="R518" s="64" t="str">
        <f>IFERROR(VLOOKUP('BMP P Tracking Table'!$Q518,Dropdowns!$P$3:$Q$23,2,FALSE),"")</f>
        <v/>
      </c>
      <c r="S518" s="64"/>
      <c r="T518" s="64"/>
      <c r="U518" s="64"/>
      <c r="V518" s="64"/>
      <c r="W518" s="64"/>
      <c r="X518" s="64"/>
      <c r="Y518" s="64"/>
      <c r="Z518" s="64"/>
      <c r="AA518" s="64"/>
      <c r="AB518" s="95"/>
      <c r="AC518" s="64"/>
      <c r="AD518" s="101" t="str">
        <f>IFERROR('BMP P Tracking Table'!$U518*VLOOKUP('BMP P Tracking Table'!$Q518,'Loading Rates'!$B$1:$L$24,4,FALSE)+IF('BMP P Tracking Table'!$V518="By HSG",'BMP P Tracking Table'!$W518*VLOOKUP('BMP P Tracking Table'!$Q518,'Loading Rates'!$B$1:$L$24,6,FALSE)+'BMP P Tracking Table'!$X518*VLOOKUP('BMP P Tracking Table'!$Q518,'Loading Rates'!$B$1:$L$24,7,FALSE)+'BMP P Tracking Table'!$Y518*VLOOKUP('BMP P Tracking Table'!$Q518,'Loading Rates'!$B$1:$L$24,8,FALSE)+'BMP P Tracking Table'!$Z518*VLOOKUP('BMP P Tracking Table'!$Q518,'Loading Rates'!$B$1:$L$24,9,FALSE),'BMP P Tracking Table'!$AA518*VLOOKUP('BMP P Tracking Table'!$Q518,'Loading Rates'!$B$1:$L$24,10,FALSE)),"")</f>
        <v/>
      </c>
      <c r="AE518" s="101" t="str">
        <f>IFERROR(MIN(2,IF('BMP P Tracking Table'!$V518="Total Pervious",(-(3630*'BMP P Tracking Table'!$U518+20.691*'BMP P Tracking Table'!$AA518)+SQRT((3630*'BMP P Tracking Table'!$U518+20.691*'BMP P Tracking Table'!$AA518)^2-(4*(996.798*'BMP P Tracking Table'!$AA518)*-'BMP P Tracking Table'!$AB518)))/(2*(996.798*'BMP P Tracking Table'!$AA518)),IF(SUM('BMP P Tracking Table'!$W518:$Z518)=0,'BMP P Tracking Table'!$AB518/(-3630*'BMP P Tracking Table'!$U518),(-(3630*'BMP P Tracking Table'!$U518+20.691*'BMP P Tracking Table'!$Z518-216.711*'BMP P Tracking Table'!$Y518-83.853*'BMP P Tracking Table'!$X518-42.834*'BMP P Tracking Table'!$W518)+SQRT((3630*'BMP P Tracking Table'!$U518+20.691*'BMP P Tracking Table'!$Z518-216.711*'BMP P Tracking Table'!$Y518-83.853*'BMP P Tracking Table'!$X518-42.834*'BMP P Tracking Table'!$W518)^2-(4*(149.919*'BMP P Tracking Table'!$W518+236.676*'BMP P Tracking Table'!$X518+726*'BMP P Tracking Table'!$Y518+996.798*'BMP P Tracking Table'!$Z518)*-'BMP P Tracking Table'!$AB518)))/(2*(149.919*'BMP P Tracking Table'!$W518+236.676*'BMP P Tracking Table'!$X518+726*'BMP P Tracking Table'!$Y518+996.798*'BMP P Tracking Table'!$Z518))))),"")</f>
        <v/>
      </c>
      <c r="AF518" s="101" t="str">
        <f>IFERROR((VLOOKUP(CONCATENATE('BMP P Tracking Table'!$T518," ",'BMP P Tracking Table'!$AC518),'Performance Curves'!$C$1:$L$45,MATCH('BMP P Tracking Table'!$AE518,'Performance Curves'!$E$1:$L$1,1)+2,FALSE)-VLOOKUP(CONCATENATE('BMP P Tracking Table'!$T518," ",'BMP P Tracking Table'!$AC518),'Performance Curves'!$C$1:$L$45,MATCH('BMP P Tracking Table'!$AE518,'Performance Curves'!$E$1:$L$1,1)+1,FALSE)),"")</f>
        <v/>
      </c>
      <c r="AG518" s="101" t="str">
        <f>IFERROR(('BMP P Tracking Table'!$AE518-INDEX('Performance Curves'!$E$1:$L$1,1,MATCH('BMP P Tracking Table'!$AE518,'Performance Curves'!$E$1:$L$1,1)))/(INDEX('Performance Curves'!$E$1:$L$1,1,MATCH('BMP P Tracking Table'!$AE518,'Performance Curves'!$E$1:$L$1,1)+1)-INDEX('Performance Curves'!$E$1:$L$1,1,MATCH('BMP P Tracking Table'!$AE518,'Performance Curves'!$E$1:$L$1,1))),"")</f>
        <v/>
      </c>
      <c r="AH518" s="102" t="str">
        <f>IFERROR(IF('BMP P Tracking Table'!$AE518=2,VLOOKUP(CONCATENATE('BMP P Tracking Table'!$T518," ",'BMP P Tracking Table'!$AC518),'Performance Curves'!$C$1:$L$45,MATCH('BMP P Tracking Table'!$AE518,'Performance Curves'!$E$1:$L$1,1)+1,FALSE),'BMP P Tracking Table'!$AF518*'BMP P Tracking Table'!$AG518+VLOOKUP(CONCATENATE('BMP P Tracking Table'!$T518," ",'BMP P Tracking Table'!$AC518),'Performance Curves'!$C$1:$L$45,MATCH('BMP P Tracking Table'!$AE518,'Performance Curves'!$E$1:$L$1,1)+1,FALSE)),"")</f>
        <v/>
      </c>
      <c r="AI518" s="101" t="str">
        <f>IFERROR('BMP P Tracking Table'!$AH518*'BMP P Tracking Table'!$AD518,"")</f>
        <v/>
      </c>
      <c r="AJ518" s="64"/>
      <c r="AK518" s="96"/>
      <c r="AL518" s="96"/>
      <c r="AM518" s="63"/>
      <c r="AN518" s="99" t="str">
        <f t="shared" si="26"/>
        <v/>
      </c>
      <c r="AO518" s="96"/>
      <c r="AP518" s="96"/>
      <c r="AQ518" s="96"/>
      <c r="AR518" s="96"/>
      <c r="AS518" s="96"/>
      <c r="AT518" s="96"/>
      <c r="AU518" s="96"/>
      <c r="AV518" s="64"/>
      <c r="AW518" s="97"/>
      <c r="AX518" s="97"/>
      <c r="AY518" s="101" t="str">
        <f>IF('BMP P Tracking Table'!$AK518="Yes",IF('BMP P Tracking Table'!$AL518="No",'BMP P Tracking Table'!$U518*VLOOKUP('BMP P Tracking Table'!$Q518,'Loading Rates'!$B$1:$L$24,4,FALSE)+IF('BMP P Tracking Table'!$V518="By HSG",'BMP P Tracking Table'!$W518*VLOOKUP('BMP P Tracking Table'!$Q518,'Loading Rates'!$B$1:$L$24,6,FALSE)+'BMP P Tracking Table'!$X518*VLOOKUP('BMP P Tracking Table'!$Q518,'Loading Rates'!$B$1:$L$24,7,FALSE)+'BMP P Tracking Table'!$Y518*VLOOKUP('BMP P Tracking Table'!$Q518,'Loading Rates'!$B$1:$L$24,8,FALSE)+'BMP P Tracking Table'!$Z518*VLOOKUP('BMP P Tracking Table'!$Q518,'Loading Rates'!$B$1:$L$24,9,FALSE),'BMP P Tracking Table'!$AA518*VLOOKUP('BMP P Tracking Table'!$Q518,'Loading Rates'!$B$1:$L$24,10,FALSE)),'BMP P Tracking Table'!$AO518*VLOOKUP('BMP P Tracking Table'!$Q518,'Loading Rates'!$B$1:$L$24,4,FALSE)+IF('BMP P Tracking Table'!$AP518="By HSG",'BMP P Tracking Table'!$AQ518*VLOOKUP('BMP P Tracking Table'!$Q518,'Loading Rates'!$B$1:$L$24,6,FALSE)+'BMP P Tracking Table'!$AR518*VLOOKUP('BMP P Tracking Table'!$Q518,'Loading Rates'!$B$1:$L$24,7,FALSE)+'BMP P Tracking Table'!$AS518*VLOOKUP('BMP P Tracking Table'!$Q518,'Loading Rates'!$B$1:$L$24,8,FALSE)+'BMP P Tracking Table'!$AT518*VLOOKUP('BMP P Tracking Table'!$Q518,'Loading Rates'!$B$1:$L$24,9,FALSE),'BMP P Tracking Table'!$AU518*VLOOKUP('BMP P Tracking Table'!$Q518,'Loading Rates'!$B$1:$L$24,10,FALSE))),"")</f>
        <v/>
      </c>
      <c r="AZ518" s="101" t="str">
        <f>IFERROR(IF('BMP P Tracking Table'!$AL518="Yes",MIN(2,IF('BMP P Tracking Table'!$AP518="Total Pervious",(-(3630*'BMP P Tracking Table'!$AO518+20.691*'BMP P Tracking Table'!$AU518)+SQRT((3630*'BMP P Tracking Table'!$AO518+20.691*'BMP P Tracking Table'!$AU518)^2-(4*(996.798*'BMP P Tracking Table'!$AU518)*-'BMP P Tracking Table'!$AW518)))/(2*(996.798*'BMP P Tracking Table'!$AU518)),IF(SUM('BMP P Tracking Table'!$AQ518:$AT518)=0,'BMP P Tracking Table'!$AU518/(-3630*'BMP P Tracking Table'!$AO518),(-(3630*'BMP P Tracking Table'!$AO518+20.691*'BMP P Tracking Table'!$AT518-216.711*'BMP P Tracking Table'!$AS518-83.853*'BMP P Tracking Table'!$AR518-42.834*'BMP P Tracking Table'!$AQ518)+SQRT((3630*'BMP P Tracking Table'!$AO518+20.691*'BMP P Tracking Table'!$AT518-216.711*'BMP P Tracking Table'!$AS518-83.853*'BMP P Tracking Table'!$AR518-42.834*'BMP P Tracking Table'!$AQ518)^2-(4*(149.919*'BMP P Tracking Table'!$AQ518+236.676*'BMP P Tracking Table'!$AR518+726*'BMP P Tracking Table'!$AS518+996.798*'BMP P Tracking Table'!$AT518)*-'BMP P Tracking Table'!$AW518)))/(2*(149.919*'BMP P Tracking Table'!$AQ518+236.676*'BMP P Tracking Table'!$AR518+726*'BMP P Tracking Table'!$AS518+996.798*'BMP P Tracking Table'!$AT518))))),MIN(2,IF('BMP P Tracking Table'!$AP518="Total Pervious",(-(3630*'BMP P Tracking Table'!$U518+20.691*'BMP P Tracking Table'!$AA518)+SQRT((3630*'BMP P Tracking Table'!$U518+20.691*'BMP P Tracking Table'!$AA518)^2-(4*(996.798*'BMP P Tracking Table'!$AA518)*-'BMP P Tracking Table'!$AW518)))/(2*(996.798*'BMP P Tracking Table'!$AA518)),IF(SUM('BMP P Tracking Table'!$W518:$Z518)=0,'BMP P Tracking Table'!$AW518/(-3630*'BMP P Tracking Table'!$U518),(-(3630*'BMP P Tracking Table'!$U518+20.691*'BMP P Tracking Table'!$Z518-216.711*'BMP P Tracking Table'!$Y518-83.853*'BMP P Tracking Table'!$X518-42.834*'BMP P Tracking Table'!$W518)+SQRT((3630*'BMP P Tracking Table'!$U518+20.691*'BMP P Tracking Table'!$Z518-216.711*'BMP P Tracking Table'!$Y518-83.853*'BMP P Tracking Table'!$X518-42.834*'BMP P Tracking Table'!$W518)^2-(4*(149.919*'BMP P Tracking Table'!$W518+236.676*'BMP P Tracking Table'!$X518+726*'BMP P Tracking Table'!$Y518+996.798*'BMP P Tracking Table'!$Z518)*-'BMP P Tracking Table'!$AW518)))/(2*(149.919*'BMP P Tracking Table'!$W518+236.676*'BMP P Tracking Table'!$X518+726*'BMP P Tracking Table'!$Y518+996.798*'BMP P Tracking Table'!$Z518)))))),"")</f>
        <v/>
      </c>
      <c r="BA518" s="101" t="str">
        <f>IFERROR((VLOOKUP(CONCATENATE('BMP P Tracking Table'!$AV518," ",'BMP P Tracking Table'!$AX518),'Performance Curves'!$C$1:$L$45,MATCH('BMP P Tracking Table'!$AZ518,'Performance Curves'!$E$1:$L$1,1)+2,FALSE)-VLOOKUP(CONCATENATE('BMP P Tracking Table'!$AV518," ",'BMP P Tracking Table'!$AX518),'Performance Curves'!$C$1:$L$45,MATCH('BMP P Tracking Table'!$AZ518,'Performance Curves'!$E$1:$L$1,1)+1,FALSE)),"")</f>
        <v/>
      </c>
      <c r="BB518" s="101" t="str">
        <f>IFERROR(('BMP P Tracking Table'!$AZ518-INDEX('Performance Curves'!$E$1:$L$1,1,MATCH('BMP P Tracking Table'!$AZ518,'Performance Curves'!$E$1:$L$1,1)))/(INDEX('Performance Curves'!$E$1:$L$1,1,MATCH('BMP P Tracking Table'!$AZ518,'Performance Curves'!$E$1:$L$1,1)+1)-INDEX('Performance Curves'!$E$1:$L$1,1,MATCH('BMP P Tracking Table'!$AZ518,'Performance Curves'!$E$1:$L$1,1))),"")</f>
        <v/>
      </c>
      <c r="BC518" s="102" t="str">
        <f>IFERROR(IF('BMP P Tracking Table'!$AZ518=2,VLOOKUP(CONCATENATE('BMP P Tracking Table'!$AV518," ",'BMP P Tracking Table'!$AX518),'Performance Curves'!$C$1:$L$44,MATCH('BMP P Tracking Table'!$AZ518,'Performance Curves'!$E$1:$L$1,1)+1,FALSE),'BMP P Tracking Table'!$BA518*'BMP P Tracking Table'!$BB518+VLOOKUP(CONCATENATE('BMP P Tracking Table'!$AV518," ",'BMP P Tracking Table'!$AX518),'Performance Curves'!$C$1:$L$44,MATCH('BMP P Tracking Table'!$AZ518,'Performance Curves'!$E$1:$L$1,1)+1,FALSE)),"")</f>
        <v/>
      </c>
      <c r="BD518" s="101" t="str">
        <f>IFERROR('BMP P Tracking Table'!$BC518*'BMP P Tracking Table'!$AY518,"")</f>
        <v/>
      </c>
      <c r="BE518" s="96"/>
      <c r="BF518" s="37">
        <f t="shared" si="27"/>
        <v>0</v>
      </c>
    </row>
    <row r="519" spans="1:58" x14ac:dyDescent="0.3">
      <c r="A519" s="64"/>
      <c r="B519" s="64"/>
      <c r="C519" s="64"/>
      <c r="D519" s="64"/>
      <c r="E519" s="93"/>
      <c r="F519" s="93"/>
      <c r="G519" s="64"/>
      <c r="H519" s="64"/>
      <c r="I519" s="64"/>
      <c r="J519" s="94"/>
      <c r="K519" s="64"/>
      <c r="L519" s="64"/>
      <c r="M519" s="64"/>
      <c r="N519" s="64"/>
      <c r="O519" s="64"/>
      <c r="P519" s="64"/>
      <c r="Q519" s="64" t="str">
        <f>IFERROR(VLOOKUP('BMP P Tracking Table'!$P519,Dropdowns!$C$2:$E$15,3,FALSE),"")</f>
        <v/>
      </c>
      <c r="R519" s="64" t="str">
        <f>IFERROR(VLOOKUP('BMP P Tracking Table'!$Q519,Dropdowns!$P$3:$Q$23,2,FALSE),"")</f>
        <v/>
      </c>
      <c r="S519" s="64"/>
      <c r="T519" s="64"/>
      <c r="U519" s="64"/>
      <c r="V519" s="64"/>
      <c r="W519" s="64"/>
      <c r="X519" s="64"/>
      <c r="Y519" s="64"/>
      <c r="Z519" s="64"/>
      <c r="AA519" s="64"/>
      <c r="AB519" s="95"/>
      <c r="AC519" s="64"/>
      <c r="AD519" s="101" t="str">
        <f>IFERROR('BMP P Tracking Table'!$U519*VLOOKUP('BMP P Tracking Table'!$Q519,'Loading Rates'!$B$1:$L$24,4,FALSE)+IF('BMP P Tracking Table'!$V519="By HSG",'BMP P Tracking Table'!$W519*VLOOKUP('BMP P Tracking Table'!$Q519,'Loading Rates'!$B$1:$L$24,6,FALSE)+'BMP P Tracking Table'!$X519*VLOOKUP('BMP P Tracking Table'!$Q519,'Loading Rates'!$B$1:$L$24,7,FALSE)+'BMP P Tracking Table'!$Y519*VLOOKUP('BMP P Tracking Table'!$Q519,'Loading Rates'!$B$1:$L$24,8,FALSE)+'BMP P Tracking Table'!$Z519*VLOOKUP('BMP P Tracking Table'!$Q519,'Loading Rates'!$B$1:$L$24,9,FALSE),'BMP P Tracking Table'!$AA519*VLOOKUP('BMP P Tracking Table'!$Q519,'Loading Rates'!$B$1:$L$24,10,FALSE)),"")</f>
        <v/>
      </c>
      <c r="AE519" s="101" t="str">
        <f>IFERROR(MIN(2,IF('BMP P Tracking Table'!$V519="Total Pervious",(-(3630*'BMP P Tracking Table'!$U519+20.691*'BMP P Tracking Table'!$AA519)+SQRT((3630*'BMP P Tracking Table'!$U519+20.691*'BMP P Tracking Table'!$AA519)^2-(4*(996.798*'BMP P Tracking Table'!$AA519)*-'BMP P Tracking Table'!$AB519)))/(2*(996.798*'BMP P Tracking Table'!$AA519)),IF(SUM('BMP P Tracking Table'!$W519:$Z519)=0,'BMP P Tracking Table'!$AB519/(-3630*'BMP P Tracking Table'!$U519),(-(3630*'BMP P Tracking Table'!$U519+20.691*'BMP P Tracking Table'!$Z519-216.711*'BMP P Tracking Table'!$Y519-83.853*'BMP P Tracking Table'!$X519-42.834*'BMP P Tracking Table'!$W519)+SQRT((3630*'BMP P Tracking Table'!$U519+20.691*'BMP P Tracking Table'!$Z519-216.711*'BMP P Tracking Table'!$Y519-83.853*'BMP P Tracking Table'!$X519-42.834*'BMP P Tracking Table'!$W519)^2-(4*(149.919*'BMP P Tracking Table'!$W519+236.676*'BMP P Tracking Table'!$X519+726*'BMP P Tracking Table'!$Y519+996.798*'BMP P Tracking Table'!$Z519)*-'BMP P Tracking Table'!$AB519)))/(2*(149.919*'BMP P Tracking Table'!$W519+236.676*'BMP P Tracking Table'!$X519+726*'BMP P Tracking Table'!$Y519+996.798*'BMP P Tracking Table'!$Z519))))),"")</f>
        <v/>
      </c>
      <c r="AF519" s="101" t="str">
        <f>IFERROR((VLOOKUP(CONCATENATE('BMP P Tracking Table'!$T519," ",'BMP P Tracking Table'!$AC519),'Performance Curves'!$C$1:$L$45,MATCH('BMP P Tracking Table'!$AE519,'Performance Curves'!$E$1:$L$1,1)+2,FALSE)-VLOOKUP(CONCATENATE('BMP P Tracking Table'!$T519," ",'BMP P Tracking Table'!$AC519),'Performance Curves'!$C$1:$L$45,MATCH('BMP P Tracking Table'!$AE519,'Performance Curves'!$E$1:$L$1,1)+1,FALSE)),"")</f>
        <v/>
      </c>
      <c r="AG519" s="101" t="str">
        <f>IFERROR(('BMP P Tracking Table'!$AE519-INDEX('Performance Curves'!$E$1:$L$1,1,MATCH('BMP P Tracking Table'!$AE519,'Performance Curves'!$E$1:$L$1,1)))/(INDEX('Performance Curves'!$E$1:$L$1,1,MATCH('BMP P Tracking Table'!$AE519,'Performance Curves'!$E$1:$L$1,1)+1)-INDEX('Performance Curves'!$E$1:$L$1,1,MATCH('BMP P Tracking Table'!$AE519,'Performance Curves'!$E$1:$L$1,1))),"")</f>
        <v/>
      </c>
      <c r="AH519" s="102" t="str">
        <f>IFERROR(IF('BMP P Tracking Table'!$AE519=2,VLOOKUP(CONCATENATE('BMP P Tracking Table'!$T519," ",'BMP P Tracking Table'!$AC519),'Performance Curves'!$C$1:$L$45,MATCH('BMP P Tracking Table'!$AE519,'Performance Curves'!$E$1:$L$1,1)+1,FALSE),'BMP P Tracking Table'!$AF519*'BMP P Tracking Table'!$AG519+VLOOKUP(CONCATENATE('BMP P Tracking Table'!$T519," ",'BMP P Tracking Table'!$AC519),'Performance Curves'!$C$1:$L$45,MATCH('BMP P Tracking Table'!$AE519,'Performance Curves'!$E$1:$L$1,1)+1,FALSE)),"")</f>
        <v/>
      </c>
      <c r="AI519" s="101" t="str">
        <f>IFERROR('BMP P Tracking Table'!$AH519*'BMP P Tracking Table'!$AD519,"")</f>
        <v/>
      </c>
      <c r="AJ519" s="64"/>
      <c r="AK519" s="96"/>
      <c r="AL519" s="96"/>
      <c r="AM519" s="63"/>
      <c r="AN519" s="99" t="str">
        <f t="shared" si="26"/>
        <v/>
      </c>
      <c r="AO519" s="96"/>
      <c r="AP519" s="96"/>
      <c r="AQ519" s="96"/>
      <c r="AR519" s="96"/>
      <c r="AS519" s="96"/>
      <c r="AT519" s="96"/>
      <c r="AU519" s="96"/>
      <c r="AV519" s="64"/>
      <c r="AW519" s="97"/>
      <c r="AX519" s="97"/>
      <c r="AY519" s="101" t="str">
        <f>IF('BMP P Tracking Table'!$AK519="Yes",IF('BMP P Tracking Table'!$AL519="No",'BMP P Tracking Table'!$U519*VLOOKUP('BMP P Tracking Table'!$Q519,'Loading Rates'!$B$1:$L$24,4,FALSE)+IF('BMP P Tracking Table'!$V519="By HSG",'BMP P Tracking Table'!$W519*VLOOKUP('BMP P Tracking Table'!$Q519,'Loading Rates'!$B$1:$L$24,6,FALSE)+'BMP P Tracking Table'!$X519*VLOOKUP('BMP P Tracking Table'!$Q519,'Loading Rates'!$B$1:$L$24,7,FALSE)+'BMP P Tracking Table'!$Y519*VLOOKUP('BMP P Tracking Table'!$Q519,'Loading Rates'!$B$1:$L$24,8,FALSE)+'BMP P Tracking Table'!$Z519*VLOOKUP('BMP P Tracking Table'!$Q519,'Loading Rates'!$B$1:$L$24,9,FALSE),'BMP P Tracking Table'!$AA519*VLOOKUP('BMP P Tracking Table'!$Q519,'Loading Rates'!$B$1:$L$24,10,FALSE)),'BMP P Tracking Table'!$AO519*VLOOKUP('BMP P Tracking Table'!$Q519,'Loading Rates'!$B$1:$L$24,4,FALSE)+IF('BMP P Tracking Table'!$AP519="By HSG",'BMP P Tracking Table'!$AQ519*VLOOKUP('BMP P Tracking Table'!$Q519,'Loading Rates'!$B$1:$L$24,6,FALSE)+'BMP P Tracking Table'!$AR519*VLOOKUP('BMP P Tracking Table'!$Q519,'Loading Rates'!$B$1:$L$24,7,FALSE)+'BMP P Tracking Table'!$AS519*VLOOKUP('BMP P Tracking Table'!$Q519,'Loading Rates'!$B$1:$L$24,8,FALSE)+'BMP P Tracking Table'!$AT519*VLOOKUP('BMP P Tracking Table'!$Q519,'Loading Rates'!$B$1:$L$24,9,FALSE),'BMP P Tracking Table'!$AU519*VLOOKUP('BMP P Tracking Table'!$Q519,'Loading Rates'!$B$1:$L$24,10,FALSE))),"")</f>
        <v/>
      </c>
      <c r="AZ519" s="101" t="str">
        <f>IFERROR(IF('BMP P Tracking Table'!$AL519="Yes",MIN(2,IF('BMP P Tracking Table'!$AP519="Total Pervious",(-(3630*'BMP P Tracking Table'!$AO519+20.691*'BMP P Tracking Table'!$AU519)+SQRT((3630*'BMP P Tracking Table'!$AO519+20.691*'BMP P Tracking Table'!$AU519)^2-(4*(996.798*'BMP P Tracking Table'!$AU519)*-'BMP P Tracking Table'!$AW519)))/(2*(996.798*'BMP P Tracking Table'!$AU519)),IF(SUM('BMP P Tracking Table'!$AQ519:$AT519)=0,'BMP P Tracking Table'!$AU519/(-3630*'BMP P Tracking Table'!$AO519),(-(3630*'BMP P Tracking Table'!$AO519+20.691*'BMP P Tracking Table'!$AT519-216.711*'BMP P Tracking Table'!$AS519-83.853*'BMP P Tracking Table'!$AR519-42.834*'BMP P Tracking Table'!$AQ519)+SQRT((3630*'BMP P Tracking Table'!$AO519+20.691*'BMP P Tracking Table'!$AT519-216.711*'BMP P Tracking Table'!$AS519-83.853*'BMP P Tracking Table'!$AR519-42.834*'BMP P Tracking Table'!$AQ519)^2-(4*(149.919*'BMP P Tracking Table'!$AQ519+236.676*'BMP P Tracking Table'!$AR519+726*'BMP P Tracking Table'!$AS519+996.798*'BMP P Tracking Table'!$AT519)*-'BMP P Tracking Table'!$AW519)))/(2*(149.919*'BMP P Tracking Table'!$AQ519+236.676*'BMP P Tracking Table'!$AR519+726*'BMP P Tracking Table'!$AS519+996.798*'BMP P Tracking Table'!$AT519))))),MIN(2,IF('BMP P Tracking Table'!$AP519="Total Pervious",(-(3630*'BMP P Tracking Table'!$U519+20.691*'BMP P Tracking Table'!$AA519)+SQRT((3630*'BMP P Tracking Table'!$U519+20.691*'BMP P Tracking Table'!$AA519)^2-(4*(996.798*'BMP P Tracking Table'!$AA519)*-'BMP P Tracking Table'!$AW519)))/(2*(996.798*'BMP P Tracking Table'!$AA519)),IF(SUM('BMP P Tracking Table'!$W519:$Z519)=0,'BMP P Tracking Table'!$AW519/(-3630*'BMP P Tracking Table'!$U519),(-(3630*'BMP P Tracking Table'!$U519+20.691*'BMP P Tracking Table'!$Z519-216.711*'BMP P Tracking Table'!$Y519-83.853*'BMP P Tracking Table'!$X519-42.834*'BMP P Tracking Table'!$W519)+SQRT((3630*'BMP P Tracking Table'!$U519+20.691*'BMP P Tracking Table'!$Z519-216.711*'BMP P Tracking Table'!$Y519-83.853*'BMP P Tracking Table'!$X519-42.834*'BMP P Tracking Table'!$W519)^2-(4*(149.919*'BMP P Tracking Table'!$W519+236.676*'BMP P Tracking Table'!$X519+726*'BMP P Tracking Table'!$Y519+996.798*'BMP P Tracking Table'!$Z519)*-'BMP P Tracking Table'!$AW519)))/(2*(149.919*'BMP P Tracking Table'!$W519+236.676*'BMP P Tracking Table'!$X519+726*'BMP P Tracking Table'!$Y519+996.798*'BMP P Tracking Table'!$Z519)))))),"")</f>
        <v/>
      </c>
      <c r="BA519" s="101" t="str">
        <f>IFERROR((VLOOKUP(CONCATENATE('BMP P Tracking Table'!$AV519," ",'BMP P Tracking Table'!$AX519),'Performance Curves'!$C$1:$L$45,MATCH('BMP P Tracking Table'!$AZ519,'Performance Curves'!$E$1:$L$1,1)+2,FALSE)-VLOOKUP(CONCATENATE('BMP P Tracking Table'!$AV519," ",'BMP P Tracking Table'!$AX519),'Performance Curves'!$C$1:$L$45,MATCH('BMP P Tracking Table'!$AZ519,'Performance Curves'!$E$1:$L$1,1)+1,FALSE)),"")</f>
        <v/>
      </c>
      <c r="BB519" s="101" t="str">
        <f>IFERROR(('BMP P Tracking Table'!$AZ519-INDEX('Performance Curves'!$E$1:$L$1,1,MATCH('BMP P Tracking Table'!$AZ519,'Performance Curves'!$E$1:$L$1,1)))/(INDEX('Performance Curves'!$E$1:$L$1,1,MATCH('BMP P Tracking Table'!$AZ519,'Performance Curves'!$E$1:$L$1,1)+1)-INDEX('Performance Curves'!$E$1:$L$1,1,MATCH('BMP P Tracking Table'!$AZ519,'Performance Curves'!$E$1:$L$1,1))),"")</f>
        <v/>
      </c>
      <c r="BC519" s="102" t="str">
        <f>IFERROR(IF('BMP P Tracking Table'!$AZ519=2,VLOOKUP(CONCATENATE('BMP P Tracking Table'!$AV519," ",'BMP P Tracking Table'!$AX519),'Performance Curves'!$C$1:$L$44,MATCH('BMP P Tracking Table'!$AZ519,'Performance Curves'!$E$1:$L$1,1)+1,FALSE),'BMP P Tracking Table'!$BA519*'BMP P Tracking Table'!$BB519+VLOOKUP(CONCATENATE('BMP P Tracking Table'!$AV519," ",'BMP P Tracking Table'!$AX519),'Performance Curves'!$C$1:$L$44,MATCH('BMP P Tracking Table'!$AZ519,'Performance Curves'!$E$1:$L$1,1)+1,FALSE)),"")</f>
        <v/>
      </c>
      <c r="BD519" s="101" t="str">
        <f>IFERROR('BMP P Tracking Table'!$BC519*'BMP P Tracking Table'!$AY519,"")</f>
        <v/>
      </c>
      <c r="BE519" s="96"/>
      <c r="BF519" s="37">
        <f t="shared" si="27"/>
        <v>0</v>
      </c>
    </row>
    <row r="520" spans="1:58" x14ac:dyDescent="0.3">
      <c r="A520" s="64"/>
      <c r="B520" s="64"/>
      <c r="C520" s="64"/>
      <c r="D520" s="64"/>
      <c r="E520" s="93"/>
      <c r="F520" s="93"/>
      <c r="G520" s="64"/>
      <c r="H520" s="64"/>
      <c r="I520" s="64"/>
      <c r="J520" s="94"/>
      <c r="K520" s="64"/>
      <c r="L520" s="64"/>
      <c r="M520" s="64"/>
      <c r="N520" s="64"/>
      <c r="O520" s="64"/>
      <c r="P520" s="64"/>
      <c r="Q520" s="64" t="str">
        <f>IFERROR(VLOOKUP('BMP P Tracking Table'!$P520,Dropdowns!$C$2:$E$15,3,FALSE),"")</f>
        <v/>
      </c>
      <c r="R520" s="64" t="str">
        <f>IFERROR(VLOOKUP('BMP P Tracking Table'!$Q520,Dropdowns!$P$3:$Q$23,2,FALSE),"")</f>
        <v/>
      </c>
      <c r="S520" s="64"/>
      <c r="T520" s="64"/>
      <c r="U520" s="64"/>
      <c r="V520" s="64"/>
      <c r="W520" s="64"/>
      <c r="X520" s="64"/>
      <c r="Y520" s="64"/>
      <c r="Z520" s="64"/>
      <c r="AA520" s="64"/>
      <c r="AB520" s="95"/>
      <c r="AC520" s="64"/>
      <c r="AD520" s="101" t="str">
        <f>IFERROR('BMP P Tracking Table'!$U520*VLOOKUP('BMP P Tracking Table'!$Q520,'Loading Rates'!$B$1:$L$24,4,FALSE)+IF('BMP P Tracking Table'!$V520="By HSG",'BMP P Tracking Table'!$W520*VLOOKUP('BMP P Tracking Table'!$Q520,'Loading Rates'!$B$1:$L$24,6,FALSE)+'BMP P Tracking Table'!$X520*VLOOKUP('BMP P Tracking Table'!$Q520,'Loading Rates'!$B$1:$L$24,7,FALSE)+'BMP P Tracking Table'!$Y520*VLOOKUP('BMP P Tracking Table'!$Q520,'Loading Rates'!$B$1:$L$24,8,FALSE)+'BMP P Tracking Table'!$Z520*VLOOKUP('BMP P Tracking Table'!$Q520,'Loading Rates'!$B$1:$L$24,9,FALSE),'BMP P Tracking Table'!$AA520*VLOOKUP('BMP P Tracking Table'!$Q520,'Loading Rates'!$B$1:$L$24,10,FALSE)),"")</f>
        <v/>
      </c>
      <c r="AE520" s="101" t="str">
        <f>IFERROR(MIN(2,IF('BMP P Tracking Table'!$V520="Total Pervious",(-(3630*'BMP P Tracking Table'!$U520+20.691*'BMP P Tracking Table'!$AA520)+SQRT((3630*'BMP P Tracking Table'!$U520+20.691*'BMP P Tracking Table'!$AA520)^2-(4*(996.798*'BMP P Tracking Table'!$AA520)*-'BMP P Tracking Table'!$AB520)))/(2*(996.798*'BMP P Tracking Table'!$AA520)),IF(SUM('BMP P Tracking Table'!$W520:$Z520)=0,'BMP P Tracking Table'!$AB520/(-3630*'BMP P Tracking Table'!$U520),(-(3630*'BMP P Tracking Table'!$U520+20.691*'BMP P Tracking Table'!$Z520-216.711*'BMP P Tracking Table'!$Y520-83.853*'BMP P Tracking Table'!$X520-42.834*'BMP P Tracking Table'!$W520)+SQRT((3630*'BMP P Tracking Table'!$U520+20.691*'BMP P Tracking Table'!$Z520-216.711*'BMP P Tracking Table'!$Y520-83.853*'BMP P Tracking Table'!$X520-42.834*'BMP P Tracking Table'!$W520)^2-(4*(149.919*'BMP P Tracking Table'!$W520+236.676*'BMP P Tracking Table'!$X520+726*'BMP P Tracking Table'!$Y520+996.798*'BMP P Tracking Table'!$Z520)*-'BMP P Tracking Table'!$AB520)))/(2*(149.919*'BMP P Tracking Table'!$W520+236.676*'BMP P Tracking Table'!$X520+726*'BMP P Tracking Table'!$Y520+996.798*'BMP P Tracking Table'!$Z520))))),"")</f>
        <v/>
      </c>
      <c r="AF520" s="101" t="str">
        <f>IFERROR((VLOOKUP(CONCATENATE('BMP P Tracking Table'!$T520," ",'BMP P Tracking Table'!$AC520),'Performance Curves'!$C$1:$L$45,MATCH('BMP P Tracking Table'!$AE520,'Performance Curves'!$E$1:$L$1,1)+2,FALSE)-VLOOKUP(CONCATENATE('BMP P Tracking Table'!$T520," ",'BMP P Tracking Table'!$AC520),'Performance Curves'!$C$1:$L$45,MATCH('BMP P Tracking Table'!$AE520,'Performance Curves'!$E$1:$L$1,1)+1,FALSE)),"")</f>
        <v/>
      </c>
      <c r="AG520" s="101" t="str">
        <f>IFERROR(('BMP P Tracking Table'!$AE520-INDEX('Performance Curves'!$E$1:$L$1,1,MATCH('BMP P Tracking Table'!$AE520,'Performance Curves'!$E$1:$L$1,1)))/(INDEX('Performance Curves'!$E$1:$L$1,1,MATCH('BMP P Tracking Table'!$AE520,'Performance Curves'!$E$1:$L$1,1)+1)-INDEX('Performance Curves'!$E$1:$L$1,1,MATCH('BMP P Tracking Table'!$AE520,'Performance Curves'!$E$1:$L$1,1))),"")</f>
        <v/>
      </c>
      <c r="AH520" s="102" t="str">
        <f>IFERROR(IF('BMP P Tracking Table'!$AE520=2,VLOOKUP(CONCATENATE('BMP P Tracking Table'!$T520," ",'BMP P Tracking Table'!$AC520),'Performance Curves'!$C$1:$L$45,MATCH('BMP P Tracking Table'!$AE520,'Performance Curves'!$E$1:$L$1,1)+1,FALSE),'BMP P Tracking Table'!$AF520*'BMP P Tracking Table'!$AG520+VLOOKUP(CONCATENATE('BMP P Tracking Table'!$T520," ",'BMP P Tracking Table'!$AC520),'Performance Curves'!$C$1:$L$45,MATCH('BMP P Tracking Table'!$AE520,'Performance Curves'!$E$1:$L$1,1)+1,FALSE)),"")</f>
        <v/>
      </c>
      <c r="AI520" s="101" t="str">
        <f>IFERROR('BMP P Tracking Table'!$AH520*'BMP P Tracking Table'!$AD520,"")</f>
        <v/>
      </c>
      <c r="AJ520" s="64"/>
      <c r="AK520" s="96"/>
      <c r="AL520" s="96"/>
      <c r="AM520" s="63"/>
      <c r="AN520" s="99" t="str">
        <f t="shared" si="26"/>
        <v/>
      </c>
      <c r="AO520" s="96"/>
      <c r="AP520" s="96"/>
      <c r="AQ520" s="96"/>
      <c r="AR520" s="96"/>
      <c r="AS520" s="96"/>
      <c r="AT520" s="96"/>
      <c r="AU520" s="96"/>
      <c r="AV520" s="64"/>
      <c r="AW520" s="97"/>
      <c r="AX520" s="97"/>
      <c r="AY520" s="101" t="str">
        <f>IF('BMP P Tracking Table'!$AK520="Yes",IF('BMP P Tracking Table'!$AL520="No",'BMP P Tracking Table'!$U520*VLOOKUP('BMP P Tracking Table'!$Q520,'Loading Rates'!$B$1:$L$24,4,FALSE)+IF('BMP P Tracking Table'!$V520="By HSG",'BMP P Tracking Table'!$W520*VLOOKUP('BMP P Tracking Table'!$Q520,'Loading Rates'!$B$1:$L$24,6,FALSE)+'BMP P Tracking Table'!$X520*VLOOKUP('BMP P Tracking Table'!$Q520,'Loading Rates'!$B$1:$L$24,7,FALSE)+'BMP P Tracking Table'!$Y520*VLOOKUP('BMP P Tracking Table'!$Q520,'Loading Rates'!$B$1:$L$24,8,FALSE)+'BMP P Tracking Table'!$Z520*VLOOKUP('BMP P Tracking Table'!$Q520,'Loading Rates'!$B$1:$L$24,9,FALSE),'BMP P Tracking Table'!$AA520*VLOOKUP('BMP P Tracking Table'!$Q520,'Loading Rates'!$B$1:$L$24,10,FALSE)),'BMP P Tracking Table'!$AO520*VLOOKUP('BMP P Tracking Table'!$Q520,'Loading Rates'!$B$1:$L$24,4,FALSE)+IF('BMP P Tracking Table'!$AP520="By HSG",'BMP P Tracking Table'!$AQ520*VLOOKUP('BMP P Tracking Table'!$Q520,'Loading Rates'!$B$1:$L$24,6,FALSE)+'BMP P Tracking Table'!$AR520*VLOOKUP('BMP P Tracking Table'!$Q520,'Loading Rates'!$B$1:$L$24,7,FALSE)+'BMP P Tracking Table'!$AS520*VLOOKUP('BMP P Tracking Table'!$Q520,'Loading Rates'!$B$1:$L$24,8,FALSE)+'BMP P Tracking Table'!$AT520*VLOOKUP('BMP P Tracking Table'!$Q520,'Loading Rates'!$B$1:$L$24,9,FALSE),'BMP P Tracking Table'!$AU520*VLOOKUP('BMP P Tracking Table'!$Q520,'Loading Rates'!$B$1:$L$24,10,FALSE))),"")</f>
        <v/>
      </c>
      <c r="AZ520" s="101" t="str">
        <f>IFERROR(IF('BMP P Tracking Table'!$AL520="Yes",MIN(2,IF('BMP P Tracking Table'!$AP520="Total Pervious",(-(3630*'BMP P Tracking Table'!$AO520+20.691*'BMP P Tracking Table'!$AU520)+SQRT((3630*'BMP P Tracking Table'!$AO520+20.691*'BMP P Tracking Table'!$AU520)^2-(4*(996.798*'BMP P Tracking Table'!$AU520)*-'BMP P Tracking Table'!$AW520)))/(2*(996.798*'BMP P Tracking Table'!$AU520)),IF(SUM('BMP P Tracking Table'!$AQ520:$AT520)=0,'BMP P Tracking Table'!$AU520/(-3630*'BMP P Tracking Table'!$AO520),(-(3630*'BMP P Tracking Table'!$AO520+20.691*'BMP P Tracking Table'!$AT520-216.711*'BMP P Tracking Table'!$AS520-83.853*'BMP P Tracking Table'!$AR520-42.834*'BMP P Tracking Table'!$AQ520)+SQRT((3630*'BMP P Tracking Table'!$AO520+20.691*'BMP P Tracking Table'!$AT520-216.711*'BMP P Tracking Table'!$AS520-83.853*'BMP P Tracking Table'!$AR520-42.834*'BMP P Tracking Table'!$AQ520)^2-(4*(149.919*'BMP P Tracking Table'!$AQ520+236.676*'BMP P Tracking Table'!$AR520+726*'BMP P Tracking Table'!$AS520+996.798*'BMP P Tracking Table'!$AT520)*-'BMP P Tracking Table'!$AW520)))/(2*(149.919*'BMP P Tracking Table'!$AQ520+236.676*'BMP P Tracking Table'!$AR520+726*'BMP P Tracking Table'!$AS520+996.798*'BMP P Tracking Table'!$AT520))))),MIN(2,IF('BMP P Tracking Table'!$AP520="Total Pervious",(-(3630*'BMP P Tracking Table'!$U520+20.691*'BMP P Tracking Table'!$AA520)+SQRT((3630*'BMP P Tracking Table'!$U520+20.691*'BMP P Tracking Table'!$AA520)^2-(4*(996.798*'BMP P Tracking Table'!$AA520)*-'BMP P Tracking Table'!$AW520)))/(2*(996.798*'BMP P Tracking Table'!$AA520)),IF(SUM('BMP P Tracking Table'!$W520:$Z520)=0,'BMP P Tracking Table'!$AW520/(-3630*'BMP P Tracking Table'!$U520),(-(3630*'BMP P Tracking Table'!$U520+20.691*'BMP P Tracking Table'!$Z520-216.711*'BMP P Tracking Table'!$Y520-83.853*'BMP P Tracking Table'!$X520-42.834*'BMP P Tracking Table'!$W520)+SQRT((3630*'BMP P Tracking Table'!$U520+20.691*'BMP P Tracking Table'!$Z520-216.711*'BMP P Tracking Table'!$Y520-83.853*'BMP P Tracking Table'!$X520-42.834*'BMP P Tracking Table'!$W520)^2-(4*(149.919*'BMP P Tracking Table'!$W520+236.676*'BMP P Tracking Table'!$X520+726*'BMP P Tracking Table'!$Y520+996.798*'BMP P Tracking Table'!$Z520)*-'BMP P Tracking Table'!$AW520)))/(2*(149.919*'BMP P Tracking Table'!$W520+236.676*'BMP P Tracking Table'!$X520+726*'BMP P Tracking Table'!$Y520+996.798*'BMP P Tracking Table'!$Z520)))))),"")</f>
        <v/>
      </c>
      <c r="BA520" s="101" t="str">
        <f>IFERROR((VLOOKUP(CONCATENATE('BMP P Tracking Table'!$AV520," ",'BMP P Tracking Table'!$AX520),'Performance Curves'!$C$1:$L$45,MATCH('BMP P Tracking Table'!$AZ520,'Performance Curves'!$E$1:$L$1,1)+2,FALSE)-VLOOKUP(CONCATENATE('BMP P Tracking Table'!$AV520," ",'BMP P Tracking Table'!$AX520),'Performance Curves'!$C$1:$L$45,MATCH('BMP P Tracking Table'!$AZ520,'Performance Curves'!$E$1:$L$1,1)+1,FALSE)),"")</f>
        <v/>
      </c>
      <c r="BB520" s="101" t="str">
        <f>IFERROR(('BMP P Tracking Table'!$AZ520-INDEX('Performance Curves'!$E$1:$L$1,1,MATCH('BMP P Tracking Table'!$AZ520,'Performance Curves'!$E$1:$L$1,1)))/(INDEX('Performance Curves'!$E$1:$L$1,1,MATCH('BMP P Tracking Table'!$AZ520,'Performance Curves'!$E$1:$L$1,1)+1)-INDEX('Performance Curves'!$E$1:$L$1,1,MATCH('BMP P Tracking Table'!$AZ520,'Performance Curves'!$E$1:$L$1,1))),"")</f>
        <v/>
      </c>
      <c r="BC520" s="102" t="str">
        <f>IFERROR(IF('BMP P Tracking Table'!$AZ520=2,VLOOKUP(CONCATENATE('BMP P Tracking Table'!$AV520," ",'BMP P Tracking Table'!$AX520),'Performance Curves'!$C$1:$L$44,MATCH('BMP P Tracking Table'!$AZ520,'Performance Curves'!$E$1:$L$1,1)+1,FALSE),'BMP P Tracking Table'!$BA520*'BMP P Tracking Table'!$BB520+VLOOKUP(CONCATENATE('BMP P Tracking Table'!$AV520," ",'BMP P Tracking Table'!$AX520),'Performance Curves'!$C$1:$L$44,MATCH('BMP P Tracking Table'!$AZ520,'Performance Curves'!$E$1:$L$1,1)+1,FALSE)),"")</f>
        <v/>
      </c>
      <c r="BD520" s="101" t="str">
        <f>IFERROR('BMP P Tracking Table'!$BC520*'BMP P Tracking Table'!$AY520,"")</f>
        <v/>
      </c>
      <c r="BE520" s="96"/>
      <c r="BF520" s="37">
        <f t="shared" si="27"/>
        <v>0</v>
      </c>
    </row>
    <row r="521" spans="1:58" x14ac:dyDescent="0.3">
      <c r="A521" s="64"/>
      <c r="B521" s="64"/>
      <c r="C521" s="64"/>
      <c r="D521" s="64"/>
      <c r="E521" s="93"/>
      <c r="F521" s="93"/>
      <c r="G521" s="64"/>
      <c r="H521" s="64"/>
      <c r="I521" s="64"/>
      <c r="J521" s="94"/>
      <c r="K521" s="64"/>
      <c r="L521" s="64"/>
      <c r="M521" s="64"/>
      <c r="N521" s="64"/>
      <c r="O521" s="64"/>
      <c r="P521" s="64"/>
      <c r="Q521" s="64" t="str">
        <f>IFERROR(VLOOKUP('BMP P Tracking Table'!$P521,Dropdowns!$C$2:$E$15,3,FALSE),"")</f>
        <v/>
      </c>
      <c r="R521" s="64" t="str">
        <f>IFERROR(VLOOKUP('BMP P Tracking Table'!$Q521,Dropdowns!$P$3:$Q$23,2,FALSE),"")</f>
        <v/>
      </c>
      <c r="S521" s="64"/>
      <c r="T521" s="64"/>
      <c r="U521" s="64"/>
      <c r="V521" s="64"/>
      <c r="W521" s="64"/>
      <c r="X521" s="64"/>
      <c r="Y521" s="64"/>
      <c r="Z521" s="64"/>
      <c r="AA521" s="64"/>
      <c r="AB521" s="95"/>
      <c r="AC521" s="64"/>
      <c r="AD521" s="101" t="str">
        <f>IFERROR('BMP P Tracking Table'!$U521*VLOOKUP('BMP P Tracking Table'!$Q521,'Loading Rates'!$B$1:$L$24,4,FALSE)+IF('BMP P Tracking Table'!$V521="By HSG",'BMP P Tracking Table'!$W521*VLOOKUP('BMP P Tracking Table'!$Q521,'Loading Rates'!$B$1:$L$24,6,FALSE)+'BMP P Tracking Table'!$X521*VLOOKUP('BMP P Tracking Table'!$Q521,'Loading Rates'!$B$1:$L$24,7,FALSE)+'BMP P Tracking Table'!$Y521*VLOOKUP('BMP P Tracking Table'!$Q521,'Loading Rates'!$B$1:$L$24,8,FALSE)+'BMP P Tracking Table'!$Z521*VLOOKUP('BMP P Tracking Table'!$Q521,'Loading Rates'!$B$1:$L$24,9,FALSE),'BMP P Tracking Table'!$AA521*VLOOKUP('BMP P Tracking Table'!$Q521,'Loading Rates'!$B$1:$L$24,10,FALSE)),"")</f>
        <v/>
      </c>
      <c r="AE521" s="101" t="str">
        <f>IFERROR(MIN(2,IF('BMP P Tracking Table'!$V521="Total Pervious",(-(3630*'BMP P Tracking Table'!$U521+20.691*'BMP P Tracking Table'!$AA521)+SQRT((3630*'BMP P Tracking Table'!$U521+20.691*'BMP P Tracking Table'!$AA521)^2-(4*(996.798*'BMP P Tracking Table'!$AA521)*-'BMP P Tracking Table'!$AB521)))/(2*(996.798*'BMP P Tracking Table'!$AA521)),IF(SUM('BMP P Tracking Table'!$W521:$Z521)=0,'BMP P Tracking Table'!$AB521/(-3630*'BMP P Tracking Table'!$U521),(-(3630*'BMP P Tracking Table'!$U521+20.691*'BMP P Tracking Table'!$Z521-216.711*'BMP P Tracking Table'!$Y521-83.853*'BMP P Tracking Table'!$X521-42.834*'BMP P Tracking Table'!$W521)+SQRT((3630*'BMP P Tracking Table'!$U521+20.691*'BMP P Tracking Table'!$Z521-216.711*'BMP P Tracking Table'!$Y521-83.853*'BMP P Tracking Table'!$X521-42.834*'BMP P Tracking Table'!$W521)^2-(4*(149.919*'BMP P Tracking Table'!$W521+236.676*'BMP P Tracking Table'!$X521+726*'BMP P Tracking Table'!$Y521+996.798*'BMP P Tracking Table'!$Z521)*-'BMP P Tracking Table'!$AB521)))/(2*(149.919*'BMP P Tracking Table'!$W521+236.676*'BMP P Tracking Table'!$X521+726*'BMP P Tracking Table'!$Y521+996.798*'BMP P Tracking Table'!$Z521))))),"")</f>
        <v/>
      </c>
      <c r="AF521" s="101" t="str">
        <f>IFERROR((VLOOKUP(CONCATENATE('BMP P Tracking Table'!$T521," ",'BMP P Tracking Table'!$AC521),'Performance Curves'!$C$1:$L$45,MATCH('BMP P Tracking Table'!$AE521,'Performance Curves'!$E$1:$L$1,1)+2,FALSE)-VLOOKUP(CONCATENATE('BMP P Tracking Table'!$T521," ",'BMP P Tracking Table'!$AC521),'Performance Curves'!$C$1:$L$45,MATCH('BMP P Tracking Table'!$AE521,'Performance Curves'!$E$1:$L$1,1)+1,FALSE)),"")</f>
        <v/>
      </c>
      <c r="AG521" s="101" t="str">
        <f>IFERROR(('BMP P Tracking Table'!$AE521-INDEX('Performance Curves'!$E$1:$L$1,1,MATCH('BMP P Tracking Table'!$AE521,'Performance Curves'!$E$1:$L$1,1)))/(INDEX('Performance Curves'!$E$1:$L$1,1,MATCH('BMP P Tracking Table'!$AE521,'Performance Curves'!$E$1:$L$1,1)+1)-INDEX('Performance Curves'!$E$1:$L$1,1,MATCH('BMP P Tracking Table'!$AE521,'Performance Curves'!$E$1:$L$1,1))),"")</f>
        <v/>
      </c>
      <c r="AH521" s="102" t="str">
        <f>IFERROR(IF('BMP P Tracking Table'!$AE521=2,VLOOKUP(CONCATENATE('BMP P Tracking Table'!$T521," ",'BMP P Tracking Table'!$AC521),'Performance Curves'!$C$1:$L$45,MATCH('BMP P Tracking Table'!$AE521,'Performance Curves'!$E$1:$L$1,1)+1,FALSE),'BMP P Tracking Table'!$AF521*'BMP P Tracking Table'!$AG521+VLOOKUP(CONCATENATE('BMP P Tracking Table'!$T521," ",'BMP P Tracking Table'!$AC521),'Performance Curves'!$C$1:$L$45,MATCH('BMP P Tracking Table'!$AE521,'Performance Curves'!$E$1:$L$1,1)+1,FALSE)),"")</f>
        <v/>
      </c>
      <c r="AI521" s="101" t="str">
        <f>IFERROR('BMP P Tracking Table'!$AH521*'BMP P Tracking Table'!$AD521,"")</f>
        <v/>
      </c>
      <c r="AJ521" s="64"/>
      <c r="AK521" s="96"/>
      <c r="AL521" s="96"/>
      <c r="AM521" s="63"/>
      <c r="AN521" s="99" t="str">
        <f t="shared" si="26"/>
        <v/>
      </c>
      <c r="AO521" s="96"/>
      <c r="AP521" s="96"/>
      <c r="AQ521" s="96"/>
      <c r="AR521" s="96"/>
      <c r="AS521" s="96"/>
      <c r="AT521" s="96"/>
      <c r="AU521" s="96"/>
      <c r="AV521" s="64"/>
      <c r="AW521" s="97"/>
      <c r="AX521" s="97"/>
      <c r="AY521" s="101" t="str">
        <f>IF('BMP P Tracking Table'!$AK521="Yes",IF('BMP P Tracking Table'!$AL521="No",'BMP P Tracking Table'!$U521*VLOOKUP('BMP P Tracking Table'!$Q521,'Loading Rates'!$B$1:$L$24,4,FALSE)+IF('BMP P Tracking Table'!$V521="By HSG",'BMP P Tracking Table'!$W521*VLOOKUP('BMP P Tracking Table'!$Q521,'Loading Rates'!$B$1:$L$24,6,FALSE)+'BMP P Tracking Table'!$X521*VLOOKUP('BMP P Tracking Table'!$Q521,'Loading Rates'!$B$1:$L$24,7,FALSE)+'BMP P Tracking Table'!$Y521*VLOOKUP('BMP P Tracking Table'!$Q521,'Loading Rates'!$B$1:$L$24,8,FALSE)+'BMP P Tracking Table'!$Z521*VLOOKUP('BMP P Tracking Table'!$Q521,'Loading Rates'!$B$1:$L$24,9,FALSE),'BMP P Tracking Table'!$AA521*VLOOKUP('BMP P Tracking Table'!$Q521,'Loading Rates'!$B$1:$L$24,10,FALSE)),'BMP P Tracking Table'!$AO521*VLOOKUP('BMP P Tracking Table'!$Q521,'Loading Rates'!$B$1:$L$24,4,FALSE)+IF('BMP P Tracking Table'!$AP521="By HSG",'BMP P Tracking Table'!$AQ521*VLOOKUP('BMP P Tracking Table'!$Q521,'Loading Rates'!$B$1:$L$24,6,FALSE)+'BMP P Tracking Table'!$AR521*VLOOKUP('BMP P Tracking Table'!$Q521,'Loading Rates'!$B$1:$L$24,7,FALSE)+'BMP P Tracking Table'!$AS521*VLOOKUP('BMP P Tracking Table'!$Q521,'Loading Rates'!$B$1:$L$24,8,FALSE)+'BMP P Tracking Table'!$AT521*VLOOKUP('BMP P Tracking Table'!$Q521,'Loading Rates'!$B$1:$L$24,9,FALSE),'BMP P Tracking Table'!$AU521*VLOOKUP('BMP P Tracking Table'!$Q521,'Loading Rates'!$B$1:$L$24,10,FALSE))),"")</f>
        <v/>
      </c>
      <c r="AZ521" s="101" t="str">
        <f>IFERROR(IF('BMP P Tracking Table'!$AL521="Yes",MIN(2,IF('BMP P Tracking Table'!$AP521="Total Pervious",(-(3630*'BMP P Tracking Table'!$AO521+20.691*'BMP P Tracking Table'!$AU521)+SQRT((3630*'BMP P Tracking Table'!$AO521+20.691*'BMP P Tracking Table'!$AU521)^2-(4*(996.798*'BMP P Tracking Table'!$AU521)*-'BMP P Tracking Table'!$AW521)))/(2*(996.798*'BMP P Tracking Table'!$AU521)),IF(SUM('BMP P Tracking Table'!$AQ521:$AT521)=0,'BMP P Tracking Table'!$AU521/(-3630*'BMP P Tracking Table'!$AO521),(-(3630*'BMP P Tracking Table'!$AO521+20.691*'BMP P Tracking Table'!$AT521-216.711*'BMP P Tracking Table'!$AS521-83.853*'BMP P Tracking Table'!$AR521-42.834*'BMP P Tracking Table'!$AQ521)+SQRT((3630*'BMP P Tracking Table'!$AO521+20.691*'BMP P Tracking Table'!$AT521-216.711*'BMP P Tracking Table'!$AS521-83.853*'BMP P Tracking Table'!$AR521-42.834*'BMP P Tracking Table'!$AQ521)^2-(4*(149.919*'BMP P Tracking Table'!$AQ521+236.676*'BMP P Tracking Table'!$AR521+726*'BMP P Tracking Table'!$AS521+996.798*'BMP P Tracking Table'!$AT521)*-'BMP P Tracking Table'!$AW521)))/(2*(149.919*'BMP P Tracking Table'!$AQ521+236.676*'BMP P Tracking Table'!$AR521+726*'BMP P Tracking Table'!$AS521+996.798*'BMP P Tracking Table'!$AT521))))),MIN(2,IF('BMP P Tracking Table'!$AP521="Total Pervious",(-(3630*'BMP P Tracking Table'!$U521+20.691*'BMP P Tracking Table'!$AA521)+SQRT((3630*'BMP P Tracking Table'!$U521+20.691*'BMP P Tracking Table'!$AA521)^2-(4*(996.798*'BMP P Tracking Table'!$AA521)*-'BMP P Tracking Table'!$AW521)))/(2*(996.798*'BMP P Tracking Table'!$AA521)),IF(SUM('BMP P Tracking Table'!$W521:$Z521)=0,'BMP P Tracking Table'!$AW521/(-3630*'BMP P Tracking Table'!$U521),(-(3630*'BMP P Tracking Table'!$U521+20.691*'BMP P Tracking Table'!$Z521-216.711*'BMP P Tracking Table'!$Y521-83.853*'BMP P Tracking Table'!$X521-42.834*'BMP P Tracking Table'!$W521)+SQRT((3630*'BMP P Tracking Table'!$U521+20.691*'BMP P Tracking Table'!$Z521-216.711*'BMP P Tracking Table'!$Y521-83.853*'BMP P Tracking Table'!$X521-42.834*'BMP P Tracking Table'!$W521)^2-(4*(149.919*'BMP P Tracking Table'!$W521+236.676*'BMP P Tracking Table'!$X521+726*'BMP P Tracking Table'!$Y521+996.798*'BMP P Tracking Table'!$Z521)*-'BMP P Tracking Table'!$AW521)))/(2*(149.919*'BMP P Tracking Table'!$W521+236.676*'BMP P Tracking Table'!$X521+726*'BMP P Tracking Table'!$Y521+996.798*'BMP P Tracking Table'!$Z521)))))),"")</f>
        <v/>
      </c>
      <c r="BA521" s="101" t="str">
        <f>IFERROR((VLOOKUP(CONCATENATE('BMP P Tracking Table'!$AV521," ",'BMP P Tracking Table'!$AX521),'Performance Curves'!$C$1:$L$45,MATCH('BMP P Tracking Table'!$AZ521,'Performance Curves'!$E$1:$L$1,1)+2,FALSE)-VLOOKUP(CONCATENATE('BMP P Tracking Table'!$AV521," ",'BMP P Tracking Table'!$AX521),'Performance Curves'!$C$1:$L$45,MATCH('BMP P Tracking Table'!$AZ521,'Performance Curves'!$E$1:$L$1,1)+1,FALSE)),"")</f>
        <v/>
      </c>
      <c r="BB521" s="101" t="str">
        <f>IFERROR(('BMP P Tracking Table'!$AZ521-INDEX('Performance Curves'!$E$1:$L$1,1,MATCH('BMP P Tracking Table'!$AZ521,'Performance Curves'!$E$1:$L$1,1)))/(INDEX('Performance Curves'!$E$1:$L$1,1,MATCH('BMP P Tracking Table'!$AZ521,'Performance Curves'!$E$1:$L$1,1)+1)-INDEX('Performance Curves'!$E$1:$L$1,1,MATCH('BMP P Tracking Table'!$AZ521,'Performance Curves'!$E$1:$L$1,1))),"")</f>
        <v/>
      </c>
      <c r="BC521" s="102" t="str">
        <f>IFERROR(IF('BMP P Tracking Table'!$AZ521=2,VLOOKUP(CONCATENATE('BMP P Tracking Table'!$AV521," ",'BMP P Tracking Table'!$AX521),'Performance Curves'!$C$1:$L$44,MATCH('BMP P Tracking Table'!$AZ521,'Performance Curves'!$E$1:$L$1,1)+1,FALSE),'BMP P Tracking Table'!$BA521*'BMP P Tracking Table'!$BB521+VLOOKUP(CONCATENATE('BMP P Tracking Table'!$AV521," ",'BMP P Tracking Table'!$AX521),'Performance Curves'!$C$1:$L$44,MATCH('BMP P Tracking Table'!$AZ521,'Performance Curves'!$E$1:$L$1,1)+1,FALSE)),"")</f>
        <v/>
      </c>
      <c r="BD521" s="101" t="str">
        <f>IFERROR('BMP P Tracking Table'!$BC521*'BMP P Tracking Table'!$AY521,"")</f>
        <v/>
      </c>
      <c r="BE521" s="91"/>
      <c r="BF521" s="37">
        <f t="shared" si="27"/>
        <v>0</v>
      </c>
    </row>
    <row r="522" spans="1:58" x14ac:dyDescent="0.3">
      <c r="A522" s="64"/>
      <c r="B522" s="64"/>
      <c r="C522" s="64"/>
      <c r="D522" s="64"/>
      <c r="E522" s="93"/>
      <c r="F522" s="93"/>
      <c r="G522" s="64"/>
      <c r="H522" s="64"/>
      <c r="I522" s="64"/>
      <c r="J522" s="94"/>
      <c r="K522" s="64"/>
      <c r="L522" s="64"/>
      <c r="M522" s="64"/>
      <c r="N522" s="64"/>
      <c r="O522" s="64"/>
      <c r="P522" s="64"/>
      <c r="Q522" s="64" t="str">
        <f>IFERROR(VLOOKUP('BMP P Tracking Table'!$P522,Dropdowns!$C$2:$E$15,3,FALSE),"")</f>
        <v/>
      </c>
      <c r="R522" s="64" t="str">
        <f>IFERROR(VLOOKUP('BMP P Tracking Table'!$Q522,Dropdowns!$P$3:$Q$23,2,FALSE),"")</f>
        <v/>
      </c>
      <c r="S522" s="64"/>
      <c r="T522" s="64"/>
      <c r="U522" s="64"/>
      <c r="V522" s="64"/>
      <c r="W522" s="64"/>
      <c r="X522" s="64"/>
      <c r="Y522" s="64"/>
      <c r="Z522" s="64"/>
      <c r="AA522" s="64"/>
      <c r="AB522" s="95"/>
      <c r="AC522" s="64"/>
      <c r="AD522" s="101" t="str">
        <f>IFERROR('BMP P Tracking Table'!$U522*VLOOKUP('BMP P Tracking Table'!$Q522,'Loading Rates'!$B$1:$L$24,4,FALSE)+IF('BMP P Tracking Table'!$V522="By HSG",'BMP P Tracking Table'!$W522*VLOOKUP('BMP P Tracking Table'!$Q522,'Loading Rates'!$B$1:$L$24,6,FALSE)+'BMP P Tracking Table'!$X522*VLOOKUP('BMP P Tracking Table'!$Q522,'Loading Rates'!$B$1:$L$24,7,FALSE)+'BMP P Tracking Table'!$Y522*VLOOKUP('BMP P Tracking Table'!$Q522,'Loading Rates'!$B$1:$L$24,8,FALSE)+'BMP P Tracking Table'!$Z522*VLOOKUP('BMP P Tracking Table'!$Q522,'Loading Rates'!$B$1:$L$24,9,FALSE),'BMP P Tracking Table'!$AA522*VLOOKUP('BMP P Tracking Table'!$Q522,'Loading Rates'!$B$1:$L$24,10,FALSE)),"")</f>
        <v/>
      </c>
      <c r="AE522" s="101" t="str">
        <f>IFERROR(MIN(2,IF('BMP P Tracking Table'!$V522="Total Pervious",(-(3630*'BMP P Tracking Table'!$U522+20.691*'BMP P Tracking Table'!$AA522)+SQRT((3630*'BMP P Tracking Table'!$U522+20.691*'BMP P Tracking Table'!$AA522)^2-(4*(996.798*'BMP P Tracking Table'!$AA522)*-'BMP P Tracking Table'!$AB522)))/(2*(996.798*'BMP P Tracking Table'!$AA522)),IF(SUM('BMP P Tracking Table'!$W522:$Z522)=0,'BMP P Tracking Table'!$AB522/(-3630*'BMP P Tracking Table'!$U522),(-(3630*'BMP P Tracking Table'!$U522+20.691*'BMP P Tracking Table'!$Z522-216.711*'BMP P Tracking Table'!$Y522-83.853*'BMP P Tracking Table'!$X522-42.834*'BMP P Tracking Table'!$W522)+SQRT((3630*'BMP P Tracking Table'!$U522+20.691*'BMP P Tracking Table'!$Z522-216.711*'BMP P Tracking Table'!$Y522-83.853*'BMP P Tracking Table'!$X522-42.834*'BMP P Tracking Table'!$W522)^2-(4*(149.919*'BMP P Tracking Table'!$W522+236.676*'BMP P Tracking Table'!$X522+726*'BMP P Tracking Table'!$Y522+996.798*'BMP P Tracking Table'!$Z522)*-'BMP P Tracking Table'!$AB522)))/(2*(149.919*'BMP P Tracking Table'!$W522+236.676*'BMP P Tracking Table'!$X522+726*'BMP P Tracking Table'!$Y522+996.798*'BMP P Tracking Table'!$Z522))))),"")</f>
        <v/>
      </c>
      <c r="AF522" s="101" t="str">
        <f>IFERROR((VLOOKUP(CONCATENATE('BMP P Tracking Table'!$T522," ",'BMP P Tracking Table'!$AC522),'Performance Curves'!$C$1:$L$45,MATCH('BMP P Tracking Table'!$AE522,'Performance Curves'!$E$1:$L$1,1)+2,FALSE)-VLOOKUP(CONCATENATE('BMP P Tracking Table'!$T522," ",'BMP P Tracking Table'!$AC522),'Performance Curves'!$C$1:$L$45,MATCH('BMP P Tracking Table'!$AE522,'Performance Curves'!$E$1:$L$1,1)+1,FALSE)),"")</f>
        <v/>
      </c>
      <c r="AG522" s="101" t="str">
        <f>IFERROR(('BMP P Tracking Table'!$AE522-INDEX('Performance Curves'!$E$1:$L$1,1,MATCH('BMP P Tracking Table'!$AE522,'Performance Curves'!$E$1:$L$1,1)))/(INDEX('Performance Curves'!$E$1:$L$1,1,MATCH('BMP P Tracking Table'!$AE522,'Performance Curves'!$E$1:$L$1,1)+1)-INDEX('Performance Curves'!$E$1:$L$1,1,MATCH('BMP P Tracking Table'!$AE522,'Performance Curves'!$E$1:$L$1,1))),"")</f>
        <v/>
      </c>
      <c r="AH522" s="102" t="str">
        <f>IFERROR(IF('BMP P Tracking Table'!$AE522=2,VLOOKUP(CONCATENATE('BMP P Tracking Table'!$T522," ",'BMP P Tracking Table'!$AC522),'Performance Curves'!$C$1:$L$45,MATCH('BMP P Tracking Table'!$AE522,'Performance Curves'!$E$1:$L$1,1)+1,FALSE),'BMP P Tracking Table'!$AF522*'BMP P Tracking Table'!$AG522+VLOOKUP(CONCATENATE('BMP P Tracking Table'!$T522," ",'BMP P Tracking Table'!$AC522),'Performance Curves'!$C$1:$L$45,MATCH('BMP P Tracking Table'!$AE522,'Performance Curves'!$E$1:$L$1,1)+1,FALSE)),"")</f>
        <v/>
      </c>
      <c r="AI522" s="101" t="str">
        <f>IFERROR('BMP P Tracking Table'!$AH522*'BMP P Tracking Table'!$AD522,"")</f>
        <v/>
      </c>
      <c r="AJ522" s="64"/>
      <c r="AK522" s="96"/>
      <c r="AL522" s="96"/>
      <c r="AM522" s="63"/>
      <c r="AN522" s="99" t="str">
        <f t="shared" si="26"/>
        <v/>
      </c>
      <c r="AO522" s="96"/>
      <c r="AP522" s="96"/>
      <c r="AQ522" s="96"/>
      <c r="AR522" s="96"/>
      <c r="AS522" s="96"/>
      <c r="AT522" s="96"/>
      <c r="AU522" s="96"/>
      <c r="AV522" s="64"/>
      <c r="AW522" s="97"/>
      <c r="AX522" s="97"/>
      <c r="AY522" s="101" t="str">
        <f>IF('BMP P Tracking Table'!$AK522="Yes",IF('BMP P Tracking Table'!$AL522="No",'BMP P Tracking Table'!$U522*VLOOKUP('BMP P Tracking Table'!$Q522,'Loading Rates'!$B$1:$L$24,4,FALSE)+IF('BMP P Tracking Table'!$V522="By HSG",'BMP P Tracking Table'!$W522*VLOOKUP('BMP P Tracking Table'!$Q522,'Loading Rates'!$B$1:$L$24,6,FALSE)+'BMP P Tracking Table'!$X522*VLOOKUP('BMP P Tracking Table'!$Q522,'Loading Rates'!$B$1:$L$24,7,FALSE)+'BMP P Tracking Table'!$Y522*VLOOKUP('BMP P Tracking Table'!$Q522,'Loading Rates'!$B$1:$L$24,8,FALSE)+'BMP P Tracking Table'!$Z522*VLOOKUP('BMP P Tracking Table'!$Q522,'Loading Rates'!$B$1:$L$24,9,FALSE),'BMP P Tracking Table'!$AA522*VLOOKUP('BMP P Tracking Table'!$Q522,'Loading Rates'!$B$1:$L$24,10,FALSE)),'BMP P Tracking Table'!$AO522*VLOOKUP('BMP P Tracking Table'!$Q522,'Loading Rates'!$B$1:$L$24,4,FALSE)+IF('BMP P Tracking Table'!$AP522="By HSG",'BMP P Tracking Table'!$AQ522*VLOOKUP('BMP P Tracking Table'!$Q522,'Loading Rates'!$B$1:$L$24,6,FALSE)+'BMP P Tracking Table'!$AR522*VLOOKUP('BMP P Tracking Table'!$Q522,'Loading Rates'!$B$1:$L$24,7,FALSE)+'BMP P Tracking Table'!$AS522*VLOOKUP('BMP P Tracking Table'!$Q522,'Loading Rates'!$B$1:$L$24,8,FALSE)+'BMP P Tracking Table'!$AT522*VLOOKUP('BMP P Tracking Table'!$Q522,'Loading Rates'!$B$1:$L$24,9,FALSE),'BMP P Tracking Table'!$AU522*VLOOKUP('BMP P Tracking Table'!$Q522,'Loading Rates'!$B$1:$L$24,10,FALSE))),"")</f>
        <v/>
      </c>
      <c r="AZ522" s="101" t="str">
        <f>IFERROR(IF('BMP P Tracking Table'!$AL522="Yes",MIN(2,IF('BMP P Tracking Table'!$AP522="Total Pervious",(-(3630*'BMP P Tracking Table'!$AO522+20.691*'BMP P Tracking Table'!$AU522)+SQRT((3630*'BMP P Tracking Table'!$AO522+20.691*'BMP P Tracking Table'!$AU522)^2-(4*(996.798*'BMP P Tracking Table'!$AU522)*-'BMP P Tracking Table'!$AW522)))/(2*(996.798*'BMP P Tracking Table'!$AU522)),IF(SUM('BMP P Tracking Table'!$AQ522:$AT522)=0,'BMP P Tracking Table'!$AU522/(-3630*'BMP P Tracking Table'!$AO522),(-(3630*'BMP P Tracking Table'!$AO522+20.691*'BMP P Tracking Table'!$AT522-216.711*'BMP P Tracking Table'!$AS522-83.853*'BMP P Tracking Table'!$AR522-42.834*'BMP P Tracking Table'!$AQ522)+SQRT((3630*'BMP P Tracking Table'!$AO522+20.691*'BMP P Tracking Table'!$AT522-216.711*'BMP P Tracking Table'!$AS522-83.853*'BMP P Tracking Table'!$AR522-42.834*'BMP P Tracking Table'!$AQ522)^2-(4*(149.919*'BMP P Tracking Table'!$AQ522+236.676*'BMP P Tracking Table'!$AR522+726*'BMP P Tracking Table'!$AS522+996.798*'BMP P Tracking Table'!$AT522)*-'BMP P Tracking Table'!$AW522)))/(2*(149.919*'BMP P Tracking Table'!$AQ522+236.676*'BMP P Tracking Table'!$AR522+726*'BMP P Tracking Table'!$AS522+996.798*'BMP P Tracking Table'!$AT522))))),MIN(2,IF('BMP P Tracking Table'!$AP522="Total Pervious",(-(3630*'BMP P Tracking Table'!$U522+20.691*'BMP P Tracking Table'!$AA522)+SQRT((3630*'BMP P Tracking Table'!$U522+20.691*'BMP P Tracking Table'!$AA522)^2-(4*(996.798*'BMP P Tracking Table'!$AA522)*-'BMP P Tracking Table'!$AW522)))/(2*(996.798*'BMP P Tracking Table'!$AA522)),IF(SUM('BMP P Tracking Table'!$W522:$Z522)=0,'BMP P Tracking Table'!$AW522/(-3630*'BMP P Tracking Table'!$U522),(-(3630*'BMP P Tracking Table'!$U522+20.691*'BMP P Tracking Table'!$Z522-216.711*'BMP P Tracking Table'!$Y522-83.853*'BMP P Tracking Table'!$X522-42.834*'BMP P Tracking Table'!$W522)+SQRT((3630*'BMP P Tracking Table'!$U522+20.691*'BMP P Tracking Table'!$Z522-216.711*'BMP P Tracking Table'!$Y522-83.853*'BMP P Tracking Table'!$X522-42.834*'BMP P Tracking Table'!$W522)^2-(4*(149.919*'BMP P Tracking Table'!$W522+236.676*'BMP P Tracking Table'!$X522+726*'BMP P Tracking Table'!$Y522+996.798*'BMP P Tracking Table'!$Z522)*-'BMP P Tracking Table'!$AW522)))/(2*(149.919*'BMP P Tracking Table'!$W522+236.676*'BMP P Tracking Table'!$X522+726*'BMP P Tracking Table'!$Y522+996.798*'BMP P Tracking Table'!$Z522)))))),"")</f>
        <v/>
      </c>
      <c r="BA522" s="101" t="str">
        <f>IFERROR((VLOOKUP(CONCATENATE('BMP P Tracking Table'!$AV522," ",'BMP P Tracking Table'!$AX522),'Performance Curves'!$C$1:$L$45,MATCH('BMP P Tracking Table'!$AZ522,'Performance Curves'!$E$1:$L$1,1)+2,FALSE)-VLOOKUP(CONCATENATE('BMP P Tracking Table'!$AV522," ",'BMP P Tracking Table'!$AX522),'Performance Curves'!$C$1:$L$45,MATCH('BMP P Tracking Table'!$AZ522,'Performance Curves'!$E$1:$L$1,1)+1,FALSE)),"")</f>
        <v/>
      </c>
      <c r="BB522" s="101" t="str">
        <f>IFERROR(('BMP P Tracking Table'!$AZ522-INDEX('Performance Curves'!$E$1:$L$1,1,MATCH('BMP P Tracking Table'!$AZ522,'Performance Curves'!$E$1:$L$1,1)))/(INDEX('Performance Curves'!$E$1:$L$1,1,MATCH('BMP P Tracking Table'!$AZ522,'Performance Curves'!$E$1:$L$1,1)+1)-INDEX('Performance Curves'!$E$1:$L$1,1,MATCH('BMP P Tracking Table'!$AZ522,'Performance Curves'!$E$1:$L$1,1))),"")</f>
        <v/>
      </c>
      <c r="BC522" s="102" t="str">
        <f>IFERROR(IF('BMP P Tracking Table'!$AZ522=2,VLOOKUP(CONCATENATE('BMP P Tracking Table'!$AV522," ",'BMP P Tracking Table'!$AX522),'Performance Curves'!$C$1:$L$44,MATCH('BMP P Tracking Table'!$AZ522,'Performance Curves'!$E$1:$L$1,1)+1,FALSE),'BMP P Tracking Table'!$BA522*'BMP P Tracking Table'!$BB522+VLOOKUP(CONCATENATE('BMP P Tracking Table'!$AV522," ",'BMP P Tracking Table'!$AX522),'Performance Curves'!$C$1:$L$44,MATCH('BMP P Tracking Table'!$AZ522,'Performance Curves'!$E$1:$L$1,1)+1,FALSE)),"")</f>
        <v/>
      </c>
      <c r="BD522" s="101" t="str">
        <f>IFERROR('BMP P Tracking Table'!$BC522*'BMP P Tracking Table'!$AY522,"")</f>
        <v/>
      </c>
      <c r="BE522" s="96"/>
      <c r="BF522" s="37">
        <f t="shared" si="27"/>
        <v>0</v>
      </c>
    </row>
    <row r="523" spans="1:58" x14ac:dyDescent="0.3">
      <c r="A523" s="64"/>
      <c r="B523" s="64"/>
      <c r="C523" s="64"/>
      <c r="D523" s="64"/>
      <c r="E523" s="93"/>
      <c r="F523" s="93"/>
      <c r="G523" s="64"/>
      <c r="H523" s="64"/>
      <c r="I523" s="64"/>
      <c r="J523" s="94"/>
      <c r="K523" s="64"/>
      <c r="L523" s="64"/>
      <c r="M523" s="64"/>
      <c r="N523" s="64"/>
      <c r="O523" s="64"/>
      <c r="P523" s="64"/>
      <c r="Q523" s="64" t="str">
        <f>IFERROR(VLOOKUP('BMP P Tracking Table'!$P523,Dropdowns!$C$2:$E$15,3,FALSE),"")</f>
        <v/>
      </c>
      <c r="R523" s="64" t="str">
        <f>IFERROR(VLOOKUP('BMP P Tracking Table'!$Q523,Dropdowns!$P$3:$Q$23,2,FALSE),"")</f>
        <v/>
      </c>
      <c r="S523" s="64"/>
      <c r="T523" s="64"/>
      <c r="U523" s="64"/>
      <c r="V523" s="64"/>
      <c r="W523" s="64"/>
      <c r="X523" s="64"/>
      <c r="Y523" s="64"/>
      <c r="Z523" s="64"/>
      <c r="AA523" s="64"/>
      <c r="AB523" s="95"/>
      <c r="AC523" s="64"/>
      <c r="AD523" s="101" t="str">
        <f>IFERROR('BMP P Tracking Table'!$U523*VLOOKUP('BMP P Tracking Table'!$Q523,'Loading Rates'!$B$1:$L$24,4,FALSE)+IF('BMP P Tracking Table'!$V523="By HSG",'BMP P Tracking Table'!$W523*VLOOKUP('BMP P Tracking Table'!$Q523,'Loading Rates'!$B$1:$L$24,6,FALSE)+'BMP P Tracking Table'!$X523*VLOOKUP('BMP P Tracking Table'!$Q523,'Loading Rates'!$B$1:$L$24,7,FALSE)+'BMP P Tracking Table'!$Y523*VLOOKUP('BMP P Tracking Table'!$Q523,'Loading Rates'!$B$1:$L$24,8,FALSE)+'BMP P Tracking Table'!$Z523*VLOOKUP('BMP P Tracking Table'!$Q523,'Loading Rates'!$B$1:$L$24,9,FALSE),'BMP P Tracking Table'!$AA523*VLOOKUP('BMP P Tracking Table'!$Q523,'Loading Rates'!$B$1:$L$24,10,FALSE)),"")</f>
        <v/>
      </c>
      <c r="AE523" s="101" t="str">
        <f>IFERROR(MIN(2,IF('BMP P Tracking Table'!$V523="Total Pervious",(-(3630*'BMP P Tracking Table'!$U523+20.691*'BMP P Tracking Table'!$AA523)+SQRT((3630*'BMP P Tracking Table'!$U523+20.691*'BMP P Tracking Table'!$AA523)^2-(4*(996.798*'BMP P Tracking Table'!$AA523)*-'BMP P Tracking Table'!$AB523)))/(2*(996.798*'BMP P Tracking Table'!$AA523)),IF(SUM('BMP P Tracking Table'!$W523:$Z523)=0,'BMP P Tracking Table'!$AB523/(-3630*'BMP P Tracking Table'!$U523),(-(3630*'BMP P Tracking Table'!$U523+20.691*'BMP P Tracking Table'!$Z523-216.711*'BMP P Tracking Table'!$Y523-83.853*'BMP P Tracking Table'!$X523-42.834*'BMP P Tracking Table'!$W523)+SQRT((3630*'BMP P Tracking Table'!$U523+20.691*'BMP P Tracking Table'!$Z523-216.711*'BMP P Tracking Table'!$Y523-83.853*'BMP P Tracking Table'!$X523-42.834*'BMP P Tracking Table'!$W523)^2-(4*(149.919*'BMP P Tracking Table'!$W523+236.676*'BMP P Tracking Table'!$X523+726*'BMP P Tracking Table'!$Y523+996.798*'BMP P Tracking Table'!$Z523)*-'BMP P Tracking Table'!$AB523)))/(2*(149.919*'BMP P Tracking Table'!$W523+236.676*'BMP P Tracking Table'!$X523+726*'BMP P Tracking Table'!$Y523+996.798*'BMP P Tracking Table'!$Z523))))),"")</f>
        <v/>
      </c>
      <c r="AF523" s="101" t="str">
        <f>IFERROR((VLOOKUP(CONCATENATE('BMP P Tracking Table'!$T523," ",'BMP P Tracking Table'!$AC523),'Performance Curves'!$C$1:$L$45,MATCH('BMP P Tracking Table'!$AE523,'Performance Curves'!$E$1:$L$1,1)+2,FALSE)-VLOOKUP(CONCATENATE('BMP P Tracking Table'!$T523," ",'BMP P Tracking Table'!$AC523),'Performance Curves'!$C$1:$L$45,MATCH('BMP P Tracking Table'!$AE523,'Performance Curves'!$E$1:$L$1,1)+1,FALSE)),"")</f>
        <v/>
      </c>
      <c r="AG523" s="101" t="str">
        <f>IFERROR(('BMP P Tracking Table'!$AE523-INDEX('Performance Curves'!$E$1:$L$1,1,MATCH('BMP P Tracking Table'!$AE523,'Performance Curves'!$E$1:$L$1,1)))/(INDEX('Performance Curves'!$E$1:$L$1,1,MATCH('BMP P Tracking Table'!$AE523,'Performance Curves'!$E$1:$L$1,1)+1)-INDEX('Performance Curves'!$E$1:$L$1,1,MATCH('BMP P Tracking Table'!$AE523,'Performance Curves'!$E$1:$L$1,1))),"")</f>
        <v/>
      </c>
      <c r="AH523" s="102" t="str">
        <f>IFERROR(IF('BMP P Tracking Table'!$AE523=2,VLOOKUP(CONCATENATE('BMP P Tracking Table'!$T523," ",'BMP P Tracking Table'!$AC523),'Performance Curves'!$C$1:$L$45,MATCH('BMP P Tracking Table'!$AE523,'Performance Curves'!$E$1:$L$1,1)+1,FALSE),'BMP P Tracking Table'!$AF523*'BMP P Tracking Table'!$AG523+VLOOKUP(CONCATENATE('BMP P Tracking Table'!$T523," ",'BMP P Tracking Table'!$AC523),'Performance Curves'!$C$1:$L$45,MATCH('BMP P Tracking Table'!$AE523,'Performance Curves'!$E$1:$L$1,1)+1,FALSE)),"")</f>
        <v/>
      </c>
      <c r="AI523" s="101" t="str">
        <f>IFERROR('BMP P Tracking Table'!$AH523*'BMP P Tracking Table'!$AD523,"")</f>
        <v/>
      </c>
      <c r="AJ523" s="64"/>
      <c r="AK523" s="96"/>
      <c r="AL523" s="96"/>
      <c r="AM523" s="63"/>
      <c r="AN523" s="99" t="str">
        <f t="shared" si="26"/>
        <v/>
      </c>
      <c r="AO523" s="96"/>
      <c r="AP523" s="96"/>
      <c r="AQ523" s="96"/>
      <c r="AR523" s="96"/>
      <c r="AS523" s="96"/>
      <c r="AT523" s="96"/>
      <c r="AU523" s="96"/>
      <c r="AV523" s="64"/>
      <c r="AW523" s="97"/>
      <c r="AX523" s="97"/>
      <c r="AY523" s="101" t="str">
        <f>IF('BMP P Tracking Table'!$AK523="Yes",IF('BMP P Tracking Table'!$AL523="No",'BMP P Tracking Table'!$U523*VLOOKUP('BMP P Tracking Table'!$Q523,'Loading Rates'!$B$1:$L$24,4,FALSE)+IF('BMP P Tracking Table'!$V523="By HSG",'BMP P Tracking Table'!$W523*VLOOKUP('BMP P Tracking Table'!$Q523,'Loading Rates'!$B$1:$L$24,6,FALSE)+'BMP P Tracking Table'!$X523*VLOOKUP('BMP P Tracking Table'!$Q523,'Loading Rates'!$B$1:$L$24,7,FALSE)+'BMP P Tracking Table'!$Y523*VLOOKUP('BMP P Tracking Table'!$Q523,'Loading Rates'!$B$1:$L$24,8,FALSE)+'BMP P Tracking Table'!$Z523*VLOOKUP('BMP P Tracking Table'!$Q523,'Loading Rates'!$B$1:$L$24,9,FALSE),'BMP P Tracking Table'!$AA523*VLOOKUP('BMP P Tracking Table'!$Q523,'Loading Rates'!$B$1:$L$24,10,FALSE)),'BMP P Tracking Table'!$AO523*VLOOKUP('BMP P Tracking Table'!$Q523,'Loading Rates'!$B$1:$L$24,4,FALSE)+IF('BMP P Tracking Table'!$AP523="By HSG",'BMP P Tracking Table'!$AQ523*VLOOKUP('BMP P Tracking Table'!$Q523,'Loading Rates'!$B$1:$L$24,6,FALSE)+'BMP P Tracking Table'!$AR523*VLOOKUP('BMP P Tracking Table'!$Q523,'Loading Rates'!$B$1:$L$24,7,FALSE)+'BMP P Tracking Table'!$AS523*VLOOKUP('BMP P Tracking Table'!$Q523,'Loading Rates'!$B$1:$L$24,8,FALSE)+'BMP P Tracking Table'!$AT523*VLOOKUP('BMP P Tracking Table'!$Q523,'Loading Rates'!$B$1:$L$24,9,FALSE),'BMP P Tracking Table'!$AU523*VLOOKUP('BMP P Tracking Table'!$Q523,'Loading Rates'!$B$1:$L$24,10,FALSE))),"")</f>
        <v/>
      </c>
      <c r="AZ523" s="101" t="str">
        <f>IFERROR(IF('BMP P Tracking Table'!$AL523="Yes",MIN(2,IF('BMP P Tracking Table'!$AP523="Total Pervious",(-(3630*'BMP P Tracking Table'!$AO523+20.691*'BMP P Tracking Table'!$AU523)+SQRT((3630*'BMP P Tracking Table'!$AO523+20.691*'BMP P Tracking Table'!$AU523)^2-(4*(996.798*'BMP P Tracking Table'!$AU523)*-'BMP P Tracking Table'!$AW523)))/(2*(996.798*'BMP P Tracking Table'!$AU523)),IF(SUM('BMP P Tracking Table'!$AQ523:$AT523)=0,'BMP P Tracking Table'!$AU523/(-3630*'BMP P Tracking Table'!$AO523),(-(3630*'BMP P Tracking Table'!$AO523+20.691*'BMP P Tracking Table'!$AT523-216.711*'BMP P Tracking Table'!$AS523-83.853*'BMP P Tracking Table'!$AR523-42.834*'BMP P Tracking Table'!$AQ523)+SQRT((3630*'BMP P Tracking Table'!$AO523+20.691*'BMP P Tracking Table'!$AT523-216.711*'BMP P Tracking Table'!$AS523-83.853*'BMP P Tracking Table'!$AR523-42.834*'BMP P Tracking Table'!$AQ523)^2-(4*(149.919*'BMP P Tracking Table'!$AQ523+236.676*'BMP P Tracking Table'!$AR523+726*'BMP P Tracking Table'!$AS523+996.798*'BMP P Tracking Table'!$AT523)*-'BMP P Tracking Table'!$AW523)))/(2*(149.919*'BMP P Tracking Table'!$AQ523+236.676*'BMP P Tracking Table'!$AR523+726*'BMP P Tracking Table'!$AS523+996.798*'BMP P Tracking Table'!$AT523))))),MIN(2,IF('BMP P Tracking Table'!$AP523="Total Pervious",(-(3630*'BMP P Tracking Table'!$U523+20.691*'BMP P Tracking Table'!$AA523)+SQRT((3630*'BMP P Tracking Table'!$U523+20.691*'BMP P Tracking Table'!$AA523)^2-(4*(996.798*'BMP P Tracking Table'!$AA523)*-'BMP P Tracking Table'!$AW523)))/(2*(996.798*'BMP P Tracking Table'!$AA523)),IF(SUM('BMP P Tracking Table'!$W523:$Z523)=0,'BMP P Tracking Table'!$AW523/(-3630*'BMP P Tracking Table'!$U523),(-(3630*'BMP P Tracking Table'!$U523+20.691*'BMP P Tracking Table'!$Z523-216.711*'BMP P Tracking Table'!$Y523-83.853*'BMP P Tracking Table'!$X523-42.834*'BMP P Tracking Table'!$W523)+SQRT((3630*'BMP P Tracking Table'!$U523+20.691*'BMP P Tracking Table'!$Z523-216.711*'BMP P Tracking Table'!$Y523-83.853*'BMP P Tracking Table'!$X523-42.834*'BMP P Tracking Table'!$W523)^2-(4*(149.919*'BMP P Tracking Table'!$W523+236.676*'BMP P Tracking Table'!$X523+726*'BMP P Tracking Table'!$Y523+996.798*'BMP P Tracking Table'!$Z523)*-'BMP P Tracking Table'!$AW523)))/(2*(149.919*'BMP P Tracking Table'!$W523+236.676*'BMP P Tracking Table'!$X523+726*'BMP P Tracking Table'!$Y523+996.798*'BMP P Tracking Table'!$Z523)))))),"")</f>
        <v/>
      </c>
      <c r="BA523" s="101" t="str">
        <f>IFERROR((VLOOKUP(CONCATENATE('BMP P Tracking Table'!$AV523," ",'BMP P Tracking Table'!$AX523),'Performance Curves'!$C$1:$L$45,MATCH('BMP P Tracking Table'!$AZ523,'Performance Curves'!$E$1:$L$1,1)+2,FALSE)-VLOOKUP(CONCATENATE('BMP P Tracking Table'!$AV523," ",'BMP P Tracking Table'!$AX523),'Performance Curves'!$C$1:$L$45,MATCH('BMP P Tracking Table'!$AZ523,'Performance Curves'!$E$1:$L$1,1)+1,FALSE)),"")</f>
        <v/>
      </c>
      <c r="BB523" s="101" t="str">
        <f>IFERROR(('BMP P Tracking Table'!$AZ523-INDEX('Performance Curves'!$E$1:$L$1,1,MATCH('BMP P Tracking Table'!$AZ523,'Performance Curves'!$E$1:$L$1,1)))/(INDEX('Performance Curves'!$E$1:$L$1,1,MATCH('BMP P Tracking Table'!$AZ523,'Performance Curves'!$E$1:$L$1,1)+1)-INDEX('Performance Curves'!$E$1:$L$1,1,MATCH('BMP P Tracking Table'!$AZ523,'Performance Curves'!$E$1:$L$1,1))),"")</f>
        <v/>
      </c>
      <c r="BC523" s="102" t="str">
        <f>IFERROR(IF('BMP P Tracking Table'!$AZ523=2,VLOOKUP(CONCATENATE('BMP P Tracking Table'!$AV523," ",'BMP P Tracking Table'!$AX523),'Performance Curves'!$C$1:$L$44,MATCH('BMP P Tracking Table'!$AZ523,'Performance Curves'!$E$1:$L$1,1)+1,FALSE),'BMP P Tracking Table'!$BA523*'BMP P Tracking Table'!$BB523+VLOOKUP(CONCATENATE('BMP P Tracking Table'!$AV523," ",'BMP P Tracking Table'!$AX523),'Performance Curves'!$C$1:$L$44,MATCH('BMP P Tracking Table'!$AZ523,'Performance Curves'!$E$1:$L$1,1)+1,FALSE)),"")</f>
        <v/>
      </c>
      <c r="BD523" s="101" t="str">
        <f>IFERROR('BMP P Tracking Table'!$BC523*'BMP P Tracking Table'!$AY523,"")</f>
        <v/>
      </c>
      <c r="BE523" s="96"/>
      <c r="BF523" s="37">
        <f t="shared" si="27"/>
        <v>0</v>
      </c>
    </row>
  </sheetData>
  <sheetProtection formatCells="0" formatColumns="0" formatRows="0" insertColumns="0" insertRows="0" deleteColumns="0" deleteRows="0" sort="0" autoFilter="0"/>
  <mergeCells count="3">
    <mergeCell ref="AV1:AX1"/>
    <mergeCell ref="P1:R1"/>
    <mergeCell ref="S1:AC1"/>
  </mergeCells>
  <phoneticPr fontId="14" type="noConversion"/>
  <conditionalFormatting sqref="A3:BE63 A72:B72">
    <cfRule type="expression" dxfId="20" priority="5">
      <formula>MOD(ROW(),2)=0</formula>
    </cfRule>
  </conditionalFormatting>
  <conditionalFormatting sqref="B52:I52">
    <cfRule type="expression" dxfId="19" priority="2">
      <formula>MOD(ROW(),2)=0</formula>
    </cfRule>
  </conditionalFormatting>
  <conditionalFormatting sqref="G56">
    <cfRule type="expression" dxfId="18" priority="1">
      <formula>MOD(ROW(),2)=0</formula>
    </cfRule>
  </conditionalFormatting>
  <conditionalFormatting sqref="G53:I53 G54:H55">
    <cfRule type="expression" dxfId="17" priority="3">
      <formula>MOD(ROW(),2)=0</formula>
    </cfRule>
  </conditionalFormatting>
  <conditionalFormatting sqref="L3:L72">
    <cfRule type="expression" dxfId="16" priority="6">
      <formula>$K3="Complete"</formula>
    </cfRule>
  </conditionalFormatting>
  <conditionalFormatting sqref="L76:L523">
    <cfRule type="expression" dxfId="15" priority="13">
      <formula>$K76="Complete"</formula>
    </cfRule>
  </conditionalFormatting>
  <conditionalFormatting sqref="N71:U72 C72:M72">
    <cfRule type="expression" dxfId="12" priority="8">
      <formula>MOD(ROW(),2)=0</formula>
    </cfRule>
  </conditionalFormatting>
  <conditionalFormatting sqref="U65:U70">
    <cfRule type="expression" dxfId="11" priority="4">
      <formula>MOD(ROW(),2)=0</formula>
    </cfRule>
  </conditionalFormatting>
  <conditionalFormatting sqref="V64:BE72 A76:BE523 N63:N64 A64:U64 A65:T70 A71:M71">
    <cfRule type="expression" dxfId="10" priority="41">
      <formula>MOD(ROW(),2)=0</formula>
    </cfRule>
  </conditionalFormatting>
  <conditionalFormatting sqref="W3:Z72 W76:Z523">
    <cfRule type="expression" dxfId="9" priority="33">
      <formula>$V3="Total Pervious"</formula>
    </cfRule>
  </conditionalFormatting>
  <conditionalFormatting sqref="AA3:AA72 AA76:AA523">
    <cfRule type="expression" dxfId="8" priority="32">
      <formula>$V3="By HSG"</formula>
    </cfRule>
  </conditionalFormatting>
  <conditionalFormatting sqref="AO3:AU72 AO76:AU523">
    <cfRule type="expression" dxfId="6" priority="30">
      <formula>$AL3="No"</formula>
    </cfRule>
  </conditionalFormatting>
  <conditionalFormatting sqref="AO3:BE72 AO76:BE523 AL3:AL72 AL76:AL523">
    <cfRule type="expression" dxfId="5" priority="40">
      <formula>$AK3="No"</formula>
    </cfRule>
  </conditionalFormatting>
  <conditionalFormatting sqref="AQ3:AT72 AQ76:AT523">
    <cfRule type="expression" dxfId="4" priority="29">
      <formula>$AP3="Total Pervious"</formula>
    </cfRule>
  </conditionalFormatting>
  <conditionalFormatting sqref="AU3">
    <cfRule type="expression" dxfId="3" priority="28">
      <formula>$AP3="By HSG"</formula>
    </cfRule>
  </conditionalFormatting>
  <printOptions horizontalCentered="1" verticalCentered="1"/>
  <pageMargins left="0.25" right="0.25" top="0.75" bottom="0.75" header="0.3" footer="0.3"/>
  <pageSetup scale="20" fitToHeight="0" orientation="landscape" r:id="rId1"/>
  <ignoredErrors>
    <ignoredError sqref="AE76:AE523 AE33:AE35 AE41:AE48 AE27:AE31 AE59:AE72" calculatedColumn="1"/>
  </ignoredErrors>
  <legacyDrawing r:id="rId2"/>
  <extLst>
    <ext xmlns:x14="http://schemas.microsoft.com/office/spreadsheetml/2009/9/main" uri="{78C0D931-6437-407d-A8EE-F0AAD7539E65}">
      <x14:conditionalFormattings>
        <x14:conditionalFormatting xmlns:xm="http://schemas.microsoft.com/office/excel/2006/main">
          <x14:cfRule type="expression" priority="7" id="{3CFC4B67-3ABA-4034-AAB5-8C095C2D27D4}">
            <xm:f>VLOOKUP($K3,Dropdowns!$I$3:$J$7,2,FALSE)="no"</xm:f>
            <x14:dxf>
              <font>
                <color theme="6" tint="-0.24994659260841701"/>
              </font>
              <fill>
                <patternFill>
                  <bgColor theme="6"/>
                </patternFill>
              </fill>
            </x14:dxf>
          </x14:cfRule>
          <xm:sqref>M3:O72</xm:sqref>
        </x14:conditionalFormatting>
        <x14:conditionalFormatting xmlns:xm="http://schemas.microsoft.com/office/excel/2006/main">
          <x14:cfRule type="expression" priority="17" id="{E107A5C6-1A98-486F-9532-95A216D8AAB2}">
            <xm:f>VLOOKUP($K76,Dropdowns!$I$3:$J$7,2,FALSE)="no"</xm:f>
            <x14:dxf>
              <font>
                <color theme="6" tint="-0.24994659260841701"/>
              </font>
              <fill>
                <patternFill>
                  <bgColor theme="6"/>
                </patternFill>
              </fill>
            </x14:dxf>
          </x14:cfRule>
          <xm:sqref>M76:O523</xm:sqref>
        </x14:conditionalFormatting>
        <x14:conditionalFormatting xmlns:xm="http://schemas.microsoft.com/office/excel/2006/main">
          <x14:cfRule type="expression" priority="44" id="{4C76DCFD-A099-4EF7-B4A1-D3CDADB80A2E}">
            <xm:f>VLOOKUP(T3,Dropdowns!$G$3:$H$16,2,FALSE)="no"</xm:f>
            <x14:dxf>
              <font>
                <color theme="6" tint="-0.24994659260841701"/>
              </font>
              <fill>
                <patternFill>
                  <bgColor theme="6"/>
                </patternFill>
              </fill>
            </x14:dxf>
          </x14:cfRule>
          <xm:sqref>AC3:AC72 AC76:AC523</xm:sqref>
        </x14:conditionalFormatting>
        <x14:conditionalFormatting xmlns:xm="http://schemas.microsoft.com/office/excel/2006/main">
          <x14:cfRule type="expression" priority="45" id="{95EAB61C-D8D5-4C21-8062-8E93A62C4850}">
            <xm:f>VLOOKUP(AV3,Dropdowns!$G$3:$H$15,2,FALSE)="no"</xm:f>
            <x14:dxf>
              <font>
                <color theme="6" tint="-0.24994659260841701"/>
              </font>
              <fill>
                <patternFill>
                  <bgColor theme="6"/>
                </patternFill>
              </fill>
            </x14:dxf>
          </x14:cfRule>
          <xm:sqref>AX3:BC72 AX76:BC523</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Dropdowns!$B$3:$B$16</xm:f>
          </x14:formula1>
          <xm:sqref>D76:D523 D3:D72</xm:sqref>
        </x14:dataValidation>
        <x14:dataValidation type="list" allowBlank="1" showInputMessage="1" showErrorMessage="1" xr:uid="{D626CB16-31DB-4D4F-9B4B-9F09BA432C3E}">
          <x14:formula1>
            <xm:f>Dropdowns!$L$3:$L$4</xm:f>
          </x14:formula1>
          <xm:sqref>AL76:AL523 S76:S523 I76:I523 I3:I72 S3:S72 AL3:AL72</xm:sqref>
        </x14:dataValidation>
        <x14:dataValidation type="list" allowBlank="1" showInputMessage="1" showErrorMessage="1" xr:uid="{00000000-0002-0000-0100-000003000000}">
          <x14:formula1>
            <xm:f>Dropdowns!$I$3:$I$7</xm:f>
          </x14:formula1>
          <xm:sqref>K76:K523 K3:K72</xm:sqref>
        </x14:dataValidation>
        <x14:dataValidation type="list" allowBlank="1" showInputMessage="1" showErrorMessage="1" xr:uid="{00000000-0002-0000-0100-000004000000}">
          <x14:formula1>
            <xm:f>Dropdowns!$L$3:$L$5</xm:f>
          </x14:formula1>
          <xm:sqref>AK76:AK523 AK3:AK72</xm:sqref>
        </x14:dataValidation>
        <x14:dataValidation type="list" allowBlank="1" showInputMessage="1" showErrorMessage="1" xr:uid="{DE8EA86C-61B2-44EB-96AA-A090DEE90D24}">
          <x14:formula1>
            <xm:f>Dropdowns!$N$3:$N$14</xm:f>
          </x14:formula1>
          <xm:sqref>R76:R523 R3:R72</xm:sqref>
        </x14:dataValidation>
        <x14:dataValidation type="list" allowBlank="1" showInputMessage="1" showErrorMessage="1" xr:uid="{BE4E0D36-7E54-4C84-A0F8-095040DC7E8C}">
          <x14:formula1>
            <xm:f>'Performance Curves'!$B$3:$B$8</xm:f>
          </x14:formula1>
          <xm:sqref>AC76:AC523 AX76:AX523 AC3:AC72 AX3:AX72</xm:sqref>
        </x14:dataValidation>
        <x14:dataValidation type="list" allowBlank="1" showInputMessage="1" showErrorMessage="1" xr:uid="{AFCC3540-CD4B-40AC-9D8A-6313ADC8EF83}">
          <x14:formula1>
            <xm:f>Dropdowns!$S$3:$S$4</xm:f>
          </x14:formula1>
          <xm:sqref>V76:V523 AP76:AP523 V3:V72 AP3:AP72</xm:sqref>
        </x14:dataValidation>
        <x14:dataValidation type="list" allowBlank="1" showInputMessage="1" showErrorMessage="1" xr:uid="{22B06E70-1852-4DE0-B78C-0821E7063DFD}">
          <x14:formula1>
            <xm:f>Dropdowns!$P$3:$P$24</xm:f>
          </x14:formula1>
          <xm:sqref>Q76:Q523 Q3:Q72</xm:sqref>
        </x14:dataValidation>
        <x14:dataValidation type="list" allowBlank="1" showInputMessage="1" showErrorMessage="1" xr:uid="{00000000-0002-0000-0100-000001000000}">
          <x14:formula1>
            <xm:f>Dropdowns!$C$3:$C$15</xm:f>
          </x14:formula1>
          <xm:sqref>P76:P523 P3:P72</xm:sqref>
        </x14:dataValidation>
        <x14:dataValidation type="list" allowBlank="1" showInputMessage="1" showErrorMessage="1" xr:uid="{00000000-0002-0000-0100-000002000000}">
          <x14:formula1>
            <xm:f>Dropdowns!$G$3:$G$15</xm:f>
          </x14:formula1>
          <xm:sqref>AV76:AV523 AV3:AV72</xm:sqref>
        </x14:dataValidation>
        <x14:dataValidation type="list" allowBlank="1" showInputMessage="1" showErrorMessage="1" xr:uid="{EDD625E0-C2D1-48BD-990B-B1527B7671B6}">
          <x14:formula1>
            <xm:f>Dropdowns!$G$3:$G$16</xm:f>
          </x14:formula1>
          <xm:sqref>T76:T523 T3:T72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27469-FEC5-4A90-B954-5D4A24F847EF}">
  <sheetPr>
    <pageSetUpPr fitToPage="1"/>
  </sheetPr>
  <dimension ref="A1:J34"/>
  <sheetViews>
    <sheetView workbookViewId="0">
      <selection activeCell="B32" sqref="B32"/>
    </sheetView>
  </sheetViews>
  <sheetFormatPr defaultRowHeight="14.4" x14ac:dyDescent="0.3"/>
  <cols>
    <col min="1" max="1" width="22.33203125" customWidth="1"/>
    <col min="2" max="2" width="58.33203125" customWidth="1"/>
    <col min="3" max="6" width="13.5546875" customWidth="1"/>
    <col min="7" max="7" width="13.88671875" customWidth="1"/>
  </cols>
  <sheetData>
    <row r="1" spans="1:10" x14ac:dyDescent="0.3">
      <c r="A1" s="1" t="s">
        <v>422</v>
      </c>
    </row>
    <row r="3" spans="1:10" ht="57.6" x14ac:dyDescent="0.3">
      <c r="A3" t="str">
        <f>'BMP P Tracking Table'!A2</f>
        <v xml:space="preserve">Unique ID </v>
      </c>
      <c r="B3" t="str">
        <f>'BMP P Tracking Table'!B2</f>
        <v>Burlington International Airport (BTV)
BMP Tracking Table
Date: April 1, 2024
Project Name</v>
      </c>
      <c r="C3" s="139" t="s">
        <v>345</v>
      </c>
      <c r="D3" s="139" t="s">
        <v>360</v>
      </c>
      <c r="E3" s="139" t="s">
        <v>361</v>
      </c>
      <c r="F3" t="s">
        <v>354</v>
      </c>
      <c r="G3" t="s">
        <v>348</v>
      </c>
      <c r="I3" s="139"/>
      <c r="J3" s="139"/>
    </row>
    <row r="4" spans="1:10" x14ac:dyDescent="0.3">
      <c r="A4" t="str">
        <f>'BMP P Tracking Table'!A63</f>
        <v>BTV BCJG 001</v>
      </c>
      <c r="B4" t="str">
        <f>'BMP P Tracking Table'!B63</f>
        <v>Taxiway B, C, J, G (disconnection 001)</v>
      </c>
      <c r="C4">
        <v>5.17</v>
      </c>
      <c r="D4">
        <f>13.74+3.37+5.17</f>
        <v>22.28</v>
      </c>
      <c r="E4">
        <v>37.39</v>
      </c>
      <c r="F4">
        <f t="shared" ref="F4" si="0">E4-D4</f>
        <v>15.11</v>
      </c>
      <c r="G4" s="134">
        <f t="shared" ref="G4:G5" si="1">D4/F4</f>
        <v>1.4745201853077434</v>
      </c>
      <c r="H4" s="138">
        <f t="shared" ref="H4:H11" si="2">0.8569*(EXP(-0.136*G4))</f>
        <v>0.7011953212068196</v>
      </c>
    </row>
    <row r="5" spans="1:10" x14ac:dyDescent="0.3">
      <c r="A5" t="str">
        <f>'BMP P Tracking Table'!A64</f>
        <v>BTV BCJG 002</v>
      </c>
      <c r="B5" t="str">
        <f>'BMP P Tracking Table'!B64</f>
        <v>Taxiway B, C, J, G (disconnection 002)</v>
      </c>
      <c r="C5">
        <v>1.68</v>
      </c>
      <c r="D5">
        <f>0.62+1.68</f>
        <v>2.2999999999999998</v>
      </c>
      <c r="E5">
        <v>8.18</v>
      </c>
      <c r="F5">
        <f t="shared" ref="F5:F11" si="3">E5-D5</f>
        <v>5.88</v>
      </c>
      <c r="G5" s="134">
        <f t="shared" si="1"/>
        <v>0.391156462585034</v>
      </c>
      <c r="H5" s="138">
        <f t="shared" si="2"/>
        <v>0.81250652648090005</v>
      </c>
    </row>
    <row r="6" spans="1:10" x14ac:dyDescent="0.3">
      <c r="A6" t="str">
        <f>'BMP P Tracking Table'!A65</f>
        <v>BTV RW 15-33 (001)</v>
      </c>
      <c r="B6" t="str">
        <f>'BMP P Tracking Table'!B65</f>
        <v>Reconstruct, Mark, and Groove Runway 15-33 (disconnection S/N 001)</v>
      </c>
      <c r="C6">
        <f>D6-6.09</f>
        <v>8.98</v>
      </c>
      <c r="D6">
        <v>15.07</v>
      </c>
      <c r="E6">
        <v>26.57</v>
      </c>
      <c r="F6">
        <f t="shared" si="3"/>
        <v>11.5</v>
      </c>
      <c r="G6" s="134">
        <f>D6/F6</f>
        <v>1.3104347826086957</v>
      </c>
      <c r="H6" s="138">
        <f t="shared" si="2"/>
        <v>0.71701882482447887</v>
      </c>
    </row>
    <row r="7" spans="1:10" x14ac:dyDescent="0.3">
      <c r="A7" t="str">
        <f>'BMP P Tracking Table'!A66</f>
        <v>BTV RW 15-33 (002)</v>
      </c>
      <c r="B7" t="str">
        <f>'BMP P Tracking Table'!B66</f>
        <v>Reconstruct, Mark, and Groove Runway 15-33 (disconnection S/N 002)</v>
      </c>
      <c r="C7">
        <f>D7-4.32</f>
        <v>7.91</v>
      </c>
      <c r="D7">
        <v>12.23</v>
      </c>
      <c r="E7">
        <v>27.43</v>
      </c>
      <c r="F7">
        <f t="shared" si="3"/>
        <v>15.2</v>
      </c>
      <c r="G7" s="134">
        <f t="shared" ref="G7:G13" si="4">D7/F7</f>
        <v>0.80460526315789482</v>
      </c>
      <c r="H7" s="138">
        <f t="shared" si="2"/>
        <v>0.76808077998274116</v>
      </c>
    </row>
    <row r="8" spans="1:10" x14ac:dyDescent="0.3">
      <c r="A8" t="str">
        <f>'BMP P Tracking Table'!A67</f>
        <v>BTV RW 15-33 (003)</v>
      </c>
      <c r="B8" t="str">
        <f>'BMP P Tracking Table'!B67</f>
        <v>Reconstruct, Mark, and Groove Runway 15-33 (disconnection S/N 003)</v>
      </c>
      <c r="C8">
        <f>D8-2.13</f>
        <v>3.58</v>
      </c>
      <c r="D8">
        <v>5.71</v>
      </c>
      <c r="E8">
        <v>15.77</v>
      </c>
      <c r="F8">
        <f t="shared" si="3"/>
        <v>10.059999999999999</v>
      </c>
      <c r="G8" s="134">
        <f t="shared" si="4"/>
        <v>0.56759443339960247</v>
      </c>
      <c r="H8" s="138">
        <f t="shared" si="2"/>
        <v>0.79324202967776103</v>
      </c>
    </row>
    <row r="9" spans="1:10" x14ac:dyDescent="0.3">
      <c r="A9" t="str">
        <f>'BMP P Tracking Table'!A68</f>
        <v>BTV RW 15-33 (004)</v>
      </c>
      <c r="B9" t="str">
        <f>'BMP P Tracking Table'!B68</f>
        <v>Reconstruct, Mark, and Groove Runway 15-33 (disconnection S/N 004)</v>
      </c>
      <c r="C9">
        <v>0.67</v>
      </c>
      <c r="D9">
        <v>2.8</v>
      </c>
      <c r="E9">
        <v>5.41</v>
      </c>
      <c r="F9">
        <f t="shared" si="3"/>
        <v>2.6100000000000003</v>
      </c>
      <c r="G9" s="134">
        <f t="shared" si="4"/>
        <v>1.0727969348659001</v>
      </c>
      <c r="H9" s="138">
        <f t="shared" si="2"/>
        <v>0.74057050549157033</v>
      </c>
    </row>
    <row r="10" spans="1:10" x14ac:dyDescent="0.3">
      <c r="A10" t="str">
        <f>'BMP P Tracking Table'!A69</f>
        <v>BTV RW 15-33 (005)</v>
      </c>
      <c r="B10" t="str">
        <f>'BMP P Tracking Table'!B69</f>
        <v>Reconstruct, Mark, and Groove Runway 15-33 (disconnection S/N 005)</v>
      </c>
      <c r="C10">
        <f>D10-3.84</f>
        <v>3.9400000000000004</v>
      </c>
      <c r="D10">
        <v>7.78</v>
      </c>
      <c r="E10">
        <v>15.18</v>
      </c>
      <c r="F10">
        <f t="shared" si="3"/>
        <v>7.3999999999999995</v>
      </c>
      <c r="G10" s="134">
        <f t="shared" si="4"/>
        <v>1.0513513513513515</v>
      </c>
      <c r="H10" s="138">
        <f t="shared" si="2"/>
        <v>0.74273360586763204</v>
      </c>
    </row>
    <row r="11" spans="1:10" x14ac:dyDescent="0.3">
      <c r="A11" t="str">
        <f>'BMP P Tracking Table'!A70</f>
        <v>BTV RW 15-33 (006)</v>
      </c>
      <c r="B11" t="str">
        <f>'BMP P Tracking Table'!B70</f>
        <v>Reconstruct, Mark, and Groove Runway 15-33 (disconnection S/N 006)</v>
      </c>
      <c r="C11">
        <f>D11-0.46</f>
        <v>2.34</v>
      </c>
      <c r="D11">
        <v>2.8</v>
      </c>
      <c r="E11">
        <v>7.97</v>
      </c>
      <c r="F11">
        <f t="shared" si="3"/>
        <v>5.17</v>
      </c>
      <c r="G11" s="134">
        <f t="shared" si="4"/>
        <v>0.5415860735009671</v>
      </c>
      <c r="H11" s="138">
        <f t="shared" si="2"/>
        <v>0.79605280348361795</v>
      </c>
    </row>
    <row r="12" spans="1:10" x14ac:dyDescent="0.3">
      <c r="A12" t="str">
        <f>'BMP P Tracking Table'!A71</f>
        <v>BTV QA</v>
      </c>
      <c r="B12" t="str">
        <f>'BMP P Tracking Table'!B71</f>
        <v>Quarry Access Road (disconnection S/N 002)</v>
      </c>
      <c r="C12">
        <v>0.05</v>
      </c>
      <c r="D12">
        <f>0.172+0.05</f>
        <v>0.22199999999999998</v>
      </c>
      <c r="E12">
        <v>0.52</v>
      </c>
      <c r="F12">
        <f>E12-D12</f>
        <v>0.29800000000000004</v>
      </c>
      <c r="G12" s="134">
        <f t="shared" si="4"/>
        <v>0.74496644295301995</v>
      </c>
      <c r="H12" s="138">
        <f>0.8569*(EXP(-0.136*G12))</f>
        <v>0.77433592373909677</v>
      </c>
    </row>
    <row r="13" spans="1:10" x14ac:dyDescent="0.3">
      <c r="A13" t="str">
        <f>'BMP P Tracking Table'!A72</f>
        <v>BTV TW G/K</v>
      </c>
      <c r="B13" t="str">
        <f>'BMP P Tracking Table'!B72</f>
        <v>Construct Mark &amp; Light TW G/K (disconnection)</v>
      </c>
      <c r="C13">
        <v>5.04</v>
      </c>
      <c r="D13">
        <f>0.68+C13</f>
        <v>5.72</v>
      </c>
      <c r="E13">
        <f>D13+F13</f>
        <v>14.41</v>
      </c>
      <c r="F13">
        <v>8.69</v>
      </c>
      <c r="G13" s="134">
        <f t="shared" si="4"/>
        <v>0.65822784810126578</v>
      </c>
      <c r="H13" s="138">
        <f>0.8569*(EXP(-0.136*G13))</f>
        <v>0.78352442719769189</v>
      </c>
    </row>
    <row r="14" spans="1:10" x14ac:dyDescent="0.3">
      <c r="G14" s="134"/>
      <c r="H14" s="138"/>
    </row>
    <row r="16" spans="1:10" x14ac:dyDescent="0.3">
      <c r="G16" s="134"/>
      <c r="H16" s="138"/>
    </row>
    <row r="20" spans="2:6" x14ac:dyDescent="0.3">
      <c r="B20" s="216" t="s">
        <v>349</v>
      </c>
      <c r="C20" s="216" t="s">
        <v>350</v>
      </c>
      <c r="D20" s="216"/>
      <c r="E20" s="216"/>
      <c r="F20" s="216"/>
    </row>
    <row r="21" spans="2:6" x14ac:dyDescent="0.3">
      <c r="B21" s="216"/>
      <c r="C21" s="216"/>
      <c r="D21" s="216"/>
      <c r="E21" s="216"/>
      <c r="F21" s="216"/>
    </row>
    <row r="22" spans="2:6" x14ac:dyDescent="0.3">
      <c r="B22" s="216"/>
      <c r="C22" s="149" t="s">
        <v>193</v>
      </c>
      <c r="D22" s="135" t="s">
        <v>194</v>
      </c>
      <c r="E22" s="135" t="s">
        <v>195</v>
      </c>
      <c r="F22" s="135" t="s">
        <v>196</v>
      </c>
    </row>
    <row r="23" spans="2:6" x14ac:dyDescent="0.3">
      <c r="B23" s="136">
        <v>8</v>
      </c>
      <c r="C23" s="150">
        <v>0.3</v>
      </c>
      <c r="D23" s="137">
        <v>0.14000000000000001</v>
      </c>
      <c r="E23" s="137">
        <v>7.0000000000000007E-2</v>
      </c>
      <c r="F23" s="137">
        <v>0.03</v>
      </c>
    </row>
    <row r="24" spans="2:6" x14ac:dyDescent="0.3">
      <c r="B24" s="136">
        <v>6</v>
      </c>
      <c r="C24" s="150">
        <v>0.37</v>
      </c>
      <c r="D24" s="137">
        <v>0.18</v>
      </c>
      <c r="E24" s="137">
        <v>0.11</v>
      </c>
      <c r="F24" s="137">
        <v>0.05</v>
      </c>
    </row>
    <row r="25" spans="2:6" x14ac:dyDescent="0.3">
      <c r="B25" s="136">
        <v>4</v>
      </c>
      <c r="C25" s="150">
        <v>0.48</v>
      </c>
      <c r="D25" s="137">
        <v>0.27</v>
      </c>
      <c r="E25" s="137">
        <v>0.17</v>
      </c>
      <c r="F25" s="137">
        <v>0.09</v>
      </c>
    </row>
    <row r="26" spans="2:6" x14ac:dyDescent="0.3">
      <c r="B26" s="136">
        <v>2</v>
      </c>
      <c r="C26" s="150">
        <v>0.64</v>
      </c>
      <c r="D26" s="137">
        <v>0.45</v>
      </c>
      <c r="E26" s="137">
        <v>0.33</v>
      </c>
      <c r="F26" s="137">
        <v>0.21</v>
      </c>
    </row>
    <row r="27" spans="2:6" x14ac:dyDescent="0.3">
      <c r="B27" s="136">
        <v>1</v>
      </c>
      <c r="C27" s="150">
        <v>0.74</v>
      </c>
      <c r="D27" s="137">
        <v>0.59</v>
      </c>
      <c r="E27" s="137">
        <v>0.49</v>
      </c>
      <c r="F27" s="137">
        <v>0.36</v>
      </c>
    </row>
    <row r="28" spans="2:6" x14ac:dyDescent="0.3">
      <c r="B28" s="136">
        <v>0.5</v>
      </c>
      <c r="C28" s="150">
        <v>0.82</v>
      </c>
      <c r="D28" s="137">
        <v>0.67</v>
      </c>
      <c r="E28" s="137">
        <v>0.6</v>
      </c>
      <c r="F28" s="137">
        <v>0.49</v>
      </c>
    </row>
    <row r="29" spans="2:6" x14ac:dyDescent="0.3">
      <c r="B29" s="136">
        <v>0.25</v>
      </c>
      <c r="C29" s="150">
        <v>0.85</v>
      </c>
      <c r="D29" s="137">
        <v>0.72</v>
      </c>
      <c r="E29" s="137">
        <v>0.67</v>
      </c>
      <c r="F29" s="137">
        <v>0.56999999999999995</v>
      </c>
    </row>
    <row r="32" spans="2:6" x14ac:dyDescent="0.3">
      <c r="B32" t="s">
        <v>351</v>
      </c>
    </row>
    <row r="33" spans="2:3" x14ac:dyDescent="0.3">
      <c r="B33" t="s">
        <v>352</v>
      </c>
      <c r="C33" s="138">
        <v>0.55000000000000004</v>
      </c>
    </row>
    <row r="34" spans="2:3" x14ac:dyDescent="0.3">
      <c r="B34" t="s">
        <v>353</v>
      </c>
      <c r="C34" s="138">
        <v>0.56999999999999995</v>
      </c>
    </row>
  </sheetData>
  <mergeCells count="2">
    <mergeCell ref="C20:F21"/>
    <mergeCell ref="B20:B22"/>
  </mergeCells>
  <pageMargins left="0.7" right="0.7" top="0.75" bottom="0.75" header="0.3" footer="0.3"/>
  <pageSetup scale="63"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9B8E8-EF64-4F22-92F0-C400D61D688B}">
  <sheetPr>
    <pageSetUpPr fitToPage="1"/>
  </sheetPr>
  <dimension ref="A1:L500"/>
  <sheetViews>
    <sheetView workbookViewId="0">
      <pane ySplit="2" topLeftCell="A3" activePane="bottomLeft" state="frozen"/>
      <selection pane="bottomLeft" activeCell="C17" sqref="C17"/>
    </sheetView>
  </sheetViews>
  <sheetFormatPr defaultRowHeight="14.4" x14ac:dyDescent="0.3"/>
  <cols>
    <col min="1" max="1" width="19.109375" bestFit="1" customWidth="1"/>
    <col min="2" max="2" width="45.33203125" customWidth="1"/>
    <col min="3" max="3" width="21.88671875" customWidth="1"/>
    <col min="4" max="4" width="22.33203125" customWidth="1"/>
    <col min="5" max="5" width="10.109375" customWidth="1"/>
    <col min="6" max="6" width="11.88671875" customWidth="1"/>
    <col min="7" max="7" width="16.6640625" customWidth="1"/>
    <col min="8" max="8" width="16.109375" customWidth="1"/>
    <col min="9" max="9" width="14.44140625" customWidth="1"/>
    <col min="10" max="10" width="36.5546875" customWidth="1"/>
    <col min="11" max="11" width="13.6640625" customWidth="1"/>
    <col min="12" max="12" width="11.6640625" bestFit="1" customWidth="1"/>
    <col min="13" max="13" width="12.109375" customWidth="1"/>
  </cols>
  <sheetData>
    <row r="1" spans="1:12" ht="15.6" x14ac:dyDescent="0.3">
      <c r="A1" s="58" t="s">
        <v>115</v>
      </c>
      <c r="B1" s="59"/>
      <c r="C1" s="59"/>
      <c r="D1" s="59"/>
      <c r="E1" s="59"/>
      <c r="F1" s="59"/>
      <c r="G1" s="59"/>
      <c r="H1" s="59"/>
      <c r="I1" s="55" t="s">
        <v>388</v>
      </c>
      <c r="J1" s="56"/>
    </row>
    <row r="2" spans="1:12" ht="46.8" x14ac:dyDescent="0.3">
      <c r="A2" s="73" t="s">
        <v>171</v>
      </c>
      <c r="B2" s="52" t="s">
        <v>0</v>
      </c>
      <c r="C2" s="52" t="s">
        <v>52</v>
      </c>
      <c r="D2" s="52" t="s">
        <v>51</v>
      </c>
      <c r="E2" s="53" t="s">
        <v>157</v>
      </c>
      <c r="F2" s="53" t="s">
        <v>158</v>
      </c>
      <c r="G2" s="52" t="s">
        <v>233</v>
      </c>
      <c r="H2" s="52" t="s">
        <v>174</v>
      </c>
      <c r="I2" s="54" t="s">
        <v>54</v>
      </c>
      <c r="J2" s="54" t="s">
        <v>389</v>
      </c>
    </row>
    <row r="3" spans="1:12" x14ac:dyDescent="0.3">
      <c r="A3" s="69"/>
      <c r="B3" s="69"/>
      <c r="C3" s="69"/>
      <c r="D3" s="69"/>
      <c r="E3" s="70"/>
      <c r="F3" s="70"/>
      <c r="G3" s="69"/>
      <c r="H3" s="71"/>
      <c r="I3" s="69"/>
      <c r="J3" s="72"/>
    </row>
    <row r="4" spans="1:12" x14ac:dyDescent="0.3">
      <c r="A4" s="65" t="s">
        <v>434</v>
      </c>
      <c r="B4" s="65" t="s">
        <v>435</v>
      </c>
      <c r="C4" s="65" t="s">
        <v>312</v>
      </c>
      <c r="D4" s="65" t="s">
        <v>6</v>
      </c>
      <c r="E4" s="66"/>
      <c r="F4" s="66"/>
      <c r="G4" s="65" t="s">
        <v>432</v>
      </c>
      <c r="H4" s="65" t="s">
        <v>66</v>
      </c>
      <c r="I4" s="65" t="s">
        <v>446</v>
      </c>
      <c r="J4" s="67" t="s">
        <v>62</v>
      </c>
      <c r="K4" s="39"/>
      <c r="L4" s="36"/>
    </row>
    <row r="5" spans="1:12" x14ac:dyDescent="0.3">
      <c r="A5" s="65" t="s">
        <v>436</v>
      </c>
      <c r="B5" s="65" t="s">
        <v>437</v>
      </c>
      <c r="C5" s="65" t="s">
        <v>312</v>
      </c>
      <c r="D5" s="65" t="s">
        <v>6</v>
      </c>
      <c r="E5" s="66"/>
      <c r="F5" s="66"/>
      <c r="G5" s="68" t="s">
        <v>433</v>
      </c>
      <c r="H5" s="68" t="s">
        <v>66</v>
      </c>
      <c r="I5" s="65" t="s">
        <v>447</v>
      </c>
      <c r="J5" s="65" t="s">
        <v>62</v>
      </c>
      <c r="K5" s="36"/>
      <c r="L5" s="36"/>
    </row>
    <row r="6" spans="1:12" x14ac:dyDescent="0.3">
      <c r="A6" s="65"/>
      <c r="B6" s="65"/>
      <c r="C6" s="65"/>
      <c r="D6" s="65"/>
      <c r="E6" s="66"/>
      <c r="F6" s="66"/>
      <c r="G6" s="68"/>
      <c r="H6" s="68"/>
      <c r="I6" s="65"/>
      <c r="J6" s="65"/>
      <c r="K6" s="36"/>
      <c r="L6" s="36"/>
    </row>
    <row r="7" spans="1:12" x14ac:dyDescent="0.3">
      <c r="A7" s="65"/>
      <c r="B7" s="65"/>
      <c r="C7" s="65"/>
      <c r="D7" s="65"/>
      <c r="E7" s="66"/>
      <c r="F7" s="66"/>
      <c r="G7" s="65"/>
      <c r="H7" s="65"/>
      <c r="I7" s="65"/>
      <c r="J7" s="65"/>
      <c r="K7" s="36"/>
      <c r="L7" s="36"/>
    </row>
    <row r="8" spans="1:12" x14ac:dyDescent="0.3">
      <c r="A8" s="65"/>
      <c r="B8" s="65"/>
      <c r="C8" s="65"/>
      <c r="D8" s="65"/>
      <c r="E8" s="66"/>
      <c r="F8" s="66"/>
      <c r="G8" s="65"/>
      <c r="H8" s="65"/>
      <c r="I8" s="65"/>
      <c r="J8" s="65"/>
      <c r="K8" s="39"/>
      <c r="L8" s="36"/>
    </row>
    <row r="9" spans="1:12" x14ac:dyDescent="0.3">
      <c r="A9" s="65"/>
      <c r="B9" s="65"/>
      <c r="C9" s="65"/>
      <c r="D9" s="65"/>
      <c r="E9" s="66"/>
      <c r="F9" s="66"/>
      <c r="G9" s="65"/>
      <c r="H9" s="65"/>
      <c r="I9" s="65"/>
      <c r="J9" s="65"/>
      <c r="K9" s="36"/>
      <c r="L9" s="36"/>
    </row>
    <row r="10" spans="1:12" x14ac:dyDescent="0.3">
      <c r="A10" s="65"/>
      <c r="B10" s="65"/>
      <c r="C10" s="65"/>
      <c r="D10" s="65"/>
      <c r="E10" s="66"/>
      <c r="F10" s="66"/>
      <c r="G10" s="65"/>
      <c r="H10" s="65"/>
      <c r="I10" s="65"/>
      <c r="J10" s="65"/>
      <c r="K10" s="36"/>
      <c r="L10" s="36"/>
    </row>
    <row r="11" spans="1:12" x14ac:dyDescent="0.3">
      <c r="A11" s="65"/>
      <c r="B11" s="65"/>
      <c r="C11" s="65"/>
      <c r="D11" s="65"/>
      <c r="E11" s="66"/>
      <c r="F11" s="66"/>
      <c r="G11" s="65"/>
      <c r="H11" s="65"/>
      <c r="I11" s="65"/>
      <c r="J11" s="65"/>
      <c r="K11" s="36"/>
      <c r="L11" s="36"/>
    </row>
    <row r="12" spans="1:12" x14ac:dyDescent="0.3">
      <c r="A12" s="65"/>
      <c r="B12" s="65"/>
      <c r="C12" s="65"/>
      <c r="D12" s="65"/>
      <c r="E12" s="66"/>
      <c r="F12" s="66"/>
      <c r="G12" s="65"/>
      <c r="H12" s="65"/>
      <c r="I12" s="65"/>
      <c r="J12" s="65"/>
      <c r="K12" s="36"/>
      <c r="L12" s="36"/>
    </row>
    <row r="13" spans="1:12" x14ac:dyDescent="0.3">
      <c r="A13" s="65"/>
      <c r="B13" s="65"/>
      <c r="C13" s="65"/>
      <c r="D13" s="65"/>
      <c r="E13" s="66"/>
      <c r="F13" s="66"/>
      <c r="G13" s="65"/>
      <c r="H13" s="65"/>
      <c r="I13" s="65"/>
      <c r="J13" s="65"/>
      <c r="K13" s="36"/>
      <c r="L13" s="36"/>
    </row>
    <row r="14" spans="1:12" x14ac:dyDescent="0.3">
      <c r="A14" s="65"/>
      <c r="B14" s="65"/>
      <c r="C14" s="65"/>
      <c r="D14" s="65"/>
      <c r="E14" s="66"/>
      <c r="F14" s="66"/>
      <c r="G14" s="65"/>
      <c r="H14" s="65"/>
      <c r="I14" s="65"/>
      <c r="J14" s="65"/>
      <c r="K14" s="36"/>
      <c r="L14" s="36"/>
    </row>
    <row r="15" spans="1:12" x14ac:dyDescent="0.3">
      <c r="A15" s="65"/>
      <c r="B15" s="65"/>
      <c r="C15" s="65"/>
      <c r="D15" s="65"/>
      <c r="E15" s="66"/>
      <c r="F15" s="66"/>
      <c r="G15" s="65"/>
      <c r="H15" s="65"/>
      <c r="I15" s="65"/>
      <c r="J15" s="65"/>
      <c r="K15" s="36"/>
      <c r="L15" s="36"/>
    </row>
    <row r="16" spans="1:12" x14ac:dyDescent="0.3">
      <c r="A16" s="65"/>
      <c r="B16" s="65"/>
      <c r="C16" s="65"/>
      <c r="D16" s="65"/>
      <c r="E16" s="66"/>
      <c r="F16" s="66"/>
      <c r="G16" s="65"/>
      <c r="H16" s="65"/>
      <c r="I16" s="65"/>
      <c r="J16" s="65"/>
      <c r="K16" s="36"/>
      <c r="L16" s="36"/>
    </row>
    <row r="17" spans="1:12" x14ac:dyDescent="0.3">
      <c r="A17" s="65"/>
      <c r="B17" s="65"/>
      <c r="C17" s="65"/>
      <c r="D17" s="65"/>
      <c r="E17" s="66"/>
      <c r="F17" s="66"/>
      <c r="G17" s="65"/>
      <c r="H17" s="65"/>
      <c r="I17" s="65"/>
      <c r="J17" s="65"/>
      <c r="K17" s="36"/>
      <c r="L17" s="36"/>
    </row>
    <row r="18" spans="1:12" x14ac:dyDescent="0.3">
      <c r="A18" s="65"/>
      <c r="B18" s="65"/>
      <c r="C18" s="65"/>
      <c r="D18" s="65"/>
      <c r="E18" s="66"/>
      <c r="F18" s="66"/>
      <c r="G18" s="65"/>
      <c r="H18" s="65"/>
      <c r="I18" s="65"/>
      <c r="J18" s="65"/>
      <c r="K18" s="36"/>
      <c r="L18" s="36"/>
    </row>
    <row r="19" spans="1:12" x14ac:dyDescent="0.3">
      <c r="A19" s="65"/>
      <c r="B19" s="65"/>
      <c r="C19" s="65"/>
      <c r="D19" s="65"/>
      <c r="E19" s="66"/>
      <c r="F19" s="66"/>
      <c r="G19" s="65"/>
      <c r="H19" s="65"/>
      <c r="I19" s="65"/>
      <c r="J19" s="65"/>
      <c r="K19" s="36"/>
      <c r="L19" s="36"/>
    </row>
    <row r="20" spans="1:12" x14ac:dyDescent="0.3">
      <c r="A20" s="65"/>
      <c r="B20" s="65"/>
      <c r="C20" s="65"/>
      <c r="D20" s="65"/>
      <c r="E20" s="66"/>
      <c r="F20" s="66"/>
      <c r="G20" s="65"/>
      <c r="H20" s="65"/>
      <c r="I20" s="65"/>
      <c r="J20" s="65"/>
      <c r="K20" s="36"/>
      <c r="L20" s="36"/>
    </row>
    <row r="21" spans="1:12" x14ac:dyDescent="0.3">
      <c r="A21" s="65"/>
      <c r="B21" s="65"/>
      <c r="C21" s="65"/>
      <c r="D21" s="65"/>
      <c r="E21" s="66"/>
      <c r="F21" s="66"/>
      <c r="G21" s="65"/>
      <c r="H21" s="65"/>
      <c r="I21" s="65"/>
      <c r="J21" s="65"/>
      <c r="K21" s="36"/>
      <c r="L21" s="36"/>
    </row>
    <row r="22" spans="1:12" x14ac:dyDescent="0.3">
      <c r="A22" s="65"/>
      <c r="B22" s="65"/>
      <c r="C22" s="65"/>
      <c r="D22" s="65"/>
      <c r="E22" s="66"/>
      <c r="F22" s="66"/>
      <c r="G22" s="65"/>
      <c r="H22" s="65"/>
      <c r="I22" s="65"/>
      <c r="J22" s="65"/>
      <c r="K22" s="36"/>
      <c r="L22" s="36"/>
    </row>
    <row r="23" spans="1:12" x14ac:dyDescent="0.3">
      <c r="A23" s="65"/>
      <c r="B23" s="65"/>
      <c r="C23" s="65"/>
      <c r="D23" s="65"/>
      <c r="E23" s="66"/>
      <c r="F23" s="66"/>
      <c r="G23" s="65"/>
      <c r="H23" s="65"/>
      <c r="I23" s="65"/>
      <c r="J23" s="65"/>
      <c r="K23" s="36"/>
      <c r="L23" s="36"/>
    </row>
    <row r="24" spans="1:12" x14ac:dyDescent="0.3">
      <c r="A24" s="65"/>
      <c r="B24" s="65"/>
      <c r="C24" s="65"/>
      <c r="D24" s="65"/>
      <c r="E24" s="66"/>
      <c r="F24" s="66"/>
      <c r="G24" s="65"/>
      <c r="H24" s="65"/>
      <c r="I24" s="65"/>
      <c r="J24" s="65"/>
      <c r="K24" s="36"/>
      <c r="L24" s="36"/>
    </row>
    <row r="25" spans="1:12" x14ac:dyDescent="0.3">
      <c r="A25" s="65"/>
      <c r="B25" s="65"/>
      <c r="C25" s="65"/>
      <c r="D25" s="65"/>
      <c r="E25" s="66"/>
      <c r="F25" s="66"/>
      <c r="G25" s="65"/>
      <c r="H25" s="65"/>
      <c r="I25" s="65"/>
      <c r="J25" s="65"/>
      <c r="K25" s="36"/>
      <c r="L25" s="36"/>
    </row>
    <row r="26" spans="1:12" x14ac:dyDescent="0.3">
      <c r="A26" s="65"/>
      <c r="B26" s="65"/>
      <c r="C26" s="65"/>
      <c r="D26" s="65"/>
      <c r="E26" s="66"/>
      <c r="F26" s="66"/>
      <c r="G26" s="65"/>
      <c r="H26" s="65"/>
      <c r="I26" s="65"/>
      <c r="J26" s="65"/>
      <c r="K26" s="36"/>
      <c r="L26" s="36"/>
    </row>
    <row r="27" spans="1:12" x14ac:dyDescent="0.3">
      <c r="A27" s="65"/>
      <c r="B27" s="65"/>
      <c r="C27" s="65"/>
      <c r="D27" s="65"/>
      <c r="E27" s="66"/>
      <c r="F27" s="66"/>
      <c r="G27" s="65"/>
      <c r="H27" s="65"/>
      <c r="I27" s="65"/>
      <c r="J27" s="65"/>
      <c r="K27" s="36"/>
      <c r="L27" s="36"/>
    </row>
    <row r="28" spans="1:12" x14ac:dyDescent="0.3">
      <c r="A28" s="65"/>
      <c r="B28" s="65"/>
      <c r="C28" s="65"/>
      <c r="D28" s="65"/>
      <c r="E28" s="66"/>
      <c r="F28" s="66"/>
      <c r="G28" s="65"/>
      <c r="H28" s="65"/>
      <c r="I28" s="65"/>
      <c r="J28" s="65"/>
      <c r="K28" s="36"/>
      <c r="L28" s="36"/>
    </row>
    <row r="29" spans="1:12" x14ac:dyDescent="0.3">
      <c r="A29" s="65"/>
      <c r="B29" s="65"/>
      <c r="C29" s="65"/>
      <c r="D29" s="65"/>
      <c r="E29" s="66"/>
      <c r="F29" s="66"/>
      <c r="G29" s="65"/>
      <c r="H29" s="65"/>
      <c r="I29" s="65"/>
      <c r="J29" s="65"/>
      <c r="K29" s="36"/>
      <c r="L29" s="36"/>
    </row>
    <row r="30" spans="1:12" x14ac:dyDescent="0.3">
      <c r="A30" s="65"/>
      <c r="B30" s="65"/>
      <c r="C30" s="65"/>
      <c r="D30" s="65"/>
      <c r="E30" s="66"/>
      <c r="F30" s="66"/>
      <c r="G30" s="65"/>
      <c r="H30" s="65"/>
      <c r="I30" s="65"/>
      <c r="J30" s="65"/>
      <c r="K30" s="36"/>
      <c r="L30" s="36"/>
    </row>
    <row r="31" spans="1:12" x14ac:dyDescent="0.3">
      <c r="A31" s="65"/>
      <c r="B31" s="65"/>
      <c r="C31" s="65"/>
      <c r="D31" s="65"/>
      <c r="E31" s="66"/>
      <c r="F31" s="66"/>
      <c r="G31" s="65"/>
      <c r="H31" s="65"/>
      <c r="I31" s="65"/>
      <c r="J31" s="65"/>
      <c r="K31" s="36"/>
      <c r="L31" s="36"/>
    </row>
    <row r="32" spans="1:12" x14ac:dyDescent="0.3">
      <c r="A32" s="65"/>
      <c r="B32" s="65"/>
      <c r="C32" s="65"/>
      <c r="D32" s="65"/>
      <c r="E32" s="66"/>
      <c r="F32" s="66"/>
      <c r="G32" s="65"/>
      <c r="H32" s="65"/>
      <c r="I32" s="65"/>
      <c r="J32" s="65"/>
      <c r="K32" s="36"/>
      <c r="L32" s="36"/>
    </row>
    <row r="33" spans="1:12" x14ac:dyDescent="0.3">
      <c r="A33" s="65"/>
      <c r="B33" s="65"/>
      <c r="C33" s="65"/>
      <c r="D33" s="65"/>
      <c r="E33" s="66"/>
      <c r="F33" s="66"/>
      <c r="G33" s="65"/>
      <c r="H33" s="65"/>
      <c r="I33" s="65"/>
      <c r="J33" s="65"/>
      <c r="K33" s="36"/>
      <c r="L33" s="36"/>
    </row>
    <row r="34" spans="1:12" x14ac:dyDescent="0.3">
      <c r="A34" s="65"/>
      <c r="B34" s="65"/>
      <c r="C34" s="65"/>
      <c r="D34" s="65"/>
      <c r="E34" s="66"/>
      <c r="F34" s="66"/>
      <c r="G34" s="65"/>
      <c r="H34" s="65"/>
      <c r="I34" s="65"/>
      <c r="J34" s="65"/>
      <c r="K34" s="36"/>
      <c r="L34" s="36"/>
    </row>
    <row r="35" spans="1:12" x14ac:dyDescent="0.3">
      <c r="A35" s="65"/>
      <c r="B35" s="65"/>
      <c r="C35" s="65"/>
      <c r="D35" s="65"/>
      <c r="E35" s="66"/>
      <c r="F35" s="66"/>
      <c r="G35" s="65"/>
      <c r="H35" s="65"/>
      <c r="I35" s="65"/>
      <c r="J35" s="65"/>
      <c r="K35" s="36"/>
      <c r="L35" s="36"/>
    </row>
    <row r="36" spans="1:12" x14ac:dyDescent="0.3">
      <c r="A36" s="65"/>
      <c r="B36" s="65"/>
      <c r="C36" s="65"/>
      <c r="D36" s="65"/>
      <c r="E36" s="66"/>
      <c r="F36" s="66"/>
      <c r="G36" s="65"/>
      <c r="H36" s="65"/>
      <c r="I36" s="65"/>
      <c r="J36" s="65"/>
      <c r="K36" s="36"/>
      <c r="L36" s="36"/>
    </row>
    <row r="37" spans="1:12" x14ac:dyDescent="0.3">
      <c r="A37" s="65"/>
      <c r="B37" s="65"/>
      <c r="C37" s="65"/>
      <c r="D37" s="65"/>
      <c r="E37" s="66"/>
      <c r="F37" s="66"/>
      <c r="G37" s="65"/>
      <c r="H37" s="65"/>
      <c r="I37" s="65"/>
      <c r="J37" s="65"/>
      <c r="K37" s="36"/>
      <c r="L37" s="36"/>
    </row>
    <row r="38" spans="1:12" x14ac:dyDescent="0.3">
      <c r="A38" s="65"/>
      <c r="B38" s="65"/>
      <c r="C38" s="65"/>
      <c r="D38" s="65"/>
      <c r="E38" s="66"/>
      <c r="F38" s="66"/>
      <c r="G38" s="65"/>
      <c r="H38" s="65"/>
      <c r="I38" s="65"/>
      <c r="J38" s="65"/>
      <c r="K38" s="36"/>
      <c r="L38" s="36"/>
    </row>
    <row r="39" spans="1:12" x14ac:dyDescent="0.3">
      <c r="A39" s="65"/>
      <c r="B39" s="65"/>
      <c r="C39" s="65"/>
      <c r="D39" s="65"/>
      <c r="E39" s="66"/>
      <c r="F39" s="66"/>
      <c r="G39" s="65"/>
      <c r="H39" s="65"/>
      <c r="I39" s="65"/>
      <c r="J39" s="65"/>
      <c r="K39" s="36"/>
      <c r="L39" s="36"/>
    </row>
    <row r="40" spans="1:12" x14ac:dyDescent="0.3">
      <c r="A40" s="65"/>
      <c r="B40" s="65"/>
      <c r="C40" s="65"/>
      <c r="D40" s="65"/>
      <c r="E40" s="66"/>
      <c r="F40" s="66"/>
      <c r="G40" s="65"/>
      <c r="H40" s="65"/>
      <c r="I40" s="65"/>
      <c r="J40" s="65"/>
      <c r="K40" s="36"/>
      <c r="L40" s="36"/>
    </row>
    <row r="41" spans="1:12" x14ac:dyDescent="0.3">
      <c r="A41" s="65"/>
      <c r="B41" s="65"/>
      <c r="C41" s="65"/>
      <c r="D41" s="65"/>
      <c r="E41" s="66"/>
      <c r="F41" s="66"/>
      <c r="G41" s="65"/>
      <c r="H41" s="65"/>
      <c r="I41" s="65"/>
      <c r="J41" s="65"/>
      <c r="K41" s="36"/>
      <c r="L41" s="36"/>
    </row>
    <row r="42" spans="1:12" x14ac:dyDescent="0.3">
      <c r="A42" s="65"/>
      <c r="B42" s="65"/>
      <c r="C42" s="65"/>
      <c r="D42" s="65"/>
      <c r="E42" s="66"/>
      <c r="F42" s="66"/>
      <c r="G42" s="65"/>
      <c r="H42" s="65"/>
      <c r="I42" s="65"/>
      <c r="J42" s="65"/>
      <c r="K42" s="36"/>
      <c r="L42" s="36"/>
    </row>
    <row r="43" spans="1:12" x14ac:dyDescent="0.3">
      <c r="A43" s="65"/>
      <c r="B43" s="65"/>
      <c r="C43" s="65"/>
      <c r="D43" s="65"/>
      <c r="E43" s="66"/>
      <c r="F43" s="66"/>
      <c r="G43" s="65"/>
      <c r="H43" s="65"/>
      <c r="I43" s="65"/>
      <c r="J43" s="65"/>
      <c r="K43" s="36"/>
      <c r="L43" s="36"/>
    </row>
    <row r="44" spans="1:12" x14ac:dyDescent="0.3">
      <c r="A44" s="65"/>
      <c r="B44" s="65"/>
      <c r="C44" s="65"/>
      <c r="D44" s="65"/>
      <c r="E44" s="66"/>
      <c r="F44" s="66"/>
      <c r="G44" s="65"/>
      <c r="H44" s="65"/>
      <c r="I44" s="65"/>
      <c r="J44" s="65"/>
      <c r="K44" s="36"/>
      <c r="L44" s="36"/>
    </row>
    <row r="45" spans="1:12" x14ac:dyDescent="0.3">
      <c r="A45" s="65"/>
      <c r="B45" s="65"/>
      <c r="C45" s="65"/>
      <c r="D45" s="65"/>
      <c r="E45" s="66"/>
      <c r="F45" s="66"/>
      <c r="G45" s="65"/>
      <c r="H45" s="65"/>
      <c r="I45" s="65"/>
      <c r="J45" s="65"/>
      <c r="K45" s="36"/>
      <c r="L45" s="36"/>
    </row>
    <row r="46" spans="1:12" x14ac:dyDescent="0.3">
      <c r="A46" s="65"/>
      <c r="B46" s="65"/>
      <c r="C46" s="65"/>
      <c r="D46" s="65"/>
      <c r="E46" s="66"/>
      <c r="F46" s="66"/>
      <c r="G46" s="65"/>
      <c r="H46" s="65"/>
      <c r="I46" s="65"/>
      <c r="J46" s="65"/>
      <c r="K46" s="36"/>
      <c r="L46" s="36"/>
    </row>
    <row r="47" spans="1:12" x14ac:dyDescent="0.3">
      <c r="A47" s="65"/>
      <c r="B47" s="65"/>
      <c r="C47" s="65"/>
      <c r="D47" s="65"/>
      <c r="E47" s="66"/>
      <c r="F47" s="66"/>
      <c r="G47" s="65"/>
      <c r="H47" s="65"/>
      <c r="I47" s="65"/>
      <c r="J47" s="65"/>
      <c r="K47" s="36"/>
      <c r="L47" s="36"/>
    </row>
    <row r="48" spans="1:12" x14ac:dyDescent="0.3">
      <c r="A48" s="65"/>
      <c r="B48" s="65"/>
      <c r="C48" s="65"/>
      <c r="D48" s="65"/>
      <c r="E48" s="66"/>
      <c r="F48" s="66"/>
      <c r="G48" s="65"/>
      <c r="H48" s="65"/>
      <c r="I48" s="65"/>
      <c r="J48" s="65"/>
      <c r="K48" s="36"/>
      <c r="L48" s="36"/>
    </row>
    <row r="49" spans="1:12" x14ac:dyDescent="0.3">
      <c r="A49" s="65"/>
      <c r="B49" s="65"/>
      <c r="C49" s="65"/>
      <c r="D49" s="65"/>
      <c r="E49" s="66"/>
      <c r="F49" s="66"/>
      <c r="G49" s="65"/>
      <c r="H49" s="65"/>
      <c r="I49" s="65"/>
      <c r="J49" s="65"/>
      <c r="K49" s="36"/>
      <c r="L49" s="36"/>
    </row>
    <row r="50" spans="1:12" x14ac:dyDescent="0.3">
      <c r="A50" s="65"/>
      <c r="B50" s="65"/>
      <c r="C50" s="65"/>
      <c r="D50" s="65"/>
      <c r="E50" s="66"/>
      <c r="F50" s="66"/>
      <c r="G50" s="65"/>
      <c r="H50" s="65"/>
      <c r="I50" s="65"/>
      <c r="J50" s="65"/>
      <c r="K50" s="36"/>
      <c r="L50" s="36"/>
    </row>
    <row r="51" spans="1:12" x14ac:dyDescent="0.3">
      <c r="A51" s="65"/>
      <c r="B51" s="65"/>
      <c r="C51" s="65"/>
      <c r="D51" s="65"/>
      <c r="E51" s="66"/>
      <c r="F51" s="66"/>
      <c r="G51" s="65"/>
      <c r="H51" s="65"/>
      <c r="I51" s="65"/>
      <c r="J51" s="65"/>
      <c r="K51" s="36"/>
      <c r="L51" s="36"/>
    </row>
    <row r="52" spans="1:12" x14ac:dyDescent="0.3">
      <c r="A52" s="65"/>
      <c r="B52" s="65"/>
      <c r="C52" s="65"/>
      <c r="D52" s="65"/>
      <c r="E52" s="66"/>
      <c r="F52" s="66"/>
      <c r="G52" s="65"/>
      <c r="H52" s="65"/>
      <c r="I52" s="65"/>
      <c r="J52" s="65"/>
      <c r="K52" s="36"/>
      <c r="L52" s="36"/>
    </row>
    <row r="53" spans="1:12" x14ac:dyDescent="0.3">
      <c r="A53" s="65"/>
      <c r="B53" s="65"/>
      <c r="C53" s="65"/>
      <c r="D53" s="65"/>
      <c r="E53" s="66"/>
      <c r="F53" s="66"/>
      <c r="G53" s="65"/>
      <c r="H53" s="65"/>
      <c r="I53" s="65"/>
      <c r="J53" s="65"/>
      <c r="K53" s="36"/>
      <c r="L53" s="36"/>
    </row>
    <row r="54" spans="1:12" x14ac:dyDescent="0.3">
      <c r="A54" s="65"/>
      <c r="B54" s="65"/>
      <c r="C54" s="65"/>
      <c r="D54" s="65"/>
      <c r="E54" s="66"/>
      <c r="F54" s="66"/>
      <c r="G54" s="65"/>
      <c r="H54" s="65"/>
      <c r="I54" s="65"/>
      <c r="J54" s="65"/>
      <c r="K54" s="36"/>
      <c r="L54" s="36"/>
    </row>
    <row r="55" spans="1:12" x14ac:dyDescent="0.3">
      <c r="A55" s="65"/>
      <c r="B55" s="65"/>
      <c r="C55" s="65"/>
      <c r="D55" s="65"/>
      <c r="E55" s="66"/>
      <c r="F55" s="66"/>
      <c r="G55" s="65"/>
      <c r="H55" s="65"/>
      <c r="I55" s="65"/>
      <c r="J55" s="65"/>
      <c r="K55" s="36"/>
      <c r="L55" s="36"/>
    </row>
    <row r="56" spans="1:12" x14ac:dyDescent="0.3">
      <c r="A56" s="65"/>
      <c r="B56" s="65"/>
      <c r="C56" s="65"/>
      <c r="D56" s="65"/>
      <c r="E56" s="66"/>
      <c r="F56" s="66"/>
      <c r="G56" s="65"/>
      <c r="H56" s="65"/>
      <c r="I56" s="65"/>
      <c r="J56" s="65"/>
      <c r="K56" s="36"/>
      <c r="L56" s="36"/>
    </row>
    <row r="57" spans="1:12" x14ac:dyDescent="0.3">
      <c r="A57" s="65"/>
      <c r="B57" s="65"/>
      <c r="C57" s="65"/>
      <c r="D57" s="65"/>
      <c r="E57" s="66"/>
      <c r="F57" s="66"/>
      <c r="G57" s="65"/>
      <c r="H57" s="65"/>
      <c r="I57" s="65"/>
      <c r="J57" s="65"/>
      <c r="K57" s="36"/>
      <c r="L57" s="36"/>
    </row>
    <row r="58" spans="1:12" x14ac:dyDescent="0.3">
      <c r="A58" s="65"/>
      <c r="B58" s="65"/>
      <c r="C58" s="65"/>
      <c r="D58" s="65"/>
      <c r="E58" s="66"/>
      <c r="F58" s="66"/>
      <c r="G58" s="65"/>
      <c r="H58" s="65"/>
      <c r="I58" s="65"/>
      <c r="J58" s="65"/>
      <c r="K58" s="36"/>
      <c r="L58" s="36"/>
    </row>
    <row r="59" spans="1:12" x14ac:dyDescent="0.3">
      <c r="A59" s="65"/>
      <c r="B59" s="65"/>
      <c r="C59" s="65"/>
      <c r="D59" s="65"/>
      <c r="E59" s="66"/>
      <c r="F59" s="66"/>
      <c r="G59" s="65"/>
      <c r="H59" s="65"/>
      <c r="I59" s="65"/>
      <c r="J59" s="65"/>
      <c r="K59" s="36"/>
      <c r="L59" s="36"/>
    </row>
    <row r="60" spans="1:12" x14ac:dyDescent="0.3">
      <c r="A60" s="65"/>
      <c r="B60" s="65"/>
      <c r="C60" s="65"/>
      <c r="D60" s="65"/>
      <c r="E60" s="66"/>
      <c r="F60" s="66"/>
      <c r="G60" s="65"/>
      <c r="H60" s="65"/>
      <c r="I60" s="65"/>
      <c r="J60" s="65"/>
      <c r="K60" s="36"/>
      <c r="L60" s="36"/>
    </row>
    <row r="61" spans="1:12" x14ac:dyDescent="0.3">
      <c r="A61" s="65"/>
      <c r="B61" s="65"/>
      <c r="C61" s="65"/>
      <c r="D61" s="65"/>
      <c r="E61" s="66"/>
      <c r="F61" s="66"/>
      <c r="G61" s="65"/>
      <c r="H61" s="65"/>
      <c r="I61" s="65"/>
      <c r="J61" s="65"/>
      <c r="K61" s="36"/>
      <c r="L61" s="36"/>
    </row>
    <row r="62" spans="1:12" x14ac:dyDescent="0.3">
      <c r="A62" s="65"/>
      <c r="B62" s="65"/>
      <c r="C62" s="65"/>
      <c r="D62" s="65"/>
      <c r="E62" s="66"/>
      <c r="F62" s="66"/>
      <c r="G62" s="65"/>
      <c r="H62" s="65"/>
      <c r="I62" s="65"/>
      <c r="J62" s="65"/>
      <c r="K62" s="36"/>
      <c r="L62" s="36"/>
    </row>
    <row r="63" spans="1:12" x14ac:dyDescent="0.3">
      <c r="A63" s="65"/>
      <c r="B63" s="65"/>
      <c r="C63" s="65"/>
      <c r="D63" s="65"/>
      <c r="E63" s="66"/>
      <c r="F63" s="66"/>
      <c r="G63" s="65"/>
      <c r="H63" s="65"/>
      <c r="I63" s="65"/>
      <c r="J63" s="65"/>
      <c r="K63" s="36"/>
      <c r="L63" s="36"/>
    </row>
    <row r="64" spans="1:12" x14ac:dyDescent="0.3">
      <c r="A64" s="65"/>
      <c r="B64" s="65"/>
      <c r="C64" s="65"/>
      <c r="D64" s="65"/>
      <c r="E64" s="66"/>
      <c r="F64" s="66"/>
      <c r="G64" s="65"/>
      <c r="H64" s="65"/>
      <c r="I64" s="65"/>
      <c r="J64" s="65"/>
      <c r="K64" s="36"/>
      <c r="L64" s="36"/>
    </row>
    <row r="65" spans="1:12" x14ac:dyDescent="0.3">
      <c r="A65" s="65"/>
      <c r="B65" s="65"/>
      <c r="C65" s="65"/>
      <c r="D65" s="65"/>
      <c r="E65" s="66"/>
      <c r="F65" s="66"/>
      <c r="G65" s="65"/>
      <c r="H65" s="65"/>
      <c r="I65" s="65"/>
      <c r="J65" s="65"/>
      <c r="K65" s="36"/>
      <c r="L65" s="36"/>
    </row>
    <row r="66" spans="1:12" x14ac:dyDescent="0.3">
      <c r="A66" s="65"/>
      <c r="B66" s="65"/>
      <c r="C66" s="65"/>
      <c r="D66" s="65"/>
      <c r="E66" s="66"/>
      <c r="F66" s="66"/>
      <c r="G66" s="65"/>
      <c r="H66" s="65"/>
      <c r="I66" s="65"/>
      <c r="J66" s="65"/>
      <c r="K66" s="36"/>
      <c r="L66" s="36"/>
    </row>
    <row r="67" spans="1:12" x14ac:dyDescent="0.3">
      <c r="A67" s="65"/>
      <c r="B67" s="65"/>
      <c r="C67" s="65"/>
      <c r="D67" s="65"/>
      <c r="E67" s="66"/>
      <c r="F67" s="66"/>
      <c r="G67" s="65"/>
      <c r="H67" s="65"/>
      <c r="I67" s="65"/>
      <c r="J67" s="65"/>
      <c r="K67" s="36"/>
      <c r="L67" s="36"/>
    </row>
    <row r="68" spans="1:12" x14ac:dyDescent="0.3">
      <c r="A68" s="65"/>
      <c r="B68" s="65"/>
      <c r="C68" s="65"/>
      <c r="D68" s="65"/>
      <c r="E68" s="66"/>
      <c r="F68" s="66"/>
      <c r="G68" s="65"/>
      <c r="H68" s="65"/>
      <c r="I68" s="65"/>
      <c r="J68" s="65"/>
      <c r="K68" s="36"/>
      <c r="L68" s="36"/>
    </row>
    <row r="69" spans="1:12" x14ac:dyDescent="0.3">
      <c r="A69" s="65"/>
      <c r="B69" s="65"/>
      <c r="C69" s="65"/>
      <c r="D69" s="65"/>
      <c r="E69" s="66"/>
      <c r="F69" s="66"/>
      <c r="G69" s="65"/>
      <c r="H69" s="65"/>
      <c r="I69" s="65"/>
      <c r="J69" s="65"/>
      <c r="K69" s="36"/>
      <c r="L69" s="36"/>
    </row>
    <row r="70" spans="1:12" x14ac:dyDescent="0.3">
      <c r="A70" s="65"/>
      <c r="B70" s="65"/>
      <c r="C70" s="65"/>
      <c r="D70" s="65"/>
      <c r="E70" s="66"/>
      <c r="F70" s="66"/>
      <c r="G70" s="65"/>
      <c r="H70" s="65"/>
      <c r="I70" s="65"/>
      <c r="J70" s="65"/>
      <c r="K70" s="36"/>
      <c r="L70" s="36"/>
    </row>
    <row r="71" spans="1:12" x14ac:dyDescent="0.3">
      <c r="A71" s="65"/>
      <c r="B71" s="65"/>
      <c r="C71" s="65"/>
      <c r="D71" s="65"/>
      <c r="E71" s="66"/>
      <c r="F71" s="66"/>
      <c r="G71" s="65"/>
      <c r="H71" s="65"/>
      <c r="I71" s="65"/>
      <c r="J71" s="65"/>
      <c r="K71" s="36"/>
      <c r="L71" s="36"/>
    </row>
    <row r="72" spans="1:12" x14ac:dyDescent="0.3">
      <c r="A72" s="65"/>
      <c r="B72" s="65"/>
      <c r="C72" s="65"/>
      <c r="D72" s="65"/>
      <c r="E72" s="66"/>
      <c r="F72" s="66"/>
      <c r="G72" s="65"/>
      <c r="H72" s="65"/>
      <c r="I72" s="65"/>
      <c r="J72" s="65"/>
      <c r="K72" s="36"/>
      <c r="L72" s="36"/>
    </row>
    <row r="73" spans="1:12" x14ac:dyDescent="0.3">
      <c r="A73" s="65"/>
      <c r="B73" s="65"/>
      <c r="C73" s="65"/>
      <c r="D73" s="65"/>
      <c r="E73" s="66"/>
      <c r="F73" s="66"/>
      <c r="G73" s="65"/>
      <c r="H73" s="65"/>
      <c r="I73" s="65"/>
      <c r="J73" s="65"/>
      <c r="K73" s="36"/>
      <c r="L73" s="36"/>
    </row>
    <row r="74" spans="1:12" x14ac:dyDescent="0.3">
      <c r="A74" s="65"/>
      <c r="B74" s="65"/>
      <c r="C74" s="65"/>
      <c r="D74" s="65"/>
      <c r="E74" s="66"/>
      <c r="F74" s="66"/>
      <c r="G74" s="65"/>
      <c r="H74" s="65"/>
      <c r="I74" s="65"/>
      <c r="J74" s="65"/>
      <c r="K74" s="36"/>
      <c r="L74" s="36"/>
    </row>
    <row r="75" spans="1:12" x14ac:dyDescent="0.3">
      <c r="A75" s="65"/>
      <c r="B75" s="65"/>
      <c r="C75" s="65"/>
      <c r="D75" s="65"/>
      <c r="E75" s="66"/>
      <c r="F75" s="66"/>
      <c r="G75" s="65"/>
      <c r="H75" s="65"/>
      <c r="I75" s="65"/>
      <c r="J75" s="65"/>
      <c r="K75" s="36"/>
      <c r="L75" s="36"/>
    </row>
    <row r="76" spans="1:12" x14ac:dyDescent="0.3">
      <c r="A76" s="65"/>
      <c r="B76" s="65"/>
      <c r="C76" s="65"/>
      <c r="D76" s="65"/>
      <c r="E76" s="66"/>
      <c r="F76" s="66"/>
      <c r="G76" s="65"/>
      <c r="H76" s="65"/>
      <c r="I76" s="65"/>
      <c r="J76" s="65"/>
      <c r="K76" s="36"/>
      <c r="L76" s="36"/>
    </row>
    <row r="77" spans="1:12" x14ac:dyDescent="0.3">
      <c r="A77" s="65"/>
      <c r="B77" s="65"/>
      <c r="C77" s="65"/>
      <c r="D77" s="65"/>
      <c r="E77" s="66"/>
      <c r="F77" s="66"/>
      <c r="G77" s="65"/>
      <c r="H77" s="65"/>
      <c r="I77" s="65"/>
      <c r="J77" s="65"/>
      <c r="K77" s="36"/>
      <c r="L77" s="36"/>
    </row>
    <row r="78" spans="1:12" x14ac:dyDescent="0.3">
      <c r="A78" s="65"/>
      <c r="B78" s="65"/>
      <c r="C78" s="65"/>
      <c r="D78" s="65"/>
      <c r="E78" s="66"/>
      <c r="F78" s="66"/>
      <c r="G78" s="65"/>
      <c r="H78" s="65"/>
      <c r="I78" s="65"/>
      <c r="J78" s="65"/>
      <c r="K78" s="36"/>
      <c r="L78" s="36"/>
    </row>
    <row r="79" spans="1:12" x14ac:dyDescent="0.3">
      <c r="A79" s="65"/>
      <c r="B79" s="65"/>
      <c r="C79" s="65"/>
      <c r="D79" s="65"/>
      <c r="E79" s="66"/>
      <c r="F79" s="66"/>
      <c r="G79" s="65"/>
      <c r="H79" s="65"/>
      <c r="I79" s="65"/>
      <c r="J79" s="65"/>
      <c r="K79" s="36"/>
      <c r="L79" s="36"/>
    </row>
    <row r="80" spans="1:12" x14ac:dyDescent="0.3">
      <c r="A80" s="65"/>
      <c r="B80" s="65"/>
      <c r="C80" s="65"/>
      <c r="D80" s="65"/>
      <c r="E80" s="66"/>
      <c r="F80" s="66"/>
      <c r="G80" s="65"/>
      <c r="H80" s="65"/>
      <c r="I80" s="65"/>
      <c r="J80" s="65"/>
      <c r="K80" s="36"/>
      <c r="L80" s="36"/>
    </row>
    <row r="81" spans="1:12" x14ac:dyDescent="0.3">
      <c r="A81" s="65"/>
      <c r="B81" s="65"/>
      <c r="C81" s="65"/>
      <c r="D81" s="65"/>
      <c r="E81" s="66"/>
      <c r="F81" s="66"/>
      <c r="G81" s="65"/>
      <c r="H81" s="65"/>
      <c r="I81" s="65"/>
      <c r="J81" s="65"/>
      <c r="K81" s="36"/>
      <c r="L81" s="36"/>
    </row>
    <row r="82" spans="1:12" x14ac:dyDescent="0.3">
      <c r="A82" s="65"/>
      <c r="B82" s="65"/>
      <c r="C82" s="65"/>
      <c r="D82" s="65"/>
      <c r="E82" s="66"/>
      <c r="F82" s="66"/>
      <c r="G82" s="65"/>
      <c r="H82" s="65"/>
      <c r="I82" s="65"/>
      <c r="J82" s="65"/>
      <c r="K82" s="36"/>
      <c r="L82" s="36"/>
    </row>
    <row r="83" spans="1:12" x14ac:dyDescent="0.3">
      <c r="A83" s="65"/>
      <c r="B83" s="65"/>
      <c r="C83" s="65"/>
      <c r="D83" s="65"/>
      <c r="E83" s="66"/>
      <c r="F83" s="66"/>
      <c r="G83" s="65"/>
      <c r="H83" s="65"/>
      <c r="I83" s="65"/>
      <c r="J83" s="65"/>
      <c r="K83" s="36"/>
      <c r="L83" s="36"/>
    </row>
    <row r="84" spans="1:12" x14ac:dyDescent="0.3">
      <c r="A84" s="65"/>
      <c r="B84" s="65"/>
      <c r="C84" s="65"/>
      <c r="D84" s="65"/>
      <c r="E84" s="66"/>
      <c r="F84" s="66"/>
      <c r="G84" s="65"/>
      <c r="H84" s="65"/>
      <c r="I84" s="65"/>
      <c r="J84" s="65"/>
      <c r="K84" s="36"/>
      <c r="L84" s="36"/>
    </row>
    <row r="85" spans="1:12" x14ac:dyDescent="0.3">
      <c r="A85" s="65"/>
      <c r="B85" s="65"/>
      <c r="C85" s="65"/>
      <c r="D85" s="65"/>
      <c r="E85" s="66"/>
      <c r="F85" s="66"/>
      <c r="G85" s="65"/>
      <c r="H85" s="65"/>
      <c r="I85" s="65"/>
      <c r="J85" s="65"/>
      <c r="K85" s="36"/>
      <c r="L85" s="36"/>
    </row>
    <row r="86" spans="1:12" x14ac:dyDescent="0.3">
      <c r="A86" s="65"/>
      <c r="B86" s="65"/>
      <c r="C86" s="65"/>
      <c r="D86" s="65"/>
      <c r="E86" s="66"/>
      <c r="F86" s="66"/>
      <c r="G86" s="65"/>
      <c r="H86" s="65"/>
      <c r="I86" s="65"/>
      <c r="J86" s="65"/>
      <c r="K86" s="36"/>
      <c r="L86" s="36"/>
    </row>
    <row r="87" spans="1:12" x14ac:dyDescent="0.3">
      <c r="A87" s="65"/>
      <c r="B87" s="65"/>
      <c r="C87" s="65"/>
      <c r="D87" s="65"/>
      <c r="E87" s="66"/>
      <c r="F87" s="66"/>
      <c r="G87" s="65"/>
      <c r="H87" s="65"/>
      <c r="I87" s="65"/>
      <c r="J87" s="65"/>
      <c r="K87" s="36"/>
      <c r="L87" s="36"/>
    </row>
    <row r="88" spans="1:12" x14ac:dyDescent="0.3">
      <c r="A88" s="65"/>
      <c r="B88" s="65"/>
      <c r="C88" s="65"/>
      <c r="D88" s="65"/>
      <c r="E88" s="66"/>
      <c r="F88" s="66"/>
      <c r="G88" s="65"/>
      <c r="H88" s="65"/>
      <c r="I88" s="65"/>
      <c r="J88" s="65"/>
      <c r="K88" s="36"/>
      <c r="L88" s="36"/>
    </row>
    <row r="89" spans="1:12" x14ac:dyDescent="0.3">
      <c r="A89" s="65"/>
      <c r="B89" s="65"/>
      <c r="C89" s="65"/>
      <c r="D89" s="65"/>
      <c r="E89" s="66"/>
      <c r="F89" s="66"/>
      <c r="G89" s="65"/>
      <c r="H89" s="65"/>
      <c r="I89" s="65"/>
      <c r="J89" s="65"/>
      <c r="K89" s="36"/>
      <c r="L89" s="36"/>
    </row>
    <row r="90" spans="1:12" x14ac:dyDescent="0.3">
      <c r="A90" s="65"/>
      <c r="B90" s="65"/>
      <c r="C90" s="65"/>
      <c r="D90" s="65"/>
      <c r="E90" s="66"/>
      <c r="F90" s="66"/>
      <c r="G90" s="65"/>
      <c r="H90" s="65"/>
      <c r="I90" s="65"/>
      <c r="J90" s="65"/>
      <c r="K90" s="36"/>
      <c r="L90" s="36"/>
    </row>
    <row r="91" spans="1:12" x14ac:dyDescent="0.3">
      <c r="A91" s="65"/>
      <c r="B91" s="65"/>
      <c r="C91" s="65"/>
      <c r="D91" s="65"/>
      <c r="E91" s="66"/>
      <c r="F91" s="66"/>
      <c r="G91" s="65"/>
      <c r="H91" s="65"/>
      <c r="I91" s="65"/>
      <c r="J91" s="65"/>
      <c r="K91" s="36"/>
      <c r="L91" s="36"/>
    </row>
    <row r="92" spans="1:12" x14ac:dyDescent="0.3">
      <c r="A92" s="65"/>
      <c r="B92" s="65"/>
      <c r="C92" s="65"/>
      <c r="D92" s="65"/>
      <c r="E92" s="66"/>
      <c r="F92" s="66"/>
      <c r="G92" s="65"/>
      <c r="H92" s="65"/>
      <c r="I92" s="65"/>
      <c r="J92" s="65"/>
      <c r="K92" s="36"/>
      <c r="L92" s="36"/>
    </row>
    <row r="93" spans="1:12" x14ac:dyDescent="0.3">
      <c r="A93" s="65"/>
      <c r="B93" s="65"/>
      <c r="C93" s="65"/>
      <c r="D93" s="65"/>
      <c r="E93" s="66"/>
      <c r="F93" s="66"/>
      <c r="G93" s="65"/>
      <c r="H93" s="65"/>
      <c r="I93" s="65"/>
      <c r="J93" s="65"/>
      <c r="K93" s="36"/>
      <c r="L93" s="36"/>
    </row>
    <row r="94" spans="1:12" x14ac:dyDescent="0.3">
      <c r="A94" s="65"/>
      <c r="B94" s="65"/>
      <c r="C94" s="65"/>
      <c r="D94" s="65"/>
      <c r="E94" s="66"/>
      <c r="F94" s="66"/>
      <c r="G94" s="65"/>
      <c r="H94" s="65"/>
      <c r="I94" s="65"/>
      <c r="J94" s="65"/>
      <c r="K94" s="36"/>
      <c r="L94" s="36"/>
    </row>
    <row r="95" spans="1:12" x14ac:dyDescent="0.3">
      <c r="A95" s="65"/>
      <c r="B95" s="65"/>
      <c r="C95" s="65"/>
      <c r="D95" s="65"/>
      <c r="E95" s="66"/>
      <c r="F95" s="66"/>
      <c r="G95" s="65"/>
      <c r="H95" s="65"/>
      <c r="I95" s="65"/>
      <c r="J95" s="65"/>
      <c r="K95" s="36"/>
      <c r="L95" s="36"/>
    </row>
    <row r="96" spans="1:12" x14ac:dyDescent="0.3">
      <c r="A96" s="65"/>
      <c r="B96" s="65"/>
      <c r="C96" s="65"/>
      <c r="D96" s="65"/>
      <c r="E96" s="66"/>
      <c r="F96" s="66"/>
      <c r="G96" s="65"/>
      <c r="H96" s="65"/>
      <c r="I96" s="65"/>
      <c r="J96" s="65"/>
      <c r="K96" s="36"/>
      <c r="L96" s="36"/>
    </row>
    <row r="97" spans="1:12" x14ac:dyDescent="0.3">
      <c r="A97" s="65"/>
      <c r="B97" s="65"/>
      <c r="C97" s="65"/>
      <c r="D97" s="65"/>
      <c r="E97" s="66"/>
      <c r="F97" s="66"/>
      <c r="G97" s="65"/>
      <c r="H97" s="65"/>
      <c r="I97" s="65"/>
      <c r="J97" s="65"/>
      <c r="K97" s="36"/>
      <c r="L97" s="36"/>
    </row>
    <row r="98" spans="1:12" x14ac:dyDescent="0.3">
      <c r="A98" s="65"/>
      <c r="B98" s="65"/>
      <c r="C98" s="65"/>
      <c r="D98" s="65"/>
      <c r="E98" s="66"/>
      <c r="F98" s="66"/>
      <c r="G98" s="65"/>
      <c r="H98" s="65"/>
      <c r="I98" s="65"/>
      <c r="J98" s="65"/>
      <c r="K98" s="36"/>
      <c r="L98" s="36"/>
    </row>
    <row r="99" spans="1:12" x14ac:dyDescent="0.3">
      <c r="A99" s="65"/>
      <c r="B99" s="65"/>
      <c r="C99" s="65"/>
      <c r="D99" s="65"/>
      <c r="E99" s="66"/>
      <c r="F99" s="66"/>
      <c r="G99" s="65"/>
      <c r="H99" s="65"/>
      <c r="I99" s="65"/>
      <c r="J99" s="65"/>
      <c r="K99" s="36"/>
      <c r="L99" s="36"/>
    </row>
    <row r="100" spans="1:12" x14ac:dyDescent="0.3">
      <c r="A100" s="65"/>
      <c r="B100" s="65"/>
      <c r="C100" s="65"/>
      <c r="D100" s="65"/>
      <c r="E100" s="66"/>
      <c r="F100" s="66"/>
      <c r="G100" s="65"/>
      <c r="H100" s="65"/>
      <c r="I100" s="65"/>
      <c r="J100" s="65"/>
      <c r="K100" s="36"/>
      <c r="L100" s="36"/>
    </row>
    <row r="101" spans="1:12" x14ac:dyDescent="0.3">
      <c r="A101" s="65"/>
      <c r="B101" s="65"/>
      <c r="C101" s="65"/>
      <c r="D101" s="65"/>
      <c r="E101" s="66"/>
      <c r="F101" s="66"/>
      <c r="G101" s="65"/>
      <c r="H101" s="65"/>
      <c r="I101" s="65"/>
      <c r="J101" s="65"/>
      <c r="K101" s="36"/>
      <c r="L101" s="36"/>
    </row>
    <row r="102" spans="1:12" x14ac:dyDescent="0.3">
      <c r="A102" s="65"/>
      <c r="B102" s="65"/>
      <c r="C102" s="65"/>
      <c r="D102" s="65"/>
      <c r="E102" s="66"/>
      <c r="F102" s="66"/>
      <c r="G102" s="65"/>
      <c r="H102" s="65"/>
      <c r="I102" s="65"/>
      <c r="J102" s="65"/>
      <c r="K102" s="36"/>
      <c r="L102" s="36"/>
    </row>
    <row r="103" spans="1:12" x14ac:dyDescent="0.3">
      <c r="A103" s="65"/>
      <c r="B103" s="65"/>
      <c r="C103" s="65"/>
      <c r="D103" s="65"/>
      <c r="E103" s="66"/>
      <c r="F103" s="66"/>
      <c r="G103" s="65"/>
      <c r="H103" s="65"/>
      <c r="I103" s="65"/>
      <c r="J103" s="65"/>
      <c r="K103" s="36"/>
      <c r="L103" s="36"/>
    </row>
    <row r="104" spans="1:12" x14ac:dyDescent="0.3">
      <c r="A104" s="65"/>
      <c r="B104" s="65"/>
      <c r="C104" s="65"/>
      <c r="D104" s="65"/>
      <c r="E104" s="66"/>
      <c r="F104" s="66"/>
      <c r="G104" s="65"/>
      <c r="H104" s="65"/>
      <c r="I104" s="65"/>
      <c r="J104" s="65"/>
      <c r="K104" s="36"/>
      <c r="L104" s="36"/>
    </row>
    <row r="105" spans="1:12" x14ac:dyDescent="0.3">
      <c r="A105" s="65"/>
      <c r="B105" s="65"/>
      <c r="C105" s="65"/>
      <c r="D105" s="65"/>
      <c r="E105" s="66"/>
      <c r="F105" s="66"/>
      <c r="G105" s="65"/>
      <c r="H105" s="65"/>
      <c r="I105" s="65"/>
      <c r="J105" s="65"/>
      <c r="K105" s="36"/>
      <c r="L105" s="36"/>
    </row>
    <row r="106" spans="1:12" x14ac:dyDescent="0.3">
      <c r="A106" s="65"/>
      <c r="B106" s="65"/>
      <c r="C106" s="65"/>
      <c r="D106" s="65"/>
      <c r="E106" s="66"/>
      <c r="F106" s="66"/>
      <c r="G106" s="65"/>
      <c r="H106" s="65"/>
      <c r="I106" s="65"/>
      <c r="J106" s="65"/>
      <c r="K106" s="36"/>
      <c r="L106" s="36"/>
    </row>
    <row r="107" spans="1:12" x14ac:dyDescent="0.3">
      <c r="A107" s="65"/>
      <c r="B107" s="65"/>
      <c r="C107" s="65"/>
      <c r="D107" s="65"/>
      <c r="E107" s="66"/>
      <c r="F107" s="66"/>
      <c r="G107" s="65"/>
      <c r="H107" s="65"/>
      <c r="I107" s="65"/>
      <c r="J107" s="65"/>
      <c r="K107" s="36"/>
      <c r="L107" s="36"/>
    </row>
    <row r="108" spans="1:12" x14ac:dyDescent="0.3">
      <c r="A108" s="65"/>
      <c r="B108" s="65"/>
      <c r="C108" s="65"/>
      <c r="D108" s="65"/>
      <c r="E108" s="66"/>
      <c r="F108" s="66"/>
      <c r="G108" s="65"/>
      <c r="H108" s="65"/>
      <c r="I108" s="65"/>
      <c r="J108" s="65"/>
      <c r="K108" s="36"/>
      <c r="L108" s="36"/>
    </row>
    <row r="109" spans="1:12" x14ac:dyDescent="0.3">
      <c r="A109" s="65"/>
      <c r="B109" s="65"/>
      <c r="C109" s="65"/>
      <c r="D109" s="65"/>
      <c r="E109" s="66"/>
      <c r="F109" s="66"/>
      <c r="G109" s="65"/>
      <c r="H109" s="65"/>
      <c r="I109" s="65"/>
      <c r="J109" s="65"/>
      <c r="K109" s="36"/>
      <c r="L109" s="36"/>
    </row>
    <row r="110" spans="1:12" x14ac:dyDescent="0.3">
      <c r="A110" s="65"/>
      <c r="B110" s="65"/>
      <c r="C110" s="65"/>
      <c r="D110" s="65"/>
      <c r="E110" s="66"/>
      <c r="F110" s="66"/>
      <c r="G110" s="65"/>
      <c r="H110" s="65"/>
      <c r="I110" s="65"/>
      <c r="J110" s="65"/>
      <c r="K110" s="36"/>
      <c r="L110" s="36"/>
    </row>
    <row r="111" spans="1:12" x14ac:dyDescent="0.3">
      <c r="A111" s="65"/>
      <c r="B111" s="65"/>
      <c r="C111" s="65"/>
      <c r="D111" s="65"/>
      <c r="E111" s="66"/>
      <c r="F111" s="66"/>
      <c r="G111" s="65"/>
      <c r="H111" s="65"/>
      <c r="I111" s="65"/>
      <c r="J111" s="65"/>
      <c r="K111" s="36"/>
      <c r="L111" s="36"/>
    </row>
    <row r="112" spans="1:12" x14ac:dyDescent="0.3">
      <c r="A112" s="65"/>
      <c r="B112" s="65"/>
      <c r="C112" s="65"/>
      <c r="D112" s="65"/>
      <c r="E112" s="66"/>
      <c r="F112" s="66"/>
      <c r="G112" s="65"/>
      <c r="H112" s="65"/>
      <c r="I112" s="65"/>
      <c r="J112" s="65"/>
      <c r="K112" s="36"/>
      <c r="L112" s="36"/>
    </row>
    <row r="113" spans="1:12" x14ac:dyDescent="0.3">
      <c r="A113" s="65"/>
      <c r="B113" s="65"/>
      <c r="C113" s="65"/>
      <c r="D113" s="65"/>
      <c r="E113" s="66"/>
      <c r="F113" s="66"/>
      <c r="G113" s="65"/>
      <c r="H113" s="65"/>
      <c r="I113" s="65"/>
      <c r="J113" s="65"/>
      <c r="K113" s="36"/>
      <c r="L113" s="36"/>
    </row>
    <row r="114" spans="1:12" x14ac:dyDescent="0.3">
      <c r="A114" s="65"/>
      <c r="B114" s="65"/>
      <c r="C114" s="65"/>
      <c r="D114" s="65"/>
      <c r="E114" s="66"/>
      <c r="F114" s="66"/>
      <c r="G114" s="65"/>
      <c r="H114" s="65"/>
      <c r="I114" s="65"/>
      <c r="J114" s="65"/>
      <c r="K114" s="36"/>
      <c r="L114" s="36"/>
    </row>
    <row r="115" spans="1:12" x14ac:dyDescent="0.3">
      <c r="A115" s="65"/>
      <c r="B115" s="65"/>
      <c r="C115" s="65"/>
      <c r="D115" s="65"/>
      <c r="E115" s="66"/>
      <c r="F115" s="66"/>
      <c r="G115" s="65"/>
      <c r="H115" s="65"/>
      <c r="I115" s="65"/>
      <c r="J115" s="65"/>
      <c r="K115" s="36"/>
      <c r="L115" s="36"/>
    </row>
    <row r="116" spans="1:12" x14ac:dyDescent="0.3">
      <c r="A116" s="65"/>
      <c r="B116" s="65"/>
      <c r="C116" s="65"/>
      <c r="D116" s="65"/>
      <c r="E116" s="66"/>
      <c r="F116" s="66"/>
      <c r="G116" s="65"/>
      <c r="H116" s="65"/>
      <c r="I116" s="65"/>
      <c r="J116" s="65"/>
      <c r="K116" s="36"/>
      <c r="L116" s="36"/>
    </row>
    <row r="117" spans="1:12" x14ac:dyDescent="0.3">
      <c r="A117" s="65"/>
      <c r="B117" s="65"/>
      <c r="C117" s="65"/>
      <c r="D117" s="65"/>
      <c r="E117" s="66"/>
      <c r="F117" s="66"/>
      <c r="G117" s="65"/>
      <c r="H117" s="65"/>
      <c r="I117" s="65"/>
      <c r="J117" s="65"/>
      <c r="K117" s="36"/>
      <c r="L117" s="36"/>
    </row>
    <row r="118" spans="1:12" x14ac:dyDescent="0.3">
      <c r="A118" s="65"/>
      <c r="B118" s="65"/>
      <c r="C118" s="65"/>
      <c r="D118" s="65"/>
      <c r="E118" s="66"/>
      <c r="F118" s="66"/>
      <c r="G118" s="65"/>
      <c r="H118" s="65"/>
      <c r="I118" s="65"/>
      <c r="J118" s="65"/>
      <c r="K118" s="36"/>
      <c r="L118" s="36"/>
    </row>
    <row r="119" spans="1:12" x14ac:dyDescent="0.3">
      <c r="A119" s="65"/>
      <c r="B119" s="65"/>
      <c r="C119" s="65"/>
      <c r="D119" s="65"/>
      <c r="E119" s="66"/>
      <c r="F119" s="66"/>
      <c r="G119" s="65"/>
      <c r="H119" s="65"/>
      <c r="I119" s="65"/>
      <c r="J119" s="65"/>
      <c r="K119" s="36"/>
      <c r="L119" s="36"/>
    </row>
    <row r="120" spans="1:12" x14ac:dyDescent="0.3">
      <c r="A120" s="65"/>
      <c r="B120" s="65"/>
      <c r="C120" s="65"/>
      <c r="D120" s="65"/>
      <c r="E120" s="66"/>
      <c r="F120" s="66"/>
      <c r="G120" s="65"/>
      <c r="H120" s="65"/>
      <c r="I120" s="65"/>
      <c r="J120" s="65"/>
      <c r="K120" s="36"/>
      <c r="L120" s="36"/>
    </row>
    <row r="121" spans="1:12" x14ac:dyDescent="0.3">
      <c r="A121" s="65"/>
      <c r="B121" s="65"/>
      <c r="C121" s="65"/>
      <c r="D121" s="65"/>
      <c r="E121" s="66"/>
      <c r="F121" s="66"/>
      <c r="G121" s="65"/>
      <c r="H121" s="65"/>
      <c r="I121" s="65"/>
      <c r="J121" s="65"/>
      <c r="K121" s="36"/>
      <c r="L121" s="36"/>
    </row>
    <row r="122" spans="1:12" x14ac:dyDescent="0.3">
      <c r="A122" s="65"/>
      <c r="B122" s="65"/>
      <c r="C122" s="65"/>
      <c r="D122" s="65"/>
      <c r="E122" s="66"/>
      <c r="F122" s="66"/>
      <c r="G122" s="65"/>
      <c r="H122" s="65"/>
      <c r="I122" s="65"/>
      <c r="J122" s="65"/>
      <c r="K122" s="36"/>
      <c r="L122" s="36"/>
    </row>
    <row r="123" spans="1:12" x14ac:dyDescent="0.3">
      <c r="A123" s="65"/>
      <c r="B123" s="65"/>
      <c r="C123" s="65"/>
      <c r="D123" s="65"/>
      <c r="E123" s="66"/>
      <c r="F123" s="66"/>
      <c r="G123" s="65"/>
      <c r="H123" s="65"/>
      <c r="I123" s="65"/>
      <c r="J123" s="65"/>
      <c r="K123" s="36"/>
      <c r="L123" s="36"/>
    </row>
    <row r="124" spans="1:12" x14ac:dyDescent="0.3">
      <c r="A124" s="65"/>
      <c r="B124" s="65"/>
      <c r="C124" s="65"/>
      <c r="D124" s="65"/>
      <c r="E124" s="66"/>
      <c r="F124" s="66"/>
      <c r="G124" s="65"/>
      <c r="H124" s="65"/>
      <c r="I124" s="65"/>
      <c r="J124" s="65"/>
      <c r="K124" s="36"/>
      <c r="L124" s="36"/>
    </row>
    <row r="125" spans="1:12" x14ac:dyDescent="0.3">
      <c r="A125" s="65"/>
      <c r="B125" s="65"/>
      <c r="C125" s="65"/>
      <c r="D125" s="65"/>
      <c r="E125" s="66"/>
      <c r="F125" s="66"/>
      <c r="G125" s="65"/>
      <c r="H125" s="65"/>
      <c r="I125" s="65"/>
      <c r="J125" s="65"/>
      <c r="K125" s="36"/>
      <c r="L125" s="36"/>
    </row>
    <row r="126" spans="1:12" x14ac:dyDescent="0.3">
      <c r="A126" s="65"/>
      <c r="B126" s="65"/>
      <c r="C126" s="65"/>
      <c r="D126" s="65"/>
      <c r="E126" s="66"/>
      <c r="F126" s="66"/>
      <c r="G126" s="65"/>
      <c r="H126" s="65"/>
      <c r="I126" s="65"/>
      <c r="J126" s="65"/>
      <c r="K126" s="36"/>
      <c r="L126" s="36"/>
    </row>
    <row r="127" spans="1:12" x14ac:dyDescent="0.3">
      <c r="A127" s="65"/>
      <c r="B127" s="65"/>
      <c r="C127" s="65"/>
      <c r="D127" s="65"/>
      <c r="E127" s="66"/>
      <c r="F127" s="66"/>
      <c r="G127" s="65"/>
      <c r="H127" s="65"/>
      <c r="I127" s="65"/>
      <c r="J127" s="65"/>
      <c r="K127" s="36"/>
      <c r="L127" s="36"/>
    </row>
    <row r="128" spans="1:12" x14ac:dyDescent="0.3">
      <c r="A128" s="65"/>
      <c r="B128" s="65"/>
      <c r="C128" s="65"/>
      <c r="D128" s="65"/>
      <c r="E128" s="66"/>
      <c r="F128" s="66"/>
      <c r="G128" s="65"/>
      <c r="H128" s="65"/>
      <c r="I128" s="65"/>
      <c r="J128" s="65"/>
      <c r="K128" s="36"/>
      <c r="L128" s="36"/>
    </row>
    <row r="129" spans="1:12" x14ac:dyDescent="0.3">
      <c r="A129" s="65"/>
      <c r="B129" s="65"/>
      <c r="C129" s="65"/>
      <c r="D129" s="65"/>
      <c r="E129" s="66"/>
      <c r="F129" s="66"/>
      <c r="G129" s="65"/>
      <c r="H129" s="65"/>
      <c r="I129" s="65"/>
      <c r="J129" s="65"/>
      <c r="K129" s="36"/>
      <c r="L129" s="36"/>
    </row>
    <row r="130" spans="1:12" x14ac:dyDescent="0.3">
      <c r="A130" s="65"/>
      <c r="B130" s="65"/>
      <c r="C130" s="65"/>
      <c r="D130" s="65"/>
      <c r="E130" s="66"/>
      <c r="F130" s="66"/>
      <c r="G130" s="65"/>
      <c r="H130" s="65"/>
      <c r="I130" s="65"/>
      <c r="J130" s="65"/>
      <c r="K130" s="36"/>
      <c r="L130" s="36"/>
    </row>
    <row r="131" spans="1:12" x14ac:dyDescent="0.3">
      <c r="A131" s="65"/>
      <c r="B131" s="65"/>
      <c r="C131" s="65"/>
      <c r="D131" s="65"/>
      <c r="E131" s="66"/>
      <c r="F131" s="66"/>
      <c r="G131" s="65"/>
      <c r="H131" s="65"/>
      <c r="I131" s="65"/>
      <c r="J131" s="65"/>
      <c r="K131" s="36"/>
      <c r="L131" s="36"/>
    </row>
    <row r="132" spans="1:12" x14ac:dyDescent="0.3">
      <c r="A132" s="65"/>
      <c r="B132" s="65"/>
      <c r="C132" s="65"/>
      <c r="D132" s="65"/>
      <c r="E132" s="66"/>
      <c r="F132" s="66"/>
      <c r="G132" s="65"/>
      <c r="H132" s="65"/>
      <c r="I132" s="65"/>
      <c r="J132" s="65"/>
      <c r="K132" s="36"/>
      <c r="L132" s="36"/>
    </row>
    <row r="133" spans="1:12" x14ac:dyDescent="0.3">
      <c r="A133" s="65"/>
      <c r="B133" s="65"/>
      <c r="C133" s="65"/>
      <c r="D133" s="65"/>
      <c r="E133" s="66"/>
      <c r="F133" s="66"/>
      <c r="G133" s="65"/>
      <c r="H133" s="65"/>
      <c r="I133" s="65"/>
      <c r="J133" s="65"/>
      <c r="K133" s="36"/>
      <c r="L133" s="36"/>
    </row>
    <row r="134" spans="1:12" x14ac:dyDescent="0.3">
      <c r="A134" s="65"/>
      <c r="B134" s="65"/>
      <c r="C134" s="65"/>
      <c r="D134" s="65"/>
      <c r="E134" s="66"/>
      <c r="F134" s="66"/>
      <c r="G134" s="65"/>
      <c r="H134" s="65"/>
      <c r="I134" s="65"/>
      <c r="J134" s="65"/>
      <c r="K134" s="36"/>
      <c r="L134" s="36"/>
    </row>
    <row r="135" spans="1:12" x14ac:dyDescent="0.3">
      <c r="A135" s="65"/>
      <c r="B135" s="65"/>
      <c r="C135" s="65"/>
      <c r="D135" s="65"/>
      <c r="E135" s="66"/>
      <c r="F135" s="66"/>
      <c r="G135" s="65"/>
      <c r="H135" s="65"/>
      <c r="I135" s="65"/>
      <c r="J135" s="65"/>
      <c r="K135" s="36"/>
      <c r="L135" s="36"/>
    </row>
    <row r="136" spans="1:12" x14ac:dyDescent="0.3">
      <c r="A136" s="65"/>
      <c r="B136" s="65"/>
      <c r="C136" s="65"/>
      <c r="D136" s="65"/>
      <c r="E136" s="66"/>
      <c r="F136" s="66"/>
      <c r="G136" s="65"/>
      <c r="H136" s="65"/>
      <c r="I136" s="65"/>
      <c r="J136" s="65"/>
      <c r="K136" s="36"/>
      <c r="L136" s="36"/>
    </row>
    <row r="137" spans="1:12" x14ac:dyDescent="0.3">
      <c r="A137" s="65"/>
      <c r="B137" s="65"/>
      <c r="C137" s="65"/>
      <c r="D137" s="65"/>
      <c r="E137" s="66"/>
      <c r="F137" s="66"/>
      <c r="G137" s="65"/>
      <c r="H137" s="65"/>
      <c r="I137" s="65"/>
      <c r="J137" s="65"/>
      <c r="K137" s="36"/>
      <c r="L137" s="36"/>
    </row>
    <row r="138" spans="1:12" x14ac:dyDescent="0.3">
      <c r="A138" s="65"/>
      <c r="B138" s="65"/>
      <c r="C138" s="65"/>
      <c r="D138" s="65"/>
      <c r="E138" s="66"/>
      <c r="F138" s="66"/>
      <c r="G138" s="65"/>
      <c r="H138" s="65"/>
      <c r="I138" s="65"/>
      <c r="J138" s="65"/>
      <c r="K138" s="36"/>
      <c r="L138" s="36"/>
    </row>
    <row r="139" spans="1:12" x14ac:dyDescent="0.3">
      <c r="A139" s="65"/>
      <c r="B139" s="65"/>
      <c r="C139" s="65"/>
      <c r="D139" s="65"/>
      <c r="E139" s="66"/>
      <c r="F139" s="66"/>
      <c r="G139" s="65"/>
      <c r="H139" s="65"/>
      <c r="I139" s="65"/>
      <c r="J139" s="65"/>
      <c r="K139" s="36"/>
      <c r="L139" s="36"/>
    </row>
    <row r="140" spans="1:12" x14ac:dyDescent="0.3">
      <c r="A140" s="65"/>
      <c r="B140" s="65"/>
      <c r="C140" s="65"/>
      <c r="D140" s="65"/>
      <c r="E140" s="66"/>
      <c r="F140" s="66"/>
      <c r="G140" s="65"/>
      <c r="H140" s="65"/>
      <c r="I140" s="65"/>
      <c r="J140" s="65"/>
      <c r="K140" s="36"/>
      <c r="L140" s="36"/>
    </row>
    <row r="141" spans="1:12" x14ac:dyDescent="0.3">
      <c r="A141" s="65"/>
      <c r="B141" s="65"/>
      <c r="C141" s="65"/>
      <c r="D141" s="65"/>
      <c r="E141" s="66"/>
      <c r="F141" s="66"/>
      <c r="G141" s="65"/>
      <c r="H141" s="65"/>
      <c r="I141" s="65"/>
      <c r="J141" s="65"/>
      <c r="K141" s="36"/>
      <c r="L141" s="36"/>
    </row>
    <row r="142" spans="1:12" x14ac:dyDescent="0.3">
      <c r="A142" s="65"/>
      <c r="B142" s="65"/>
      <c r="C142" s="65"/>
      <c r="D142" s="65"/>
      <c r="E142" s="66"/>
      <c r="F142" s="66"/>
      <c r="G142" s="65"/>
      <c r="H142" s="65"/>
      <c r="I142" s="65"/>
      <c r="J142" s="65"/>
      <c r="K142" s="36"/>
      <c r="L142" s="36"/>
    </row>
    <row r="143" spans="1:12" x14ac:dyDescent="0.3">
      <c r="A143" s="65"/>
      <c r="B143" s="65"/>
      <c r="C143" s="65"/>
      <c r="D143" s="65"/>
      <c r="E143" s="66"/>
      <c r="F143" s="66"/>
      <c r="G143" s="65"/>
      <c r="H143" s="65"/>
      <c r="I143" s="65"/>
      <c r="J143" s="65"/>
      <c r="K143" s="36"/>
      <c r="L143" s="36"/>
    </row>
    <row r="144" spans="1:12" x14ac:dyDescent="0.3">
      <c r="A144" s="65"/>
      <c r="B144" s="65"/>
      <c r="C144" s="65"/>
      <c r="D144" s="65"/>
      <c r="E144" s="66"/>
      <c r="F144" s="66"/>
      <c r="G144" s="65"/>
      <c r="H144" s="65"/>
      <c r="I144" s="65"/>
      <c r="J144" s="65"/>
      <c r="K144" s="36"/>
      <c r="L144" s="36"/>
    </row>
    <row r="145" spans="1:12" x14ac:dyDescent="0.3">
      <c r="A145" s="65"/>
      <c r="B145" s="65"/>
      <c r="C145" s="65"/>
      <c r="D145" s="65"/>
      <c r="E145" s="66"/>
      <c r="F145" s="66"/>
      <c r="G145" s="65"/>
      <c r="H145" s="65"/>
      <c r="I145" s="65"/>
      <c r="J145" s="65"/>
      <c r="K145" s="36"/>
      <c r="L145" s="36"/>
    </row>
    <row r="146" spans="1:12" x14ac:dyDescent="0.3">
      <c r="A146" s="65"/>
      <c r="B146" s="65"/>
      <c r="C146" s="65"/>
      <c r="D146" s="65"/>
      <c r="E146" s="66"/>
      <c r="F146" s="66"/>
      <c r="G146" s="65"/>
      <c r="H146" s="65"/>
      <c r="I146" s="65"/>
      <c r="J146" s="65"/>
      <c r="K146" s="36"/>
      <c r="L146" s="36"/>
    </row>
    <row r="147" spans="1:12" x14ac:dyDescent="0.3">
      <c r="A147" s="65"/>
      <c r="B147" s="65"/>
      <c r="C147" s="65"/>
      <c r="D147" s="65"/>
      <c r="E147" s="66"/>
      <c r="F147" s="66"/>
      <c r="G147" s="65"/>
      <c r="H147" s="65"/>
      <c r="I147" s="65"/>
      <c r="J147" s="65"/>
      <c r="K147" s="36"/>
      <c r="L147" s="36"/>
    </row>
    <row r="148" spans="1:12" x14ac:dyDescent="0.3">
      <c r="A148" s="65"/>
      <c r="B148" s="65"/>
      <c r="C148" s="65"/>
      <c r="D148" s="65"/>
      <c r="E148" s="66"/>
      <c r="F148" s="66"/>
      <c r="G148" s="65"/>
      <c r="H148" s="65"/>
      <c r="I148" s="65"/>
      <c r="J148" s="65"/>
      <c r="K148" s="36"/>
      <c r="L148" s="36"/>
    </row>
    <row r="149" spans="1:12" x14ac:dyDescent="0.3">
      <c r="A149" s="65"/>
      <c r="B149" s="65"/>
      <c r="C149" s="65"/>
      <c r="D149" s="65"/>
      <c r="E149" s="66"/>
      <c r="F149" s="66"/>
      <c r="G149" s="65"/>
      <c r="H149" s="65"/>
      <c r="I149" s="65"/>
      <c r="J149" s="65"/>
      <c r="K149" s="36"/>
      <c r="L149" s="36"/>
    </row>
    <row r="150" spans="1:12" x14ac:dyDescent="0.3">
      <c r="A150" s="65"/>
      <c r="B150" s="65"/>
      <c r="C150" s="65"/>
      <c r="D150" s="65"/>
      <c r="E150" s="66"/>
      <c r="F150" s="66"/>
      <c r="G150" s="65"/>
      <c r="H150" s="65"/>
      <c r="I150" s="65"/>
      <c r="J150" s="65"/>
      <c r="K150" s="36"/>
      <c r="L150" s="36"/>
    </row>
    <row r="151" spans="1:12" x14ac:dyDescent="0.3">
      <c r="A151" s="65"/>
      <c r="B151" s="65"/>
      <c r="C151" s="65"/>
      <c r="D151" s="65"/>
      <c r="E151" s="66"/>
      <c r="F151" s="66"/>
      <c r="G151" s="65"/>
      <c r="H151" s="65"/>
      <c r="I151" s="65"/>
      <c r="J151" s="65"/>
      <c r="K151" s="36"/>
      <c r="L151" s="36"/>
    </row>
    <row r="152" spans="1:12" x14ac:dyDescent="0.3">
      <c r="A152" s="65"/>
      <c r="B152" s="65"/>
      <c r="C152" s="65"/>
      <c r="D152" s="65"/>
      <c r="E152" s="66"/>
      <c r="F152" s="66"/>
      <c r="G152" s="65"/>
      <c r="H152" s="65"/>
      <c r="I152" s="65"/>
      <c r="J152" s="65"/>
      <c r="K152" s="36"/>
      <c r="L152" s="36"/>
    </row>
    <row r="153" spans="1:12" x14ac:dyDescent="0.3">
      <c r="A153" s="65"/>
      <c r="B153" s="65"/>
      <c r="C153" s="65"/>
      <c r="D153" s="65"/>
      <c r="E153" s="66"/>
      <c r="F153" s="66"/>
      <c r="G153" s="65"/>
      <c r="H153" s="65"/>
      <c r="I153" s="65"/>
      <c r="J153" s="65"/>
      <c r="K153" s="36"/>
      <c r="L153" s="36"/>
    </row>
    <row r="154" spans="1:12" x14ac:dyDescent="0.3">
      <c r="A154" s="65"/>
      <c r="B154" s="65"/>
      <c r="C154" s="65"/>
      <c r="D154" s="65"/>
      <c r="E154" s="66"/>
      <c r="F154" s="66"/>
      <c r="G154" s="65"/>
      <c r="H154" s="65"/>
      <c r="I154" s="65"/>
      <c r="J154" s="65"/>
      <c r="K154" s="36"/>
      <c r="L154" s="36"/>
    </row>
    <row r="155" spans="1:12" x14ac:dyDescent="0.3">
      <c r="A155" s="65"/>
      <c r="B155" s="65"/>
      <c r="C155" s="65"/>
      <c r="D155" s="65"/>
      <c r="E155" s="66"/>
      <c r="F155" s="66"/>
      <c r="G155" s="65"/>
      <c r="H155" s="65"/>
      <c r="I155" s="65"/>
      <c r="J155" s="65"/>
      <c r="K155" s="36"/>
      <c r="L155" s="36"/>
    </row>
    <row r="156" spans="1:12" x14ac:dyDescent="0.3">
      <c r="A156" s="65"/>
      <c r="B156" s="65"/>
      <c r="C156" s="65"/>
      <c r="D156" s="65"/>
      <c r="E156" s="66"/>
      <c r="F156" s="66"/>
      <c r="G156" s="65"/>
      <c r="H156" s="65"/>
      <c r="I156" s="65"/>
      <c r="J156" s="65"/>
      <c r="K156" s="36"/>
      <c r="L156" s="36"/>
    </row>
    <row r="157" spans="1:12" x14ac:dyDescent="0.3">
      <c r="A157" s="65"/>
      <c r="B157" s="65"/>
      <c r="C157" s="65"/>
      <c r="D157" s="65"/>
      <c r="E157" s="66"/>
      <c r="F157" s="66"/>
      <c r="G157" s="65"/>
      <c r="H157" s="65"/>
      <c r="I157" s="65"/>
      <c r="J157" s="65"/>
      <c r="K157" s="36"/>
      <c r="L157" s="36"/>
    </row>
    <row r="158" spans="1:12" x14ac:dyDescent="0.3">
      <c r="A158" s="65"/>
      <c r="B158" s="65"/>
      <c r="C158" s="65"/>
      <c r="D158" s="65"/>
      <c r="E158" s="66"/>
      <c r="F158" s="66"/>
      <c r="G158" s="65"/>
      <c r="H158" s="65"/>
      <c r="I158" s="65"/>
      <c r="J158" s="65"/>
      <c r="K158" s="36"/>
      <c r="L158" s="36"/>
    </row>
    <row r="159" spans="1:12" x14ac:dyDescent="0.3">
      <c r="A159" s="65"/>
      <c r="B159" s="65"/>
      <c r="C159" s="65"/>
      <c r="D159" s="65"/>
      <c r="E159" s="66"/>
      <c r="F159" s="66"/>
      <c r="G159" s="65"/>
      <c r="H159" s="65"/>
      <c r="I159" s="65"/>
      <c r="J159" s="65"/>
      <c r="K159" s="36"/>
      <c r="L159" s="36"/>
    </row>
    <row r="160" spans="1:12" x14ac:dyDescent="0.3">
      <c r="A160" s="65"/>
      <c r="B160" s="65"/>
      <c r="C160" s="65"/>
      <c r="D160" s="65"/>
      <c r="E160" s="66"/>
      <c r="F160" s="66"/>
      <c r="G160" s="65"/>
      <c r="H160" s="65"/>
      <c r="I160" s="65"/>
      <c r="J160" s="65"/>
      <c r="K160" s="36"/>
      <c r="L160" s="36"/>
    </row>
    <row r="161" spans="1:12" x14ac:dyDescent="0.3">
      <c r="A161" s="65"/>
      <c r="B161" s="65"/>
      <c r="C161" s="65"/>
      <c r="D161" s="65"/>
      <c r="E161" s="66"/>
      <c r="F161" s="66"/>
      <c r="G161" s="65"/>
      <c r="H161" s="65"/>
      <c r="I161" s="65"/>
      <c r="J161" s="65"/>
      <c r="K161" s="36"/>
      <c r="L161" s="36"/>
    </row>
    <row r="162" spans="1:12" x14ac:dyDescent="0.3">
      <c r="A162" s="65"/>
      <c r="B162" s="65"/>
      <c r="C162" s="65"/>
      <c r="D162" s="65"/>
      <c r="E162" s="66"/>
      <c r="F162" s="66"/>
      <c r="G162" s="65"/>
      <c r="H162" s="65"/>
      <c r="I162" s="65"/>
      <c r="J162" s="65"/>
      <c r="K162" s="36"/>
      <c r="L162" s="36"/>
    </row>
    <row r="163" spans="1:12" x14ac:dyDescent="0.3">
      <c r="A163" s="65"/>
      <c r="B163" s="65"/>
      <c r="C163" s="65"/>
      <c r="D163" s="65"/>
      <c r="E163" s="66"/>
      <c r="F163" s="66"/>
      <c r="G163" s="65"/>
      <c r="H163" s="65"/>
      <c r="I163" s="65"/>
      <c r="J163" s="65"/>
      <c r="K163" s="36"/>
      <c r="L163" s="36"/>
    </row>
    <row r="164" spans="1:12" x14ac:dyDescent="0.3">
      <c r="A164" s="65"/>
      <c r="B164" s="65"/>
      <c r="C164" s="65"/>
      <c r="D164" s="65"/>
      <c r="E164" s="66"/>
      <c r="F164" s="66"/>
      <c r="G164" s="65"/>
      <c r="H164" s="65"/>
      <c r="I164" s="65"/>
      <c r="J164" s="65"/>
      <c r="K164" s="36"/>
      <c r="L164" s="36"/>
    </row>
    <row r="165" spans="1:12" x14ac:dyDescent="0.3">
      <c r="A165" s="65"/>
      <c r="B165" s="65"/>
      <c r="C165" s="65"/>
      <c r="D165" s="65"/>
      <c r="E165" s="66"/>
      <c r="F165" s="66"/>
      <c r="G165" s="65"/>
      <c r="H165" s="65"/>
      <c r="I165" s="65"/>
      <c r="J165" s="65"/>
      <c r="K165" s="36"/>
      <c r="L165" s="36"/>
    </row>
    <row r="166" spans="1:12" x14ac:dyDescent="0.3">
      <c r="A166" s="65"/>
      <c r="B166" s="65"/>
      <c r="C166" s="65"/>
      <c r="D166" s="65"/>
      <c r="E166" s="66"/>
      <c r="F166" s="66"/>
      <c r="G166" s="65"/>
      <c r="H166" s="65"/>
      <c r="I166" s="65"/>
      <c r="J166" s="65"/>
      <c r="K166" s="36"/>
      <c r="L166" s="36"/>
    </row>
    <row r="167" spans="1:12" x14ac:dyDescent="0.3">
      <c r="A167" s="65"/>
      <c r="B167" s="65"/>
      <c r="C167" s="65"/>
      <c r="D167" s="65"/>
      <c r="E167" s="66"/>
      <c r="F167" s="66"/>
      <c r="G167" s="65"/>
      <c r="H167" s="65"/>
      <c r="I167" s="65"/>
      <c r="J167" s="65"/>
      <c r="K167" s="36"/>
      <c r="L167" s="36"/>
    </row>
    <row r="168" spans="1:12" x14ac:dyDescent="0.3">
      <c r="A168" s="65"/>
      <c r="B168" s="65"/>
      <c r="C168" s="65"/>
      <c r="D168" s="65"/>
      <c r="E168" s="66"/>
      <c r="F168" s="66"/>
      <c r="G168" s="65"/>
      <c r="H168" s="65"/>
      <c r="I168" s="65"/>
      <c r="J168" s="65"/>
      <c r="K168" s="36"/>
      <c r="L168" s="36"/>
    </row>
    <row r="169" spans="1:12" x14ac:dyDescent="0.3">
      <c r="A169" s="65"/>
      <c r="B169" s="65"/>
      <c r="C169" s="65"/>
      <c r="D169" s="65"/>
      <c r="E169" s="66"/>
      <c r="F169" s="66"/>
      <c r="G169" s="65"/>
      <c r="H169" s="65"/>
      <c r="I169" s="65"/>
      <c r="J169" s="65"/>
      <c r="K169" s="36"/>
      <c r="L169" s="36"/>
    </row>
    <row r="170" spans="1:12" x14ac:dyDescent="0.3">
      <c r="A170" s="65"/>
      <c r="B170" s="65"/>
      <c r="C170" s="65"/>
      <c r="D170" s="65"/>
      <c r="E170" s="66"/>
      <c r="F170" s="66"/>
      <c r="G170" s="65"/>
      <c r="H170" s="65"/>
      <c r="I170" s="65"/>
      <c r="J170" s="65"/>
      <c r="K170" s="36"/>
      <c r="L170" s="36"/>
    </row>
    <row r="171" spans="1:12" x14ac:dyDescent="0.3">
      <c r="A171" s="65"/>
      <c r="B171" s="65"/>
      <c r="C171" s="65"/>
      <c r="D171" s="65"/>
      <c r="E171" s="66"/>
      <c r="F171" s="66"/>
      <c r="G171" s="65"/>
      <c r="H171" s="65"/>
      <c r="I171" s="65"/>
      <c r="J171" s="65"/>
      <c r="K171" s="36"/>
      <c r="L171" s="36"/>
    </row>
    <row r="172" spans="1:12" x14ac:dyDescent="0.3">
      <c r="A172" s="65"/>
      <c r="B172" s="65"/>
      <c r="C172" s="65"/>
      <c r="D172" s="65"/>
      <c r="E172" s="66"/>
      <c r="F172" s="66"/>
      <c r="G172" s="65"/>
      <c r="H172" s="65"/>
      <c r="I172" s="65"/>
      <c r="J172" s="65"/>
      <c r="K172" s="36"/>
      <c r="L172" s="36"/>
    </row>
    <row r="173" spans="1:12" x14ac:dyDescent="0.3">
      <c r="A173" s="65"/>
      <c r="B173" s="65"/>
      <c r="C173" s="65"/>
      <c r="D173" s="65"/>
      <c r="E173" s="66"/>
      <c r="F173" s="66"/>
      <c r="G173" s="65"/>
      <c r="H173" s="65"/>
      <c r="I173" s="65"/>
      <c r="J173" s="65"/>
      <c r="K173" s="36"/>
      <c r="L173" s="36"/>
    </row>
    <row r="174" spans="1:12" x14ac:dyDescent="0.3">
      <c r="A174" s="65"/>
      <c r="B174" s="65"/>
      <c r="C174" s="65"/>
      <c r="D174" s="65"/>
      <c r="E174" s="66"/>
      <c r="F174" s="66"/>
      <c r="G174" s="65"/>
      <c r="H174" s="65"/>
      <c r="I174" s="65"/>
      <c r="J174" s="65"/>
      <c r="K174" s="36"/>
      <c r="L174" s="36"/>
    </row>
    <row r="175" spans="1:12" x14ac:dyDescent="0.3">
      <c r="A175" s="65"/>
      <c r="B175" s="65"/>
      <c r="C175" s="65"/>
      <c r="D175" s="65"/>
      <c r="E175" s="66"/>
      <c r="F175" s="66"/>
      <c r="G175" s="65"/>
      <c r="H175" s="65"/>
      <c r="I175" s="65"/>
      <c r="J175" s="65"/>
      <c r="K175" s="36"/>
      <c r="L175" s="36"/>
    </row>
    <row r="176" spans="1:12" x14ac:dyDescent="0.3">
      <c r="A176" s="65"/>
      <c r="B176" s="65"/>
      <c r="C176" s="65"/>
      <c r="D176" s="65"/>
      <c r="E176" s="66"/>
      <c r="F176" s="66"/>
      <c r="G176" s="65"/>
      <c r="H176" s="65"/>
      <c r="I176" s="65"/>
      <c r="J176" s="65"/>
      <c r="K176" s="36"/>
      <c r="L176" s="36"/>
    </row>
    <row r="177" spans="1:12" x14ac:dyDescent="0.3">
      <c r="A177" s="65"/>
      <c r="B177" s="65"/>
      <c r="C177" s="65"/>
      <c r="D177" s="65"/>
      <c r="E177" s="66"/>
      <c r="F177" s="66"/>
      <c r="G177" s="65"/>
      <c r="H177" s="65"/>
      <c r="I177" s="65"/>
      <c r="J177" s="65"/>
      <c r="K177" s="36"/>
      <c r="L177" s="36"/>
    </row>
    <row r="178" spans="1:12" x14ac:dyDescent="0.3">
      <c r="A178" s="65"/>
      <c r="B178" s="65"/>
      <c r="C178" s="65"/>
      <c r="D178" s="65"/>
      <c r="E178" s="66"/>
      <c r="F178" s="66"/>
      <c r="G178" s="65"/>
      <c r="H178" s="65"/>
      <c r="I178" s="65"/>
      <c r="J178" s="65"/>
      <c r="K178" s="36"/>
      <c r="L178" s="36"/>
    </row>
    <row r="179" spans="1:12" x14ac:dyDescent="0.3">
      <c r="A179" s="65"/>
      <c r="B179" s="65"/>
      <c r="C179" s="65"/>
      <c r="D179" s="65"/>
      <c r="E179" s="66"/>
      <c r="F179" s="66"/>
      <c r="G179" s="65"/>
      <c r="H179" s="65"/>
      <c r="I179" s="65"/>
      <c r="J179" s="65"/>
      <c r="K179" s="36"/>
      <c r="L179" s="36"/>
    </row>
    <row r="180" spans="1:12" x14ac:dyDescent="0.3">
      <c r="A180" s="65"/>
      <c r="B180" s="65"/>
      <c r="C180" s="65"/>
      <c r="D180" s="65"/>
      <c r="E180" s="66"/>
      <c r="F180" s="66"/>
      <c r="G180" s="65"/>
      <c r="H180" s="65"/>
      <c r="I180" s="65"/>
      <c r="J180" s="65"/>
      <c r="K180" s="36"/>
      <c r="L180" s="36"/>
    </row>
    <row r="181" spans="1:12" x14ac:dyDescent="0.3">
      <c r="A181" s="65"/>
      <c r="B181" s="65"/>
      <c r="C181" s="65"/>
      <c r="D181" s="65"/>
      <c r="E181" s="66"/>
      <c r="F181" s="66"/>
      <c r="G181" s="65"/>
      <c r="H181" s="65"/>
      <c r="I181" s="65"/>
      <c r="J181" s="65"/>
      <c r="K181" s="36"/>
      <c r="L181" s="36"/>
    </row>
    <row r="182" spans="1:12" x14ac:dyDescent="0.3">
      <c r="A182" s="65"/>
      <c r="B182" s="65"/>
      <c r="C182" s="65"/>
      <c r="D182" s="65"/>
      <c r="E182" s="66"/>
      <c r="F182" s="66"/>
      <c r="G182" s="65"/>
      <c r="H182" s="65"/>
      <c r="I182" s="65"/>
      <c r="J182" s="65"/>
      <c r="K182" s="36"/>
      <c r="L182" s="36"/>
    </row>
    <row r="183" spans="1:12" x14ac:dyDescent="0.3">
      <c r="A183" s="65"/>
      <c r="B183" s="65"/>
      <c r="C183" s="65"/>
      <c r="D183" s="65"/>
      <c r="E183" s="66"/>
      <c r="F183" s="66"/>
      <c r="G183" s="65"/>
      <c r="H183" s="65"/>
      <c r="I183" s="65"/>
      <c r="J183" s="65"/>
      <c r="K183" s="36"/>
      <c r="L183" s="36"/>
    </row>
    <row r="184" spans="1:12" x14ac:dyDescent="0.3">
      <c r="A184" s="65"/>
      <c r="B184" s="65"/>
      <c r="C184" s="65"/>
      <c r="D184" s="65"/>
      <c r="E184" s="66"/>
      <c r="F184" s="66"/>
      <c r="G184" s="65"/>
      <c r="H184" s="65"/>
      <c r="I184" s="65"/>
      <c r="J184" s="65"/>
      <c r="K184" s="36"/>
      <c r="L184" s="36"/>
    </row>
    <row r="185" spans="1:12" x14ac:dyDescent="0.3">
      <c r="A185" s="65"/>
      <c r="B185" s="65"/>
      <c r="C185" s="65"/>
      <c r="D185" s="65"/>
      <c r="E185" s="66"/>
      <c r="F185" s="66"/>
      <c r="G185" s="65"/>
      <c r="H185" s="65"/>
      <c r="I185" s="65"/>
      <c r="J185" s="65"/>
      <c r="K185" s="36"/>
      <c r="L185" s="36"/>
    </row>
    <row r="186" spans="1:12" x14ac:dyDescent="0.3">
      <c r="A186" s="65"/>
      <c r="B186" s="65"/>
      <c r="C186" s="65"/>
      <c r="D186" s="65"/>
      <c r="E186" s="66"/>
      <c r="F186" s="66"/>
      <c r="G186" s="65"/>
      <c r="H186" s="65"/>
      <c r="I186" s="65"/>
      <c r="J186" s="65"/>
      <c r="K186" s="36"/>
      <c r="L186" s="36"/>
    </row>
    <row r="187" spans="1:12" x14ac:dyDescent="0.3">
      <c r="A187" s="65"/>
      <c r="B187" s="65"/>
      <c r="C187" s="65"/>
      <c r="D187" s="65"/>
      <c r="E187" s="66"/>
      <c r="F187" s="66"/>
      <c r="G187" s="65"/>
      <c r="H187" s="65"/>
      <c r="I187" s="65"/>
      <c r="J187" s="65"/>
      <c r="K187" s="36"/>
      <c r="L187" s="36"/>
    </row>
    <row r="188" spans="1:12" x14ac:dyDescent="0.3">
      <c r="A188" s="65"/>
      <c r="B188" s="65"/>
      <c r="C188" s="65"/>
      <c r="D188" s="65"/>
      <c r="E188" s="66"/>
      <c r="F188" s="66"/>
      <c r="G188" s="65"/>
      <c r="H188" s="65"/>
      <c r="I188" s="65"/>
      <c r="J188" s="65"/>
      <c r="K188" s="36"/>
      <c r="L188" s="36"/>
    </row>
    <row r="189" spans="1:12" x14ac:dyDescent="0.3">
      <c r="A189" s="65"/>
      <c r="B189" s="65"/>
      <c r="C189" s="65"/>
      <c r="D189" s="65"/>
      <c r="E189" s="66"/>
      <c r="F189" s="66"/>
      <c r="G189" s="65"/>
      <c r="H189" s="65"/>
      <c r="I189" s="65"/>
      <c r="J189" s="65"/>
      <c r="K189" s="36"/>
      <c r="L189" s="36"/>
    </row>
    <row r="190" spans="1:12" x14ac:dyDescent="0.3">
      <c r="A190" s="65"/>
      <c r="B190" s="65"/>
      <c r="C190" s="65"/>
      <c r="D190" s="65"/>
      <c r="E190" s="66"/>
      <c r="F190" s="66"/>
      <c r="G190" s="65"/>
      <c r="H190" s="65"/>
      <c r="I190" s="65"/>
      <c r="J190" s="65"/>
      <c r="K190" s="36"/>
      <c r="L190" s="36"/>
    </row>
    <row r="191" spans="1:12" x14ac:dyDescent="0.3">
      <c r="A191" s="65"/>
      <c r="B191" s="65"/>
      <c r="C191" s="65"/>
      <c r="D191" s="65"/>
      <c r="E191" s="66"/>
      <c r="F191" s="66"/>
      <c r="G191" s="65"/>
      <c r="H191" s="65"/>
      <c r="I191" s="65"/>
      <c r="J191" s="65"/>
      <c r="K191" s="36"/>
      <c r="L191" s="36"/>
    </row>
    <row r="192" spans="1:12" x14ac:dyDescent="0.3">
      <c r="A192" s="65"/>
      <c r="B192" s="65"/>
      <c r="C192" s="65"/>
      <c r="D192" s="65"/>
      <c r="E192" s="66"/>
      <c r="F192" s="66"/>
      <c r="G192" s="65"/>
      <c r="H192" s="65"/>
      <c r="I192" s="65"/>
      <c r="J192" s="65"/>
      <c r="K192" s="36"/>
      <c r="L192" s="36"/>
    </row>
    <row r="193" spans="1:12" x14ac:dyDescent="0.3">
      <c r="A193" s="65"/>
      <c r="B193" s="65"/>
      <c r="C193" s="65"/>
      <c r="D193" s="65"/>
      <c r="E193" s="66"/>
      <c r="F193" s="66"/>
      <c r="G193" s="65"/>
      <c r="H193" s="65"/>
      <c r="I193" s="65"/>
      <c r="J193" s="65"/>
      <c r="K193" s="36"/>
      <c r="L193" s="36"/>
    </row>
    <row r="194" spans="1:12" x14ac:dyDescent="0.3">
      <c r="A194" s="65"/>
      <c r="B194" s="65"/>
      <c r="C194" s="65"/>
      <c r="D194" s="65"/>
      <c r="E194" s="66"/>
      <c r="F194" s="66"/>
      <c r="G194" s="65"/>
      <c r="H194" s="65"/>
      <c r="I194" s="65"/>
      <c r="J194" s="65"/>
      <c r="K194" s="36"/>
      <c r="L194" s="36"/>
    </row>
    <row r="195" spans="1:12" x14ac:dyDescent="0.3">
      <c r="A195" s="65"/>
      <c r="B195" s="65"/>
      <c r="C195" s="65"/>
      <c r="D195" s="65"/>
      <c r="E195" s="66"/>
      <c r="F195" s="66"/>
      <c r="G195" s="65"/>
      <c r="H195" s="65"/>
      <c r="I195" s="65"/>
      <c r="J195" s="65"/>
      <c r="K195" s="36"/>
      <c r="L195" s="36"/>
    </row>
    <row r="196" spans="1:12" x14ac:dyDescent="0.3">
      <c r="A196" s="65"/>
      <c r="B196" s="65"/>
      <c r="C196" s="65"/>
      <c r="D196" s="65"/>
      <c r="E196" s="66"/>
      <c r="F196" s="66"/>
      <c r="G196" s="65"/>
      <c r="H196" s="65"/>
      <c r="I196" s="65"/>
      <c r="J196" s="65"/>
      <c r="K196" s="36"/>
      <c r="L196" s="36"/>
    </row>
    <row r="197" spans="1:12" x14ac:dyDescent="0.3">
      <c r="A197" s="65"/>
      <c r="B197" s="65"/>
      <c r="C197" s="65"/>
      <c r="D197" s="65"/>
      <c r="E197" s="66"/>
      <c r="F197" s="66"/>
      <c r="G197" s="65"/>
      <c r="H197" s="65"/>
      <c r="I197" s="65"/>
      <c r="J197" s="65"/>
      <c r="K197" s="36"/>
      <c r="L197" s="36"/>
    </row>
    <row r="198" spans="1:12" x14ac:dyDescent="0.3">
      <c r="A198" s="65"/>
      <c r="B198" s="65"/>
      <c r="C198" s="65"/>
      <c r="D198" s="65"/>
      <c r="E198" s="66"/>
      <c r="F198" s="66"/>
      <c r="G198" s="65"/>
      <c r="H198" s="65"/>
      <c r="I198" s="65"/>
      <c r="J198" s="65"/>
      <c r="K198" s="36"/>
      <c r="L198" s="36"/>
    </row>
    <row r="199" spans="1:12" x14ac:dyDescent="0.3">
      <c r="A199" s="65"/>
      <c r="B199" s="65"/>
      <c r="C199" s="65"/>
      <c r="D199" s="65"/>
      <c r="E199" s="66"/>
      <c r="F199" s="66"/>
      <c r="G199" s="65"/>
      <c r="H199" s="65"/>
      <c r="I199" s="65"/>
      <c r="J199" s="65"/>
      <c r="K199" s="36"/>
      <c r="L199" s="36"/>
    </row>
    <row r="200" spans="1:12" x14ac:dyDescent="0.3">
      <c r="A200" s="65"/>
      <c r="B200" s="65"/>
      <c r="C200" s="65"/>
      <c r="D200" s="65"/>
      <c r="E200" s="66"/>
      <c r="F200" s="66"/>
      <c r="G200" s="65"/>
      <c r="H200" s="65"/>
      <c r="I200" s="65"/>
      <c r="J200" s="65"/>
      <c r="K200" s="36"/>
      <c r="L200" s="36"/>
    </row>
    <row r="201" spans="1:12" x14ac:dyDescent="0.3">
      <c r="A201" s="65"/>
      <c r="B201" s="65"/>
      <c r="C201" s="65"/>
      <c r="D201" s="65"/>
      <c r="E201" s="66"/>
      <c r="F201" s="66"/>
      <c r="G201" s="65"/>
      <c r="H201" s="65"/>
      <c r="I201" s="65"/>
      <c r="J201" s="65"/>
      <c r="K201" s="36"/>
      <c r="L201" s="36"/>
    </row>
    <row r="202" spans="1:12" x14ac:dyDescent="0.3">
      <c r="A202" s="65"/>
      <c r="B202" s="65"/>
      <c r="C202" s="65"/>
      <c r="D202" s="65"/>
      <c r="E202" s="66"/>
      <c r="F202" s="66"/>
      <c r="G202" s="65"/>
      <c r="H202" s="65"/>
      <c r="I202" s="65"/>
      <c r="J202" s="65"/>
      <c r="K202" s="36"/>
      <c r="L202" s="36"/>
    </row>
    <row r="203" spans="1:12" x14ac:dyDescent="0.3">
      <c r="A203" s="65"/>
      <c r="B203" s="65"/>
      <c r="C203" s="65"/>
      <c r="D203" s="65"/>
      <c r="E203" s="66"/>
      <c r="F203" s="66"/>
      <c r="G203" s="65"/>
      <c r="H203" s="65"/>
      <c r="I203" s="65"/>
      <c r="J203" s="65"/>
      <c r="K203" s="36"/>
      <c r="L203" s="36"/>
    </row>
    <row r="204" spans="1:12" x14ac:dyDescent="0.3">
      <c r="A204" s="65"/>
      <c r="B204" s="65"/>
      <c r="C204" s="65"/>
      <c r="D204" s="65"/>
      <c r="E204" s="66"/>
      <c r="F204" s="66"/>
      <c r="G204" s="65"/>
      <c r="H204" s="65"/>
      <c r="I204" s="65"/>
      <c r="J204" s="65"/>
      <c r="K204" s="36"/>
      <c r="L204" s="36"/>
    </row>
    <row r="205" spans="1:12" x14ac:dyDescent="0.3">
      <c r="A205" s="65"/>
      <c r="B205" s="65"/>
      <c r="C205" s="65"/>
      <c r="D205" s="65"/>
      <c r="E205" s="66"/>
      <c r="F205" s="66"/>
      <c r="G205" s="65"/>
      <c r="H205" s="65"/>
      <c r="I205" s="65"/>
      <c r="J205" s="65"/>
      <c r="K205" s="36"/>
      <c r="L205" s="36"/>
    </row>
    <row r="206" spans="1:12" x14ac:dyDescent="0.3">
      <c r="A206" s="65"/>
      <c r="B206" s="65"/>
      <c r="C206" s="65"/>
      <c r="D206" s="65"/>
      <c r="E206" s="66"/>
      <c r="F206" s="66"/>
      <c r="G206" s="65"/>
      <c r="H206" s="65"/>
      <c r="I206" s="65"/>
      <c r="J206" s="65"/>
      <c r="K206" s="36"/>
      <c r="L206" s="36"/>
    </row>
    <row r="207" spans="1:12" x14ac:dyDescent="0.3">
      <c r="A207" s="65"/>
      <c r="B207" s="65"/>
      <c r="C207" s="65"/>
      <c r="D207" s="65"/>
      <c r="E207" s="66"/>
      <c r="F207" s="66"/>
      <c r="G207" s="65"/>
      <c r="H207" s="65"/>
      <c r="I207" s="65"/>
      <c r="J207" s="65"/>
      <c r="K207" s="36"/>
      <c r="L207" s="36"/>
    </row>
    <row r="208" spans="1:12" x14ac:dyDescent="0.3">
      <c r="A208" s="65"/>
      <c r="B208" s="65"/>
      <c r="C208" s="65"/>
      <c r="D208" s="65"/>
      <c r="E208" s="66"/>
      <c r="F208" s="66"/>
      <c r="G208" s="65"/>
      <c r="H208" s="65"/>
      <c r="I208" s="65"/>
      <c r="J208" s="65"/>
      <c r="K208" s="36"/>
      <c r="L208" s="36"/>
    </row>
    <row r="209" spans="1:12" x14ac:dyDescent="0.3">
      <c r="A209" s="65"/>
      <c r="B209" s="65"/>
      <c r="C209" s="65"/>
      <c r="D209" s="65"/>
      <c r="E209" s="66"/>
      <c r="F209" s="66"/>
      <c r="G209" s="65"/>
      <c r="H209" s="65"/>
      <c r="I209" s="65"/>
      <c r="J209" s="65"/>
      <c r="K209" s="36"/>
      <c r="L209" s="36"/>
    </row>
    <row r="210" spans="1:12" x14ac:dyDescent="0.3">
      <c r="A210" s="65"/>
      <c r="B210" s="65"/>
      <c r="C210" s="65"/>
      <c r="D210" s="65"/>
      <c r="E210" s="66"/>
      <c r="F210" s="66"/>
      <c r="G210" s="65"/>
      <c r="H210" s="65"/>
      <c r="I210" s="65"/>
      <c r="J210" s="65"/>
      <c r="K210" s="36"/>
      <c r="L210" s="36"/>
    </row>
    <row r="211" spans="1:12" x14ac:dyDescent="0.3">
      <c r="A211" s="65"/>
      <c r="B211" s="65"/>
      <c r="C211" s="65"/>
      <c r="D211" s="65"/>
      <c r="E211" s="66"/>
      <c r="F211" s="66"/>
      <c r="G211" s="65"/>
      <c r="H211" s="65"/>
      <c r="I211" s="65"/>
      <c r="J211" s="65"/>
      <c r="K211" s="36"/>
      <c r="L211" s="36"/>
    </row>
    <row r="212" spans="1:12" x14ac:dyDescent="0.3">
      <c r="A212" s="65"/>
      <c r="B212" s="65"/>
      <c r="C212" s="65"/>
      <c r="D212" s="65"/>
      <c r="E212" s="66"/>
      <c r="F212" s="66"/>
      <c r="G212" s="65"/>
      <c r="H212" s="65"/>
      <c r="I212" s="65"/>
      <c r="J212" s="65"/>
      <c r="K212" s="36"/>
      <c r="L212" s="36"/>
    </row>
    <row r="213" spans="1:12" x14ac:dyDescent="0.3">
      <c r="A213" s="65"/>
      <c r="B213" s="65"/>
      <c r="C213" s="65"/>
      <c r="D213" s="65"/>
      <c r="E213" s="66"/>
      <c r="F213" s="66"/>
      <c r="G213" s="65"/>
      <c r="H213" s="65"/>
      <c r="I213" s="65"/>
      <c r="J213" s="65"/>
      <c r="K213" s="36"/>
      <c r="L213" s="36"/>
    </row>
    <row r="214" spans="1:12" x14ac:dyDescent="0.3">
      <c r="A214" s="65"/>
      <c r="B214" s="65"/>
      <c r="C214" s="65"/>
      <c r="D214" s="65"/>
      <c r="E214" s="66"/>
      <c r="F214" s="66"/>
      <c r="G214" s="65"/>
      <c r="H214" s="65"/>
      <c r="I214" s="65"/>
      <c r="J214" s="65"/>
      <c r="K214" s="36"/>
      <c r="L214" s="36"/>
    </row>
    <row r="215" spans="1:12" x14ac:dyDescent="0.3">
      <c r="A215" s="65"/>
      <c r="B215" s="65"/>
      <c r="C215" s="65"/>
      <c r="D215" s="65"/>
      <c r="E215" s="66"/>
      <c r="F215" s="66"/>
      <c r="G215" s="65"/>
      <c r="H215" s="65"/>
      <c r="I215" s="65"/>
      <c r="J215" s="65"/>
      <c r="K215" s="36"/>
      <c r="L215" s="36"/>
    </row>
    <row r="216" spans="1:12" x14ac:dyDescent="0.3">
      <c r="A216" s="65"/>
      <c r="B216" s="65"/>
      <c r="C216" s="65"/>
      <c r="D216" s="65"/>
      <c r="E216" s="66"/>
      <c r="F216" s="66"/>
      <c r="G216" s="65"/>
      <c r="H216" s="65"/>
      <c r="I216" s="65"/>
      <c r="J216" s="65"/>
      <c r="K216" s="36"/>
      <c r="L216" s="36"/>
    </row>
    <row r="217" spans="1:12" x14ac:dyDescent="0.3">
      <c r="A217" s="65"/>
      <c r="B217" s="65"/>
      <c r="C217" s="65"/>
      <c r="D217" s="65"/>
      <c r="E217" s="66"/>
      <c r="F217" s="66"/>
      <c r="G217" s="65"/>
      <c r="H217" s="65"/>
      <c r="I217" s="65"/>
      <c r="J217" s="65"/>
      <c r="K217" s="36"/>
      <c r="L217" s="36"/>
    </row>
    <row r="218" spans="1:12" x14ac:dyDescent="0.3">
      <c r="A218" s="65"/>
      <c r="B218" s="65"/>
      <c r="C218" s="65"/>
      <c r="D218" s="65"/>
      <c r="E218" s="66"/>
      <c r="F218" s="66"/>
      <c r="G218" s="65"/>
      <c r="H218" s="65"/>
      <c r="I218" s="65"/>
      <c r="J218" s="65"/>
      <c r="K218" s="36"/>
      <c r="L218" s="36"/>
    </row>
    <row r="219" spans="1:12" x14ac:dyDescent="0.3">
      <c r="A219" s="65"/>
      <c r="B219" s="65"/>
      <c r="C219" s="65"/>
      <c r="D219" s="65"/>
      <c r="E219" s="66"/>
      <c r="F219" s="66"/>
      <c r="G219" s="65"/>
      <c r="H219" s="65"/>
      <c r="I219" s="65"/>
      <c r="J219" s="65"/>
      <c r="K219" s="36"/>
      <c r="L219" s="36"/>
    </row>
    <row r="220" spans="1:12" x14ac:dyDescent="0.3">
      <c r="A220" s="65"/>
      <c r="B220" s="65"/>
      <c r="C220" s="65"/>
      <c r="D220" s="65"/>
      <c r="E220" s="66"/>
      <c r="F220" s="66"/>
      <c r="G220" s="65"/>
      <c r="H220" s="65"/>
      <c r="I220" s="65"/>
      <c r="J220" s="65"/>
      <c r="K220" s="36"/>
      <c r="L220" s="36"/>
    </row>
    <row r="221" spans="1:12" x14ac:dyDescent="0.3">
      <c r="A221" s="65"/>
      <c r="B221" s="65"/>
      <c r="C221" s="65"/>
      <c r="D221" s="65"/>
      <c r="E221" s="66"/>
      <c r="F221" s="66"/>
      <c r="G221" s="65"/>
      <c r="H221" s="65"/>
      <c r="I221" s="65"/>
      <c r="J221" s="65"/>
      <c r="K221" s="36"/>
      <c r="L221" s="36"/>
    </row>
    <row r="222" spans="1:12" x14ac:dyDescent="0.3">
      <c r="A222" s="65"/>
      <c r="B222" s="65"/>
      <c r="C222" s="65"/>
      <c r="D222" s="65"/>
      <c r="E222" s="66"/>
      <c r="F222" s="66"/>
      <c r="G222" s="65"/>
      <c r="H222" s="65"/>
      <c r="I222" s="65"/>
      <c r="J222" s="65"/>
      <c r="K222" s="36"/>
      <c r="L222" s="36"/>
    </row>
    <row r="223" spans="1:12" x14ac:dyDescent="0.3">
      <c r="A223" s="65"/>
      <c r="B223" s="65"/>
      <c r="C223" s="65"/>
      <c r="D223" s="65"/>
      <c r="E223" s="66"/>
      <c r="F223" s="66"/>
      <c r="G223" s="65"/>
      <c r="H223" s="65"/>
      <c r="I223" s="65"/>
      <c r="J223" s="65"/>
      <c r="K223" s="36"/>
      <c r="L223" s="36"/>
    </row>
    <row r="224" spans="1:12" x14ac:dyDescent="0.3">
      <c r="A224" s="65"/>
      <c r="B224" s="65"/>
      <c r="C224" s="65"/>
      <c r="D224" s="65"/>
      <c r="E224" s="66"/>
      <c r="F224" s="66"/>
      <c r="G224" s="65"/>
      <c r="H224" s="65"/>
      <c r="I224" s="65"/>
      <c r="J224" s="65"/>
      <c r="K224" s="36"/>
      <c r="L224" s="36"/>
    </row>
    <row r="225" spans="1:12" x14ac:dyDescent="0.3">
      <c r="A225" s="65"/>
      <c r="B225" s="65"/>
      <c r="C225" s="65"/>
      <c r="D225" s="65"/>
      <c r="E225" s="66"/>
      <c r="F225" s="66"/>
      <c r="G225" s="65"/>
      <c r="H225" s="65"/>
      <c r="I225" s="65"/>
      <c r="J225" s="65"/>
      <c r="K225" s="36"/>
      <c r="L225" s="36"/>
    </row>
    <row r="226" spans="1:12" x14ac:dyDescent="0.3">
      <c r="A226" s="65"/>
      <c r="B226" s="65"/>
      <c r="C226" s="65"/>
      <c r="D226" s="65"/>
      <c r="E226" s="66"/>
      <c r="F226" s="66"/>
      <c r="G226" s="65"/>
      <c r="H226" s="65"/>
      <c r="I226" s="65"/>
      <c r="J226" s="65"/>
      <c r="K226" s="36"/>
      <c r="L226" s="36"/>
    </row>
    <row r="227" spans="1:12" x14ac:dyDescent="0.3">
      <c r="A227" s="65"/>
      <c r="B227" s="65"/>
      <c r="C227" s="65"/>
      <c r="D227" s="65"/>
      <c r="E227" s="66"/>
      <c r="F227" s="66"/>
      <c r="G227" s="65"/>
      <c r="H227" s="65"/>
      <c r="I227" s="65"/>
      <c r="J227" s="65"/>
      <c r="K227" s="36"/>
      <c r="L227" s="36"/>
    </row>
    <row r="228" spans="1:12" x14ac:dyDescent="0.3">
      <c r="A228" s="65"/>
      <c r="B228" s="65"/>
      <c r="C228" s="65"/>
      <c r="D228" s="65"/>
      <c r="E228" s="66"/>
      <c r="F228" s="66"/>
      <c r="G228" s="65"/>
      <c r="H228" s="65"/>
      <c r="I228" s="65"/>
      <c r="J228" s="65"/>
      <c r="K228" s="36"/>
      <c r="L228" s="36"/>
    </row>
    <row r="229" spans="1:12" x14ac:dyDescent="0.3">
      <c r="A229" s="65"/>
      <c r="B229" s="65"/>
      <c r="C229" s="65"/>
      <c r="D229" s="65"/>
      <c r="E229" s="66"/>
      <c r="F229" s="66"/>
      <c r="G229" s="65"/>
      <c r="H229" s="65"/>
      <c r="I229" s="65"/>
      <c r="J229" s="65"/>
      <c r="K229" s="36"/>
      <c r="L229" s="36"/>
    </row>
    <row r="230" spans="1:12" x14ac:dyDescent="0.3">
      <c r="A230" s="65"/>
      <c r="B230" s="65"/>
      <c r="C230" s="65"/>
      <c r="D230" s="65"/>
      <c r="E230" s="66"/>
      <c r="F230" s="66"/>
      <c r="G230" s="65"/>
      <c r="H230" s="65"/>
      <c r="I230" s="65"/>
      <c r="J230" s="65"/>
      <c r="K230" s="36"/>
      <c r="L230" s="36"/>
    </row>
    <row r="231" spans="1:12" x14ac:dyDescent="0.3">
      <c r="A231" s="65"/>
      <c r="B231" s="65"/>
      <c r="C231" s="65"/>
      <c r="D231" s="65"/>
      <c r="E231" s="66"/>
      <c r="F231" s="66"/>
      <c r="G231" s="65"/>
      <c r="H231" s="65"/>
      <c r="I231" s="65"/>
      <c r="J231" s="65"/>
      <c r="K231" s="36"/>
      <c r="L231" s="36"/>
    </row>
    <row r="232" spans="1:12" x14ac:dyDescent="0.3">
      <c r="A232" s="65"/>
      <c r="B232" s="65"/>
      <c r="C232" s="65"/>
      <c r="D232" s="65"/>
      <c r="E232" s="66"/>
      <c r="F232" s="66"/>
      <c r="G232" s="65"/>
      <c r="H232" s="65"/>
      <c r="I232" s="65"/>
      <c r="J232" s="65"/>
      <c r="K232" s="36"/>
      <c r="L232" s="36"/>
    </row>
    <row r="233" spans="1:12" x14ac:dyDescent="0.3">
      <c r="A233" s="65"/>
      <c r="B233" s="65"/>
      <c r="C233" s="65"/>
      <c r="D233" s="65"/>
      <c r="E233" s="66"/>
      <c r="F233" s="66"/>
      <c r="G233" s="65"/>
      <c r="H233" s="65"/>
      <c r="I233" s="65"/>
      <c r="J233" s="65"/>
      <c r="K233" s="36"/>
      <c r="L233" s="36"/>
    </row>
    <row r="234" spans="1:12" x14ac:dyDescent="0.3">
      <c r="A234" s="65"/>
      <c r="B234" s="65"/>
      <c r="C234" s="65"/>
      <c r="D234" s="65"/>
      <c r="E234" s="66"/>
      <c r="F234" s="66"/>
      <c r="G234" s="65"/>
      <c r="H234" s="65"/>
      <c r="I234" s="65"/>
      <c r="J234" s="65"/>
      <c r="K234" s="36"/>
      <c r="L234" s="36"/>
    </row>
    <row r="235" spans="1:12" x14ac:dyDescent="0.3">
      <c r="A235" s="65"/>
      <c r="B235" s="65"/>
      <c r="C235" s="65"/>
      <c r="D235" s="65"/>
      <c r="E235" s="66"/>
      <c r="F235" s="66"/>
      <c r="G235" s="65"/>
      <c r="H235" s="65"/>
      <c r="I235" s="65"/>
      <c r="J235" s="65"/>
      <c r="K235" s="36"/>
      <c r="L235" s="36"/>
    </row>
    <row r="236" spans="1:12" x14ac:dyDescent="0.3">
      <c r="A236" s="65"/>
      <c r="B236" s="65"/>
      <c r="C236" s="65"/>
      <c r="D236" s="65"/>
      <c r="E236" s="66"/>
      <c r="F236" s="66"/>
      <c r="G236" s="65"/>
      <c r="H236" s="65"/>
      <c r="I236" s="65"/>
      <c r="J236" s="65"/>
      <c r="K236" s="36"/>
      <c r="L236" s="36"/>
    </row>
    <row r="237" spans="1:12" x14ac:dyDescent="0.3">
      <c r="A237" s="65"/>
      <c r="B237" s="65"/>
      <c r="C237" s="65"/>
      <c r="D237" s="65"/>
      <c r="E237" s="66"/>
      <c r="F237" s="66"/>
      <c r="G237" s="65"/>
      <c r="H237" s="65"/>
      <c r="I237" s="65"/>
      <c r="J237" s="65"/>
      <c r="K237" s="36"/>
      <c r="L237" s="36"/>
    </row>
    <row r="238" spans="1:12" x14ac:dyDescent="0.3">
      <c r="A238" s="65"/>
      <c r="B238" s="65"/>
      <c r="C238" s="65"/>
      <c r="D238" s="65"/>
      <c r="E238" s="66"/>
      <c r="F238" s="66"/>
      <c r="G238" s="65"/>
      <c r="H238" s="65"/>
      <c r="I238" s="65"/>
      <c r="J238" s="65"/>
      <c r="K238" s="36"/>
      <c r="L238" s="36"/>
    </row>
    <row r="239" spans="1:12" x14ac:dyDescent="0.3">
      <c r="A239" s="65"/>
      <c r="B239" s="65"/>
      <c r="C239" s="65"/>
      <c r="D239" s="65"/>
      <c r="E239" s="66"/>
      <c r="F239" s="66"/>
      <c r="G239" s="65"/>
      <c r="H239" s="65"/>
      <c r="I239" s="65"/>
      <c r="J239" s="65"/>
      <c r="K239" s="36"/>
      <c r="L239" s="36"/>
    </row>
    <row r="240" spans="1:12" x14ac:dyDescent="0.3">
      <c r="A240" s="65"/>
      <c r="B240" s="65"/>
      <c r="C240" s="65"/>
      <c r="D240" s="65"/>
      <c r="E240" s="66"/>
      <c r="F240" s="66"/>
      <c r="G240" s="65"/>
      <c r="H240" s="65"/>
      <c r="I240" s="65"/>
      <c r="J240" s="65"/>
      <c r="K240" s="36"/>
      <c r="L240" s="36"/>
    </row>
    <row r="241" spans="1:12" x14ac:dyDescent="0.3">
      <c r="A241" s="65"/>
      <c r="B241" s="65"/>
      <c r="C241" s="65"/>
      <c r="D241" s="65"/>
      <c r="E241" s="66"/>
      <c r="F241" s="66"/>
      <c r="G241" s="65"/>
      <c r="H241" s="65"/>
      <c r="I241" s="65"/>
      <c r="J241" s="65"/>
      <c r="K241" s="36"/>
      <c r="L241" s="36"/>
    </row>
    <row r="242" spans="1:12" x14ac:dyDescent="0.3">
      <c r="A242" s="65"/>
      <c r="B242" s="65"/>
      <c r="C242" s="65"/>
      <c r="D242" s="65"/>
      <c r="E242" s="66"/>
      <c r="F242" s="66"/>
      <c r="G242" s="65"/>
      <c r="H242" s="65"/>
      <c r="I242" s="65"/>
      <c r="J242" s="65"/>
      <c r="K242" s="36"/>
      <c r="L242" s="36"/>
    </row>
    <row r="243" spans="1:12" x14ac:dyDescent="0.3">
      <c r="A243" s="65"/>
      <c r="B243" s="65"/>
      <c r="C243" s="65"/>
      <c r="D243" s="65"/>
      <c r="E243" s="66"/>
      <c r="F243" s="66"/>
      <c r="G243" s="65"/>
      <c r="H243" s="65"/>
      <c r="I243" s="65"/>
      <c r="J243" s="65"/>
      <c r="K243" s="36"/>
      <c r="L243" s="36"/>
    </row>
    <row r="244" spans="1:12" x14ac:dyDescent="0.3">
      <c r="A244" s="65"/>
      <c r="B244" s="65"/>
      <c r="C244" s="65"/>
      <c r="D244" s="65"/>
      <c r="E244" s="66"/>
      <c r="F244" s="66"/>
      <c r="G244" s="65"/>
      <c r="H244" s="65"/>
      <c r="I244" s="65"/>
      <c r="J244" s="65"/>
      <c r="K244" s="36"/>
      <c r="L244" s="36"/>
    </row>
    <row r="245" spans="1:12" x14ac:dyDescent="0.3">
      <c r="A245" s="65"/>
      <c r="B245" s="65"/>
      <c r="C245" s="65"/>
      <c r="D245" s="65"/>
      <c r="E245" s="66"/>
      <c r="F245" s="66"/>
      <c r="G245" s="65"/>
      <c r="H245" s="65"/>
      <c r="I245" s="65"/>
      <c r="J245" s="65"/>
      <c r="K245" s="36"/>
      <c r="L245" s="36"/>
    </row>
    <row r="246" spans="1:12" x14ac:dyDescent="0.3">
      <c r="A246" s="65"/>
      <c r="B246" s="65"/>
      <c r="C246" s="65"/>
      <c r="D246" s="65"/>
      <c r="E246" s="66"/>
      <c r="F246" s="66"/>
      <c r="G246" s="65"/>
      <c r="H246" s="65"/>
      <c r="I246" s="65"/>
      <c r="J246" s="65"/>
      <c r="K246" s="36"/>
      <c r="L246" s="36"/>
    </row>
    <row r="247" spans="1:12" x14ac:dyDescent="0.3">
      <c r="A247" s="65"/>
      <c r="B247" s="65"/>
      <c r="C247" s="65"/>
      <c r="D247" s="65"/>
      <c r="E247" s="66"/>
      <c r="F247" s="66"/>
      <c r="G247" s="65"/>
      <c r="H247" s="65"/>
      <c r="I247" s="65"/>
      <c r="J247" s="65"/>
      <c r="K247" s="36"/>
      <c r="L247" s="36"/>
    </row>
    <row r="248" spans="1:12" x14ac:dyDescent="0.3">
      <c r="A248" s="65"/>
      <c r="B248" s="65"/>
      <c r="C248" s="65"/>
      <c r="D248" s="65"/>
      <c r="E248" s="66"/>
      <c r="F248" s="66"/>
      <c r="G248" s="65"/>
      <c r="H248" s="65"/>
      <c r="I248" s="65"/>
      <c r="J248" s="65"/>
      <c r="K248" s="36"/>
      <c r="L248" s="36"/>
    </row>
    <row r="249" spans="1:12" x14ac:dyDescent="0.3">
      <c r="A249" s="65"/>
      <c r="B249" s="65"/>
      <c r="C249" s="65"/>
      <c r="D249" s="65"/>
      <c r="E249" s="66"/>
      <c r="F249" s="66"/>
      <c r="G249" s="65"/>
      <c r="H249" s="65"/>
      <c r="I249" s="65"/>
      <c r="J249" s="65"/>
      <c r="K249" s="36"/>
      <c r="L249" s="36"/>
    </row>
    <row r="250" spans="1:12" x14ac:dyDescent="0.3">
      <c r="A250" s="65"/>
      <c r="B250" s="65"/>
      <c r="C250" s="65"/>
      <c r="D250" s="65"/>
      <c r="E250" s="66"/>
      <c r="F250" s="66"/>
      <c r="G250" s="65"/>
      <c r="H250" s="65"/>
      <c r="I250" s="65"/>
      <c r="J250" s="65"/>
      <c r="K250" s="36"/>
      <c r="L250" s="36"/>
    </row>
    <row r="251" spans="1:12" x14ac:dyDescent="0.3">
      <c r="A251" s="65"/>
      <c r="B251" s="65"/>
      <c r="C251" s="65"/>
      <c r="D251" s="65"/>
      <c r="E251" s="66"/>
      <c r="F251" s="66"/>
      <c r="G251" s="65"/>
      <c r="H251" s="65"/>
      <c r="I251" s="65"/>
      <c r="J251" s="65"/>
      <c r="K251" s="36"/>
      <c r="L251" s="36"/>
    </row>
    <row r="252" spans="1:12" x14ac:dyDescent="0.3">
      <c r="A252" s="65"/>
      <c r="B252" s="65"/>
      <c r="C252" s="65"/>
      <c r="D252" s="65"/>
      <c r="E252" s="66"/>
      <c r="F252" s="66"/>
      <c r="G252" s="65"/>
      <c r="H252" s="65"/>
      <c r="I252" s="65"/>
      <c r="J252" s="65"/>
      <c r="K252" s="36"/>
      <c r="L252" s="36"/>
    </row>
    <row r="253" spans="1:12" x14ac:dyDescent="0.3">
      <c r="A253" s="65"/>
      <c r="B253" s="65"/>
      <c r="C253" s="65"/>
      <c r="D253" s="65"/>
      <c r="E253" s="66"/>
      <c r="F253" s="66"/>
      <c r="G253" s="65"/>
      <c r="H253" s="65"/>
      <c r="I253" s="65"/>
      <c r="J253" s="65"/>
      <c r="K253" s="36"/>
      <c r="L253" s="36"/>
    </row>
    <row r="254" spans="1:12" x14ac:dyDescent="0.3">
      <c r="A254" s="65"/>
      <c r="B254" s="65"/>
      <c r="C254" s="65"/>
      <c r="D254" s="65"/>
      <c r="E254" s="66"/>
      <c r="F254" s="66"/>
      <c r="G254" s="65"/>
      <c r="H254" s="65"/>
      <c r="I254" s="65"/>
      <c r="J254" s="65"/>
      <c r="K254" s="36"/>
      <c r="L254" s="36"/>
    </row>
    <row r="255" spans="1:12" x14ac:dyDescent="0.3">
      <c r="A255" s="65"/>
      <c r="B255" s="65"/>
      <c r="C255" s="65"/>
      <c r="D255" s="65"/>
      <c r="E255" s="66"/>
      <c r="F255" s="66"/>
      <c r="G255" s="65"/>
      <c r="H255" s="65"/>
      <c r="I255" s="65"/>
      <c r="J255" s="65"/>
      <c r="K255" s="36"/>
      <c r="L255" s="36"/>
    </row>
    <row r="256" spans="1:12" x14ac:dyDescent="0.3">
      <c r="A256" s="65"/>
      <c r="B256" s="65"/>
      <c r="C256" s="65"/>
      <c r="D256" s="65"/>
      <c r="E256" s="66"/>
      <c r="F256" s="66"/>
      <c r="G256" s="65"/>
      <c r="H256" s="65"/>
      <c r="I256" s="65"/>
      <c r="J256" s="65"/>
      <c r="K256" s="36"/>
      <c r="L256" s="36"/>
    </row>
    <row r="257" spans="1:12" x14ac:dyDescent="0.3">
      <c r="A257" s="65"/>
      <c r="B257" s="65"/>
      <c r="C257" s="65"/>
      <c r="D257" s="65"/>
      <c r="E257" s="66"/>
      <c r="F257" s="66"/>
      <c r="G257" s="65"/>
      <c r="H257" s="65"/>
      <c r="I257" s="65"/>
      <c r="J257" s="65"/>
      <c r="K257" s="36"/>
      <c r="L257" s="36"/>
    </row>
    <row r="258" spans="1:12" x14ac:dyDescent="0.3">
      <c r="A258" s="65"/>
      <c r="B258" s="65"/>
      <c r="C258" s="65"/>
      <c r="D258" s="65"/>
      <c r="E258" s="66"/>
      <c r="F258" s="66"/>
      <c r="G258" s="65"/>
      <c r="H258" s="65"/>
      <c r="I258" s="65"/>
      <c r="J258" s="65"/>
      <c r="K258" s="36"/>
      <c r="L258" s="36"/>
    </row>
    <row r="259" spans="1:12" x14ac:dyDescent="0.3">
      <c r="A259" s="65"/>
      <c r="B259" s="65"/>
      <c r="C259" s="65"/>
      <c r="D259" s="65"/>
      <c r="E259" s="66"/>
      <c r="F259" s="66"/>
      <c r="G259" s="65"/>
      <c r="H259" s="65"/>
      <c r="I259" s="65"/>
      <c r="J259" s="65"/>
      <c r="K259" s="36"/>
      <c r="L259" s="36"/>
    </row>
    <row r="260" spans="1:12" x14ac:dyDescent="0.3">
      <c r="A260" s="65"/>
      <c r="B260" s="65"/>
      <c r="C260" s="65"/>
      <c r="D260" s="65"/>
      <c r="E260" s="66"/>
      <c r="F260" s="66"/>
      <c r="G260" s="65"/>
      <c r="H260" s="65"/>
      <c r="I260" s="65"/>
      <c r="J260" s="65"/>
      <c r="K260" s="36"/>
      <c r="L260" s="36"/>
    </row>
    <row r="261" spans="1:12" x14ac:dyDescent="0.3">
      <c r="A261" s="65"/>
      <c r="B261" s="65"/>
      <c r="C261" s="65"/>
      <c r="D261" s="65"/>
      <c r="E261" s="66"/>
      <c r="F261" s="66"/>
      <c r="G261" s="65"/>
      <c r="H261" s="65"/>
      <c r="I261" s="65"/>
      <c r="J261" s="65"/>
      <c r="K261" s="36"/>
      <c r="L261" s="36"/>
    </row>
    <row r="262" spans="1:12" x14ac:dyDescent="0.3">
      <c r="A262" s="65"/>
      <c r="B262" s="65"/>
      <c r="C262" s="65"/>
      <c r="D262" s="65"/>
      <c r="E262" s="66"/>
      <c r="F262" s="66"/>
      <c r="G262" s="65"/>
      <c r="H262" s="65"/>
      <c r="I262" s="65"/>
      <c r="J262" s="65"/>
      <c r="K262" s="36"/>
      <c r="L262" s="36"/>
    </row>
    <row r="263" spans="1:12" x14ac:dyDescent="0.3">
      <c r="A263" s="65"/>
      <c r="B263" s="65"/>
      <c r="C263" s="65"/>
      <c r="D263" s="65"/>
      <c r="E263" s="66"/>
      <c r="F263" s="66"/>
      <c r="G263" s="65"/>
      <c r="H263" s="65"/>
      <c r="I263" s="65"/>
      <c r="J263" s="65"/>
      <c r="K263" s="36"/>
      <c r="L263" s="36"/>
    </row>
    <row r="264" spans="1:12" x14ac:dyDescent="0.3">
      <c r="A264" s="65"/>
      <c r="B264" s="65"/>
      <c r="C264" s="65"/>
      <c r="D264" s="65"/>
      <c r="E264" s="66"/>
      <c r="F264" s="66"/>
      <c r="G264" s="65"/>
      <c r="H264" s="65"/>
      <c r="I264" s="65"/>
      <c r="J264" s="65"/>
      <c r="K264" s="36"/>
      <c r="L264" s="36"/>
    </row>
    <row r="265" spans="1:12" x14ac:dyDescent="0.3">
      <c r="A265" s="65"/>
      <c r="B265" s="65"/>
      <c r="C265" s="65"/>
      <c r="D265" s="65"/>
      <c r="E265" s="66"/>
      <c r="F265" s="66"/>
      <c r="G265" s="65"/>
      <c r="H265" s="65"/>
      <c r="I265" s="65"/>
      <c r="J265" s="65"/>
      <c r="K265" s="36"/>
      <c r="L265" s="36"/>
    </row>
    <row r="266" spans="1:12" x14ac:dyDescent="0.3">
      <c r="A266" s="65"/>
      <c r="B266" s="65"/>
      <c r="C266" s="65"/>
      <c r="D266" s="65"/>
      <c r="E266" s="66"/>
      <c r="F266" s="66"/>
      <c r="G266" s="65"/>
      <c r="H266" s="65"/>
      <c r="I266" s="65"/>
      <c r="J266" s="65"/>
      <c r="K266" s="36"/>
      <c r="L266" s="36"/>
    </row>
    <row r="267" spans="1:12" x14ac:dyDescent="0.3">
      <c r="A267" s="65"/>
      <c r="B267" s="65"/>
      <c r="C267" s="65"/>
      <c r="D267" s="65"/>
      <c r="E267" s="66"/>
      <c r="F267" s="66"/>
      <c r="G267" s="65"/>
      <c r="H267" s="65"/>
      <c r="I267" s="65"/>
      <c r="J267" s="65"/>
      <c r="K267" s="36"/>
      <c r="L267" s="36"/>
    </row>
    <row r="268" spans="1:12" x14ac:dyDescent="0.3">
      <c r="A268" s="65"/>
      <c r="B268" s="65"/>
      <c r="C268" s="65"/>
      <c r="D268" s="65"/>
      <c r="E268" s="66"/>
      <c r="F268" s="66"/>
      <c r="G268" s="65"/>
      <c r="H268" s="65"/>
      <c r="I268" s="65"/>
      <c r="J268" s="65"/>
      <c r="K268" s="36"/>
      <c r="L268" s="36"/>
    </row>
    <row r="269" spans="1:12" x14ac:dyDescent="0.3">
      <c r="A269" s="65"/>
      <c r="B269" s="65"/>
      <c r="C269" s="65"/>
      <c r="D269" s="65"/>
      <c r="E269" s="66"/>
      <c r="F269" s="66"/>
      <c r="G269" s="65"/>
      <c r="H269" s="65"/>
      <c r="I269" s="65"/>
      <c r="J269" s="65"/>
      <c r="K269" s="36"/>
      <c r="L269" s="36"/>
    </row>
    <row r="270" spans="1:12" x14ac:dyDescent="0.3">
      <c r="A270" s="65"/>
      <c r="B270" s="65"/>
      <c r="C270" s="65"/>
      <c r="D270" s="65"/>
      <c r="E270" s="66"/>
      <c r="F270" s="66"/>
      <c r="G270" s="65"/>
      <c r="H270" s="65"/>
      <c r="I270" s="65"/>
      <c r="J270" s="65"/>
      <c r="K270" s="36"/>
      <c r="L270" s="36"/>
    </row>
    <row r="271" spans="1:12" x14ac:dyDescent="0.3">
      <c r="A271" s="65"/>
      <c r="B271" s="65"/>
      <c r="C271" s="65"/>
      <c r="D271" s="65"/>
      <c r="E271" s="66"/>
      <c r="F271" s="66"/>
      <c r="G271" s="65"/>
      <c r="H271" s="65"/>
      <c r="I271" s="65"/>
      <c r="J271" s="65"/>
      <c r="K271" s="36"/>
      <c r="L271" s="36"/>
    </row>
    <row r="272" spans="1:12" x14ac:dyDescent="0.3">
      <c r="A272" s="65"/>
      <c r="B272" s="65"/>
      <c r="C272" s="65"/>
      <c r="D272" s="65"/>
      <c r="E272" s="66"/>
      <c r="F272" s="66"/>
      <c r="G272" s="65"/>
      <c r="H272" s="65"/>
      <c r="I272" s="65"/>
      <c r="J272" s="65"/>
      <c r="K272" s="36"/>
      <c r="L272" s="36"/>
    </row>
    <row r="273" spans="1:12" x14ac:dyDescent="0.3">
      <c r="A273" s="65"/>
      <c r="B273" s="65"/>
      <c r="C273" s="65"/>
      <c r="D273" s="65"/>
      <c r="E273" s="66"/>
      <c r="F273" s="66"/>
      <c r="G273" s="65"/>
      <c r="H273" s="65"/>
      <c r="I273" s="65"/>
      <c r="J273" s="65"/>
      <c r="K273" s="36"/>
      <c r="L273" s="36"/>
    </row>
    <row r="274" spans="1:12" x14ac:dyDescent="0.3">
      <c r="A274" s="65"/>
      <c r="B274" s="65"/>
      <c r="C274" s="65"/>
      <c r="D274" s="65"/>
      <c r="E274" s="66"/>
      <c r="F274" s="66"/>
      <c r="G274" s="65"/>
      <c r="H274" s="65"/>
      <c r="I274" s="65"/>
      <c r="J274" s="65"/>
      <c r="K274" s="36"/>
      <c r="L274" s="36"/>
    </row>
    <row r="275" spans="1:12" x14ac:dyDescent="0.3">
      <c r="A275" s="65"/>
      <c r="B275" s="65"/>
      <c r="C275" s="65"/>
      <c r="D275" s="65"/>
      <c r="E275" s="66"/>
      <c r="F275" s="66"/>
      <c r="G275" s="65"/>
      <c r="H275" s="65"/>
      <c r="I275" s="65"/>
      <c r="J275" s="65"/>
      <c r="K275" s="36"/>
      <c r="L275" s="36"/>
    </row>
    <row r="276" spans="1:12" x14ac:dyDescent="0.3">
      <c r="A276" s="65"/>
      <c r="B276" s="65"/>
      <c r="C276" s="65"/>
      <c r="D276" s="65"/>
      <c r="E276" s="66"/>
      <c r="F276" s="66"/>
      <c r="G276" s="65"/>
      <c r="H276" s="65"/>
      <c r="I276" s="65"/>
      <c r="J276" s="65"/>
      <c r="K276" s="36"/>
      <c r="L276" s="36"/>
    </row>
    <row r="277" spans="1:12" x14ac:dyDescent="0.3">
      <c r="A277" s="65"/>
      <c r="B277" s="65"/>
      <c r="C277" s="65"/>
      <c r="D277" s="65"/>
      <c r="E277" s="66"/>
      <c r="F277" s="66"/>
      <c r="G277" s="65"/>
      <c r="H277" s="65"/>
      <c r="I277" s="65"/>
      <c r="J277" s="65"/>
      <c r="K277" s="36"/>
      <c r="L277" s="36"/>
    </row>
    <row r="278" spans="1:12" x14ac:dyDescent="0.3">
      <c r="A278" s="65"/>
      <c r="B278" s="65"/>
      <c r="C278" s="65"/>
      <c r="D278" s="65"/>
      <c r="E278" s="66"/>
      <c r="F278" s="66"/>
      <c r="G278" s="65"/>
      <c r="H278" s="65"/>
      <c r="I278" s="65"/>
      <c r="J278" s="65"/>
      <c r="K278" s="36"/>
      <c r="L278" s="36"/>
    </row>
    <row r="279" spans="1:12" x14ac:dyDescent="0.3">
      <c r="A279" s="65"/>
      <c r="B279" s="65"/>
      <c r="C279" s="65"/>
      <c r="D279" s="65"/>
      <c r="E279" s="66"/>
      <c r="F279" s="66"/>
      <c r="G279" s="65"/>
      <c r="H279" s="65"/>
      <c r="I279" s="65"/>
      <c r="J279" s="65"/>
      <c r="K279" s="36"/>
      <c r="L279" s="36"/>
    </row>
    <row r="280" spans="1:12" x14ac:dyDescent="0.3">
      <c r="A280" s="65"/>
      <c r="B280" s="65"/>
      <c r="C280" s="65"/>
      <c r="D280" s="65"/>
      <c r="E280" s="66"/>
      <c r="F280" s="66"/>
      <c r="G280" s="65"/>
      <c r="H280" s="65"/>
      <c r="I280" s="65"/>
      <c r="J280" s="65"/>
      <c r="K280" s="36"/>
      <c r="L280" s="36"/>
    </row>
    <row r="281" spans="1:12" x14ac:dyDescent="0.3">
      <c r="A281" s="65"/>
      <c r="B281" s="65"/>
      <c r="C281" s="65"/>
      <c r="D281" s="65"/>
      <c r="E281" s="66"/>
      <c r="F281" s="66"/>
      <c r="G281" s="65"/>
      <c r="H281" s="65"/>
      <c r="I281" s="65"/>
      <c r="J281" s="65"/>
      <c r="K281" s="36"/>
      <c r="L281" s="36"/>
    </row>
    <row r="282" spans="1:12" x14ac:dyDescent="0.3">
      <c r="A282" s="65"/>
      <c r="B282" s="65"/>
      <c r="C282" s="65"/>
      <c r="D282" s="65"/>
      <c r="E282" s="66"/>
      <c r="F282" s="66"/>
      <c r="G282" s="65"/>
      <c r="H282" s="65"/>
      <c r="I282" s="65"/>
      <c r="J282" s="65"/>
      <c r="K282" s="36"/>
      <c r="L282" s="36"/>
    </row>
    <row r="283" spans="1:12" x14ac:dyDescent="0.3">
      <c r="A283" s="65"/>
      <c r="B283" s="65"/>
      <c r="C283" s="65"/>
      <c r="D283" s="65"/>
      <c r="E283" s="66"/>
      <c r="F283" s="66"/>
      <c r="G283" s="65"/>
      <c r="H283" s="65"/>
      <c r="I283" s="65"/>
      <c r="J283" s="65"/>
      <c r="K283" s="36"/>
      <c r="L283" s="36"/>
    </row>
    <row r="284" spans="1:12" x14ac:dyDescent="0.3">
      <c r="A284" s="65"/>
      <c r="B284" s="65"/>
      <c r="C284" s="65"/>
      <c r="D284" s="65"/>
      <c r="E284" s="66"/>
      <c r="F284" s="66"/>
      <c r="G284" s="65"/>
      <c r="H284" s="65"/>
      <c r="I284" s="65"/>
      <c r="J284" s="65"/>
      <c r="K284" s="36"/>
      <c r="L284" s="36"/>
    </row>
    <row r="285" spans="1:12" x14ac:dyDescent="0.3">
      <c r="A285" s="65"/>
      <c r="B285" s="65"/>
      <c r="C285" s="65"/>
      <c r="D285" s="65"/>
      <c r="E285" s="66"/>
      <c r="F285" s="66"/>
      <c r="G285" s="65"/>
      <c r="H285" s="65"/>
      <c r="I285" s="65"/>
      <c r="J285" s="65"/>
      <c r="K285" s="36"/>
      <c r="L285" s="36"/>
    </row>
    <row r="286" spans="1:12" x14ac:dyDescent="0.3">
      <c r="A286" s="65"/>
      <c r="B286" s="65"/>
      <c r="C286" s="65"/>
      <c r="D286" s="65"/>
      <c r="E286" s="66"/>
      <c r="F286" s="66"/>
      <c r="G286" s="65"/>
      <c r="H286" s="65"/>
      <c r="I286" s="65"/>
      <c r="J286" s="65"/>
      <c r="K286" s="36"/>
      <c r="L286" s="36"/>
    </row>
    <row r="287" spans="1:12" x14ac:dyDescent="0.3">
      <c r="A287" s="65"/>
      <c r="B287" s="65"/>
      <c r="C287" s="65"/>
      <c r="D287" s="65"/>
      <c r="E287" s="66"/>
      <c r="F287" s="66"/>
      <c r="G287" s="65"/>
      <c r="H287" s="65"/>
      <c r="I287" s="65"/>
      <c r="J287" s="65"/>
      <c r="K287" s="36"/>
      <c r="L287" s="36"/>
    </row>
    <row r="288" spans="1:12" x14ac:dyDescent="0.3">
      <c r="A288" s="65"/>
      <c r="B288" s="65"/>
      <c r="C288" s="65"/>
      <c r="D288" s="65"/>
      <c r="E288" s="66"/>
      <c r="F288" s="66"/>
      <c r="G288" s="65"/>
      <c r="H288" s="65"/>
      <c r="I288" s="65"/>
      <c r="J288" s="65"/>
      <c r="K288" s="36"/>
      <c r="L288" s="36"/>
    </row>
    <row r="289" spans="1:12" x14ac:dyDescent="0.3">
      <c r="A289" s="65"/>
      <c r="B289" s="65"/>
      <c r="C289" s="65"/>
      <c r="D289" s="65"/>
      <c r="E289" s="66"/>
      <c r="F289" s="66"/>
      <c r="G289" s="65"/>
      <c r="H289" s="65"/>
      <c r="I289" s="65"/>
      <c r="J289" s="65"/>
      <c r="K289" s="36"/>
      <c r="L289" s="36"/>
    </row>
    <row r="290" spans="1:12" x14ac:dyDescent="0.3">
      <c r="A290" s="65"/>
      <c r="B290" s="65"/>
      <c r="C290" s="65"/>
      <c r="D290" s="65"/>
      <c r="E290" s="66"/>
      <c r="F290" s="66"/>
      <c r="G290" s="65"/>
      <c r="H290" s="65"/>
      <c r="I290" s="65"/>
      <c r="J290" s="65"/>
      <c r="K290" s="36"/>
      <c r="L290" s="36"/>
    </row>
    <row r="291" spans="1:12" x14ac:dyDescent="0.3">
      <c r="A291" s="65"/>
      <c r="B291" s="65"/>
      <c r="C291" s="65"/>
      <c r="D291" s="65"/>
      <c r="E291" s="66"/>
      <c r="F291" s="66"/>
      <c r="G291" s="65"/>
      <c r="H291" s="65"/>
      <c r="I291" s="65"/>
      <c r="J291" s="65"/>
      <c r="K291" s="36"/>
      <c r="L291" s="36"/>
    </row>
    <row r="292" spans="1:12" x14ac:dyDescent="0.3">
      <c r="A292" s="65"/>
      <c r="B292" s="65"/>
      <c r="C292" s="65"/>
      <c r="D292" s="65"/>
      <c r="E292" s="66"/>
      <c r="F292" s="66"/>
      <c r="G292" s="65"/>
      <c r="H292" s="65"/>
      <c r="I292" s="65"/>
      <c r="J292" s="65"/>
      <c r="K292" s="36"/>
      <c r="L292" s="36"/>
    </row>
    <row r="293" spans="1:12" x14ac:dyDescent="0.3">
      <c r="A293" s="65"/>
      <c r="B293" s="65"/>
      <c r="C293" s="65"/>
      <c r="D293" s="65"/>
      <c r="E293" s="66"/>
      <c r="F293" s="66"/>
      <c r="G293" s="65"/>
      <c r="H293" s="65"/>
      <c r="I293" s="65"/>
      <c r="J293" s="65"/>
      <c r="K293" s="36"/>
      <c r="L293" s="36"/>
    </row>
    <row r="294" spans="1:12" x14ac:dyDescent="0.3">
      <c r="A294" s="65"/>
      <c r="B294" s="65"/>
      <c r="C294" s="65"/>
      <c r="D294" s="65"/>
      <c r="E294" s="66"/>
      <c r="F294" s="66"/>
      <c r="G294" s="65"/>
      <c r="H294" s="65"/>
      <c r="I294" s="65"/>
      <c r="J294" s="65"/>
      <c r="K294" s="36"/>
      <c r="L294" s="36"/>
    </row>
    <row r="295" spans="1:12" x14ac:dyDescent="0.3">
      <c r="A295" s="65"/>
      <c r="B295" s="65"/>
      <c r="C295" s="65"/>
      <c r="D295" s="65"/>
      <c r="E295" s="66"/>
      <c r="F295" s="66"/>
      <c r="G295" s="65"/>
      <c r="H295" s="65"/>
      <c r="I295" s="65"/>
      <c r="J295" s="65"/>
      <c r="K295" s="36"/>
      <c r="L295" s="36"/>
    </row>
    <row r="296" spans="1:12" x14ac:dyDescent="0.3">
      <c r="A296" s="65"/>
      <c r="B296" s="65"/>
      <c r="C296" s="65"/>
      <c r="D296" s="65"/>
      <c r="E296" s="66"/>
      <c r="F296" s="66"/>
      <c r="G296" s="65"/>
      <c r="H296" s="65"/>
      <c r="I296" s="65"/>
      <c r="J296" s="65"/>
      <c r="K296" s="36"/>
      <c r="L296" s="36"/>
    </row>
    <row r="297" spans="1:12" x14ac:dyDescent="0.3">
      <c r="A297" s="65"/>
      <c r="B297" s="65"/>
      <c r="C297" s="65"/>
      <c r="D297" s="65"/>
      <c r="E297" s="66"/>
      <c r="F297" s="66"/>
      <c r="G297" s="65"/>
      <c r="H297" s="65"/>
      <c r="I297" s="65"/>
      <c r="J297" s="65"/>
      <c r="K297" s="36"/>
      <c r="L297" s="36"/>
    </row>
    <row r="298" spans="1:12" x14ac:dyDescent="0.3">
      <c r="A298" s="65"/>
      <c r="B298" s="65"/>
      <c r="C298" s="65"/>
      <c r="D298" s="65"/>
      <c r="E298" s="66"/>
      <c r="F298" s="66"/>
      <c r="G298" s="65"/>
      <c r="H298" s="65"/>
      <c r="I298" s="65"/>
      <c r="J298" s="65"/>
      <c r="K298" s="36"/>
      <c r="L298" s="36"/>
    </row>
    <row r="299" spans="1:12" x14ac:dyDescent="0.3">
      <c r="A299" s="65"/>
      <c r="B299" s="65"/>
      <c r="C299" s="65"/>
      <c r="D299" s="65"/>
      <c r="E299" s="66"/>
      <c r="F299" s="66"/>
      <c r="G299" s="65"/>
      <c r="H299" s="65"/>
      <c r="I299" s="65"/>
      <c r="J299" s="65"/>
      <c r="K299" s="36"/>
      <c r="L299" s="36"/>
    </row>
    <row r="300" spans="1:12" x14ac:dyDescent="0.3">
      <c r="A300" s="65"/>
      <c r="B300" s="65"/>
      <c r="C300" s="65"/>
      <c r="D300" s="65"/>
      <c r="E300" s="66"/>
      <c r="F300" s="66"/>
      <c r="G300" s="65"/>
      <c r="H300" s="65"/>
      <c r="I300" s="65"/>
      <c r="J300" s="65"/>
      <c r="K300" s="36"/>
      <c r="L300" s="36"/>
    </row>
    <row r="301" spans="1:12" x14ac:dyDescent="0.3">
      <c r="A301" s="65"/>
      <c r="B301" s="65"/>
      <c r="C301" s="65"/>
      <c r="D301" s="65"/>
      <c r="E301" s="66"/>
      <c r="F301" s="66"/>
      <c r="G301" s="65"/>
      <c r="H301" s="65"/>
      <c r="I301" s="65"/>
      <c r="J301" s="65"/>
      <c r="K301" s="36"/>
      <c r="L301" s="36"/>
    </row>
    <row r="302" spans="1:12" x14ac:dyDescent="0.3">
      <c r="A302" s="65"/>
      <c r="B302" s="65"/>
      <c r="C302" s="65"/>
      <c r="D302" s="65"/>
      <c r="E302" s="66"/>
      <c r="F302" s="66"/>
      <c r="G302" s="65"/>
      <c r="H302" s="65"/>
      <c r="I302" s="65"/>
      <c r="J302" s="65"/>
      <c r="K302" s="36"/>
      <c r="L302" s="36"/>
    </row>
    <row r="303" spans="1:12" x14ac:dyDescent="0.3">
      <c r="A303" s="65"/>
      <c r="B303" s="65"/>
      <c r="C303" s="65"/>
      <c r="D303" s="65"/>
      <c r="E303" s="66"/>
      <c r="F303" s="66"/>
      <c r="G303" s="65"/>
      <c r="H303" s="65"/>
      <c r="I303" s="65"/>
      <c r="J303" s="65"/>
      <c r="K303" s="36"/>
      <c r="L303" s="36"/>
    </row>
    <row r="304" spans="1:12" x14ac:dyDescent="0.3">
      <c r="A304" s="65"/>
      <c r="B304" s="65"/>
      <c r="C304" s="65"/>
      <c r="D304" s="65"/>
      <c r="E304" s="66"/>
      <c r="F304" s="66"/>
      <c r="G304" s="65"/>
      <c r="H304" s="65"/>
      <c r="I304" s="65"/>
      <c r="J304" s="65"/>
      <c r="K304" s="36"/>
      <c r="L304" s="36"/>
    </row>
    <row r="305" spans="1:12" x14ac:dyDescent="0.3">
      <c r="A305" s="65"/>
      <c r="B305" s="65"/>
      <c r="C305" s="65"/>
      <c r="D305" s="65"/>
      <c r="E305" s="66"/>
      <c r="F305" s="66"/>
      <c r="G305" s="65"/>
      <c r="H305" s="65"/>
      <c r="I305" s="65"/>
      <c r="J305" s="65"/>
      <c r="K305" s="36"/>
      <c r="L305" s="36"/>
    </row>
    <row r="306" spans="1:12" x14ac:dyDescent="0.3">
      <c r="A306" s="65"/>
      <c r="B306" s="65"/>
      <c r="C306" s="65"/>
      <c r="D306" s="65"/>
      <c r="E306" s="66"/>
      <c r="F306" s="66"/>
      <c r="G306" s="65"/>
      <c r="H306" s="65"/>
      <c r="I306" s="65"/>
      <c r="J306" s="65"/>
      <c r="K306" s="36"/>
      <c r="L306" s="36"/>
    </row>
    <row r="307" spans="1:12" x14ac:dyDescent="0.3">
      <c r="A307" s="65"/>
      <c r="B307" s="65"/>
      <c r="C307" s="65"/>
      <c r="D307" s="65"/>
      <c r="E307" s="66"/>
      <c r="F307" s="66"/>
      <c r="G307" s="65"/>
      <c r="H307" s="65"/>
      <c r="I307" s="65"/>
      <c r="J307" s="65"/>
      <c r="K307" s="36"/>
      <c r="L307" s="36"/>
    </row>
    <row r="308" spans="1:12" x14ac:dyDescent="0.3">
      <c r="A308" s="65"/>
      <c r="B308" s="65"/>
      <c r="C308" s="65"/>
      <c r="D308" s="65"/>
      <c r="E308" s="66"/>
      <c r="F308" s="66"/>
      <c r="G308" s="65"/>
      <c r="H308" s="65"/>
      <c r="I308" s="65"/>
      <c r="J308" s="65"/>
      <c r="K308" s="36"/>
      <c r="L308" s="36"/>
    </row>
    <row r="309" spans="1:12" x14ac:dyDescent="0.3">
      <c r="A309" s="65"/>
      <c r="B309" s="65"/>
      <c r="C309" s="65"/>
      <c r="D309" s="65"/>
      <c r="E309" s="66"/>
      <c r="F309" s="66"/>
      <c r="G309" s="65"/>
      <c r="H309" s="65"/>
      <c r="I309" s="65"/>
      <c r="J309" s="65"/>
      <c r="K309" s="36"/>
      <c r="L309" s="36"/>
    </row>
    <row r="310" spans="1:12" x14ac:dyDescent="0.3">
      <c r="A310" s="65"/>
      <c r="B310" s="65"/>
      <c r="C310" s="65"/>
      <c r="D310" s="65"/>
      <c r="E310" s="66"/>
      <c r="F310" s="66"/>
      <c r="G310" s="65"/>
      <c r="H310" s="65"/>
      <c r="I310" s="65"/>
      <c r="J310" s="65"/>
      <c r="K310" s="36"/>
      <c r="L310" s="36"/>
    </row>
    <row r="311" spans="1:12" x14ac:dyDescent="0.3">
      <c r="A311" s="65"/>
      <c r="B311" s="65"/>
      <c r="C311" s="65"/>
      <c r="D311" s="65"/>
      <c r="E311" s="66"/>
      <c r="F311" s="66"/>
      <c r="G311" s="65"/>
      <c r="H311" s="65"/>
      <c r="I311" s="65"/>
      <c r="J311" s="65"/>
      <c r="K311" s="36"/>
      <c r="L311" s="36"/>
    </row>
    <row r="312" spans="1:12" x14ac:dyDescent="0.3">
      <c r="A312" s="65"/>
      <c r="B312" s="65"/>
      <c r="C312" s="65"/>
      <c r="D312" s="65"/>
      <c r="E312" s="66"/>
      <c r="F312" s="66"/>
      <c r="G312" s="65"/>
      <c r="H312" s="65"/>
      <c r="I312" s="65"/>
      <c r="J312" s="65"/>
      <c r="K312" s="36"/>
      <c r="L312" s="36"/>
    </row>
    <row r="313" spans="1:12" x14ac:dyDescent="0.3">
      <c r="A313" s="65"/>
      <c r="B313" s="65"/>
      <c r="C313" s="65"/>
      <c r="D313" s="65"/>
      <c r="E313" s="66"/>
      <c r="F313" s="66"/>
      <c r="G313" s="65"/>
      <c r="H313" s="65"/>
      <c r="I313" s="65"/>
      <c r="J313" s="65"/>
      <c r="K313" s="36"/>
      <c r="L313" s="36"/>
    </row>
    <row r="314" spans="1:12" x14ac:dyDescent="0.3">
      <c r="A314" s="65"/>
      <c r="B314" s="65"/>
      <c r="C314" s="65"/>
      <c r="D314" s="65"/>
      <c r="E314" s="66"/>
      <c r="F314" s="66"/>
      <c r="G314" s="65"/>
      <c r="H314" s="65"/>
      <c r="I314" s="65"/>
      <c r="J314" s="65"/>
      <c r="K314" s="36"/>
      <c r="L314" s="36"/>
    </row>
    <row r="315" spans="1:12" x14ac:dyDescent="0.3">
      <c r="A315" s="65"/>
      <c r="B315" s="65"/>
      <c r="C315" s="65"/>
      <c r="D315" s="65"/>
      <c r="E315" s="66"/>
      <c r="F315" s="66"/>
      <c r="G315" s="65"/>
      <c r="H315" s="65"/>
      <c r="I315" s="65"/>
      <c r="J315" s="65"/>
      <c r="K315" s="36"/>
      <c r="L315" s="36"/>
    </row>
    <row r="316" spans="1:12" x14ac:dyDescent="0.3">
      <c r="A316" s="65"/>
      <c r="B316" s="65"/>
      <c r="C316" s="65"/>
      <c r="D316" s="65"/>
      <c r="E316" s="66"/>
      <c r="F316" s="66"/>
      <c r="G316" s="65"/>
      <c r="H316" s="65"/>
      <c r="I316" s="65"/>
      <c r="J316" s="65"/>
      <c r="K316" s="36"/>
      <c r="L316" s="36"/>
    </row>
    <row r="317" spans="1:12" x14ac:dyDescent="0.3">
      <c r="A317" s="65"/>
      <c r="B317" s="65"/>
      <c r="C317" s="65"/>
      <c r="D317" s="65"/>
      <c r="E317" s="66"/>
      <c r="F317" s="66"/>
      <c r="G317" s="65"/>
      <c r="H317" s="65"/>
      <c r="I317" s="65"/>
      <c r="J317" s="65"/>
      <c r="K317" s="36"/>
      <c r="L317" s="36"/>
    </row>
    <row r="318" spans="1:12" x14ac:dyDescent="0.3">
      <c r="A318" s="65"/>
      <c r="B318" s="65"/>
      <c r="C318" s="65"/>
      <c r="D318" s="65"/>
      <c r="E318" s="66"/>
      <c r="F318" s="66"/>
      <c r="G318" s="65"/>
      <c r="H318" s="65"/>
      <c r="I318" s="65"/>
      <c r="J318" s="65"/>
      <c r="K318" s="36"/>
      <c r="L318" s="36"/>
    </row>
    <row r="319" spans="1:12" x14ac:dyDescent="0.3">
      <c r="A319" s="65"/>
      <c r="B319" s="65"/>
      <c r="C319" s="65"/>
      <c r="D319" s="65"/>
      <c r="E319" s="66"/>
      <c r="F319" s="66"/>
      <c r="G319" s="65"/>
      <c r="H319" s="65"/>
      <c r="I319" s="65"/>
      <c r="J319" s="65"/>
      <c r="K319" s="36"/>
      <c r="L319" s="36"/>
    </row>
    <row r="320" spans="1:12" x14ac:dyDescent="0.3">
      <c r="A320" s="65"/>
      <c r="B320" s="65"/>
      <c r="C320" s="65"/>
      <c r="D320" s="65"/>
      <c r="E320" s="66"/>
      <c r="F320" s="66"/>
      <c r="G320" s="65"/>
      <c r="H320" s="65"/>
      <c r="I320" s="65"/>
      <c r="J320" s="65"/>
      <c r="K320" s="36"/>
      <c r="L320" s="36"/>
    </row>
    <row r="321" spans="1:12" x14ac:dyDescent="0.3">
      <c r="A321" s="65"/>
      <c r="B321" s="65"/>
      <c r="C321" s="65"/>
      <c r="D321" s="65"/>
      <c r="E321" s="66"/>
      <c r="F321" s="66"/>
      <c r="G321" s="65"/>
      <c r="H321" s="65"/>
      <c r="I321" s="65"/>
      <c r="J321" s="65"/>
      <c r="K321" s="36"/>
      <c r="L321" s="36"/>
    </row>
    <row r="322" spans="1:12" x14ac:dyDescent="0.3">
      <c r="A322" s="65"/>
      <c r="B322" s="65"/>
      <c r="C322" s="65"/>
      <c r="D322" s="65"/>
      <c r="E322" s="66"/>
      <c r="F322" s="66"/>
      <c r="G322" s="65"/>
      <c r="H322" s="65"/>
      <c r="I322" s="65"/>
      <c r="J322" s="65"/>
      <c r="K322" s="36"/>
      <c r="L322" s="36"/>
    </row>
    <row r="323" spans="1:12" x14ac:dyDescent="0.3">
      <c r="A323" s="65"/>
      <c r="B323" s="65"/>
      <c r="C323" s="65"/>
      <c r="D323" s="65"/>
      <c r="E323" s="66"/>
      <c r="F323" s="66"/>
      <c r="G323" s="65"/>
      <c r="H323" s="65"/>
      <c r="I323" s="65"/>
      <c r="J323" s="65"/>
      <c r="K323" s="36"/>
      <c r="L323" s="36"/>
    </row>
    <row r="324" spans="1:12" x14ac:dyDescent="0.3">
      <c r="A324" s="65"/>
      <c r="B324" s="65"/>
      <c r="C324" s="65"/>
      <c r="D324" s="65"/>
      <c r="E324" s="66"/>
      <c r="F324" s="66"/>
      <c r="G324" s="65"/>
      <c r="H324" s="65"/>
      <c r="I324" s="65"/>
      <c r="J324" s="65"/>
      <c r="K324" s="36"/>
      <c r="L324" s="36"/>
    </row>
    <row r="325" spans="1:12" x14ac:dyDescent="0.3">
      <c r="A325" s="65"/>
      <c r="B325" s="65"/>
      <c r="C325" s="65"/>
      <c r="D325" s="65"/>
      <c r="E325" s="66"/>
      <c r="F325" s="66"/>
      <c r="G325" s="65"/>
      <c r="H325" s="65"/>
      <c r="I325" s="65"/>
      <c r="J325" s="65"/>
      <c r="K325" s="36"/>
      <c r="L325" s="36"/>
    </row>
    <row r="326" spans="1:12" x14ac:dyDescent="0.3">
      <c r="A326" s="65"/>
      <c r="B326" s="65"/>
      <c r="C326" s="65"/>
      <c r="D326" s="65"/>
      <c r="E326" s="66"/>
      <c r="F326" s="66"/>
      <c r="G326" s="65"/>
      <c r="H326" s="65"/>
      <c r="I326" s="65"/>
      <c r="J326" s="65"/>
      <c r="K326" s="36"/>
      <c r="L326" s="36"/>
    </row>
    <row r="327" spans="1:12" x14ac:dyDescent="0.3">
      <c r="A327" s="65"/>
      <c r="B327" s="65"/>
      <c r="C327" s="65"/>
      <c r="D327" s="65"/>
      <c r="E327" s="66"/>
      <c r="F327" s="66"/>
      <c r="G327" s="65"/>
      <c r="H327" s="65"/>
      <c r="I327" s="65"/>
      <c r="J327" s="65"/>
      <c r="K327" s="36"/>
      <c r="L327" s="36"/>
    </row>
    <row r="328" spans="1:12" x14ac:dyDescent="0.3">
      <c r="A328" s="65"/>
      <c r="B328" s="65"/>
      <c r="C328" s="65"/>
      <c r="D328" s="65"/>
      <c r="E328" s="66"/>
      <c r="F328" s="66"/>
      <c r="G328" s="65"/>
      <c r="H328" s="65"/>
      <c r="I328" s="65"/>
      <c r="J328" s="65"/>
      <c r="K328" s="36"/>
      <c r="L328" s="36"/>
    </row>
    <row r="329" spans="1:12" x14ac:dyDescent="0.3">
      <c r="A329" s="65"/>
      <c r="B329" s="65"/>
      <c r="C329" s="65"/>
      <c r="D329" s="65"/>
      <c r="E329" s="66"/>
      <c r="F329" s="66"/>
      <c r="G329" s="65"/>
      <c r="H329" s="65"/>
      <c r="I329" s="65"/>
      <c r="J329" s="65"/>
      <c r="K329" s="36"/>
      <c r="L329" s="36"/>
    </row>
    <row r="330" spans="1:12" x14ac:dyDescent="0.3">
      <c r="A330" s="65"/>
      <c r="B330" s="65"/>
      <c r="C330" s="65"/>
      <c r="D330" s="65"/>
      <c r="E330" s="66"/>
      <c r="F330" s="66"/>
      <c r="G330" s="65"/>
      <c r="H330" s="65"/>
      <c r="I330" s="65"/>
      <c r="J330" s="65"/>
      <c r="K330" s="36"/>
      <c r="L330" s="36"/>
    </row>
    <row r="331" spans="1:12" x14ac:dyDescent="0.3">
      <c r="A331" s="65"/>
      <c r="B331" s="65"/>
      <c r="C331" s="65"/>
      <c r="D331" s="65"/>
      <c r="E331" s="66"/>
      <c r="F331" s="66"/>
      <c r="G331" s="65"/>
      <c r="H331" s="65"/>
      <c r="I331" s="65"/>
      <c r="J331" s="65"/>
      <c r="K331" s="36"/>
      <c r="L331" s="36"/>
    </row>
    <row r="332" spans="1:12" x14ac:dyDescent="0.3">
      <c r="A332" s="65"/>
      <c r="B332" s="65"/>
      <c r="C332" s="65"/>
      <c r="D332" s="65"/>
      <c r="E332" s="66"/>
      <c r="F332" s="66"/>
      <c r="G332" s="65"/>
      <c r="H332" s="65"/>
      <c r="I332" s="65"/>
      <c r="J332" s="65"/>
      <c r="K332" s="36"/>
      <c r="L332" s="36"/>
    </row>
    <row r="333" spans="1:12" x14ac:dyDescent="0.3">
      <c r="A333" s="65"/>
      <c r="B333" s="65"/>
      <c r="C333" s="65"/>
      <c r="D333" s="65"/>
      <c r="E333" s="66"/>
      <c r="F333" s="66"/>
      <c r="G333" s="65"/>
      <c r="H333" s="65"/>
      <c r="I333" s="65"/>
      <c r="J333" s="65"/>
      <c r="K333" s="36"/>
      <c r="L333" s="36"/>
    </row>
    <row r="334" spans="1:12" x14ac:dyDescent="0.3">
      <c r="A334" s="65"/>
      <c r="B334" s="65"/>
      <c r="C334" s="65"/>
      <c r="D334" s="65"/>
      <c r="E334" s="66"/>
      <c r="F334" s="66"/>
      <c r="G334" s="65"/>
      <c r="H334" s="65"/>
      <c r="I334" s="65"/>
      <c r="J334" s="65"/>
      <c r="K334" s="36"/>
      <c r="L334" s="36"/>
    </row>
    <row r="335" spans="1:12" x14ac:dyDescent="0.3">
      <c r="A335" s="65"/>
      <c r="B335" s="65"/>
      <c r="C335" s="65"/>
      <c r="D335" s="65"/>
      <c r="E335" s="66"/>
      <c r="F335" s="66"/>
      <c r="G335" s="65"/>
      <c r="H335" s="65"/>
      <c r="I335" s="65"/>
      <c r="J335" s="65"/>
      <c r="K335" s="36"/>
      <c r="L335" s="36"/>
    </row>
    <row r="336" spans="1:12" x14ac:dyDescent="0.3">
      <c r="A336" s="65"/>
      <c r="B336" s="65"/>
      <c r="C336" s="65"/>
      <c r="D336" s="65"/>
      <c r="E336" s="66"/>
      <c r="F336" s="66"/>
      <c r="G336" s="65"/>
      <c r="H336" s="65"/>
      <c r="I336" s="65"/>
      <c r="J336" s="65"/>
      <c r="K336" s="36"/>
      <c r="L336" s="36"/>
    </row>
    <row r="337" spans="1:12" x14ac:dyDescent="0.3">
      <c r="A337" s="65"/>
      <c r="B337" s="65"/>
      <c r="C337" s="65"/>
      <c r="D337" s="65"/>
      <c r="E337" s="66"/>
      <c r="F337" s="66"/>
      <c r="G337" s="65"/>
      <c r="H337" s="65"/>
      <c r="I337" s="65"/>
      <c r="J337" s="65"/>
      <c r="K337" s="36"/>
      <c r="L337" s="36"/>
    </row>
    <row r="338" spans="1:12" x14ac:dyDescent="0.3">
      <c r="A338" s="65"/>
      <c r="B338" s="65"/>
      <c r="C338" s="65"/>
      <c r="D338" s="65"/>
      <c r="E338" s="66"/>
      <c r="F338" s="66"/>
      <c r="G338" s="65"/>
      <c r="H338" s="65"/>
      <c r="I338" s="65"/>
      <c r="J338" s="65"/>
      <c r="K338" s="36"/>
      <c r="L338" s="36"/>
    </row>
    <row r="339" spans="1:12" x14ac:dyDescent="0.3">
      <c r="A339" s="65"/>
      <c r="B339" s="65"/>
      <c r="C339" s="65"/>
      <c r="D339" s="65"/>
      <c r="E339" s="66"/>
      <c r="F339" s="66"/>
      <c r="G339" s="65"/>
      <c r="H339" s="65"/>
      <c r="I339" s="65"/>
      <c r="J339" s="65"/>
      <c r="K339" s="36"/>
      <c r="L339" s="36"/>
    </row>
    <row r="340" spans="1:12" x14ac:dyDescent="0.3">
      <c r="A340" s="65"/>
      <c r="B340" s="65"/>
      <c r="C340" s="65"/>
      <c r="D340" s="65"/>
      <c r="E340" s="66"/>
      <c r="F340" s="66"/>
      <c r="G340" s="65"/>
      <c r="H340" s="65"/>
      <c r="I340" s="65"/>
      <c r="J340" s="65"/>
      <c r="K340" s="36"/>
      <c r="L340" s="36"/>
    </row>
    <row r="341" spans="1:12" x14ac:dyDescent="0.3">
      <c r="A341" s="65"/>
      <c r="B341" s="65"/>
      <c r="C341" s="65"/>
      <c r="D341" s="65"/>
      <c r="E341" s="66"/>
      <c r="F341" s="66"/>
      <c r="G341" s="65"/>
      <c r="H341" s="65"/>
      <c r="I341" s="65"/>
      <c r="J341" s="65"/>
      <c r="K341" s="36"/>
      <c r="L341" s="36"/>
    </row>
    <row r="342" spans="1:12" x14ac:dyDescent="0.3">
      <c r="A342" s="65"/>
      <c r="B342" s="65"/>
      <c r="C342" s="65"/>
      <c r="D342" s="65"/>
      <c r="E342" s="66"/>
      <c r="F342" s="66"/>
      <c r="G342" s="65"/>
      <c r="H342" s="65"/>
      <c r="I342" s="65"/>
      <c r="J342" s="65"/>
      <c r="K342" s="36"/>
      <c r="L342" s="36"/>
    </row>
    <row r="343" spans="1:12" x14ac:dyDescent="0.3">
      <c r="A343" s="65"/>
      <c r="B343" s="65"/>
      <c r="C343" s="65"/>
      <c r="D343" s="65"/>
      <c r="E343" s="66"/>
      <c r="F343" s="66"/>
      <c r="G343" s="65"/>
      <c r="H343" s="65"/>
      <c r="I343" s="65"/>
      <c r="J343" s="65"/>
      <c r="K343" s="36"/>
      <c r="L343" s="36"/>
    </row>
    <row r="344" spans="1:12" x14ac:dyDescent="0.3">
      <c r="A344" s="65"/>
      <c r="B344" s="65"/>
      <c r="C344" s="65"/>
      <c r="D344" s="65"/>
      <c r="E344" s="66"/>
      <c r="F344" s="66"/>
      <c r="G344" s="65"/>
      <c r="H344" s="65"/>
      <c r="I344" s="65"/>
      <c r="J344" s="65"/>
      <c r="K344" s="36"/>
      <c r="L344" s="36"/>
    </row>
    <row r="345" spans="1:12" x14ac:dyDescent="0.3">
      <c r="A345" s="65"/>
      <c r="B345" s="65"/>
      <c r="C345" s="65"/>
      <c r="D345" s="65"/>
      <c r="E345" s="66"/>
      <c r="F345" s="66"/>
      <c r="G345" s="65"/>
      <c r="H345" s="65"/>
      <c r="I345" s="65"/>
      <c r="J345" s="65"/>
      <c r="K345" s="36"/>
      <c r="L345" s="36"/>
    </row>
    <row r="346" spans="1:12" x14ac:dyDescent="0.3">
      <c r="A346" s="65"/>
      <c r="B346" s="65"/>
      <c r="C346" s="65"/>
      <c r="D346" s="65"/>
      <c r="E346" s="66"/>
      <c r="F346" s="66"/>
      <c r="G346" s="65"/>
      <c r="H346" s="65"/>
      <c r="I346" s="65"/>
      <c r="J346" s="65"/>
      <c r="K346" s="36"/>
      <c r="L346" s="36"/>
    </row>
    <row r="347" spans="1:12" x14ac:dyDescent="0.3">
      <c r="A347" s="65"/>
      <c r="B347" s="65"/>
      <c r="C347" s="65"/>
      <c r="D347" s="65"/>
      <c r="E347" s="66"/>
      <c r="F347" s="66"/>
      <c r="G347" s="65"/>
      <c r="H347" s="65"/>
      <c r="I347" s="65"/>
      <c r="J347" s="65"/>
      <c r="K347" s="36"/>
      <c r="L347" s="36"/>
    </row>
    <row r="348" spans="1:12" x14ac:dyDescent="0.3">
      <c r="A348" s="65"/>
      <c r="B348" s="65"/>
      <c r="C348" s="65"/>
      <c r="D348" s="65"/>
      <c r="E348" s="66"/>
      <c r="F348" s="66"/>
      <c r="G348" s="65"/>
      <c r="H348" s="65"/>
      <c r="I348" s="65"/>
      <c r="J348" s="65"/>
      <c r="K348" s="36"/>
      <c r="L348" s="36"/>
    </row>
    <row r="349" spans="1:12" x14ac:dyDescent="0.3">
      <c r="A349" s="65"/>
      <c r="B349" s="65"/>
      <c r="C349" s="65"/>
      <c r="D349" s="65"/>
      <c r="E349" s="66"/>
      <c r="F349" s="66"/>
      <c r="G349" s="65"/>
      <c r="H349" s="65"/>
      <c r="I349" s="65"/>
      <c r="J349" s="65"/>
      <c r="K349" s="36"/>
      <c r="L349" s="36"/>
    </row>
    <row r="350" spans="1:12" x14ac:dyDescent="0.3">
      <c r="A350" s="65"/>
      <c r="B350" s="65"/>
      <c r="C350" s="65"/>
      <c r="D350" s="65"/>
      <c r="E350" s="66"/>
      <c r="F350" s="66"/>
      <c r="G350" s="65"/>
      <c r="H350" s="65"/>
      <c r="I350" s="65"/>
      <c r="J350" s="65"/>
      <c r="K350" s="36"/>
      <c r="L350" s="36"/>
    </row>
    <row r="351" spans="1:12" x14ac:dyDescent="0.3">
      <c r="A351" s="65"/>
      <c r="B351" s="65"/>
      <c r="C351" s="65"/>
      <c r="D351" s="65"/>
      <c r="E351" s="66"/>
      <c r="F351" s="66"/>
      <c r="G351" s="65"/>
      <c r="H351" s="65"/>
      <c r="I351" s="65"/>
      <c r="J351" s="65"/>
      <c r="K351" s="36"/>
      <c r="L351" s="36"/>
    </row>
    <row r="352" spans="1:12" x14ac:dyDescent="0.3">
      <c r="A352" s="65"/>
      <c r="B352" s="65"/>
      <c r="C352" s="65"/>
      <c r="D352" s="65"/>
      <c r="E352" s="66"/>
      <c r="F352" s="66"/>
      <c r="G352" s="65"/>
      <c r="H352" s="65"/>
      <c r="I352" s="65"/>
      <c r="J352" s="65"/>
      <c r="K352" s="36"/>
      <c r="L352" s="36"/>
    </row>
    <row r="353" spans="1:12" x14ac:dyDescent="0.3">
      <c r="A353" s="65"/>
      <c r="B353" s="65"/>
      <c r="C353" s="65"/>
      <c r="D353" s="65"/>
      <c r="E353" s="66"/>
      <c r="F353" s="66"/>
      <c r="G353" s="65"/>
      <c r="H353" s="65"/>
      <c r="I353" s="65"/>
      <c r="J353" s="65"/>
      <c r="K353" s="36"/>
      <c r="L353" s="36"/>
    </row>
    <row r="354" spans="1:12" x14ac:dyDescent="0.3">
      <c r="A354" s="65"/>
      <c r="B354" s="65"/>
      <c r="C354" s="65"/>
      <c r="D354" s="65"/>
      <c r="E354" s="66"/>
      <c r="F354" s="66"/>
      <c r="G354" s="65"/>
      <c r="H354" s="65"/>
      <c r="I354" s="65"/>
      <c r="J354" s="65"/>
      <c r="K354" s="36"/>
      <c r="L354" s="36"/>
    </row>
    <row r="355" spans="1:12" x14ac:dyDescent="0.3">
      <c r="A355" s="65"/>
      <c r="B355" s="65"/>
      <c r="C355" s="65"/>
      <c r="D355" s="65"/>
      <c r="E355" s="66"/>
      <c r="F355" s="66"/>
      <c r="G355" s="65"/>
      <c r="H355" s="65"/>
      <c r="I355" s="65"/>
      <c r="J355" s="65"/>
      <c r="K355" s="36"/>
      <c r="L355" s="36"/>
    </row>
    <row r="356" spans="1:12" x14ac:dyDescent="0.3">
      <c r="A356" s="65"/>
      <c r="B356" s="65"/>
      <c r="C356" s="65"/>
      <c r="D356" s="65"/>
      <c r="E356" s="66"/>
      <c r="F356" s="66"/>
      <c r="G356" s="65"/>
      <c r="H356" s="65"/>
      <c r="I356" s="65"/>
      <c r="J356" s="65"/>
      <c r="K356" s="36"/>
      <c r="L356" s="36"/>
    </row>
    <row r="357" spans="1:12" x14ac:dyDescent="0.3">
      <c r="A357" s="65"/>
      <c r="B357" s="65"/>
      <c r="C357" s="65"/>
      <c r="D357" s="65"/>
      <c r="E357" s="66"/>
      <c r="F357" s="66"/>
      <c r="G357" s="65"/>
      <c r="H357" s="65"/>
      <c r="I357" s="65"/>
      <c r="J357" s="65"/>
      <c r="K357" s="36"/>
      <c r="L357" s="36"/>
    </row>
    <row r="358" spans="1:12" x14ac:dyDescent="0.3">
      <c r="A358" s="65"/>
      <c r="B358" s="65"/>
      <c r="C358" s="65"/>
      <c r="D358" s="65"/>
      <c r="E358" s="66"/>
      <c r="F358" s="66"/>
      <c r="G358" s="65"/>
      <c r="H358" s="65"/>
      <c r="I358" s="65"/>
      <c r="J358" s="65"/>
      <c r="K358" s="36"/>
      <c r="L358" s="36"/>
    </row>
    <row r="359" spans="1:12" x14ac:dyDescent="0.3">
      <c r="A359" s="65"/>
      <c r="B359" s="65"/>
      <c r="C359" s="65"/>
      <c r="D359" s="65"/>
      <c r="E359" s="66"/>
      <c r="F359" s="66"/>
      <c r="G359" s="65"/>
      <c r="H359" s="65"/>
      <c r="I359" s="65"/>
      <c r="J359" s="65"/>
      <c r="K359" s="36"/>
      <c r="L359" s="36"/>
    </row>
    <row r="360" spans="1:12" x14ac:dyDescent="0.3">
      <c r="A360" s="65"/>
      <c r="B360" s="65"/>
      <c r="C360" s="65"/>
      <c r="D360" s="65"/>
      <c r="E360" s="66"/>
      <c r="F360" s="66"/>
      <c r="G360" s="65"/>
      <c r="H360" s="65"/>
      <c r="I360" s="65"/>
      <c r="J360" s="65"/>
      <c r="K360" s="36"/>
      <c r="L360" s="36"/>
    </row>
    <row r="361" spans="1:12" x14ac:dyDescent="0.3">
      <c r="A361" s="65"/>
      <c r="B361" s="65"/>
      <c r="C361" s="65"/>
      <c r="D361" s="65"/>
      <c r="E361" s="66"/>
      <c r="F361" s="66"/>
      <c r="G361" s="65"/>
      <c r="H361" s="65"/>
      <c r="I361" s="65"/>
      <c r="J361" s="65"/>
      <c r="K361" s="36"/>
      <c r="L361" s="36"/>
    </row>
    <row r="362" spans="1:12" x14ac:dyDescent="0.3">
      <c r="A362" s="65"/>
      <c r="B362" s="65"/>
      <c r="C362" s="65"/>
      <c r="D362" s="65"/>
      <c r="E362" s="66"/>
      <c r="F362" s="66"/>
      <c r="G362" s="65"/>
      <c r="H362" s="65"/>
      <c r="I362" s="65"/>
      <c r="J362" s="65"/>
      <c r="K362" s="36"/>
      <c r="L362" s="36"/>
    </row>
    <row r="363" spans="1:12" x14ac:dyDescent="0.3">
      <c r="A363" s="65"/>
      <c r="B363" s="65"/>
      <c r="C363" s="65"/>
      <c r="D363" s="65"/>
      <c r="E363" s="66"/>
      <c r="F363" s="66"/>
      <c r="G363" s="65"/>
      <c r="H363" s="65"/>
      <c r="I363" s="65"/>
      <c r="J363" s="65"/>
      <c r="K363" s="36"/>
      <c r="L363" s="36"/>
    </row>
    <row r="364" spans="1:12" x14ac:dyDescent="0.3">
      <c r="A364" s="65"/>
      <c r="B364" s="65"/>
      <c r="C364" s="65"/>
      <c r="D364" s="65"/>
      <c r="E364" s="66"/>
      <c r="F364" s="66"/>
      <c r="G364" s="65"/>
      <c r="H364" s="65"/>
      <c r="I364" s="65"/>
      <c r="J364" s="65"/>
      <c r="K364" s="36"/>
      <c r="L364" s="36"/>
    </row>
    <row r="365" spans="1:12" x14ac:dyDescent="0.3">
      <c r="A365" s="65"/>
      <c r="B365" s="65"/>
      <c r="C365" s="65"/>
      <c r="D365" s="65"/>
      <c r="E365" s="66"/>
      <c r="F365" s="66"/>
      <c r="G365" s="65"/>
      <c r="H365" s="65"/>
      <c r="I365" s="65"/>
      <c r="J365" s="65"/>
      <c r="K365" s="36"/>
      <c r="L365" s="36"/>
    </row>
    <row r="366" spans="1:12" x14ac:dyDescent="0.3">
      <c r="A366" s="65"/>
      <c r="B366" s="65"/>
      <c r="C366" s="65"/>
      <c r="D366" s="65"/>
      <c r="E366" s="66"/>
      <c r="F366" s="66"/>
      <c r="G366" s="65"/>
      <c r="H366" s="65"/>
      <c r="I366" s="65"/>
      <c r="J366" s="65"/>
      <c r="K366" s="36"/>
      <c r="L366" s="36"/>
    </row>
    <row r="367" spans="1:12" x14ac:dyDescent="0.3">
      <c r="A367" s="65"/>
      <c r="B367" s="65"/>
      <c r="C367" s="65"/>
      <c r="D367" s="65"/>
      <c r="E367" s="66"/>
      <c r="F367" s="66"/>
      <c r="G367" s="65"/>
      <c r="H367" s="65"/>
      <c r="I367" s="65"/>
      <c r="J367" s="65"/>
      <c r="K367" s="36"/>
      <c r="L367" s="36"/>
    </row>
    <row r="368" spans="1:12" x14ac:dyDescent="0.3">
      <c r="A368" s="65"/>
      <c r="B368" s="65"/>
      <c r="C368" s="65"/>
      <c r="D368" s="65"/>
      <c r="E368" s="66"/>
      <c r="F368" s="66"/>
      <c r="G368" s="65"/>
      <c r="H368" s="65"/>
      <c r="I368" s="65"/>
      <c r="J368" s="65"/>
      <c r="K368" s="36"/>
      <c r="L368" s="36"/>
    </row>
    <row r="369" spans="1:12" x14ac:dyDescent="0.3">
      <c r="A369" s="65"/>
      <c r="B369" s="65"/>
      <c r="C369" s="65"/>
      <c r="D369" s="65"/>
      <c r="E369" s="66"/>
      <c r="F369" s="66"/>
      <c r="G369" s="65"/>
      <c r="H369" s="65"/>
      <c r="I369" s="65"/>
      <c r="J369" s="65"/>
      <c r="K369" s="36"/>
      <c r="L369" s="36"/>
    </row>
    <row r="370" spans="1:12" x14ac:dyDescent="0.3">
      <c r="A370" s="65"/>
      <c r="B370" s="65"/>
      <c r="C370" s="65"/>
      <c r="D370" s="65"/>
      <c r="E370" s="66"/>
      <c r="F370" s="66"/>
      <c r="G370" s="65"/>
      <c r="H370" s="65"/>
      <c r="I370" s="65"/>
      <c r="J370" s="65"/>
      <c r="K370" s="36"/>
      <c r="L370" s="36"/>
    </row>
    <row r="371" spans="1:12" x14ac:dyDescent="0.3">
      <c r="A371" s="65"/>
      <c r="B371" s="65"/>
      <c r="C371" s="65"/>
      <c r="D371" s="65"/>
      <c r="E371" s="66"/>
      <c r="F371" s="66"/>
      <c r="G371" s="65"/>
      <c r="H371" s="65"/>
      <c r="I371" s="65"/>
      <c r="J371" s="65"/>
      <c r="K371" s="36"/>
      <c r="L371" s="36"/>
    </row>
    <row r="372" spans="1:12" x14ac:dyDescent="0.3">
      <c r="A372" s="65"/>
      <c r="B372" s="65"/>
      <c r="C372" s="65"/>
      <c r="D372" s="65"/>
      <c r="E372" s="66"/>
      <c r="F372" s="66"/>
      <c r="G372" s="65"/>
      <c r="H372" s="65"/>
      <c r="I372" s="65"/>
      <c r="J372" s="65"/>
      <c r="K372" s="36"/>
      <c r="L372" s="36"/>
    </row>
    <row r="373" spans="1:12" x14ac:dyDescent="0.3">
      <c r="A373" s="65"/>
      <c r="B373" s="65"/>
      <c r="C373" s="65"/>
      <c r="D373" s="65"/>
      <c r="E373" s="66"/>
      <c r="F373" s="66"/>
      <c r="G373" s="65"/>
      <c r="H373" s="65"/>
      <c r="I373" s="65"/>
      <c r="J373" s="65"/>
      <c r="K373" s="36"/>
      <c r="L373" s="36"/>
    </row>
    <row r="374" spans="1:12" x14ac:dyDescent="0.3">
      <c r="A374" s="65"/>
      <c r="B374" s="65"/>
      <c r="C374" s="65"/>
      <c r="D374" s="65"/>
      <c r="E374" s="66"/>
      <c r="F374" s="66"/>
      <c r="G374" s="65"/>
      <c r="H374" s="65"/>
      <c r="I374" s="65"/>
      <c r="J374" s="65"/>
      <c r="K374" s="36"/>
      <c r="L374" s="36"/>
    </row>
    <row r="375" spans="1:12" x14ac:dyDescent="0.3">
      <c r="A375" s="65"/>
      <c r="B375" s="65"/>
      <c r="C375" s="65"/>
      <c r="D375" s="65"/>
      <c r="E375" s="66"/>
      <c r="F375" s="66"/>
      <c r="G375" s="65"/>
      <c r="H375" s="65"/>
      <c r="I375" s="65"/>
      <c r="J375" s="65"/>
      <c r="K375" s="36"/>
      <c r="L375" s="36"/>
    </row>
    <row r="376" spans="1:12" x14ac:dyDescent="0.3">
      <c r="A376" s="65"/>
      <c r="B376" s="65"/>
      <c r="C376" s="65"/>
      <c r="D376" s="65"/>
      <c r="E376" s="66"/>
      <c r="F376" s="66"/>
      <c r="G376" s="65"/>
      <c r="H376" s="65"/>
      <c r="I376" s="65"/>
      <c r="J376" s="65"/>
      <c r="K376" s="36"/>
      <c r="L376" s="36"/>
    </row>
    <row r="377" spans="1:12" x14ac:dyDescent="0.3">
      <c r="A377" s="65"/>
      <c r="B377" s="65"/>
      <c r="C377" s="65"/>
      <c r="D377" s="65"/>
      <c r="E377" s="66"/>
      <c r="F377" s="66"/>
      <c r="G377" s="65"/>
      <c r="H377" s="65"/>
      <c r="I377" s="65"/>
      <c r="J377" s="65"/>
      <c r="K377" s="36"/>
      <c r="L377" s="36"/>
    </row>
    <row r="378" spans="1:12" x14ac:dyDescent="0.3">
      <c r="A378" s="65"/>
      <c r="B378" s="65"/>
      <c r="C378" s="65"/>
      <c r="D378" s="65"/>
      <c r="E378" s="66"/>
      <c r="F378" s="66"/>
      <c r="G378" s="65"/>
      <c r="H378" s="65"/>
      <c r="I378" s="65"/>
      <c r="J378" s="65"/>
      <c r="K378" s="36"/>
      <c r="L378" s="36"/>
    </row>
    <row r="379" spans="1:12" x14ac:dyDescent="0.3">
      <c r="A379" s="65"/>
      <c r="B379" s="65"/>
      <c r="C379" s="65"/>
      <c r="D379" s="65"/>
      <c r="E379" s="66"/>
      <c r="F379" s="66"/>
      <c r="G379" s="65"/>
      <c r="H379" s="65"/>
      <c r="I379" s="65"/>
      <c r="J379" s="65"/>
      <c r="K379" s="36"/>
      <c r="L379" s="36"/>
    </row>
    <row r="380" spans="1:12" x14ac:dyDescent="0.3">
      <c r="A380" s="65"/>
      <c r="B380" s="65"/>
      <c r="C380" s="65"/>
      <c r="D380" s="65"/>
      <c r="E380" s="66"/>
      <c r="F380" s="66"/>
      <c r="G380" s="65"/>
      <c r="H380" s="65"/>
      <c r="I380" s="65"/>
      <c r="J380" s="65"/>
      <c r="K380" s="36"/>
      <c r="L380" s="36"/>
    </row>
    <row r="381" spans="1:12" x14ac:dyDescent="0.3">
      <c r="A381" s="65"/>
      <c r="B381" s="65"/>
      <c r="C381" s="65"/>
      <c r="D381" s="65"/>
      <c r="E381" s="66"/>
      <c r="F381" s="66"/>
      <c r="G381" s="65"/>
      <c r="H381" s="65"/>
      <c r="I381" s="65"/>
      <c r="J381" s="65"/>
      <c r="K381" s="36"/>
      <c r="L381" s="36"/>
    </row>
    <row r="382" spans="1:12" x14ac:dyDescent="0.3">
      <c r="A382" s="65"/>
      <c r="B382" s="65"/>
      <c r="C382" s="65"/>
      <c r="D382" s="65"/>
      <c r="E382" s="66"/>
      <c r="F382" s="66"/>
      <c r="G382" s="65"/>
      <c r="H382" s="65"/>
      <c r="I382" s="65"/>
      <c r="J382" s="65"/>
      <c r="K382" s="36"/>
      <c r="L382" s="36"/>
    </row>
    <row r="383" spans="1:12" x14ac:dyDescent="0.3">
      <c r="A383" s="65"/>
      <c r="B383" s="65"/>
      <c r="C383" s="65"/>
      <c r="D383" s="65"/>
      <c r="E383" s="66"/>
      <c r="F383" s="66"/>
      <c r="G383" s="65"/>
      <c r="H383" s="65"/>
      <c r="I383" s="65"/>
      <c r="J383" s="65"/>
      <c r="K383" s="36"/>
      <c r="L383" s="36"/>
    </row>
    <row r="384" spans="1:12" x14ac:dyDescent="0.3">
      <c r="A384" s="65"/>
      <c r="B384" s="65"/>
      <c r="C384" s="65"/>
      <c r="D384" s="65"/>
      <c r="E384" s="66"/>
      <c r="F384" s="66"/>
      <c r="G384" s="65"/>
      <c r="H384" s="65"/>
      <c r="I384" s="65"/>
      <c r="J384" s="65"/>
      <c r="K384" s="36"/>
      <c r="L384" s="36"/>
    </row>
    <row r="385" spans="1:12" x14ac:dyDescent="0.3">
      <c r="A385" s="65"/>
      <c r="B385" s="65"/>
      <c r="C385" s="65"/>
      <c r="D385" s="65"/>
      <c r="E385" s="66"/>
      <c r="F385" s="66"/>
      <c r="G385" s="65"/>
      <c r="H385" s="65"/>
      <c r="I385" s="65"/>
      <c r="J385" s="65"/>
      <c r="K385" s="36"/>
      <c r="L385" s="36"/>
    </row>
    <row r="386" spans="1:12" x14ac:dyDescent="0.3">
      <c r="A386" s="65"/>
      <c r="B386" s="65"/>
      <c r="C386" s="65"/>
      <c r="D386" s="65"/>
      <c r="E386" s="66"/>
      <c r="F386" s="66"/>
      <c r="G386" s="65"/>
      <c r="H386" s="65"/>
      <c r="I386" s="65"/>
      <c r="J386" s="65"/>
      <c r="K386" s="36"/>
      <c r="L386" s="36"/>
    </row>
    <row r="387" spans="1:12" x14ac:dyDescent="0.3">
      <c r="A387" s="65"/>
      <c r="B387" s="65"/>
      <c r="C387" s="65"/>
      <c r="D387" s="65"/>
      <c r="E387" s="66"/>
      <c r="F387" s="66"/>
      <c r="G387" s="65"/>
      <c r="H387" s="65"/>
      <c r="I387" s="65"/>
      <c r="J387" s="65"/>
      <c r="K387" s="36"/>
      <c r="L387" s="36"/>
    </row>
    <row r="388" spans="1:12" x14ac:dyDescent="0.3">
      <c r="A388" s="65"/>
      <c r="B388" s="65"/>
      <c r="C388" s="65"/>
      <c r="D388" s="65"/>
      <c r="E388" s="66"/>
      <c r="F388" s="66"/>
      <c r="G388" s="65"/>
      <c r="H388" s="65"/>
      <c r="I388" s="65"/>
      <c r="J388" s="65"/>
      <c r="K388" s="36"/>
      <c r="L388" s="36"/>
    </row>
    <row r="389" spans="1:12" x14ac:dyDescent="0.3">
      <c r="A389" s="65"/>
      <c r="B389" s="65"/>
      <c r="C389" s="65"/>
      <c r="D389" s="65"/>
      <c r="E389" s="66"/>
      <c r="F389" s="66"/>
      <c r="G389" s="65"/>
      <c r="H389" s="65"/>
      <c r="I389" s="65"/>
      <c r="J389" s="65"/>
      <c r="K389" s="36"/>
      <c r="L389" s="36"/>
    </row>
    <row r="390" spans="1:12" x14ac:dyDescent="0.3">
      <c r="A390" s="65"/>
      <c r="B390" s="65"/>
      <c r="C390" s="65"/>
      <c r="D390" s="65"/>
      <c r="E390" s="66"/>
      <c r="F390" s="66"/>
      <c r="G390" s="65"/>
      <c r="H390" s="65"/>
      <c r="I390" s="65"/>
      <c r="J390" s="65"/>
      <c r="K390" s="36"/>
      <c r="L390" s="36"/>
    </row>
    <row r="391" spans="1:12" x14ac:dyDescent="0.3">
      <c r="A391" s="65"/>
      <c r="B391" s="65"/>
      <c r="C391" s="65"/>
      <c r="D391" s="65"/>
      <c r="E391" s="66"/>
      <c r="F391" s="66"/>
      <c r="G391" s="65"/>
      <c r="H391" s="65"/>
      <c r="I391" s="65"/>
      <c r="J391" s="65"/>
      <c r="K391" s="36"/>
      <c r="L391" s="36"/>
    </row>
    <row r="392" spans="1:12" x14ac:dyDescent="0.3">
      <c r="A392" s="65"/>
      <c r="B392" s="65"/>
      <c r="C392" s="65"/>
      <c r="D392" s="65"/>
      <c r="E392" s="66"/>
      <c r="F392" s="66"/>
      <c r="G392" s="65"/>
      <c r="H392" s="65"/>
      <c r="I392" s="65"/>
      <c r="J392" s="65"/>
      <c r="K392" s="36"/>
      <c r="L392" s="36"/>
    </row>
    <row r="393" spans="1:12" x14ac:dyDescent="0.3">
      <c r="A393" s="65"/>
      <c r="B393" s="65"/>
      <c r="C393" s="65"/>
      <c r="D393" s="65"/>
      <c r="E393" s="66"/>
      <c r="F393" s="66"/>
      <c r="G393" s="65"/>
      <c r="H393" s="65"/>
      <c r="I393" s="65"/>
      <c r="J393" s="65"/>
      <c r="K393" s="36"/>
      <c r="L393" s="36"/>
    </row>
    <row r="394" spans="1:12" x14ac:dyDescent="0.3">
      <c r="A394" s="65"/>
      <c r="B394" s="65"/>
      <c r="C394" s="65"/>
      <c r="D394" s="65"/>
      <c r="E394" s="66"/>
      <c r="F394" s="66"/>
      <c r="G394" s="65"/>
      <c r="H394" s="65"/>
      <c r="I394" s="65"/>
      <c r="J394" s="65"/>
      <c r="K394" s="36"/>
      <c r="L394" s="36"/>
    </row>
    <row r="395" spans="1:12" x14ac:dyDescent="0.3">
      <c r="A395" s="65"/>
      <c r="B395" s="65"/>
      <c r="C395" s="65"/>
      <c r="D395" s="65"/>
      <c r="E395" s="66"/>
      <c r="F395" s="66"/>
      <c r="G395" s="65"/>
      <c r="H395" s="65"/>
      <c r="I395" s="65"/>
      <c r="J395" s="65"/>
      <c r="K395" s="36"/>
      <c r="L395" s="36"/>
    </row>
    <row r="396" spans="1:12" x14ac:dyDescent="0.3">
      <c r="A396" s="65"/>
      <c r="B396" s="65"/>
      <c r="C396" s="65"/>
      <c r="D396" s="65"/>
      <c r="E396" s="66"/>
      <c r="F396" s="66"/>
      <c r="G396" s="65"/>
      <c r="H396" s="65"/>
      <c r="I396" s="65"/>
      <c r="J396" s="65"/>
      <c r="K396" s="36"/>
      <c r="L396" s="36"/>
    </row>
    <row r="397" spans="1:12" x14ac:dyDescent="0.3">
      <c r="A397" s="65"/>
      <c r="B397" s="65"/>
      <c r="C397" s="65"/>
      <c r="D397" s="65"/>
      <c r="E397" s="66"/>
      <c r="F397" s="66"/>
      <c r="G397" s="65"/>
      <c r="H397" s="65"/>
      <c r="I397" s="65"/>
      <c r="J397" s="65"/>
      <c r="K397" s="36"/>
      <c r="L397" s="36"/>
    </row>
    <row r="398" spans="1:12" x14ac:dyDescent="0.3">
      <c r="A398" s="65"/>
      <c r="B398" s="65"/>
      <c r="C398" s="65"/>
      <c r="D398" s="65"/>
      <c r="E398" s="66"/>
      <c r="F398" s="66"/>
      <c r="G398" s="65"/>
      <c r="H398" s="65"/>
      <c r="I398" s="65"/>
      <c r="J398" s="65"/>
      <c r="K398" s="36"/>
      <c r="L398" s="36"/>
    </row>
    <row r="399" spans="1:12" x14ac:dyDescent="0.3">
      <c r="A399" s="65"/>
      <c r="B399" s="65"/>
      <c r="C399" s="65"/>
      <c r="D399" s="65"/>
      <c r="E399" s="66"/>
      <c r="F399" s="66"/>
      <c r="G399" s="65"/>
      <c r="H399" s="65"/>
      <c r="I399" s="65"/>
      <c r="J399" s="65"/>
      <c r="K399" s="36"/>
      <c r="L399" s="36"/>
    </row>
    <row r="400" spans="1:12" x14ac:dyDescent="0.3">
      <c r="A400" s="65"/>
      <c r="B400" s="65"/>
      <c r="C400" s="65"/>
      <c r="D400" s="65"/>
      <c r="E400" s="66"/>
      <c r="F400" s="66"/>
      <c r="G400" s="65"/>
      <c r="H400" s="65"/>
      <c r="I400" s="65"/>
      <c r="J400" s="65"/>
      <c r="K400" s="36"/>
      <c r="L400" s="36"/>
    </row>
    <row r="401" spans="1:12" x14ac:dyDescent="0.3">
      <c r="A401" s="65"/>
      <c r="B401" s="65"/>
      <c r="C401" s="65"/>
      <c r="D401" s="65"/>
      <c r="E401" s="66"/>
      <c r="F401" s="66"/>
      <c r="G401" s="65"/>
      <c r="H401" s="65"/>
      <c r="I401" s="65"/>
      <c r="J401" s="65"/>
      <c r="K401" s="36"/>
      <c r="L401" s="36"/>
    </row>
    <row r="402" spans="1:12" x14ac:dyDescent="0.3">
      <c r="A402" s="65"/>
      <c r="B402" s="65"/>
      <c r="C402" s="65"/>
      <c r="D402" s="65"/>
      <c r="E402" s="66"/>
      <c r="F402" s="66"/>
      <c r="G402" s="65"/>
      <c r="H402" s="65"/>
      <c r="I402" s="65"/>
      <c r="J402" s="65"/>
      <c r="K402" s="36"/>
      <c r="L402" s="36"/>
    </row>
    <row r="403" spans="1:12" x14ac:dyDescent="0.3">
      <c r="A403" s="65"/>
      <c r="B403" s="65"/>
      <c r="C403" s="65"/>
      <c r="D403" s="65"/>
      <c r="E403" s="66"/>
      <c r="F403" s="66"/>
      <c r="G403" s="65"/>
      <c r="H403" s="65"/>
      <c r="I403" s="65"/>
      <c r="J403" s="65"/>
      <c r="K403" s="36"/>
      <c r="L403" s="36"/>
    </row>
    <row r="404" spans="1:12" x14ac:dyDescent="0.3">
      <c r="A404" s="65"/>
      <c r="B404" s="65"/>
      <c r="C404" s="65"/>
      <c r="D404" s="65"/>
      <c r="E404" s="66"/>
      <c r="F404" s="66"/>
      <c r="G404" s="65"/>
      <c r="H404" s="65"/>
      <c r="I404" s="65"/>
      <c r="J404" s="65"/>
      <c r="K404" s="36"/>
      <c r="L404" s="36"/>
    </row>
    <row r="405" spans="1:12" x14ac:dyDescent="0.3">
      <c r="A405" s="65"/>
      <c r="B405" s="65"/>
      <c r="C405" s="65"/>
      <c r="D405" s="65"/>
      <c r="E405" s="66"/>
      <c r="F405" s="66"/>
      <c r="G405" s="65"/>
      <c r="H405" s="65"/>
      <c r="I405" s="65"/>
      <c r="J405" s="65"/>
      <c r="K405" s="36"/>
      <c r="L405" s="36"/>
    </row>
    <row r="406" spans="1:12" x14ac:dyDescent="0.3">
      <c r="A406" s="65"/>
      <c r="B406" s="65"/>
      <c r="C406" s="65"/>
      <c r="D406" s="65"/>
      <c r="E406" s="66"/>
      <c r="F406" s="66"/>
      <c r="G406" s="65"/>
      <c r="H406" s="65"/>
      <c r="I406" s="65"/>
      <c r="J406" s="65"/>
      <c r="K406" s="36"/>
      <c r="L406" s="36"/>
    </row>
    <row r="407" spans="1:12" x14ac:dyDescent="0.3">
      <c r="A407" s="65"/>
      <c r="B407" s="65"/>
      <c r="C407" s="65"/>
      <c r="D407" s="65"/>
      <c r="E407" s="66"/>
      <c r="F407" s="66"/>
      <c r="G407" s="65"/>
      <c r="H407" s="65"/>
      <c r="I407" s="65"/>
      <c r="J407" s="65"/>
      <c r="K407" s="36"/>
      <c r="L407" s="36"/>
    </row>
    <row r="408" spans="1:12" x14ac:dyDescent="0.3">
      <c r="A408" s="65"/>
      <c r="B408" s="65"/>
      <c r="C408" s="65"/>
      <c r="D408" s="65"/>
      <c r="E408" s="66"/>
      <c r="F408" s="66"/>
      <c r="G408" s="65"/>
      <c r="H408" s="65"/>
      <c r="I408" s="65"/>
      <c r="J408" s="65"/>
      <c r="K408" s="36"/>
      <c r="L408" s="36"/>
    </row>
    <row r="409" spans="1:12" x14ac:dyDescent="0.3">
      <c r="A409" s="65"/>
      <c r="B409" s="65"/>
      <c r="C409" s="65"/>
      <c r="D409" s="65"/>
      <c r="E409" s="66"/>
      <c r="F409" s="66"/>
      <c r="G409" s="65"/>
      <c r="H409" s="65"/>
      <c r="I409" s="65"/>
      <c r="J409" s="65"/>
      <c r="K409" s="36"/>
      <c r="L409" s="36"/>
    </row>
    <row r="410" spans="1:12" x14ac:dyDescent="0.3">
      <c r="A410" s="65"/>
      <c r="B410" s="65"/>
      <c r="C410" s="65"/>
      <c r="D410" s="65"/>
      <c r="E410" s="66"/>
      <c r="F410" s="66"/>
      <c r="G410" s="65"/>
      <c r="H410" s="65"/>
      <c r="I410" s="65"/>
      <c r="J410" s="65"/>
      <c r="K410" s="36"/>
      <c r="L410" s="36"/>
    </row>
    <row r="411" spans="1:12" x14ac:dyDescent="0.3">
      <c r="A411" s="65"/>
      <c r="B411" s="65"/>
      <c r="C411" s="65"/>
      <c r="D411" s="65"/>
      <c r="E411" s="66"/>
      <c r="F411" s="66"/>
      <c r="G411" s="65"/>
      <c r="H411" s="65"/>
      <c r="I411" s="65"/>
      <c r="J411" s="65"/>
      <c r="K411" s="36"/>
      <c r="L411" s="36"/>
    </row>
    <row r="412" spans="1:12" x14ac:dyDescent="0.3">
      <c r="A412" s="65"/>
      <c r="B412" s="65"/>
      <c r="C412" s="65"/>
      <c r="D412" s="65"/>
      <c r="E412" s="66"/>
      <c r="F412" s="66"/>
      <c r="G412" s="65"/>
      <c r="H412" s="65"/>
      <c r="I412" s="65"/>
      <c r="J412" s="65"/>
      <c r="K412" s="36"/>
      <c r="L412" s="36"/>
    </row>
    <row r="413" spans="1:12" x14ac:dyDescent="0.3">
      <c r="A413" s="65"/>
      <c r="B413" s="65"/>
      <c r="C413" s="65"/>
      <c r="D413" s="65"/>
      <c r="E413" s="66"/>
      <c r="F413" s="66"/>
      <c r="G413" s="65"/>
      <c r="H413" s="65"/>
      <c r="I413" s="65"/>
      <c r="J413" s="65"/>
      <c r="K413" s="36"/>
      <c r="L413" s="36"/>
    </row>
    <row r="414" spans="1:12" x14ac:dyDescent="0.3">
      <c r="A414" s="65"/>
      <c r="B414" s="65"/>
      <c r="C414" s="65"/>
      <c r="D414" s="65"/>
      <c r="E414" s="66"/>
      <c r="F414" s="66"/>
      <c r="G414" s="65"/>
      <c r="H414" s="65"/>
      <c r="I414" s="65"/>
      <c r="J414" s="65"/>
      <c r="K414" s="36"/>
      <c r="L414" s="36"/>
    </row>
    <row r="415" spans="1:12" x14ac:dyDescent="0.3">
      <c r="A415" s="65"/>
      <c r="B415" s="65"/>
      <c r="C415" s="65"/>
      <c r="D415" s="65"/>
      <c r="E415" s="66"/>
      <c r="F415" s="66"/>
      <c r="G415" s="65"/>
      <c r="H415" s="65"/>
      <c r="I415" s="65"/>
      <c r="J415" s="65"/>
      <c r="K415" s="36"/>
      <c r="L415" s="36"/>
    </row>
    <row r="416" spans="1:12" x14ac:dyDescent="0.3">
      <c r="A416" s="65"/>
      <c r="B416" s="65"/>
      <c r="C416" s="65"/>
      <c r="D416" s="65"/>
      <c r="E416" s="66"/>
      <c r="F416" s="66"/>
      <c r="G416" s="65"/>
      <c r="H416" s="65"/>
      <c r="I416" s="65"/>
      <c r="J416" s="65"/>
      <c r="K416" s="36"/>
      <c r="L416" s="36"/>
    </row>
    <row r="417" spans="1:12" x14ac:dyDescent="0.3">
      <c r="A417" s="65"/>
      <c r="B417" s="65"/>
      <c r="C417" s="65"/>
      <c r="D417" s="65"/>
      <c r="E417" s="66"/>
      <c r="F417" s="66"/>
      <c r="G417" s="65"/>
      <c r="H417" s="65"/>
      <c r="I417" s="65"/>
      <c r="J417" s="65"/>
      <c r="K417" s="36"/>
      <c r="L417" s="36"/>
    </row>
    <row r="418" spans="1:12" x14ac:dyDescent="0.3">
      <c r="A418" s="65"/>
      <c r="B418" s="65"/>
      <c r="C418" s="65"/>
      <c r="D418" s="65"/>
      <c r="E418" s="66"/>
      <c r="F418" s="66"/>
      <c r="G418" s="65"/>
      <c r="H418" s="65"/>
      <c r="I418" s="65"/>
      <c r="J418" s="65"/>
      <c r="K418" s="36"/>
      <c r="L418" s="36"/>
    </row>
    <row r="419" spans="1:12" x14ac:dyDescent="0.3">
      <c r="A419" s="65"/>
      <c r="B419" s="65"/>
      <c r="C419" s="65"/>
      <c r="D419" s="65"/>
      <c r="E419" s="66"/>
      <c r="F419" s="66"/>
      <c r="G419" s="65"/>
      <c r="H419" s="65"/>
      <c r="I419" s="65"/>
      <c r="J419" s="65"/>
      <c r="K419" s="36"/>
      <c r="L419" s="36"/>
    </row>
    <row r="420" spans="1:12" x14ac:dyDescent="0.3">
      <c r="A420" s="65"/>
      <c r="B420" s="65"/>
      <c r="C420" s="65"/>
      <c r="D420" s="65"/>
      <c r="E420" s="66"/>
      <c r="F420" s="66"/>
      <c r="G420" s="65"/>
      <c r="H420" s="65"/>
      <c r="I420" s="65"/>
      <c r="J420" s="65"/>
      <c r="K420" s="36"/>
      <c r="L420" s="36"/>
    </row>
    <row r="421" spans="1:12" x14ac:dyDescent="0.3">
      <c r="A421" s="65"/>
      <c r="B421" s="65"/>
      <c r="C421" s="65"/>
      <c r="D421" s="65"/>
      <c r="E421" s="66"/>
      <c r="F421" s="66"/>
      <c r="G421" s="65"/>
      <c r="H421" s="65"/>
      <c r="I421" s="65"/>
      <c r="J421" s="65"/>
      <c r="K421" s="36"/>
      <c r="L421" s="36"/>
    </row>
    <row r="422" spans="1:12" x14ac:dyDescent="0.3">
      <c r="A422" s="65"/>
      <c r="B422" s="65"/>
      <c r="C422" s="65"/>
      <c r="D422" s="65"/>
      <c r="E422" s="66"/>
      <c r="F422" s="66"/>
      <c r="G422" s="65"/>
      <c r="H422" s="65"/>
      <c r="I422" s="65"/>
      <c r="J422" s="65"/>
      <c r="K422" s="36"/>
      <c r="L422" s="36"/>
    </row>
    <row r="423" spans="1:12" x14ac:dyDescent="0.3">
      <c r="A423" s="65"/>
      <c r="B423" s="65"/>
      <c r="C423" s="65"/>
      <c r="D423" s="65"/>
      <c r="E423" s="66"/>
      <c r="F423" s="66"/>
      <c r="G423" s="65"/>
      <c r="H423" s="65"/>
      <c r="I423" s="65"/>
      <c r="J423" s="65"/>
      <c r="K423" s="36"/>
      <c r="L423" s="36"/>
    </row>
    <row r="424" spans="1:12" x14ac:dyDescent="0.3">
      <c r="A424" s="65"/>
      <c r="B424" s="65"/>
      <c r="C424" s="65"/>
      <c r="D424" s="65"/>
      <c r="E424" s="66"/>
      <c r="F424" s="66"/>
      <c r="G424" s="65"/>
      <c r="H424" s="65"/>
      <c r="I424" s="65"/>
      <c r="J424" s="65"/>
      <c r="K424" s="36"/>
      <c r="L424" s="36"/>
    </row>
    <row r="425" spans="1:12" x14ac:dyDescent="0.3">
      <c r="A425" s="65"/>
      <c r="B425" s="65"/>
      <c r="C425" s="65"/>
      <c r="D425" s="65"/>
      <c r="E425" s="66"/>
      <c r="F425" s="66"/>
      <c r="G425" s="65"/>
      <c r="H425" s="65"/>
      <c r="I425" s="65"/>
      <c r="J425" s="65"/>
      <c r="K425" s="36"/>
      <c r="L425" s="36"/>
    </row>
    <row r="426" spans="1:12" x14ac:dyDescent="0.3">
      <c r="A426" s="65"/>
      <c r="B426" s="65"/>
      <c r="C426" s="65"/>
      <c r="D426" s="65"/>
      <c r="E426" s="66"/>
      <c r="F426" s="66"/>
      <c r="G426" s="65"/>
      <c r="H426" s="65"/>
      <c r="I426" s="65"/>
      <c r="J426" s="65"/>
      <c r="K426" s="36"/>
      <c r="L426" s="36"/>
    </row>
    <row r="427" spans="1:12" x14ac:dyDescent="0.3">
      <c r="A427" s="65"/>
      <c r="B427" s="65"/>
      <c r="C427" s="65"/>
      <c r="D427" s="65"/>
      <c r="E427" s="66"/>
      <c r="F427" s="66"/>
      <c r="G427" s="65"/>
      <c r="H427" s="65"/>
      <c r="I427" s="65"/>
      <c r="J427" s="65"/>
      <c r="K427" s="36"/>
      <c r="L427" s="36"/>
    </row>
    <row r="428" spans="1:12" x14ac:dyDescent="0.3">
      <c r="A428" s="65"/>
      <c r="B428" s="65"/>
      <c r="C428" s="65"/>
      <c r="D428" s="65"/>
      <c r="E428" s="66"/>
      <c r="F428" s="66"/>
      <c r="G428" s="65"/>
      <c r="H428" s="65"/>
      <c r="I428" s="65"/>
      <c r="J428" s="65"/>
      <c r="K428" s="36"/>
      <c r="L428" s="36"/>
    </row>
    <row r="429" spans="1:12" x14ac:dyDescent="0.3">
      <c r="A429" s="65"/>
      <c r="B429" s="65"/>
      <c r="C429" s="65"/>
      <c r="D429" s="65"/>
      <c r="E429" s="66"/>
      <c r="F429" s="66"/>
      <c r="G429" s="65"/>
      <c r="H429" s="65"/>
      <c r="I429" s="65"/>
      <c r="J429" s="65"/>
      <c r="K429" s="36"/>
      <c r="L429" s="36"/>
    </row>
    <row r="430" spans="1:12" x14ac:dyDescent="0.3">
      <c r="A430" s="65"/>
      <c r="B430" s="65"/>
      <c r="C430" s="65"/>
      <c r="D430" s="65"/>
      <c r="E430" s="66"/>
      <c r="F430" s="66"/>
      <c r="G430" s="65"/>
      <c r="H430" s="65"/>
      <c r="I430" s="65"/>
      <c r="J430" s="65"/>
      <c r="K430" s="36"/>
      <c r="L430" s="36"/>
    </row>
    <row r="431" spans="1:12" x14ac:dyDescent="0.3">
      <c r="A431" s="65"/>
      <c r="B431" s="65"/>
      <c r="C431" s="65"/>
      <c r="D431" s="65"/>
      <c r="E431" s="66"/>
      <c r="F431" s="66"/>
      <c r="G431" s="65"/>
      <c r="H431" s="65"/>
      <c r="I431" s="65"/>
      <c r="J431" s="65"/>
      <c r="K431" s="36"/>
      <c r="L431" s="36"/>
    </row>
    <row r="432" spans="1:12" x14ac:dyDescent="0.3">
      <c r="A432" s="65"/>
      <c r="B432" s="65"/>
      <c r="C432" s="65"/>
      <c r="D432" s="65"/>
      <c r="E432" s="66"/>
      <c r="F432" s="66"/>
      <c r="G432" s="65"/>
      <c r="H432" s="65"/>
      <c r="I432" s="65"/>
      <c r="J432" s="65"/>
      <c r="K432" s="36"/>
      <c r="L432" s="36"/>
    </row>
    <row r="433" spans="1:12" x14ac:dyDescent="0.3">
      <c r="A433" s="65"/>
      <c r="B433" s="65"/>
      <c r="C433" s="65"/>
      <c r="D433" s="65"/>
      <c r="E433" s="66"/>
      <c r="F433" s="66"/>
      <c r="G433" s="65"/>
      <c r="H433" s="65"/>
      <c r="I433" s="65"/>
      <c r="J433" s="65"/>
      <c r="K433" s="36"/>
      <c r="L433" s="36"/>
    </row>
    <row r="434" spans="1:12" x14ac:dyDescent="0.3">
      <c r="A434" s="65"/>
      <c r="B434" s="65"/>
      <c r="C434" s="65"/>
      <c r="D434" s="65"/>
      <c r="E434" s="66"/>
      <c r="F434" s="66"/>
      <c r="G434" s="65"/>
      <c r="H434" s="65"/>
      <c r="I434" s="65"/>
      <c r="J434" s="65"/>
      <c r="K434" s="36"/>
      <c r="L434" s="36"/>
    </row>
    <row r="435" spans="1:12" x14ac:dyDescent="0.3">
      <c r="A435" s="65"/>
      <c r="B435" s="65"/>
      <c r="C435" s="65"/>
      <c r="D435" s="65"/>
      <c r="E435" s="66"/>
      <c r="F435" s="66"/>
      <c r="G435" s="65"/>
      <c r="H435" s="65"/>
      <c r="I435" s="65"/>
      <c r="J435" s="65"/>
      <c r="K435" s="36"/>
      <c r="L435" s="36"/>
    </row>
    <row r="436" spans="1:12" x14ac:dyDescent="0.3">
      <c r="A436" s="65"/>
      <c r="B436" s="65"/>
      <c r="C436" s="65"/>
      <c r="D436" s="65"/>
      <c r="E436" s="66"/>
      <c r="F436" s="66"/>
      <c r="G436" s="65"/>
      <c r="H436" s="65"/>
      <c r="I436" s="65"/>
      <c r="J436" s="65"/>
      <c r="K436" s="36"/>
      <c r="L436" s="36"/>
    </row>
    <row r="437" spans="1:12" x14ac:dyDescent="0.3">
      <c r="A437" s="65"/>
      <c r="B437" s="65"/>
      <c r="C437" s="65"/>
      <c r="D437" s="65"/>
      <c r="E437" s="66"/>
      <c r="F437" s="66"/>
      <c r="G437" s="65"/>
      <c r="H437" s="65"/>
      <c r="I437" s="65"/>
      <c r="J437" s="65"/>
      <c r="K437" s="36"/>
      <c r="L437" s="36"/>
    </row>
    <row r="438" spans="1:12" x14ac:dyDescent="0.3">
      <c r="A438" s="65"/>
      <c r="B438" s="65"/>
      <c r="C438" s="65"/>
      <c r="D438" s="65"/>
      <c r="E438" s="66"/>
      <c r="F438" s="66"/>
      <c r="G438" s="65"/>
      <c r="H438" s="65"/>
      <c r="I438" s="65"/>
      <c r="J438" s="65"/>
      <c r="K438" s="36"/>
      <c r="L438" s="36"/>
    </row>
    <row r="439" spans="1:12" x14ac:dyDescent="0.3">
      <c r="A439" s="65"/>
      <c r="B439" s="65"/>
      <c r="C439" s="65"/>
      <c r="D439" s="65"/>
      <c r="E439" s="66"/>
      <c r="F439" s="66"/>
      <c r="G439" s="65"/>
      <c r="H439" s="65"/>
      <c r="I439" s="65"/>
      <c r="J439" s="65"/>
      <c r="K439" s="36"/>
      <c r="L439" s="36"/>
    </row>
    <row r="440" spans="1:12" x14ac:dyDescent="0.3">
      <c r="A440" s="65"/>
      <c r="B440" s="65"/>
      <c r="C440" s="65"/>
      <c r="D440" s="65"/>
      <c r="E440" s="66"/>
      <c r="F440" s="66"/>
      <c r="G440" s="65"/>
      <c r="H440" s="65"/>
      <c r="I440" s="65"/>
      <c r="J440" s="65"/>
      <c r="K440" s="36"/>
      <c r="L440" s="36"/>
    </row>
    <row r="441" spans="1:12" x14ac:dyDescent="0.3">
      <c r="A441" s="65"/>
      <c r="B441" s="65"/>
      <c r="C441" s="65"/>
      <c r="D441" s="65"/>
      <c r="E441" s="66"/>
      <c r="F441" s="66"/>
      <c r="G441" s="65"/>
      <c r="H441" s="65"/>
      <c r="I441" s="65"/>
      <c r="J441" s="65"/>
      <c r="K441" s="36"/>
      <c r="L441" s="36"/>
    </row>
    <row r="442" spans="1:12" x14ac:dyDescent="0.3">
      <c r="A442" s="65"/>
      <c r="B442" s="65"/>
      <c r="C442" s="65"/>
      <c r="D442" s="65"/>
      <c r="E442" s="66"/>
      <c r="F442" s="66"/>
      <c r="G442" s="65"/>
      <c r="H442" s="65"/>
      <c r="I442" s="65"/>
      <c r="J442" s="65"/>
      <c r="K442" s="36"/>
      <c r="L442" s="36"/>
    </row>
    <row r="443" spans="1:12" x14ac:dyDescent="0.3">
      <c r="A443" s="65"/>
      <c r="B443" s="65"/>
      <c r="C443" s="65"/>
      <c r="D443" s="65"/>
      <c r="E443" s="66"/>
      <c r="F443" s="66"/>
      <c r="G443" s="65"/>
      <c r="H443" s="65"/>
      <c r="I443" s="65"/>
      <c r="J443" s="65"/>
      <c r="K443" s="36"/>
      <c r="L443" s="36"/>
    </row>
    <row r="444" spans="1:12" x14ac:dyDescent="0.3">
      <c r="A444" s="65"/>
      <c r="B444" s="65"/>
      <c r="C444" s="65"/>
      <c r="D444" s="65"/>
      <c r="E444" s="66"/>
      <c r="F444" s="66"/>
      <c r="G444" s="65"/>
      <c r="H444" s="65"/>
      <c r="I444" s="65"/>
      <c r="J444" s="65"/>
      <c r="K444" s="36"/>
      <c r="L444" s="36"/>
    </row>
    <row r="445" spans="1:12" x14ac:dyDescent="0.3">
      <c r="A445" s="65"/>
      <c r="B445" s="65"/>
      <c r="C445" s="65"/>
      <c r="D445" s="65"/>
      <c r="E445" s="66"/>
      <c r="F445" s="66"/>
      <c r="G445" s="65"/>
      <c r="H445" s="65"/>
      <c r="I445" s="65"/>
      <c r="J445" s="65"/>
      <c r="K445" s="36"/>
      <c r="L445" s="36"/>
    </row>
    <row r="446" spans="1:12" x14ac:dyDescent="0.3">
      <c r="A446" s="65"/>
      <c r="B446" s="65"/>
      <c r="C446" s="65"/>
      <c r="D446" s="65"/>
      <c r="E446" s="66"/>
      <c r="F446" s="66"/>
      <c r="G446" s="65"/>
      <c r="H446" s="65"/>
      <c r="I446" s="65"/>
      <c r="J446" s="65"/>
      <c r="K446" s="36"/>
      <c r="L446" s="36"/>
    </row>
    <row r="447" spans="1:12" x14ac:dyDescent="0.3">
      <c r="A447" s="65"/>
      <c r="B447" s="65"/>
      <c r="C447" s="65"/>
      <c r="D447" s="65"/>
      <c r="E447" s="66"/>
      <c r="F447" s="66"/>
      <c r="G447" s="65"/>
      <c r="H447" s="65"/>
      <c r="I447" s="65"/>
      <c r="J447" s="65"/>
      <c r="K447" s="36"/>
      <c r="L447" s="36"/>
    </row>
    <row r="448" spans="1:12" x14ac:dyDescent="0.3">
      <c r="A448" s="65"/>
      <c r="B448" s="65"/>
      <c r="C448" s="65"/>
      <c r="D448" s="65"/>
      <c r="E448" s="66"/>
      <c r="F448" s="66"/>
      <c r="G448" s="65"/>
      <c r="H448" s="65"/>
      <c r="I448" s="65"/>
      <c r="J448" s="65"/>
      <c r="K448" s="36"/>
      <c r="L448" s="36"/>
    </row>
    <row r="449" spans="1:12" x14ac:dyDescent="0.3">
      <c r="A449" s="65"/>
      <c r="B449" s="65"/>
      <c r="C449" s="65"/>
      <c r="D449" s="65"/>
      <c r="E449" s="66"/>
      <c r="F449" s="66"/>
      <c r="G449" s="65"/>
      <c r="H449" s="65"/>
      <c r="I449" s="65"/>
      <c r="J449" s="65"/>
      <c r="K449" s="36"/>
      <c r="L449" s="36"/>
    </row>
    <row r="450" spans="1:12" x14ac:dyDescent="0.3">
      <c r="A450" s="65"/>
      <c r="B450" s="65"/>
      <c r="C450" s="65"/>
      <c r="D450" s="65"/>
      <c r="E450" s="66"/>
      <c r="F450" s="66"/>
      <c r="G450" s="65"/>
      <c r="H450" s="65"/>
      <c r="I450" s="65"/>
      <c r="J450" s="65"/>
      <c r="K450" s="36"/>
      <c r="L450" s="36"/>
    </row>
    <row r="451" spans="1:12" x14ac:dyDescent="0.3">
      <c r="A451" s="65"/>
      <c r="B451" s="65"/>
      <c r="C451" s="65"/>
      <c r="D451" s="65"/>
      <c r="E451" s="66"/>
      <c r="F451" s="66"/>
      <c r="G451" s="65"/>
      <c r="H451" s="65"/>
      <c r="I451" s="65"/>
      <c r="J451" s="65"/>
      <c r="K451" s="36"/>
      <c r="L451" s="36"/>
    </row>
    <row r="452" spans="1:12" x14ac:dyDescent="0.3">
      <c r="A452" s="65"/>
      <c r="B452" s="65"/>
      <c r="C452" s="65"/>
      <c r="D452" s="65"/>
      <c r="E452" s="66"/>
      <c r="F452" s="66"/>
      <c r="G452" s="65"/>
      <c r="H452" s="65"/>
      <c r="I452" s="65"/>
      <c r="J452" s="65"/>
      <c r="K452" s="36"/>
      <c r="L452" s="36"/>
    </row>
    <row r="453" spans="1:12" x14ac:dyDescent="0.3">
      <c r="A453" s="65"/>
      <c r="B453" s="65"/>
      <c r="C453" s="65"/>
      <c r="D453" s="65"/>
      <c r="E453" s="66"/>
      <c r="F453" s="66"/>
      <c r="G453" s="65"/>
      <c r="H453" s="65"/>
      <c r="I453" s="65"/>
      <c r="J453" s="65"/>
      <c r="K453" s="36"/>
      <c r="L453" s="36"/>
    </row>
    <row r="454" spans="1:12" x14ac:dyDescent="0.3">
      <c r="A454" s="65"/>
      <c r="B454" s="65"/>
      <c r="C454" s="65"/>
      <c r="D454" s="65"/>
      <c r="E454" s="66"/>
      <c r="F454" s="66"/>
      <c r="G454" s="65"/>
      <c r="H454" s="65"/>
      <c r="I454" s="65"/>
      <c r="J454" s="65"/>
      <c r="K454" s="36"/>
      <c r="L454" s="36"/>
    </row>
    <row r="455" spans="1:12" x14ac:dyDescent="0.3">
      <c r="A455" s="65"/>
      <c r="B455" s="65"/>
      <c r="C455" s="65"/>
      <c r="D455" s="65"/>
      <c r="E455" s="66"/>
      <c r="F455" s="66"/>
      <c r="G455" s="65"/>
      <c r="H455" s="65"/>
      <c r="I455" s="65"/>
      <c r="J455" s="65"/>
      <c r="K455" s="36"/>
      <c r="L455" s="36"/>
    </row>
    <row r="456" spans="1:12" x14ac:dyDescent="0.3">
      <c r="A456" s="65"/>
      <c r="B456" s="65"/>
      <c r="C456" s="65"/>
      <c r="D456" s="65"/>
      <c r="E456" s="66"/>
      <c r="F456" s="66"/>
      <c r="G456" s="65"/>
      <c r="H456" s="65"/>
      <c r="I456" s="65"/>
      <c r="J456" s="65"/>
      <c r="K456" s="36"/>
      <c r="L456" s="36"/>
    </row>
    <row r="457" spans="1:12" x14ac:dyDescent="0.3">
      <c r="A457" s="65"/>
      <c r="B457" s="65"/>
      <c r="C457" s="65"/>
      <c r="D457" s="65"/>
      <c r="E457" s="66"/>
      <c r="F457" s="66"/>
      <c r="G457" s="65"/>
      <c r="H457" s="65"/>
      <c r="I457" s="65"/>
      <c r="J457" s="65"/>
      <c r="K457" s="36"/>
      <c r="L457" s="36"/>
    </row>
    <row r="458" spans="1:12" x14ac:dyDescent="0.3">
      <c r="A458" s="65"/>
      <c r="B458" s="65"/>
      <c r="C458" s="65"/>
      <c r="D458" s="65"/>
      <c r="E458" s="66"/>
      <c r="F458" s="66"/>
      <c r="G458" s="65"/>
      <c r="H458" s="65"/>
      <c r="I458" s="65"/>
      <c r="J458" s="65"/>
      <c r="K458" s="36"/>
      <c r="L458" s="36"/>
    </row>
    <row r="459" spans="1:12" x14ac:dyDescent="0.3">
      <c r="A459" s="65"/>
      <c r="B459" s="65"/>
      <c r="C459" s="65"/>
      <c r="D459" s="65"/>
      <c r="E459" s="66"/>
      <c r="F459" s="66"/>
      <c r="G459" s="65"/>
      <c r="H459" s="65"/>
      <c r="I459" s="65"/>
      <c r="J459" s="65"/>
      <c r="K459" s="36"/>
      <c r="L459" s="36"/>
    </row>
    <row r="460" spans="1:12" x14ac:dyDescent="0.3">
      <c r="A460" s="65"/>
      <c r="B460" s="65"/>
      <c r="C460" s="65"/>
      <c r="D460" s="65"/>
      <c r="E460" s="66"/>
      <c r="F460" s="66"/>
      <c r="G460" s="65"/>
      <c r="H460" s="65"/>
      <c r="I460" s="65"/>
      <c r="J460" s="65"/>
      <c r="K460" s="36"/>
      <c r="L460" s="36"/>
    </row>
    <row r="461" spans="1:12" x14ac:dyDescent="0.3">
      <c r="A461" s="65"/>
      <c r="B461" s="65"/>
      <c r="C461" s="65"/>
      <c r="D461" s="65"/>
      <c r="E461" s="66"/>
      <c r="F461" s="66"/>
      <c r="G461" s="65"/>
      <c r="H461" s="65"/>
      <c r="I461" s="65"/>
      <c r="J461" s="65"/>
      <c r="K461" s="36"/>
      <c r="L461" s="36"/>
    </row>
    <row r="462" spans="1:12" x14ac:dyDescent="0.3">
      <c r="A462" s="65"/>
      <c r="B462" s="65"/>
      <c r="C462" s="65"/>
      <c r="D462" s="65"/>
      <c r="E462" s="66"/>
      <c r="F462" s="66"/>
      <c r="G462" s="65"/>
      <c r="H462" s="65"/>
      <c r="I462" s="65"/>
      <c r="J462" s="65"/>
      <c r="K462" s="36"/>
      <c r="L462" s="36"/>
    </row>
    <row r="463" spans="1:12" x14ac:dyDescent="0.3">
      <c r="A463" s="65"/>
      <c r="B463" s="65"/>
      <c r="C463" s="65"/>
      <c r="D463" s="65"/>
      <c r="E463" s="66"/>
      <c r="F463" s="66"/>
      <c r="G463" s="65"/>
      <c r="H463" s="65"/>
      <c r="I463" s="65"/>
      <c r="J463" s="65"/>
      <c r="K463" s="36"/>
      <c r="L463" s="36"/>
    </row>
    <row r="464" spans="1:12" x14ac:dyDescent="0.3">
      <c r="A464" s="65"/>
      <c r="B464" s="65"/>
      <c r="C464" s="65"/>
      <c r="D464" s="65"/>
      <c r="E464" s="66"/>
      <c r="F464" s="66"/>
      <c r="G464" s="65"/>
      <c r="H464" s="65"/>
      <c r="I464" s="65"/>
      <c r="J464" s="65"/>
      <c r="K464" s="36"/>
      <c r="L464" s="36"/>
    </row>
    <row r="465" spans="1:12" x14ac:dyDescent="0.3">
      <c r="A465" s="65"/>
      <c r="B465" s="65"/>
      <c r="C465" s="65"/>
      <c r="D465" s="65"/>
      <c r="E465" s="66"/>
      <c r="F465" s="66"/>
      <c r="G465" s="65"/>
      <c r="H465" s="65"/>
      <c r="I465" s="65"/>
      <c r="J465" s="65"/>
      <c r="K465" s="36"/>
      <c r="L465" s="36"/>
    </row>
    <row r="466" spans="1:12" x14ac:dyDescent="0.3">
      <c r="A466" s="65"/>
      <c r="B466" s="65"/>
      <c r="C466" s="65"/>
      <c r="D466" s="65"/>
      <c r="E466" s="66"/>
      <c r="F466" s="66"/>
      <c r="G466" s="65"/>
      <c r="H466" s="65"/>
      <c r="I466" s="65"/>
      <c r="J466" s="65"/>
      <c r="K466" s="36"/>
      <c r="L466" s="36"/>
    </row>
    <row r="467" spans="1:12" x14ac:dyDescent="0.3">
      <c r="A467" s="65"/>
      <c r="B467" s="65"/>
      <c r="C467" s="65"/>
      <c r="D467" s="65"/>
      <c r="E467" s="66"/>
      <c r="F467" s="66"/>
      <c r="G467" s="65"/>
      <c r="H467" s="65"/>
      <c r="I467" s="65"/>
      <c r="J467" s="65"/>
      <c r="K467" s="36"/>
      <c r="L467" s="36"/>
    </row>
    <row r="468" spans="1:12" x14ac:dyDescent="0.3">
      <c r="A468" s="65"/>
      <c r="B468" s="65"/>
      <c r="C468" s="65"/>
      <c r="D468" s="65"/>
      <c r="E468" s="66"/>
      <c r="F468" s="66"/>
      <c r="G468" s="65"/>
      <c r="H468" s="65"/>
      <c r="I468" s="65"/>
      <c r="J468" s="65"/>
      <c r="K468" s="36"/>
      <c r="L468" s="36"/>
    </row>
    <row r="469" spans="1:12" x14ac:dyDescent="0.3">
      <c r="A469" s="65"/>
      <c r="B469" s="65"/>
      <c r="C469" s="65"/>
      <c r="D469" s="65"/>
      <c r="E469" s="66"/>
      <c r="F469" s="66"/>
      <c r="G469" s="65"/>
      <c r="H469" s="65"/>
      <c r="I469" s="65"/>
      <c r="J469" s="65"/>
      <c r="K469" s="36"/>
      <c r="L469" s="36"/>
    </row>
    <row r="470" spans="1:12" x14ac:dyDescent="0.3">
      <c r="A470" s="65"/>
      <c r="B470" s="65"/>
      <c r="C470" s="65"/>
      <c r="D470" s="65"/>
      <c r="E470" s="66"/>
      <c r="F470" s="66"/>
      <c r="G470" s="65"/>
      <c r="H470" s="65"/>
      <c r="I470" s="65"/>
      <c r="J470" s="65"/>
      <c r="K470" s="36"/>
      <c r="L470" s="36"/>
    </row>
    <row r="471" spans="1:12" x14ac:dyDescent="0.3">
      <c r="A471" s="65"/>
      <c r="B471" s="65"/>
      <c r="C471" s="65"/>
      <c r="D471" s="65"/>
      <c r="E471" s="66"/>
      <c r="F471" s="66"/>
      <c r="G471" s="65"/>
      <c r="H471" s="65"/>
      <c r="I471" s="65"/>
      <c r="J471" s="65"/>
      <c r="K471" s="36"/>
      <c r="L471" s="36"/>
    </row>
    <row r="472" spans="1:12" x14ac:dyDescent="0.3">
      <c r="A472" s="65"/>
      <c r="B472" s="65"/>
      <c r="C472" s="65"/>
      <c r="D472" s="65"/>
      <c r="E472" s="66"/>
      <c r="F472" s="66"/>
      <c r="G472" s="65"/>
      <c r="H472" s="65"/>
      <c r="I472" s="65"/>
      <c r="J472" s="65"/>
      <c r="K472" s="36"/>
      <c r="L472" s="36"/>
    </row>
    <row r="473" spans="1:12" x14ac:dyDescent="0.3">
      <c r="A473" s="65"/>
      <c r="B473" s="65"/>
      <c r="C473" s="65"/>
      <c r="D473" s="65"/>
      <c r="E473" s="66"/>
      <c r="F473" s="66"/>
      <c r="G473" s="65"/>
      <c r="H473" s="65"/>
      <c r="I473" s="65"/>
      <c r="J473" s="65"/>
      <c r="K473" s="36"/>
      <c r="L473" s="36"/>
    </row>
    <row r="474" spans="1:12" x14ac:dyDescent="0.3">
      <c r="A474" s="65"/>
      <c r="B474" s="65"/>
      <c r="C474" s="65"/>
      <c r="D474" s="65"/>
      <c r="E474" s="66"/>
      <c r="F474" s="66"/>
      <c r="G474" s="65"/>
      <c r="H474" s="65"/>
      <c r="I474" s="65"/>
      <c r="J474" s="65"/>
      <c r="K474" s="36"/>
      <c r="L474" s="36"/>
    </row>
    <row r="475" spans="1:12" x14ac:dyDescent="0.3">
      <c r="A475" s="65"/>
      <c r="B475" s="65"/>
      <c r="C475" s="65"/>
      <c r="D475" s="65"/>
      <c r="E475" s="66"/>
      <c r="F475" s="66"/>
      <c r="G475" s="65"/>
      <c r="H475" s="65"/>
      <c r="I475" s="65"/>
      <c r="J475" s="65"/>
      <c r="K475" s="36"/>
      <c r="L475" s="36"/>
    </row>
    <row r="476" spans="1:12" x14ac:dyDescent="0.3">
      <c r="A476" s="65"/>
      <c r="B476" s="65"/>
      <c r="C476" s="65"/>
      <c r="D476" s="65"/>
      <c r="E476" s="66"/>
      <c r="F476" s="66"/>
      <c r="G476" s="65"/>
      <c r="H476" s="65"/>
      <c r="I476" s="65"/>
      <c r="J476" s="65"/>
      <c r="K476" s="36"/>
      <c r="L476" s="36"/>
    </row>
    <row r="477" spans="1:12" x14ac:dyDescent="0.3">
      <c r="A477" s="65"/>
      <c r="B477" s="65"/>
      <c r="C477" s="65"/>
      <c r="D477" s="65"/>
      <c r="E477" s="66"/>
      <c r="F477" s="66"/>
      <c r="G477" s="65"/>
      <c r="H477" s="65"/>
      <c r="I477" s="65"/>
      <c r="J477" s="65"/>
      <c r="K477" s="36"/>
      <c r="L477" s="36"/>
    </row>
    <row r="478" spans="1:12" x14ac:dyDescent="0.3">
      <c r="A478" s="65"/>
      <c r="B478" s="65"/>
      <c r="C478" s="65"/>
      <c r="D478" s="65"/>
      <c r="E478" s="66"/>
      <c r="F478" s="66"/>
      <c r="G478" s="65"/>
      <c r="H478" s="65"/>
      <c r="I478" s="65"/>
      <c r="J478" s="65"/>
      <c r="K478" s="36"/>
      <c r="L478" s="36"/>
    </row>
    <row r="479" spans="1:12" x14ac:dyDescent="0.3">
      <c r="A479" s="65"/>
      <c r="B479" s="65"/>
      <c r="C479" s="65"/>
      <c r="D479" s="65"/>
      <c r="E479" s="66"/>
      <c r="F479" s="66"/>
      <c r="G479" s="65"/>
      <c r="H479" s="65"/>
      <c r="I479" s="65"/>
      <c r="J479" s="65"/>
      <c r="K479" s="36"/>
      <c r="L479" s="36"/>
    </row>
    <row r="480" spans="1:12" x14ac:dyDescent="0.3">
      <c r="A480" s="65"/>
      <c r="B480" s="65"/>
      <c r="C480" s="65"/>
      <c r="D480" s="65"/>
      <c r="E480" s="66"/>
      <c r="F480" s="66"/>
      <c r="G480" s="65"/>
      <c r="H480" s="65"/>
      <c r="I480" s="65"/>
      <c r="J480" s="65"/>
      <c r="K480" s="36"/>
      <c r="L480" s="36"/>
    </row>
    <row r="481" spans="1:12" x14ac:dyDescent="0.3">
      <c r="A481" s="65"/>
      <c r="B481" s="65"/>
      <c r="C481" s="65"/>
      <c r="D481" s="65"/>
      <c r="E481" s="66"/>
      <c r="F481" s="66"/>
      <c r="G481" s="65"/>
      <c r="H481" s="65"/>
      <c r="I481" s="65"/>
      <c r="J481" s="65"/>
      <c r="K481" s="36"/>
      <c r="L481" s="36"/>
    </row>
    <row r="482" spans="1:12" x14ac:dyDescent="0.3">
      <c r="A482" s="65"/>
      <c r="B482" s="65"/>
      <c r="C482" s="65"/>
      <c r="D482" s="65"/>
      <c r="E482" s="66"/>
      <c r="F482" s="66"/>
      <c r="G482" s="65"/>
      <c r="H482" s="65"/>
      <c r="I482" s="65"/>
      <c r="J482" s="65"/>
      <c r="K482" s="36"/>
      <c r="L482" s="36"/>
    </row>
    <row r="483" spans="1:12" x14ac:dyDescent="0.3">
      <c r="A483" s="65"/>
      <c r="B483" s="65"/>
      <c r="C483" s="65"/>
      <c r="D483" s="65"/>
      <c r="E483" s="66"/>
      <c r="F483" s="66"/>
      <c r="G483" s="65"/>
      <c r="H483" s="65"/>
      <c r="I483" s="65"/>
      <c r="J483" s="65"/>
      <c r="K483" s="36"/>
      <c r="L483" s="36"/>
    </row>
    <row r="484" spans="1:12" x14ac:dyDescent="0.3">
      <c r="A484" s="65"/>
      <c r="B484" s="65"/>
      <c r="C484" s="65"/>
      <c r="D484" s="65"/>
      <c r="E484" s="66"/>
      <c r="F484" s="66"/>
      <c r="G484" s="65"/>
      <c r="H484" s="65"/>
      <c r="I484" s="65"/>
      <c r="J484" s="65"/>
      <c r="K484" s="36"/>
      <c r="L484" s="36"/>
    </row>
    <row r="485" spans="1:12" x14ac:dyDescent="0.3">
      <c r="A485" s="65"/>
      <c r="B485" s="65"/>
      <c r="C485" s="65"/>
      <c r="D485" s="65"/>
      <c r="E485" s="66"/>
      <c r="F485" s="66"/>
      <c r="G485" s="65"/>
      <c r="H485" s="65"/>
      <c r="I485" s="65"/>
      <c r="J485" s="65"/>
      <c r="K485" s="36"/>
      <c r="L485" s="36"/>
    </row>
    <row r="486" spans="1:12" x14ac:dyDescent="0.3">
      <c r="A486" s="65"/>
      <c r="B486" s="65"/>
      <c r="C486" s="65"/>
      <c r="D486" s="65"/>
      <c r="E486" s="66"/>
      <c r="F486" s="66"/>
      <c r="G486" s="65"/>
      <c r="H486" s="65"/>
      <c r="I486" s="65"/>
      <c r="J486" s="65"/>
      <c r="K486" s="36"/>
      <c r="L486" s="36"/>
    </row>
    <row r="487" spans="1:12" x14ac:dyDescent="0.3">
      <c r="A487" s="65"/>
      <c r="B487" s="65"/>
      <c r="C487" s="65"/>
      <c r="D487" s="65"/>
      <c r="E487" s="66"/>
      <c r="F487" s="66"/>
      <c r="G487" s="65"/>
      <c r="H487" s="65"/>
      <c r="I487" s="65"/>
      <c r="J487" s="65"/>
      <c r="K487" s="36"/>
      <c r="L487" s="36"/>
    </row>
    <row r="488" spans="1:12" x14ac:dyDescent="0.3">
      <c r="A488" s="65"/>
      <c r="B488" s="65"/>
      <c r="C488" s="65"/>
      <c r="D488" s="65"/>
      <c r="E488" s="66"/>
      <c r="F488" s="66"/>
      <c r="G488" s="65"/>
      <c r="H488" s="65"/>
      <c r="I488" s="65"/>
      <c r="J488" s="65"/>
      <c r="K488" s="36"/>
      <c r="L488" s="36"/>
    </row>
    <row r="489" spans="1:12" x14ac:dyDescent="0.3">
      <c r="A489" s="65"/>
      <c r="B489" s="65"/>
      <c r="C489" s="65"/>
      <c r="D489" s="65"/>
      <c r="E489" s="66"/>
      <c r="F489" s="66"/>
      <c r="G489" s="65"/>
      <c r="H489" s="65"/>
      <c r="I489" s="65"/>
      <c r="J489" s="65"/>
      <c r="K489" s="36"/>
      <c r="L489" s="36"/>
    </row>
    <row r="490" spans="1:12" x14ac:dyDescent="0.3">
      <c r="A490" s="65"/>
      <c r="B490" s="65"/>
      <c r="C490" s="65"/>
      <c r="D490" s="65"/>
      <c r="E490" s="66"/>
      <c r="F490" s="66"/>
      <c r="G490" s="65"/>
      <c r="H490" s="65"/>
      <c r="I490" s="65"/>
      <c r="J490" s="65"/>
      <c r="K490" s="36"/>
      <c r="L490" s="36"/>
    </row>
    <row r="491" spans="1:12" x14ac:dyDescent="0.3">
      <c r="A491" s="65"/>
      <c r="B491" s="65"/>
      <c r="C491" s="65"/>
      <c r="D491" s="65"/>
      <c r="E491" s="66"/>
      <c r="F491" s="66"/>
      <c r="G491" s="65"/>
      <c r="H491" s="65"/>
      <c r="I491" s="65"/>
      <c r="J491" s="65"/>
      <c r="K491" s="36"/>
      <c r="L491" s="36"/>
    </row>
    <row r="492" spans="1:12" x14ac:dyDescent="0.3">
      <c r="A492" s="65"/>
      <c r="B492" s="65"/>
      <c r="C492" s="65"/>
      <c r="D492" s="65"/>
      <c r="E492" s="66"/>
      <c r="F492" s="66"/>
      <c r="G492" s="65"/>
      <c r="H492" s="65"/>
      <c r="I492" s="65"/>
      <c r="J492" s="65"/>
      <c r="K492" s="36"/>
      <c r="L492" s="36"/>
    </row>
    <row r="493" spans="1:12" x14ac:dyDescent="0.3">
      <c r="A493" s="65"/>
      <c r="B493" s="65"/>
      <c r="C493" s="65"/>
      <c r="D493" s="65"/>
      <c r="E493" s="66"/>
      <c r="F493" s="66"/>
      <c r="G493" s="65"/>
      <c r="H493" s="65"/>
      <c r="I493" s="65"/>
      <c r="J493" s="65"/>
      <c r="K493" s="36"/>
      <c r="L493" s="36"/>
    </row>
    <row r="494" spans="1:12" x14ac:dyDescent="0.3">
      <c r="A494" s="65"/>
      <c r="B494" s="65"/>
      <c r="C494" s="65"/>
      <c r="D494" s="65"/>
      <c r="E494" s="66"/>
      <c r="F494" s="66"/>
      <c r="G494" s="65"/>
      <c r="H494" s="65"/>
      <c r="I494" s="65"/>
      <c r="J494" s="65"/>
      <c r="K494" s="36"/>
      <c r="L494" s="36"/>
    </row>
    <row r="495" spans="1:12" x14ac:dyDescent="0.3">
      <c r="A495" s="65"/>
      <c r="B495" s="65"/>
      <c r="C495" s="65"/>
      <c r="D495" s="65"/>
      <c r="E495" s="66"/>
      <c r="F495" s="66"/>
      <c r="G495" s="65"/>
      <c r="H495" s="65"/>
      <c r="I495" s="65"/>
      <c r="J495" s="65"/>
      <c r="K495" s="36"/>
      <c r="L495" s="36"/>
    </row>
    <row r="496" spans="1:12" x14ac:dyDescent="0.3">
      <c r="A496" s="65"/>
      <c r="B496" s="65"/>
      <c r="C496" s="65"/>
      <c r="D496" s="65"/>
      <c r="E496" s="66"/>
      <c r="F496" s="66"/>
      <c r="G496" s="65"/>
      <c r="H496" s="65"/>
      <c r="I496" s="65"/>
      <c r="J496" s="65"/>
      <c r="K496" s="36"/>
      <c r="L496" s="36"/>
    </row>
    <row r="497" spans="1:12" x14ac:dyDescent="0.3">
      <c r="A497" s="65"/>
      <c r="B497" s="65"/>
      <c r="C497" s="65"/>
      <c r="D497" s="65"/>
      <c r="E497" s="66"/>
      <c r="F497" s="66"/>
      <c r="G497" s="65"/>
      <c r="H497" s="65"/>
      <c r="I497" s="65"/>
      <c r="J497" s="65"/>
      <c r="K497" s="36"/>
      <c r="L497" s="36"/>
    </row>
    <row r="498" spans="1:12" x14ac:dyDescent="0.3">
      <c r="A498" s="65"/>
      <c r="B498" s="65"/>
      <c r="C498" s="65"/>
      <c r="D498" s="65"/>
      <c r="E498" s="66"/>
      <c r="F498" s="66"/>
      <c r="G498" s="65"/>
      <c r="H498" s="65"/>
      <c r="I498" s="65"/>
      <c r="J498" s="65"/>
      <c r="K498" s="36"/>
      <c r="L498" s="36"/>
    </row>
    <row r="499" spans="1:12" x14ac:dyDescent="0.3">
      <c r="A499" s="65"/>
      <c r="B499" s="65"/>
      <c r="C499" s="65"/>
      <c r="D499" s="65"/>
      <c r="E499" s="66"/>
      <c r="F499" s="66"/>
      <c r="G499" s="65"/>
      <c r="H499" s="65"/>
      <c r="I499" s="65"/>
      <c r="J499" s="65"/>
      <c r="K499" s="36"/>
      <c r="L499" s="36"/>
    </row>
    <row r="500" spans="1:12" x14ac:dyDescent="0.3">
      <c r="A500" s="65"/>
      <c r="B500" s="65"/>
      <c r="C500" s="65"/>
      <c r="D500" s="65"/>
      <c r="E500" s="66"/>
      <c r="F500" s="66"/>
      <c r="G500" s="65"/>
      <c r="H500" s="65"/>
      <c r="I500" s="65"/>
      <c r="J500" s="65"/>
      <c r="K500" s="36"/>
      <c r="L500" s="36"/>
    </row>
  </sheetData>
  <conditionalFormatting sqref="A3:J500">
    <cfRule type="expression" dxfId="1" priority="1">
      <formula>MOD(ROW(),2)=0</formula>
    </cfRule>
  </conditionalFormatting>
  <pageMargins left="0.7" right="0.7" top="0.75" bottom="0.75" header="0.3" footer="0.3"/>
  <pageSetup scale="59"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3" id="{B06D77B1-F3C8-45FB-AB3A-08F39EF2D870}">
            <xm:f>VLOOKUP($I4,Dropdowns!$I$3:$J$7,2,FALSE)="no"</xm:f>
            <x14:dxf>
              <font>
                <color theme="6" tint="-0.24994659260841701"/>
              </font>
              <fill>
                <patternFill>
                  <bgColor theme="6"/>
                </patternFill>
              </fill>
            </x14:dxf>
          </x14:cfRule>
          <xm:sqref>J4:L500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ED9717D8-00CE-4EB6-8B21-A39375EB93FA}">
          <x14:formula1>
            <xm:f>Dropdowns!$L$3:$L$4</xm:f>
          </x14:formula1>
          <xm:sqref>H4:H500</xm:sqref>
        </x14:dataValidation>
        <x14:dataValidation type="list" allowBlank="1" showInputMessage="1" showErrorMessage="1" xr:uid="{7B07B91E-6DF3-46EF-BD95-5F13FF481197}">
          <x14:formula1>
            <xm:f>Dropdowns!$B$3:$B$16</xm:f>
          </x14:formula1>
          <xm:sqref>D3:D500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0A35C-F063-40C8-9631-A61EEDA262B3}">
  <dimension ref="A1:L45"/>
  <sheetViews>
    <sheetView workbookViewId="0">
      <selection activeCell="C1" sqref="C1"/>
    </sheetView>
  </sheetViews>
  <sheetFormatPr defaultRowHeight="14.4" x14ac:dyDescent="0.3"/>
  <cols>
    <col min="1" max="1" width="25.88671875" customWidth="1"/>
    <col min="2" max="2" width="15.109375" customWidth="1"/>
    <col min="3" max="3" width="30.44140625" bestFit="1" customWidth="1"/>
    <col min="4" max="4" width="5.5546875" customWidth="1"/>
    <col min="5" max="5" width="9.44140625" customWidth="1"/>
  </cols>
  <sheetData>
    <row r="1" spans="1:12" ht="33" customHeight="1" x14ac:dyDescent="0.3">
      <c r="A1" s="4" t="s">
        <v>211</v>
      </c>
      <c r="B1" s="4" t="s">
        <v>204</v>
      </c>
      <c r="C1" s="4"/>
      <c r="D1" s="34">
        <v>0</v>
      </c>
      <c r="E1" s="34">
        <v>0.1</v>
      </c>
      <c r="F1" s="34">
        <v>0.2</v>
      </c>
      <c r="G1" s="34">
        <v>0.4</v>
      </c>
      <c r="H1" s="34">
        <v>0.6</v>
      </c>
      <c r="I1" s="34">
        <v>0.8</v>
      </c>
      <c r="J1" s="34">
        <v>1</v>
      </c>
      <c r="K1" s="34">
        <v>1.5</v>
      </c>
      <c r="L1" s="34">
        <v>2</v>
      </c>
    </row>
    <row r="2" spans="1:12" ht="14.4" customHeight="1" x14ac:dyDescent="0.3">
      <c r="A2" s="4" t="s">
        <v>215</v>
      </c>
      <c r="B2" s="4"/>
      <c r="C2" s="4" t="str">
        <f>CONCATENATE(A2," ",B2)</f>
        <v xml:space="preserve">Extended Dry Detention Pond </v>
      </c>
      <c r="D2" s="29">
        <v>0</v>
      </c>
      <c r="E2" s="29">
        <v>0.03</v>
      </c>
      <c r="F2" s="29">
        <v>0.06</v>
      </c>
      <c r="G2" s="29">
        <v>0.08</v>
      </c>
      <c r="H2" s="29">
        <v>0.09</v>
      </c>
      <c r="I2" s="29">
        <v>0.11</v>
      </c>
      <c r="J2" s="29">
        <v>0.12</v>
      </c>
      <c r="K2" s="29">
        <v>0.13</v>
      </c>
      <c r="L2" s="29">
        <v>0.14000000000000001</v>
      </c>
    </row>
    <row r="3" spans="1:12" x14ac:dyDescent="0.3">
      <c r="A3" s="4" t="s">
        <v>161</v>
      </c>
      <c r="B3" s="4" t="s">
        <v>205</v>
      </c>
      <c r="C3" s="4" t="str">
        <f>CONCATENATE(A3," ",B3)</f>
        <v>Bioretention (infiltrating) 8.27 in/hr</v>
      </c>
      <c r="D3" s="30">
        <v>0</v>
      </c>
      <c r="E3" s="30">
        <v>0.59</v>
      </c>
      <c r="F3" s="31">
        <v>0.81</v>
      </c>
      <c r="G3" s="31">
        <v>0.96</v>
      </c>
      <c r="H3" s="31">
        <v>0.99</v>
      </c>
      <c r="I3" s="31">
        <v>1</v>
      </c>
      <c r="J3" s="31">
        <v>1</v>
      </c>
      <c r="K3" s="31">
        <v>1</v>
      </c>
      <c r="L3" s="31">
        <v>1</v>
      </c>
    </row>
    <row r="4" spans="1:12" x14ac:dyDescent="0.3">
      <c r="A4" s="4" t="s">
        <v>161</v>
      </c>
      <c r="B4" s="4" t="s">
        <v>206</v>
      </c>
      <c r="C4" s="4" t="str">
        <f t="shared" ref="C4:C45" si="0">CONCATENATE(A4," ",B4)</f>
        <v>Bioretention (infiltrating) 2.41 in/hr</v>
      </c>
      <c r="D4" s="31">
        <v>0</v>
      </c>
      <c r="E4" s="31">
        <v>0.46</v>
      </c>
      <c r="F4" s="31">
        <v>0.67</v>
      </c>
      <c r="G4" s="31">
        <v>0.87</v>
      </c>
      <c r="H4" s="31">
        <v>0.94</v>
      </c>
      <c r="I4" s="31">
        <v>0.97</v>
      </c>
      <c r="J4" s="31">
        <v>0.98</v>
      </c>
      <c r="K4" s="31">
        <v>1</v>
      </c>
      <c r="L4" s="31">
        <v>1</v>
      </c>
    </row>
    <row r="5" spans="1:12" x14ac:dyDescent="0.3">
      <c r="A5" s="4" t="s">
        <v>161</v>
      </c>
      <c r="B5" s="4" t="s">
        <v>207</v>
      </c>
      <c r="C5" s="4" t="str">
        <f t="shared" si="0"/>
        <v>Bioretention (infiltrating) 1.02 in/hr</v>
      </c>
      <c r="D5" s="31">
        <v>0</v>
      </c>
      <c r="E5" s="31">
        <v>0.41</v>
      </c>
      <c r="F5" s="31">
        <v>0.6</v>
      </c>
      <c r="G5" s="31">
        <v>0.81</v>
      </c>
      <c r="H5" s="31">
        <v>0.9</v>
      </c>
      <c r="I5" s="31">
        <v>0.94</v>
      </c>
      <c r="J5" s="31">
        <v>0.97</v>
      </c>
      <c r="K5" s="31">
        <v>0.99</v>
      </c>
      <c r="L5" s="31">
        <v>1</v>
      </c>
    </row>
    <row r="6" spans="1:12" x14ac:dyDescent="0.3">
      <c r="A6" s="4" t="s">
        <v>161</v>
      </c>
      <c r="B6" s="4" t="s">
        <v>208</v>
      </c>
      <c r="C6" s="4" t="str">
        <f t="shared" si="0"/>
        <v>Bioretention (infiltrating) 0.52 in/hr</v>
      </c>
      <c r="D6" s="31">
        <v>0</v>
      </c>
      <c r="E6" s="31">
        <v>0.38</v>
      </c>
      <c r="F6" s="31">
        <v>0.56000000000000005</v>
      </c>
      <c r="G6" s="31">
        <v>0.77</v>
      </c>
      <c r="H6" s="31">
        <v>0.87</v>
      </c>
      <c r="I6" s="31">
        <v>0.92</v>
      </c>
      <c r="J6" s="31">
        <v>0.95</v>
      </c>
      <c r="K6" s="31">
        <v>0.98</v>
      </c>
      <c r="L6" s="31">
        <v>0.99</v>
      </c>
    </row>
    <row r="7" spans="1:12" x14ac:dyDescent="0.3">
      <c r="A7" s="4" t="s">
        <v>161</v>
      </c>
      <c r="B7" s="4" t="s">
        <v>209</v>
      </c>
      <c r="C7" s="4" t="str">
        <f t="shared" si="0"/>
        <v>Bioretention (infiltrating) 0.27 in /hr</v>
      </c>
      <c r="D7" s="31">
        <v>0</v>
      </c>
      <c r="E7" s="31">
        <v>0.37</v>
      </c>
      <c r="F7" s="31">
        <v>0.54</v>
      </c>
      <c r="G7" s="31">
        <v>0.74</v>
      </c>
      <c r="H7" s="31">
        <v>0.85</v>
      </c>
      <c r="I7" s="31">
        <v>0.9</v>
      </c>
      <c r="J7" s="31">
        <v>0.93</v>
      </c>
      <c r="K7" s="31">
        <v>0.98</v>
      </c>
      <c r="L7" s="31">
        <v>0.99</v>
      </c>
    </row>
    <row r="8" spans="1:12" x14ac:dyDescent="0.3">
      <c r="A8" s="4" t="s">
        <v>161</v>
      </c>
      <c r="B8" s="4" t="s">
        <v>210</v>
      </c>
      <c r="C8" s="4" t="str">
        <f t="shared" si="0"/>
        <v>Bioretention (infiltrating) 0.17 in/hr</v>
      </c>
      <c r="D8" s="31">
        <v>0</v>
      </c>
      <c r="E8" s="31">
        <v>0.35</v>
      </c>
      <c r="F8" s="31">
        <v>0.52</v>
      </c>
      <c r="G8" s="31">
        <v>0.72</v>
      </c>
      <c r="H8" s="31">
        <v>0.82</v>
      </c>
      <c r="I8" s="31">
        <v>0.88</v>
      </c>
      <c r="J8" s="31">
        <v>0.92</v>
      </c>
      <c r="K8" s="31">
        <v>0.97</v>
      </c>
      <c r="L8" s="31">
        <v>0.99</v>
      </c>
    </row>
    <row r="9" spans="1:12" x14ac:dyDescent="0.3">
      <c r="A9" s="4" t="s">
        <v>162</v>
      </c>
      <c r="B9" s="4"/>
      <c r="C9" s="4" t="str">
        <f t="shared" si="0"/>
        <v xml:space="preserve">Bioretention (w/ underdrain) </v>
      </c>
      <c r="D9" s="32">
        <v>0</v>
      </c>
      <c r="E9" s="32">
        <v>0.14000000000000001</v>
      </c>
      <c r="F9" s="32">
        <v>0.25</v>
      </c>
      <c r="G9" s="32">
        <v>0.37</v>
      </c>
      <c r="H9" s="32">
        <v>0.44</v>
      </c>
      <c r="I9" s="32">
        <v>0.48</v>
      </c>
      <c r="J9" s="32">
        <v>0.53</v>
      </c>
      <c r="K9" s="32">
        <v>0.57999999999999996</v>
      </c>
      <c r="L9" s="32">
        <v>0.63</v>
      </c>
    </row>
    <row r="10" spans="1:12" x14ac:dyDescent="0.3">
      <c r="A10" s="4" t="s">
        <v>166</v>
      </c>
      <c r="B10" s="4" t="s">
        <v>205</v>
      </c>
      <c r="C10" s="4" t="str">
        <f t="shared" si="0"/>
        <v>Dry Swale (infiltrating) 8.27 in/hr</v>
      </c>
      <c r="D10" s="30">
        <v>0</v>
      </c>
      <c r="E10" s="30">
        <v>0.59</v>
      </c>
      <c r="F10" s="31">
        <v>0.81</v>
      </c>
      <c r="G10" s="31">
        <v>0.96</v>
      </c>
      <c r="H10" s="31">
        <v>0.99</v>
      </c>
      <c r="I10" s="31">
        <v>1</v>
      </c>
      <c r="J10" s="31">
        <v>1</v>
      </c>
      <c r="K10" s="31">
        <v>1</v>
      </c>
      <c r="L10" s="31">
        <v>1</v>
      </c>
    </row>
    <row r="11" spans="1:12" x14ac:dyDescent="0.3">
      <c r="A11" s="4" t="s">
        <v>166</v>
      </c>
      <c r="B11" s="4" t="s">
        <v>206</v>
      </c>
      <c r="C11" s="4" t="str">
        <f t="shared" si="0"/>
        <v>Dry Swale (infiltrating) 2.41 in/hr</v>
      </c>
      <c r="D11" s="31">
        <v>0</v>
      </c>
      <c r="E11" s="31">
        <v>0.46</v>
      </c>
      <c r="F11" s="31">
        <v>0.67</v>
      </c>
      <c r="G11" s="31">
        <v>0.87</v>
      </c>
      <c r="H11" s="31">
        <v>0.94</v>
      </c>
      <c r="I11" s="31">
        <v>0.97</v>
      </c>
      <c r="J11" s="31">
        <v>0.98</v>
      </c>
      <c r="K11" s="31">
        <v>1</v>
      </c>
      <c r="L11" s="31">
        <v>1</v>
      </c>
    </row>
    <row r="12" spans="1:12" x14ac:dyDescent="0.3">
      <c r="A12" s="4" t="s">
        <v>166</v>
      </c>
      <c r="B12" s="4" t="s">
        <v>207</v>
      </c>
      <c r="C12" s="4" t="str">
        <f t="shared" si="0"/>
        <v>Dry Swale (infiltrating) 1.02 in/hr</v>
      </c>
      <c r="D12" s="31">
        <v>0</v>
      </c>
      <c r="E12" s="31">
        <v>0.41</v>
      </c>
      <c r="F12" s="31">
        <v>0.6</v>
      </c>
      <c r="G12" s="31">
        <v>0.81</v>
      </c>
      <c r="H12" s="31">
        <v>0.9</v>
      </c>
      <c r="I12" s="31">
        <v>0.94</v>
      </c>
      <c r="J12" s="31">
        <v>0.97</v>
      </c>
      <c r="K12" s="31">
        <v>0.99</v>
      </c>
      <c r="L12" s="31">
        <v>1</v>
      </c>
    </row>
    <row r="13" spans="1:12" x14ac:dyDescent="0.3">
      <c r="A13" s="4" t="s">
        <v>166</v>
      </c>
      <c r="B13" s="4" t="s">
        <v>208</v>
      </c>
      <c r="C13" s="4" t="str">
        <f t="shared" si="0"/>
        <v>Dry Swale (infiltrating) 0.52 in/hr</v>
      </c>
      <c r="D13" s="31">
        <v>0</v>
      </c>
      <c r="E13" s="31">
        <v>0.38</v>
      </c>
      <c r="F13" s="31">
        <v>0.56000000000000005</v>
      </c>
      <c r="G13" s="31">
        <v>0.77</v>
      </c>
      <c r="H13" s="31">
        <v>0.87</v>
      </c>
      <c r="I13" s="31">
        <v>0.92</v>
      </c>
      <c r="J13" s="31">
        <v>0.95</v>
      </c>
      <c r="K13" s="31">
        <v>0.98</v>
      </c>
      <c r="L13" s="31">
        <v>0.99</v>
      </c>
    </row>
    <row r="14" spans="1:12" x14ac:dyDescent="0.3">
      <c r="A14" s="4" t="s">
        <v>166</v>
      </c>
      <c r="B14" s="4" t="s">
        <v>209</v>
      </c>
      <c r="C14" s="4" t="str">
        <f t="shared" si="0"/>
        <v>Dry Swale (infiltrating) 0.27 in /hr</v>
      </c>
      <c r="D14" s="31">
        <v>0</v>
      </c>
      <c r="E14" s="31">
        <v>0.37</v>
      </c>
      <c r="F14" s="31">
        <v>0.54</v>
      </c>
      <c r="G14" s="31">
        <v>0.74</v>
      </c>
      <c r="H14" s="31">
        <v>0.85</v>
      </c>
      <c r="I14" s="31">
        <v>0.9</v>
      </c>
      <c r="J14" s="31">
        <v>0.93</v>
      </c>
      <c r="K14" s="31">
        <v>0.98</v>
      </c>
      <c r="L14" s="31">
        <v>0.99</v>
      </c>
    </row>
    <row r="15" spans="1:12" x14ac:dyDescent="0.3">
      <c r="A15" s="4" t="s">
        <v>166</v>
      </c>
      <c r="B15" s="4" t="s">
        <v>210</v>
      </c>
      <c r="C15" s="4" t="str">
        <f t="shared" si="0"/>
        <v>Dry Swale (infiltrating) 0.17 in/hr</v>
      </c>
      <c r="D15" s="31">
        <v>0</v>
      </c>
      <c r="E15" s="31">
        <v>0.35</v>
      </c>
      <c r="F15" s="31">
        <v>0.52</v>
      </c>
      <c r="G15" s="31">
        <v>0.72</v>
      </c>
      <c r="H15" s="31">
        <v>0.82</v>
      </c>
      <c r="I15" s="31">
        <v>0.88</v>
      </c>
      <c r="J15" s="31">
        <v>0.92</v>
      </c>
      <c r="K15" s="31">
        <v>0.97</v>
      </c>
      <c r="L15" s="31">
        <v>0.99</v>
      </c>
    </row>
    <row r="16" spans="1:12" x14ac:dyDescent="0.3">
      <c r="A16" s="4" t="s">
        <v>165</v>
      </c>
      <c r="B16" s="4"/>
      <c r="C16" s="4" t="str">
        <f t="shared" si="0"/>
        <v xml:space="preserve">Dry Swale (w/ underdrain) </v>
      </c>
      <c r="D16" s="32">
        <v>0</v>
      </c>
      <c r="E16" s="32">
        <v>0.14000000000000001</v>
      </c>
      <c r="F16" s="32">
        <v>0.25</v>
      </c>
      <c r="G16" s="32">
        <v>0.37</v>
      </c>
      <c r="H16" s="32">
        <v>0.44</v>
      </c>
      <c r="I16" s="32">
        <v>0.48</v>
      </c>
      <c r="J16" s="32">
        <v>0.53</v>
      </c>
      <c r="K16" s="32">
        <v>0.57999999999999996</v>
      </c>
      <c r="L16" s="32">
        <v>0.63</v>
      </c>
    </row>
    <row r="17" spans="1:12" x14ac:dyDescent="0.3">
      <c r="A17" s="4" t="s">
        <v>46</v>
      </c>
      <c r="B17" s="4"/>
      <c r="C17" s="4" t="str">
        <f t="shared" si="0"/>
        <v xml:space="preserve">Gravel Wetland </v>
      </c>
      <c r="D17" s="32">
        <v>0</v>
      </c>
      <c r="E17" s="32">
        <v>0.19</v>
      </c>
      <c r="F17" s="32">
        <v>0.26</v>
      </c>
      <c r="G17" s="32">
        <v>0.41</v>
      </c>
      <c r="H17" s="32">
        <v>0.51</v>
      </c>
      <c r="I17" s="32">
        <v>0.56999999999999995</v>
      </c>
      <c r="J17" s="32">
        <v>0.61</v>
      </c>
      <c r="K17" s="32">
        <v>0.65</v>
      </c>
      <c r="L17" s="32">
        <v>0.66</v>
      </c>
    </row>
    <row r="18" spans="1:12" x14ac:dyDescent="0.3">
      <c r="A18" s="4" t="s">
        <v>164</v>
      </c>
      <c r="B18" s="4" t="s">
        <v>205</v>
      </c>
      <c r="C18" s="4" t="str">
        <f t="shared" si="0"/>
        <v>Infiltration Chambers 8.27 in/hr</v>
      </c>
      <c r="D18" s="33">
        <v>0</v>
      </c>
      <c r="E18" s="33">
        <v>0.5</v>
      </c>
      <c r="F18" s="33">
        <v>0.75</v>
      </c>
      <c r="G18" s="33">
        <v>0.94</v>
      </c>
      <c r="H18" s="33">
        <v>0.98</v>
      </c>
      <c r="I18" s="33">
        <v>0.99</v>
      </c>
      <c r="J18" s="33">
        <v>1</v>
      </c>
      <c r="K18" s="33">
        <v>1</v>
      </c>
      <c r="L18" s="33">
        <v>1</v>
      </c>
    </row>
    <row r="19" spans="1:12" x14ac:dyDescent="0.3">
      <c r="A19" s="4" t="s">
        <v>164</v>
      </c>
      <c r="B19" s="4" t="s">
        <v>206</v>
      </c>
      <c r="C19" s="4" t="str">
        <f t="shared" si="0"/>
        <v>Infiltration Chambers 2.41 in/hr</v>
      </c>
      <c r="D19" s="33">
        <v>0</v>
      </c>
      <c r="E19" s="33">
        <v>0.33</v>
      </c>
      <c r="F19" s="33">
        <v>0.55000000000000004</v>
      </c>
      <c r="G19" s="33">
        <v>0.81</v>
      </c>
      <c r="H19" s="33">
        <v>0.91</v>
      </c>
      <c r="I19" s="33">
        <v>0.96</v>
      </c>
      <c r="J19" s="33">
        <v>0.98</v>
      </c>
      <c r="K19" s="33">
        <v>1</v>
      </c>
      <c r="L19" s="33">
        <v>1</v>
      </c>
    </row>
    <row r="20" spans="1:12" x14ac:dyDescent="0.3">
      <c r="A20" s="4" t="s">
        <v>164</v>
      </c>
      <c r="B20" s="4" t="s">
        <v>207</v>
      </c>
      <c r="C20" s="4" t="str">
        <f t="shared" si="0"/>
        <v>Infiltration Chambers 1.02 in/hr</v>
      </c>
      <c r="D20" s="33">
        <v>0</v>
      </c>
      <c r="E20" s="33">
        <v>0.27</v>
      </c>
      <c r="F20" s="33">
        <v>0.47</v>
      </c>
      <c r="G20" s="33">
        <v>0.73</v>
      </c>
      <c r="H20" s="33">
        <v>0.86</v>
      </c>
      <c r="I20" s="33">
        <v>0.92</v>
      </c>
      <c r="J20" s="33">
        <v>0.96</v>
      </c>
      <c r="K20" s="33">
        <v>0.99</v>
      </c>
      <c r="L20" s="33">
        <v>1</v>
      </c>
    </row>
    <row r="21" spans="1:12" x14ac:dyDescent="0.3">
      <c r="A21" s="4" t="s">
        <v>164</v>
      </c>
      <c r="B21" s="4" t="s">
        <v>208</v>
      </c>
      <c r="C21" s="4" t="str">
        <f t="shared" si="0"/>
        <v>Infiltration Chambers 0.52 in/hr</v>
      </c>
      <c r="D21" s="33">
        <v>0</v>
      </c>
      <c r="E21" s="33">
        <v>0.23</v>
      </c>
      <c r="F21" s="33">
        <v>0.42</v>
      </c>
      <c r="G21" s="33">
        <v>0.68</v>
      </c>
      <c r="H21" s="33">
        <v>0.82</v>
      </c>
      <c r="I21" s="33">
        <v>0.89</v>
      </c>
      <c r="J21" s="33">
        <v>0.94</v>
      </c>
      <c r="K21" s="33">
        <v>0.98</v>
      </c>
      <c r="L21" s="33">
        <v>0.99</v>
      </c>
    </row>
    <row r="22" spans="1:12" x14ac:dyDescent="0.3">
      <c r="A22" s="4" t="s">
        <v>164</v>
      </c>
      <c r="B22" s="4" t="s">
        <v>209</v>
      </c>
      <c r="C22" s="4" t="str">
        <f t="shared" si="0"/>
        <v>Infiltration Chambers 0.27 in /hr</v>
      </c>
      <c r="D22" s="33">
        <v>0</v>
      </c>
      <c r="E22" s="33">
        <v>0.2</v>
      </c>
      <c r="F22" s="33">
        <v>0.37</v>
      </c>
      <c r="G22" s="33">
        <v>0.63</v>
      </c>
      <c r="H22" s="33">
        <v>0.78</v>
      </c>
      <c r="I22" s="33">
        <v>0.86</v>
      </c>
      <c r="J22" s="33">
        <v>0.92</v>
      </c>
      <c r="K22" s="33">
        <v>0.97</v>
      </c>
      <c r="L22" s="33">
        <v>0.99</v>
      </c>
    </row>
    <row r="23" spans="1:12" x14ac:dyDescent="0.3">
      <c r="A23" s="4" t="s">
        <v>164</v>
      </c>
      <c r="B23" s="4" t="s">
        <v>210</v>
      </c>
      <c r="C23" s="4" t="str">
        <f t="shared" si="0"/>
        <v>Infiltration Chambers 0.17 in/hr</v>
      </c>
      <c r="D23" s="33">
        <v>0</v>
      </c>
      <c r="E23" s="33">
        <v>0.18</v>
      </c>
      <c r="F23" s="33">
        <v>0.33</v>
      </c>
      <c r="G23" s="33">
        <v>0.56999999999999995</v>
      </c>
      <c r="H23" s="33">
        <v>0.73</v>
      </c>
      <c r="I23" s="33">
        <v>0.83</v>
      </c>
      <c r="J23" s="33">
        <v>0.9</v>
      </c>
      <c r="K23" s="33">
        <v>0.97</v>
      </c>
      <c r="L23" s="33">
        <v>0.99</v>
      </c>
    </row>
    <row r="24" spans="1:12" x14ac:dyDescent="0.3">
      <c r="A24" s="4" t="s">
        <v>47</v>
      </c>
      <c r="B24" s="4" t="s">
        <v>205</v>
      </c>
      <c r="C24" s="4" t="str">
        <f t="shared" si="0"/>
        <v>Infiltration Trench 8.27 in/hr</v>
      </c>
      <c r="D24" s="33">
        <v>0</v>
      </c>
      <c r="E24" s="33">
        <v>0.5</v>
      </c>
      <c r="F24" s="33">
        <v>0.75</v>
      </c>
      <c r="G24" s="33">
        <v>0.94</v>
      </c>
      <c r="H24" s="33">
        <v>0.98</v>
      </c>
      <c r="I24" s="33">
        <v>0.99</v>
      </c>
      <c r="J24" s="33">
        <v>1</v>
      </c>
      <c r="K24" s="33">
        <v>1</v>
      </c>
      <c r="L24" s="33">
        <v>1</v>
      </c>
    </row>
    <row r="25" spans="1:12" x14ac:dyDescent="0.3">
      <c r="A25" s="4" t="s">
        <v>47</v>
      </c>
      <c r="B25" s="4" t="s">
        <v>206</v>
      </c>
      <c r="C25" s="4" t="str">
        <f t="shared" si="0"/>
        <v>Infiltration Trench 2.41 in/hr</v>
      </c>
      <c r="D25" s="33">
        <v>0</v>
      </c>
      <c r="E25" s="33">
        <v>0.33</v>
      </c>
      <c r="F25" s="33">
        <v>0.55000000000000004</v>
      </c>
      <c r="G25" s="33">
        <v>0.81</v>
      </c>
      <c r="H25" s="33">
        <v>0.91</v>
      </c>
      <c r="I25" s="33">
        <v>0.96</v>
      </c>
      <c r="J25" s="33">
        <v>0.98</v>
      </c>
      <c r="K25" s="33">
        <v>1</v>
      </c>
      <c r="L25" s="33">
        <v>1</v>
      </c>
    </row>
    <row r="26" spans="1:12" x14ac:dyDescent="0.3">
      <c r="A26" s="4" t="s">
        <v>47</v>
      </c>
      <c r="B26" s="4" t="s">
        <v>207</v>
      </c>
      <c r="C26" s="4" t="str">
        <f t="shared" si="0"/>
        <v>Infiltration Trench 1.02 in/hr</v>
      </c>
      <c r="D26" s="33">
        <v>0</v>
      </c>
      <c r="E26" s="33">
        <v>0.27</v>
      </c>
      <c r="F26" s="33">
        <v>0.47</v>
      </c>
      <c r="G26" s="33">
        <v>0.73</v>
      </c>
      <c r="H26" s="33">
        <v>0.86</v>
      </c>
      <c r="I26" s="33">
        <v>0.92</v>
      </c>
      <c r="J26" s="33">
        <v>0.96</v>
      </c>
      <c r="K26" s="33">
        <v>0.99</v>
      </c>
      <c r="L26" s="33">
        <v>1</v>
      </c>
    </row>
    <row r="27" spans="1:12" x14ac:dyDescent="0.3">
      <c r="A27" s="4" t="s">
        <v>47</v>
      </c>
      <c r="B27" s="4" t="s">
        <v>208</v>
      </c>
      <c r="C27" s="4" t="str">
        <f t="shared" si="0"/>
        <v>Infiltration Trench 0.52 in/hr</v>
      </c>
      <c r="D27" s="33">
        <v>0</v>
      </c>
      <c r="E27" s="33">
        <v>0.23</v>
      </c>
      <c r="F27" s="33">
        <v>0.42</v>
      </c>
      <c r="G27" s="33">
        <v>0.68</v>
      </c>
      <c r="H27" s="33">
        <v>0.82</v>
      </c>
      <c r="I27" s="33">
        <v>0.89</v>
      </c>
      <c r="J27" s="33">
        <v>0.94</v>
      </c>
      <c r="K27" s="33">
        <v>0.98</v>
      </c>
      <c r="L27" s="33">
        <v>0.99</v>
      </c>
    </row>
    <row r="28" spans="1:12" x14ac:dyDescent="0.3">
      <c r="A28" s="4" t="s">
        <v>47</v>
      </c>
      <c r="B28" s="4" t="s">
        <v>209</v>
      </c>
      <c r="C28" s="4" t="str">
        <f t="shared" si="0"/>
        <v>Infiltration Trench 0.27 in /hr</v>
      </c>
      <c r="D28" s="33">
        <v>0</v>
      </c>
      <c r="E28" s="33">
        <v>0.2</v>
      </c>
      <c r="F28" s="33">
        <v>0.37</v>
      </c>
      <c r="G28" s="33">
        <v>0.63</v>
      </c>
      <c r="H28" s="33">
        <v>0.78</v>
      </c>
      <c r="I28" s="33">
        <v>0.86</v>
      </c>
      <c r="J28" s="33">
        <v>0.92</v>
      </c>
      <c r="K28" s="33">
        <v>0.97</v>
      </c>
      <c r="L28" s="33">
        <v>0.99</v>
      </c>
    </row>
    <row r="29" spans="1:12" x14ac:dyDescent="0.3">
      <c r="A29" s="4" t="s">
        <v>47</v>
      </c>
      <c r="B29" s="4" t="s">
        <v>210</v>
      </c>
      <c r="C29" s="4" t="str">
        <f t="shared" si="0"/>
        <v>Infiltration Trench 0.17 in/hr</v>
      </c>
      <c r="D29" s="33">
        <v>0</v>
      </c>
      <c r="E29" s="33">
        <v>0.18</v>
      </c>
      <c r="F29" s="33">
        <v>0.33</v>
      </c>
      <c r="G29" s="33">
        <v>0.56999999999999995</v>
      </c>
      <c r="H29" s="33">
        <v>0.73</v>
      </c>
      <c r="I29" s="33">
        <v>0.83</v>
      </c>
      <c r="J29" s="33">
        <v>0.9</v>
      </c>
      <c r="K29" s="33">
        <v>0.97</v>
      </c>
      <c r="L29" s="33">
        <v>0.99</v>
      </c>
    </row>
    <row r="30" spans="1:12" x14ac:dyDescent="0.3">
      <c r="A30" s="4" t="s">
        <v>92</v>
      </c>
      <c r="B30" s="4"/>
      <c r="C30" s="4" t="str">
        <f t="shared" si="0"/>
        <v xml:space="preserve">Porous Pavement </v>
      </c>
      <c r="D30" s="4"/>
      <c r="E30" s="4"/>
      <c r="F30" s="4"/>
      <c r="G30" s="4"/>
      <c r="H30" s="4"/>
      <c r="I30" s="4"/>
      <c r="J30" s="4"/>
      <c r="K30" s="4"/>
      <c r="L30" s="4"/>
    </row>
    <row r="31" spans="1:12" x14ac:dyDescent="0.3">
      <c r="A31" s="4" t="s">
        <v>160</v>
      </c>
      <c r="B31" s="4" t="s">
        <v>205</v>
      </c>
      <c r="C31" s="4" t="str">
        <f t="shared" si="0"/>
        <v>Sand filter (infiltrating) 8.27 in/hr</v>
      </c>
      <c r="D31" s="33">
        <v>0</v>
      </c>
      <c r="E31" s="33">
        <v>0.5</v>
      </c>
      <c r="F31" s="33">
        <v>0.75</v>
      </c>
      <c r="G31" s="33">
        <v>0.94</v>
      </c>
      <c r="H31" s="33">
        <v>0.98</v>
      </c>
      <c r="I31" s="33">
        <v>0.99</v>
      </c>
      <c r="J31" s="33">
        <v>1</v>
      </c>
      <c r="K31" s="33">
        <v>1</v>
      </c>
      <c r="L31" s="33">
        <v>1</v>
      </c>
    </row>
    <row r="32" spans="1:12" x14ac:dyDescent="0.3">
      <c r="A32" s="4" t="s">
        <v>160</v>
      </c>
      <c r="B32" s="4" t="s">
        <v>206</v>
      </c>
      <c r="C32" s="4" t="str">
        <f t="shared" si="0"/>
        <v>Sand filter (infiltrating) 2.41 in/hr</v>
      </c>
      <c r="D32" s="33">
        <v>0</v>
      </c>
      <c r="E32" s="33">
        <v>0.33</v>
      </c>
      <c r="F32" s="33">
        <v>0.55000000000000004</v>
      </c>
      <c r="G32" s="33">
        <v>0.81</v>
      </c>
      <c r="H32" s="33">
        <v>0.91</v>
      </c>
      <c r="I32" s="33">
        <v>0.96</v>
      </c>
      <c r="J32" s="33">
        <v>0.98</v>
      </c>
      <c r="K32" s="33">
        <v>1</v>
      </c>
      <c r="L32" s="33">
        <v>1</v>
      </c>
    </row>
    <row r="33" spans="1:12" x14ac:dyDescent="0.3">
      <c r="A33" s="4" t="s">
        <v>160</v>
      </c>
      <c r="B33" s="4" t="s">
        <v>207</v>
      </c>
      <c r="C33" s="4" t="str">
        <f t="shared" si="0"/>
        <v>Sand filter (infiltrating) 1.02 in/hr</v>
      </c>
      <c r="D33" s="33">
        <v>0</v>
      </c>
      <c r="E33" s="33">
        <v>0.27</v>
      </c>
      <c r="F33" s="33">
        <v>0.47</v>
      </c>
      <c r="G33" s="33">
        <v>0.73</v>
      </c>
      <c r="H33" s="33">
        <v>0.86</v>
      </c>
      <c r="I33" s="33">
        <v>0.92</v>
      </c>
      <c r="J33" s="33">
        <v>0.96</v>
      </c>
      <c r="K33" s="33">
        <v>0.99</v>
      </c>
      <c r="L33" s="33">
        <v>1</v>
      </c>
    </row>
    <row r="34" spans="1:12" x14ac:dyDescent="0.3">
      <c r="A34" s="4" t="s">
        <v>160</v>
      </c>
      <c r="B34" s="4" t="s">
        <v>208</v>
      </c>
      <c r="C34" s="4" t="str">
        <f t="shared" si="0"/>
        <v>Sand filter (infiltrating) 0.52 in/hr</v>
      </c>
      <c r="D34" s="33">
        <v>0</v>
      </c>
      <c r="E34" s="33">
        <v>0.23</v>
      </c>
      <c r="F34" s="33">
        <v>0.42</v>
      </c>
      <c r="G34" s="33">
        <v>0.68</v>
      </c>
      <c r="H34" s="33">
        <v>0.82</v>
      </c>
      <c r="I34" s="33">
        <v>0.89</v>
      </c>
      <c r="J34" s="33">
        <v>0.94</v>
      </c>
      <c r="K34" s="33">
        <v>0.98</v>
      </c>
      <c r="L34" s="33">
        <v>0.99</v>
      </c>
    </row>
    <row r="35" spans="1:12" x14ac:dyDescent="0.3">
      <c r="A35" s="4" t="s">
        <v>160</v>
      </c>
      <c r="B35" s="4" t="s">
        <v>209</v>
      </c>
      <c r="C35" s="4" t="str">
        <f t="shared" si="0"/>
        <v>Sand filter (infiltrating) 0.27 in /hr</v>
      </c>
      <c r="D35" s="33">
        <v>0</v>
      </c>
      <c r="E35" s="33">
        <v>0.2</v>
      </c>
      <c r="F35" s="33">
        <v>0.37</v>
      </c>
      <c r="G35" s="33">
        <v>0.63</v>
      </c>
      <c r="H35" s="33">
        <v>0.78</v>
      </c>
      <c r="I35" s="33">
        <v>0.86</v>
      </c>
      <c r="J35" s="33">
        <v>0.92</v>
      </c>
      <c r="K35" s="33">
        <v>0.97</v>
      </c>
      <c r="L35" s="33">
        <v>0.99</v>
      </c>
    </row>
    <row r="36" spans="1:12" x14ac:dyDescent="0.3">
      <c r="A36" s="4" t="s">
        <v>160</v>
      </c>
      <c r="B36" s="4" t="s">
        <v>210</v>
      </c>
      <c r="C36" s="4" t="str">
        <f t="shared" si="0"/>
        <v>Sand filter (infiltrating) 0.17 in/hr</v>
      </c>
      <c r="D36" s="33">
        <v>0</v>
      </c>
      <c r="E36" s="33">
        <v>0.18</v>
      </c>
      <c r="F36" s="33">
        <v>0.33</v>
      </c>
      <c r="G36" s="33">
        <v>0.56999999999999995</v>
      </c>
      <c r="H36" s="33">
        <v>0.73</v>
      </c>
      <c r="I36" s="33">
        <v>0.83</v>
      </c>
      <c r="J36" s="33">
        <v>0.9</v>
      </c>
      <c r="K36" s="33">
        <v>0.97</v>
      </c>
      <c r="L36" s="33">
        <v>0.99</v>
      </c>
    </row>
    <row r="37" spans="1:12" x14ac:dyDescent="0.3">
      <c r="A37" s="4" t="s">
        <v>163</v>
      </c>
      <c r="B37" s="4"/>
      <c r="C37" s="4" t="str">
        <f t="shared" si="0"/>
        <v xml:space="preserve">Sand filter (w/ underdrain) </v>
      </c>
      <c r="D37" s="32">
        <v>0</v>
      </c>
      <c r="E37" s="32">
        <v>0.14000000000000001</v>
      </c>
      <c r="F37" s="32">
        <v>0.25</v>
      </c>
      <c r="G37" s="32">
        <v>0.37</v>
      </c>
      <c r="H37" s="32">
        <v>0.44</v>
      </c>
      <c r="I37" s="32">
        <v>0.48</v>
      </c>
      <c r="J37" s="32">
        <v>0.53</v>
      </c>
      <c r="K37" s="32">
        <v>0.57999999999999996</v>
      </c>
      <c r="L37" s="32">
        <v>0.63</v>
      </c>
    </row>
    <row r="38" spans="1:12" x14ac:dyDescent="0.3">
      <c r="A38" s="4" t="s">
        <v>212</v>
      </c>
      <c r="B38" s="4" t="s">
        <v>205</v>
      </c>
      <c r="C38" s="4" t="str">
        <f t="shared" si="0"/>
        <v>Infiltration Basin 8.27 in/hr</v>
      </c>
      <c r="D38" s="30">
        <v>0</v>
      </c>
      <c r="E38" s="30">
        <v>0.59</v>
      </c>
      <c r="F38" s="31">
        <v>0.81</v>
      </c>
      <c r="G38" s="31">
        <v>0.96</v>
      </c>
      <c r="H38" s="31">
        <v>0.99</v>
      </c>
      <c r="I38" s="31">
        <v>1</v>
      </c>
      <c r="J38" s="31">
        <v>1</v>
      </c>
      <c r="K38" s="31">
        <v>1</v>
      </c>
      <c r="L38" s="31">
        <v>1</v>
      </c>
    </row>
    <row r="39" spans="1:12" x14ac:dyDescent="0.3">
      <c r="A39" s="4" t="s">
        <v>212</v>
      </c>
      <c r="B39" s="4" t="s">
        <v>206</v>
      </c>
      <c r="C39" s="4" t="str">
        <f t="shared" si="0"/>
        <v>Infiltration Basin 2.41 in/hr</v>
      </c>
      <c r="D39" s="31">
        <v>0</v>
      </c>
      <c r="E39" s="31">
        <v>0.46</v>
      </c>
      <c r="F39" s="31">
        <v>0.67</v>
      </c>
      <c r="G39" s="31">
        <v>0.87</v>
      </c>
      <c r="H39" s="31">
        <v>0.94</v>
      </c>
      <c r="I39" s="31">
        <v>0.97</v>
      </c>
      <c r="J39" s="31">
        <v>0.98</v>
      </c>
      <c r="K39" s="31">
        <v>1</v>
      </c>
      <c r="L39" s="31">
        <v>1</v>
      </c>
    </row>
    <row r="40" spans="1:12" x14ac:dyDescent="0.3">
      <c r="A40" s="4" t="s">
        <v>212</v>
      </c>
      <c r="B40" s="4" t="s">
        <v>207</v>
      </c>
      <c r="C40" s="4" t="str">
        <f t="shared" si="0"/>
        <v>Infiltration Basin 1.02 in/hr</v>
      </c>
      <c r="D40" s="31">
        <v>0</v>
      </c>
      <c r="E40" s="31">
        <v>0.41</v>
      </c>
      <c r="F40" s="31">
        <v>0.6</v>
      </c>
      <c r="G40" s="31">
        <v>0.81</v>
      </c>
      <c r="H40" s="31">
        <v>0.9</v>
      </c>
      <c r="I40" s="31">
        <v>0.94</v>
      </c>
      <c r="J40" s="31">
        <v>0.97</v>
      </c>
      <c r="K40" s="31">
        <v>0.99</v>
      </c>
      <c r="L40" s="31">
        <v>1</v>
      </c>
    </row>
    <row r="41" spans="1:12" x14ac:dyDescent="0.3">
      <c r="A41" s="4" t="s">
        <v>212</v>
      </c>
      <c r="B41" s="4" t="s">
        <v>208</v>
      </c>
      <c r="C41" s="4" t="str">
        <f t="shared" si="0"/>
        <v>Infiltration Basin 0.52 in/hr</v>
      </c>
      <c r="D41" s="31">
        <v>0</v>
      </c>
      <c r="E41" s="31">
        <v>0.38</v>
      </c>
      <c r="F41" s="31">
        <v>0.56000000000000005</v>
      </c>
      <c r="G41" s="31">
        <v>0.77</v>
      </c>
      <c r="H41" s="31">
        <v>0.87</v>
      </c>
      <c r="I41" s="31">
        <v>0.92</v>
      </c>
      <c r="J41" s="31">
        <v>0.95</v>
      </c>
      <c r="K41" s="31">
        <v>0.98</v>
      </c>
      <c r="L41" s="31">
        <v>0.99</v>
      </c>
    </row>
    <row r="42" spans="1:12" x14ac:dyDescent="0.3">
      <c r="A42" s="4" t="s">
        <v>212</v>
      </c>
      <c r="B42" s="4" t="s">
        <v>209</v>
      </c>
      <c r="C42" s="4" t="str">
        <f t="shared" si="0"/>
        <v>Infiltration Basin 0.27 in /hr</v>
      </c>
      <c r="D42" s="31">
        <v>0</v>
      </c>
      <c r="E42" s="31">
        <v>0.37</v>
      </c>
      <c r="F42" s="31">
        <v>0.54</v>
      </c>
      <c r="G42" s="31">
        <v>0.74</v>
      </c>
      <c r="H42" s="31">
        <v>0.85</v>
      </c>
      <c r="I42" s="31">
        <v>0.9</v>
      </c>
      <c r="J42" s="31">
        <v>0.93</v>
      </c>
      <c r="K42" s="31">
        <v>0.98</v>
      </c>
      <c r="L42" s="31">
        <v>0.99</v>
      </c>
    </row>
    <row r="43" spans="1:12" x14ac:dyDescent="0.3">
      <c r="A43" s="4" t="s">
        <v>212</v>
      </c>
      <c r="B43" s="4" t="s">
        <v>210</v>
      </c>
      <c r="C43" s="4" t="str">
        <f t="shared" si="0"/>
        <v>Infiltration Basin 0.17 in/hr</v>
      </c>
      <c r="D43" s="31">
        <v>0</v>
      </c>
      <c r="E43" s="31">
        <v>0.35</v>
      </c>
      <c r="F43" s="31">
        <v>0.52</v>
      </c>
      <c r="G43" s="31">
        <v>0.72</v>
      </c>
      <c r="H43" s="31">
        <v>0.82</v>
      </c>
      <c r="I43" s="31">
        <v>0.88</v>
      </c>
      <c r="J43" s="31">
        <v>0.92</v>
      </c>
      <c r="K43" s="31">
        <v>0.97</v>
      </c>
      <c r="L43" s="31">
        <v>0.99</v>
      </c>
    </row>
    <row r="44" spans="1:12" x14ac:dyDescent="0.3">
      <c r="A44" s="4" t="s">
        <v>48</v>
      </c>
      <c r="B44" s="4"/>
      <c r="C44" s="4" t="str">
        <f t="shared" si="0"/>
        <v xml:space="preserve">Wet pond/ Created Wetland </v>
      </c>
      <c r="D44" s="32">
        <v>0</v>
      </c>
      <c r="E44" s="32">
        <v>0.14000000000000001</v>
      </c>
      <c r="F44" s="32">
        <v>0.25</v>
      </c>
      <c r="G44" s="32">
        <v>0.37</v>
      </c>
      <c r="H44" s="32">
        <v>0.44</v>
      </c>
      <c r="I44" s="32">
        <v>0.48</v>
      </c>
      <c r="J44" s="32">
        <v>0.53</v>
      </c>
      <c r="K44" s="32">
        <v>0.57999999999999996</v>
      </c>
      <c r="L44" s="32">
        <v>0.63</v>
      </c>
    </row>
    <row r="45" spans="1:12" x14ac:dyDescent="0.3">
      <c r="A45" s="4" t="s">
        <v>232</v>
      </c>
      <c r="B45" s="4"/>
      <c r="C45" s="4" t="str">
        <f t="shared" si="0"/>
        <v xml:space="preserve">Grass Channel </v>
      </c>
      <c r="D45" s="32">
        <v>0</v>
      </c>
      <c r="E45" s="32">
        <v>0.02</v>
      </c>
      <c r="F45" s="32">
        <v>0.05</v>
      </c>
      <c r="G45" s="32">
        <v>0.09</v>
      </c>
      <c r="H45" s="32">
        <v>0.13</v>
      </c>
      <c r="I45" s="32">
        <v>0.17</v>
      </c>
      <c r="J45" s="32">
        <v>0.21</v>
      </c>
      <c r="K45" s="32">
        <v>0.28999999999999998</v>
      </c>
      <c r="L45" s="32">
        <v>0.36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BA900-586B-416C-AFD9-B60F886C5DE5}">
  <dimension ref="A1:L27"/>
  <sheetViews>
    <sheetView workbookViewId="0">
      <selection activeCell="C56" sqref="C56"/>
    </sheetView>
  </sheetViews>
  <sheetFormatPr defaultRowHeight="14.4" x14ac:dyDescent="0.3"/>
  <cols>
    <col min="1" max="1" width="12.33203125" customWidth="1"/>
    <col min="2" max="2" width="19.6640625" customWidth="1"/>
    <col min="5" max="5" width="10.5546875" customWidth="1"/>
    <col min="6" max="6" width="10.33203125" customWidth="1"/>
  </cols>
  <sheetData>
    <row r="1" spans="1:12" ht="42.6" customHeight="1" thickBot="1" x14ac:dyDescent="0.35">
      <c r="A1" s="225" t="s">
        <v>123</v>
      </c>
      <c r="B1" s="227" t="s">
        <v>124</v>
      </c>
      <c r="C1" s="229" t="s">
        <v>187</v>
      </c>
      <c r="D1" s="229" t="s">
        <v>188</v>
      </c>
      <c r="E1" s="229" t="s">
        <v>189</v>
      </c>
      <c r="F1" s="229" t="s">
        <v>190</v>
      </c>
      <c r="G1" s="217" t="s">
        <v>191</v>
      </c>
      <c r="H1" s="217"/>
      <c r="I1" s="217"/>
      <c r="J1" s="217"/>
      <c r="K1" s="217"/>
      <c r="L1" s="218" t="s">
        <v>192</v>
      </c>
    </row>
    <row r="2" spans="1:12" ht="29.4" thickBot="1" x14ac:dyDescent="0.35">
      <c r="A2" s="226"/>
      <c r="B2" s="228"/>
      <c r="C2" s="230"/>
      <c r="D2" s="230"/>
      <c r="E2" s="230"/>
      <c r="F2" s="230"/>
      <c r="G2" s="18" t="s">
        <v>193</v>
      </c>
      <c r="H2" s="19" t="s">
        <v>194</v>
      </c>
      <c r="I2" s="19" t="s">
        <v>195</v>
      </c>
      <c r="J2" s="19" t="s">
        <v>196</v>
      </c>
      <c r="K2" s="35" t="s">
        <v>197</v>
      </c>
      <c r="L2" s="219"/>
    </row>
    <row r="3" spans="1:12" ht="15" thickBot="1" x14ac:dyDescent="0.35">
      <c r="A3" s="20" t="s">
        <v>125</v>
      </c>
      <c r="B3" s="21" t="s">
        <v>137</v>
      </c>
      <c r="C3" s="22">
        <v>2.2989999999999999</v>
      </c>
      <c r="D3" s="22">
        <v>0.82299999999999995</v>
      </c>
      <c r="E3" s="22">
        <v>1.1970000000000001</v>
      </c>
      <c r="F3" s="22">
        <v>1.04</v>
      </c>
      <c r="G3" s="22">
        <v>6.2E-2</v>
      </c>
      <c r="H3" s="22">
        <v>0.27300000000000002</v>
      </c>
      <c r="I3" s="22">
        <v>0.42</v>
      </c>
      <c r="J3" s="22">
        <v>0.78700000000000003</v>
      </c>
      <c r="K3" s="22">
        <v>0.28899999999999998</v>
      </c>
      <c r="L3" s="22">
        <v>0.25900000000000001</v>
      </c>
    </row>
    <row r="4" spans="1:12" ht="15" thickBot="1" x14ac:dyDescent="0.35">
      <c r="A4" s="23" t="s">
        <v>125</v>
      </c>
      <c r="B4" s="24" t="s">
        <v>138</v>
      </c>
      <c r="C4" s="25">
        <v>2.2589999999999999</v>
      </c>
      <c r="D4" s="25">
        <v>0.83899999999999997</v>
      </c>
      <c r="E4" s="25">
        <v>1.169</v>
      </c>
      <c r="F4" s="25">
        <v>1.012</v>
      </c>
      <c r="G4" s="25">
        <v>0.14199999999999999</v>
      </c>
      <c r="H4" s="25">
        <v>0.13700000000000001</v>
      </c>
      <c r="I4" s="25">
        <v>0.16400000000000001</v>
      </c>
      <c r="J4" s="25">
        <v>0.64300000000000002</v>
      </c>
      <c r="K4" s="25">
        <v>0.28899999999999998</v>
      </c>
      <c r="L4" s="25">
        <v>0.26100000000000001</v>
      </c>
    </row>
    <row r="5" spans="1:12" ht="15" thickBot="1" x14ac:dyDescent="0.35">
      <c r="A5" s="20" t="s">
        <v>125</v>
      </c>
      <c r="B5" s="21" t="s">
        <v>139</v>
      </c>
      <c r="C5" s="22">
        <v>2.3809999999999998</v>
      </c>
      <c r="D5" s="22">
        <v>1.097</v>
      </c>
      <c r="E5" s="22">
        <v>1.464</v>
      </c>
      <c r="F5" s="22">
        <v>1.298</v>
      </c>
      <c r="G5" s="27">
        <v>3.5999999999999997E-2</v>
      </c>
      <c r="H5" s="27">
        <v>0.23799999999999999</v>
      </c>
      <c r="I5" s="22">
        <v>0.94699999999999995</v>
      </c>
      <c r="J5" s="27" t="s">
        <v>203</v>
      </c>
      <c r="K5" s="22">
        <v>0.94699999999999995</v>
      </c>
      <c r="L5" s="22">
        <v>0.13100000000000001</v>
      </c>
    </row>
    <row r="6" spans="1:12" ht="15" thickBot="1" x14ac:dyDescent="0.35">
      <c r="A6" s="23" t="s">
        <v>126</v>
      </c>
      <c r="B6" s="24" t="s">
        <v>140</v>
      </c>
      <c r="C6" s="25">
        <v>2.3210000000000002</v>
      </c>
      <c r="D6" s="25">
        <v>0.92700000000000005</v>
      </c>
      <c r="E6" s="25">
        <v>1.3089999999999999</v>
      </c>
      <c r="F6" s="25">
        <v>1.127</v>
      </c>
      <c r="G6" s="28">
        <v>3.5999999999999997E-2</v>
      </c>
      <c r="H6" s="28">
        <v>0.23799999999999999</v>
      </c>
      <c r="I6" s="25">
        <v>0.25</v>
      </c>
      <c r="J6" s="25">
        <v>0.374</v>
      </c>
      <c r="K6" s="25">
        <v>0.373</v>
      </c>
      <c r="L6" s="25">
        <v>0.13200000000000001</v>
      </c>
    </row>
    <row r="7" spans="1:12" ht="15" thickBot="1" x14ac:dyDescent="0.35">
      <c r="A7" s="20" t="s">
        <v>127</v>
      </c>
      <c r="B7" s="21" t="s">
        <v>141</v>
      </c>
      <c r="C7" s="22">
        <v>2.2240000000000002</v>
      </c>
      <c r="D7" s="22">
        <v>0.89400000000000002</v>
      </c>
      <c r="E7" s="22">
        <v>1.2410000000000001</v>
      </c>
      <c r="F7" s="22">
        <v>1.081</v>
      </c>
      <c r="G7" s="22">
        <v>1E-3</v>
      </c>
      <c r="H7" s="22">
        <v>0.55600000000000005</v>
      </c>
      <c r="I7" s="27">
        <v>0.28799999999999998</v>
      </c>
      <c r="J7" s="22">
        <v>0.50600000000000001</v>
      </c>
      <c r="K7" s="22">
        <v>0.503</v>
      </c>
      <c r="L7" s="22">
        <v>7.2999999999999995E-2</v>
      </c>
    </row>
    <row r="8" spans="1:12" ht="15" thickBot="1" x14ac:dyDescent="0.35">
      <c r="A8" s="23" t="s">
        <v>128</v>
      </c>
      <c r="B8" s="24" t="s">
        <v>142</v>
      </c>
      <c r="C8" s="25">
        <v>2.2080000000000002</v>
      </c>
      <c r="D8" s="25">
        <v>0.85399999999999998</v>
      </c>
      <c r="E8" s="25">
        <v>0.98899999999999999</v>
      </c>
      <c r="F8" s="25">
        <v>0.92800000000000005</v>
      </c>
      <c r="G8" s="25">
        <v>0.01</v>
      </c>
      <c r="H8" s="25">
        <v>0.34200000000000003</v>
      </c>
      <c r="I8" s="25">
        <v>0.28299999999999997</v>
      </c>
      <c r="J8" s="25">
        <v>0.33200000000000002</v>
      </c>
      <c r="K8" s="25">
        <v>0.28999999999999998</v>
      </c>
      <c r="L8" s="25">
        <v>7.0999999999999994E-2</v>
      </c>
    </row>
    <row r="9" spans="1:12" ht="15" thickBot="1" x14ac:dyDescent="0.35">
      <c r="A9" s="20" t="s">
        <v>128</v>
      </c>
      <c r="B9" s="21" t="s">
        <v>143</v>
      </c>
      <c r="C9" s="22">
        <v>2.36</v>
      </c>
      <c r="D9" s="22">
        <v>0.95699999999999996</v>
      </c>
      <c r="E9" s="22">
        <v>1.2330000000000001</v>
      </c>
      <c r="F9" s="22">
        <v>1.097</v>
      </c>
      <c r="G9" s="22">
        <v>2.4E-2</v>
      </c>
      <c r="H9" s="22" t="s">
        <v>119</v>
      </c>
      <c r="I9" s="22">
        <v>0.14399999999999999</v>
      </c>
      <c r="J9" s="22">
        <v>0.4</v>
      </c>
      <c r="K9" s="22">
        <v>0.36599999999999999</v>
      </c>
      <c r="L9" s="22">
        <v>3.6999999999999998E-2</v>
      </c>
    </row>
    <row r="10" spans="1:12" ht="15" thickBot="1" x14ac:dyDescent="0.35">
      <c r="A10" s="23" t="s">
        <v>128</v>
      </c>
      <c r="B10" s="24" t="s">
        <v>128</v>
      </c>
      <c r="C10" s="25">
        <v>2.1150000000000002</v>
      </c>
      <c r="D10" s="25">
        <v>0.81799999999999995</v>
      </c>
      <c r="E10" s="25">
        <v>1.1499999999999999</v>
      </c>
      <c r="F10" s="25">
        <v>0.998</v>
      </c>
      <c r="G10" s="25">
        <v>0.1</v>
      </c>
      <c r="H10" s="25">
        <v>0.27600000000000002</v>
      </c>
      <c r="I10" s="25">
        <v>0.27100000000000002</v>
      </c>
      <c r="J10" s="25">
        <v>0.39800000000000002</v>
      </c>
      <c r="K10" s="25">
        <v>0.29199999999999998</v>
      </c>
      <c r="L10" s="25">
        <v>0.248</v>
      </c>
    </row>
    <row r="11" spans="1:12" ht="15" thickBot="1" x14ac:dyDescent="0.35">
      <c r="A11" s="20" t="s">
        <v>128</v>
      </c>
      <c r="B11" s="21" t="s">
        <v>144</v>
      </c>
      <c r="C11" s="22">
        <v>2.2719999999999998</v>
      </c>
      <c r="D11" s="22">
        <v>0.88100000000000001</v>
      </c>
      <c r="E11" s="22">
        <v>1.095</v>
      </c>
      <c r="F11" s="22">
        <v>1.0049999999999999</v>
      </c>
      <c r="G11" s="27">
        <v>3.5999999999999997E-2</v>
      </c>
      <c r="H11" s="27">
        <v>0.23799999999999999</v>
      </c>
      <c r="I11" s="22">
        <v>0.27300000000000002</v>
      </c>
      <c r="J11" s="22">
        <v>0.35099999999999998</v>
      </c>
      <c r="K11" s="22">
        <v>0.34799999999999998</v>
      </c>
      <c r="L11" s="22">
        <v>0.39900000000000002</v>
      </c>
    </row>
    <row r="12" spans="1:12" ht="15" thickBot="1" x14ac:dyDescent="0.35">
      <c r="A12" s="23" t="s">
        <v>129</v>
      </c>
      <c r="B12" s="24" t="s">
        <v>145</v>
      </c>
      <c r="C12" s="25">
        <v>2.081</v>
      </c>
      <c r="D12" s="25">
        <v>0.877</v>
      </c>
      <c r="E12" s="25">
        <v>0.93300000000000005</v>
      </c>
      <c r="F12" s="25">
        <v>0.91400000000000003</v>
      </c>
      <c r="G12" s="25">
        <v>1E-3</v>
      </c>
      <c r="H12" s="25">
        <v>4.2999999999999997E-2</v>
      </c>
      <c r="I12" s="28">
        <v>0.28799999999999998</v>
      </c>
      <c r="J12" s="25">
        <v>0.30099999999999999</v>
      </c>
      <c r="K12" s="25">
        <v>9.5000000000000001E-2</v>
      </c>
      <c r="L12" s="25">
        <v>0.26800000000000002</v>
      </c>
    </row>
    <row r="13" spans="1:12" ht="15" thickBot="1" x14ac:dyDescent="0.35">
      <c r="A13" s="20" t="s">
        <v>129</v>
      </c>
      <c r="B13" s="21" t="s">
        <v>146</v>
      </c>
      <c r="C13" s="22">
        <v>2.2069999999999999</v>
      </c>
      <c r="D13" s="22">
        <v>0.80200000000000005</v>
      </c>
      <c r="E13" s="22">
        <v>1.117</v>
      </c>
      <c r="F13" s="22">
        <v>0.98</v>
      </c>
      <c r="G13" s="22">
        <v>0.02</v>
      </c>
      <c r="H13" s="22">
        <v>0.254</v>
      </c>
      <c r="I13" s="22">
        <v>0.28399999999999997</v>
      </c>
      <c r="J13" s="22">
        <v>0.46700000000000003</v>
      </c>
      <c r="K13" s="22">
        <v>0.23100000000000001</v>
      </c>
      <c r="L13" s="22">
        <v>0.18099999999999999</v>
      </c>
    </row>
    <row r="14" spans="1:12" ht="15" thickBot="1" x14ac:dyDescent="0.35">
      <c r="A14" s="23" t="s">
        <v>130</v>
      </c>
      <c r="B14" s="24" t="s">
        <v>147</v>
      </c>
      <c r="C14" s="25">
        <v>2.0750000000000002</v>
      </c>
      <c r="D14" s="25">
        <v>0.73499999999999999</v>
      </c>
      <c r="E14" s="25">
        <v>0.95199999999999996</v>
      </c>
      <c r="F14" s="25">
        <v>0.878</v>
      </c>
      <c r="G14" s="25">
        <v>0.01</v>
      </c>
      <c r="H14" s="25">
        <v>5.8999999999999997E-2</v>
      </c>
      <c r="I14" s="25">
        <v>0.123</v>
      </c>
      <c r="J14" s="25">
        <v>0.24299999999999999</v>
      </c>
      <c r="K14" s="25">
        <v>0.17199999999999999</v>
      </c>
      <c r="L14" s="25">
        <v>6.0999999999999999E-2</v>
      </c>
    </row>
    <row r="15" spans="1:12" ht="15" thickBot="1" x14ac:dyDescent="0.35">
      <c r="A15" s="20" t="s">
        <v>131</v>
      </c>
      <c r="B15" s="21" t="s">
        <v>156</v>
      </c>
      <c r="C15" s="22" t="s">
        <v>119</v>
      </c>
      <c r="D15" s="22">
        <v>0.92100000000000004</v>
      </c>
      <c r="E15" s="22">
        <v>1.651</v>
      </c>
      <c r="F15" s="22">
        <v>1.4490000000000001</v>
      </c>
      <c r="G15" s="22">
        <v>1.4999999999999999E-2</v>
      </c>
      <c r="H15" s="22">
        <v>0.158</v>
      </c>
      <c r="I15" s="27">
        <v>0.28799999999999998</v>
      </c>
      <c r="J15" s="22">
        <v>0.35399999999999998</v>
      </c>
      <c r="K15" s="22">
        <v>8.2000000000000003E-2</v>
      </c>
      <c r="L15" s="22">
        <v>9.6000000000000002E-2</v>
      </c>
    </row>
    <row r="16" spans="1:12" ht="15" thickBot="1" x14ac:dyDescent="0.35">
      <c r="A16" s="23" t="s">
        <v>131</v>
      </c>
      <c r="B16" s="24" t="s">
        <v>148</v>
      </c>
      <c r="C16" s="25">
        <v>1.9390000000000001</v>
      </c>
      <c r="D16" s="25">
        <v>0.75</v>
      </c>
      <c r="E16" s="25">
        <v>1.369</v>
      </c>
      <c r="F16" s="25">
        <v>1.2150000000000001</v>
      </c>
      <c r="G16" s="25">
        <v>1E-3</v>
      </c>
      <c r="H16" s="25">
        <v>5.8000000000000003E-2</v>
      </c>
      <c r="I16" s="28">
        <v>0.28799999999999998</v>
      </c>
      <c r="J16" s="25">
        <v>0.34</v>
      </c>
      <c r="K16" s="25">
        <v>6.4000000000000001E-2</v>
      </c>
      <c r="L16" s="25">
        <v>0.17</v>
      </c>
    </row>
    <row r="17" spans="1:12" ht="15" thickBot="1" x14ac:dyDescent="0.35">
      <c r="A17" s="20" t="s">
        <v>132</v>
      </c>
      <c r="B17" s="21" t="s">
        <v>149</v>
      </c>
      <c r="C17" s="22">
        <v>2.0339999999999998</v>
      </c>
      <c r="D17" s="22">
        <v>0.81</v>
      </c>
      <c r="E17" s="22">
        <v>1.1379999999999999</v>
      </c>
      <c r="F17" s="22">
        <v>0.98599999999999999</v>
      </c>
      <c r="G17" s="22">
        <v>3.6999999999999998E-2</v>
      </c>
      <c r="H17" s="22">
        <v>0.21299999999999999</v>
      </c>
      <c r="I17" s="22">
        <v>0.438</v>
      </c>
      <c r="J17" s="22">
        <v>0.54700000000000004</v>
      </c>
      <c r="K17" s="22">
        <v>0.22800000000000001</v>
      </c>
      <c r="L17" s="22">
        <v>6.9000000000000006E-2</v>
      </c>
    </row>
    <row r="18" spans="1:12" ht="15" thickBot="1" x14ac:dyDescent="0.35">
      <c r="A18" s="23" t="s">
        <v>132</v>
      </c>
      <c r="B18" s="24" t="s">
        <v>150</v>
      </c>
      <c r="C18" s="25">
        <v>2.0099999999999998</v>
      </c>
      <c r="D18" s="25">
        <v>0.67700000000000005</v>
      </c>
      <c r="E18" s="25">
        <v>0.82499999999999996</v>
      </c>
      <c r="F18" s="25">
        <v>0.75800000000000001</v>
      </c>
      <c r="G18" s="25">
        <v>1.0999999999999999E-2</v>
      </c>
      <c r="H18" s="25">
        <v>9.9000000000000005E-2</v>
      </c>
      <c r="I18" s="28">
        <v>0.28799999999999998</v>
      </c>
      <c r="J18" s="25">
        <v>0.39200000000000002</v>
      </c>
      <c r="K18" s="25">
        <v>1.2E-2</v>
      </c>
      <c r="L18" s="25">
        <v>2.8000000000000001E-2</v>
      </c>
    </row>
    <row r="19" spans="1:12" ht="15" thickBot="1" x14ac:dyDescent="0.35">
      <c r="A19" s="20" t="s">
        <v>133</v>
      </c>
      <c r="B19" s="21" t="s">
        <v>151</v>
      </c>
      <c r="C19" s="22">
        <v>2.0670000000000002</v>
      </c>
      <c r="D19" s="22">
        <v>0.81899999999999995</v>
      </c>
      <c r="E19" s="22">
        <v>1.1439999999999999</v>
      </c>
      <c r="F19" s="22">
        <v>1.002</v>
      </c>
      <c r="G19" s="27">
        <v>3.5999999999999997E-2</v>
      </c>
      <c r="H19" s="27">
        <v>0.23799999999999999</v>
      </c>
      <c r="I19" s="22">
        <v>0.104</v>
      </c>
      <c r="J19" s="22">
        <v>0.29799999999999999</v>
      </c>
      <c r="K19" s="22">
        <v>0.29799999999999999</v>
      </c>
      <c r="L19" s="22">
        <v>0.34200000000000003</v>
      </c>
    </row>
    <row r="20" spans="1:12" ht="15" thickBot="1" x14ac:dyDescent="0.35">
      <c r="A20" s="23" t="s">
        <v>134</v>
      </c>
      <c r="B20" s="24" t="s">
        <v>152</v>
      </c>
      <c r="C20" s="25">
        <v>1.992</v>
      </c>
      <c r="D20" s="25">
        <v>0.79100000000000004</v>
      </c>
      <c r="E20" s="25">
        <v>1.24</v>
      </c>
      <c r="F20" s="25">
        <v>1.0589999999999999</v>
      </c>
      <c r="G20" s="28">
        <v>3.5999999999999997E-2</v>
      </c>
      <c r="H20" s="25">
        <v>4.9000000000000002E-2</v>
      </c>
      <c r="I20" s="25">
        <v>0.19400000000000001</v>
      </c>
      <c r="J20" s="28">
        <v>0.41199999999999998</v>
      </c>
      <c r="K20" s="25">
        <v>0.17799999999999999</v>
      </c>
      <c r="L20" s="25">
        <v>6.9000000000000006E-2</v>
      </c>
    </row>
    <row r="21" spans="1:12" ht="15" thickBot="1" x14ac:dyDescent="0.35">
      <c r="A21" s="20" t="s">
        <v>135</v>
      </c>
      <c r="B21" s="21" t="s">
        <v>222</v>
      </c>
      <c r="C21" s="22">
        <v>2</v>
      </c>
      <c r="D21" s="22">
        <v>0.81699999999999995</v>
      </c>
      <c r="E21" s="22">
        <v>0.71399999999999997</v>
      </c>
      <c r="F21" s="22">
        <v>0.76</v>
      </c>
      <c r="G21" s="22">
        <v>2.3E-2</v>
      </c>
      <c r="H21" s="22">
        <v>0.28499999999999998</v>
      </c>
      <c r="I21" s="22">
        <v>0.50800000000000001</v>
      </c>
      <c r="J21" s="22">
        <v>0.316</v>
      </c>
      <c r="K21" s="22">
        <v>0.41499999999999998</v>
      </c>
      <c r="L21" s="22">
        <v>8.7999999999999995E-2</v>
      </c>
    </row>
    <row r="22" spans="1:12" ht="15" thickBot="1" x14ac:dyDescent="0.35">
      <c r="A22" s="23" t="s">
        <v>135</v>
      </c>
      <c r="B22" s="24" t="s">
        <v>198</v>
      </c>
      <c r="C22" s="25">
        <v>2.056</v>
      </c>
      <c r="D22" s="25">
        <v>0.80600000000000005</v>
      </c>
      <c r="E22" s="25">
        <v>1.149</v>
      </c>
      <c r="F22" s="25">
        <v>0.98099999999999998</v>
      </c>
      <c r="G22" s="25">
        <v>8.9999999999999993E-3</v>
      </c>
      <c r="H22" s="25">
        <v>0.26600000000000001</v>
      </c>
      <c r="I22" s="25">
        <v>0.28599999999999998</v>
      </c>
      <c r="J22" s="25">
        <v>0.433</v>
      </c>
      <c r="K22" s="25">
        <v>0.26100000000000001</v>
      </c>
      <c r="L22" s="25">
        <v>0.20399999999999999</v>
      </c>
    </row>
    <row r="23" spans="1:12" ht="15" thickBot="1" x14ac:dyDescent="0.35">
      <c r="A23" s="20" t="s">
        <v>136</v>
      </c>
      <c r="B23" s="21" t="s">
        <v>155</v>
      </c>
      <c r="C23" s="22">
        <v>1.9670000000000001</v>
      </c>
      <c r="D23" s="22">
        <v>0.72899999999999998</v>
      </c>
      <c r="E23" s="22">
        <v>0.75900000000000001</v>
      </c>
      <c r="F23" s="22">
        <v>0.746</v>
      </c>
      <c r="G23" s="27">
        <v>3.5999999999999997E-2</v>
      </c>
      <c r="H23" s="22">
        <v>2.4E-2</v>
      </c>
      <c r="I23" s="22">
        <v>8.4000000000000005E-2</v>
      </c>
      <c r="J23" s="22">
        <v>7.5999999999999998E-2</v>
      </c>
      <c r="K23" s="22">
        <v>7.6999999999999999E-2</v>
      </c>
      <c r="L23" s="22">
        <v>6.9000000000000006E-2</v>
      </c>
    </row>
    <row r="24" spans="1:12" ht="15" thickBot="1" x14ac:dyDescent="0.35">
      <c r="A24" s="220" t="s">
        <v>199</v>
      </c>
      <c r="B24" s="221"/>
      <c r="C24" s="25">
        <v>2.1379999999999999</v>
      </c>
      <c r="D24" s="25">
        <v>0.81</v>
      </c>
      <c r="E24" s="25">
        <v>1.115</v>
      </c>
      <c r="F24" s="25">
        <v>0.98</v>
      </c>
      <c r="G24" s="25">
        <v>3.5999999999999997E-2</v>
      </c>
      <c r="H24" s="25">
        <v>0.23799999999999999</v>
      </c>
      <c r="I24" s="25">
        <v>0.28799999999999998</v>
      </c>
      <c r="J24" s="25">
        <v>0.41199999999999998</v>
      </c>
      <c r="K24" s="25">
        <v>0.24299999999999999</v>
      </c>
      <c r="L24" s="25">
        <v>6.4000000000000001E-2</v>
      </c>
    </row>
    <row r="25" spans="1:12" ht="15" thickBot="1" x14ac:dyDescent="0.35">
      <c r="A25" s="222" t="s">
        <v>200</v>
      </c>
      <c r="B25" s="223"/>
      <c r="C25" s="223"/>
      <c r="D25" s="223"/>
      <c r="E25" s="223"/>
      <c r="F25" s="223"/>
      <c r="G25" s="223"/>
      <c r="H25" s="223"/>
      <c r="I25" s="223"/>
      <c r="J25" s="223"/>
      <c r="K25" s="223"/>
      <c r="L25" s="224"/>
    </row>
    <row r="26" spans="1:12" x14ac:dyDescent="0.3">
      <c r="A26" s="26" t="s">
        <v>201</v>
      </c>
    </row>
    <row r="27" spans="1:12" x14ac:dyDescent="0.3">
      <c r="A27" s="26" t="s">
        <v>202</v>
      </c>
    </row>
  </sheetData>
  <mergeCells count="10">
    <mergeCell ref="G1:K1"/>
    <mergeCell ref="L1:L2"/>
    <mergeCell ref="A24:B24"/>
    <mergeCell ref="A25:L25"/>
    <mergeCell ref="A1:A2"/>
    <mergeCell ref="B1:B2"/>
    <mergeCell ref="C1:C2"/>
    <mergeCell ref="D1:D2"/>
    <mergeCell ref="E1:E2"/>
    <mergeCell ref="F1: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20"/>
  <sheetViews>
    <sheetView topLeftCell="A7" workbookViewId="0">
      <selection activeCell="C56" sqref="C56"/>
    </sheetView>
  </sheetViews>
  <sheetFormatPr defaultRowHeight="14.4" x14ac:dyDescent="0.3"/>
  <cols>
    <col min="2" max="2" width="20.44140625" bestFit="1" customWidth="1"/>
    <col min="3" max="3" width="40.6640625" customWidth="1"/>
    <col min="4" max="4" width="23.44140625" bestFit="1" customWidth="1"/>
    <col min="5" max="5" width="21.109375" bestFit="1" customWidth="1"/>
    <col min="6" max="6" width="15" bestFit="1" customWidth="1"/>
    <col min="7" max="7" width="14.44140625" customWidth="1"/>
    <col min="8" max="8" width="13.6640625" customWidth="1"/>
    <col min="9" max="9" width="75.6640625" customWidth="1"/>
    <col min="10" max="10" width="33.5546875" customWidth="1"/>
  </cols>
  <sheetData>
    <row r="1" spans="2:10" ht="28.8" x14ac:dyDescent="0.3">
      <c r="B1" s="3" t="s">
        <v>55</v>
      </c>
      <c r="C1" s="3" t="s">
        <v>95</v>
      </c>
      <c r="D1" s="3" t="s">
        <v>56</v>
      </c>
      <c r="E1" s="3" t="s">
        <v>57</v>
      </c>
      <c r="F1" s="3" t="s">
        <v>58</v>
      </c>
      <c r="G1" s="3" t="s">
        <v>59</v>
      </c>
      <c r="H1" s="3" t="s">
        <v>60</v>
      </c>
      <c r="I1" s="9" t="s">
        <v>180</v>
      </c>
      <c r="J1" s="3" t="s">
        <v>61</v>
      </c>
    </row>
    <row r="2" spans="2:10" ht="28.8" x14ac:dyDescent="0.3">
      <c r="B2" s="231" t="s">
        <v>45</v>
      </c>
      <c r="C2" s="233" t="s">
        <v>96</v>
      </c>
      <c r="D2" s="4" t="s">
        <v>64</v>
      </c>
      <c r="E2" s="4" t="s">
        <v>65</v>
      </c>
      <c r="F2" s="11" t="s">
        <v>116</v>
      </c>
      <c r="G2" s="11" t="s">
        <v>116</v>
      </c>
      <c r="H2" s="4"/>
      <c r="I2" s="5" t="s">
        <v>67</v>
      </c>
      <c r="J2" s="5"/>
    </row>
    <row r="3" spans="2:10" ht="28.8" x14ac:dyDescent="0.3">
      <c r="B3" s="232"/>
      <c r="C3" s="234"/>
      <c r="D3" s="4" t="s">
        <v>68</v>
      </c>
      <c r="E3" s="4" t="s">
        <v>69</v>
      </c>
      <c r="F3" s="11" t="s">
        <v>116</v>
      </c>
      <c r="G3" s="8"/>
      <c r="H3" s="4"/>
      <c r="I3" s="5" t="s">
        <v>70</v>
      </c>
      <c r="J3" s="5"/>
    </row>
    <row r="4" spans="2:10" ht="28.8" x14ac:dyDescent="0.3">
      <c r="B4" s="231" t="s">
        <v>71</v>
      </c>
      <c r="C4" s="233" t="s">
        <v>97</v>
      </c>
      <c r="D4" s="4" t="s">
        <v>72</v>
      </c>
      <c r="E4" s="4" t="s">
        <v>65</v>
      </c>
      <c r="F4" s="11" t="s">
        <v>116</v>
      </c>
      <c r="G4" s="11" t="s">
        <v>116</v>
      </c>
      <c r="H4" s="4"/>
      <c r="I4" s="5" t="s">
        <v>73</v>
      </c>
      <c r="J4" s="5"/>
    </row>
    <row r="5" spans="2:10" ht="28.8" x14ac:dyDescent="0.3">
      <c r="B5" s="236"/>
      <c r="C5" s="235"/>
      <c r="D5" s="4" t="s">
        <v>74</v>
      </c>
      <c r="E5" s="4" t="s">
        <v>47</v>
      </c>
      <c r="F5" s="11" t="s">
        <v>116</v>
      </c>
      <c r="G5" s="11" t="s">
        <v>116</v>
      </c>
      <c r="H5" s="4"/>
      <c r="I5" s="5" t="s">
        <v>75</v>
      </c>
      <c r="J5" s="5"/>
    </row>
    <row r="6" spans="2:10" ht="28.8" x14ac:dyDescent="0.3">
      <c r="B6" s="232"/>
      <c r="C6" s="234"/>
      <c r="D6" s="4" t="s">
        <v>76</v>
      </c>
      <c r="E6" s="4" t="s">
        <v>47</v>
      </c>
      <c r="F6" s="11" t="s">
        <v>116</v>
      </c>
      <c r="G6" s="11" t="s">
        <v>116</v>
      </c>
      <c r="H6" s="4"/>
      <c r="I6" s="5" t="s">
        <v>75</v>
      </c>
      <c r="J6" s="5"/>
    </row>
    <row r="7" spans="2:10" ht="28.8" x14ac:dyDescent="0.3">
      <c r="B7" s="231" t="s">
        <v>77</v>
      </c>
      <c r="C7" s="233" t="s">
        <v>98</v>
      </c>
      <c r="D7" s="4" t="s">
        <v>64</v>
      </c>
      <c r="E7" s="4" t="s">
        <v>65</v>
      </c>
      <c r="F7" s="11" t="s">
        <v>116</v>
      </c>
      <c r="G7" s="11" t="s">
        <v>116</v>
      </c>
      <c r="H7" s="4"/>
      <c r="I7" s="5" t="s">
        <v>78</v>
      </c>
      <c r="J7" s="5"/>
    </row>
    <row r="8" spans="2:10" ht="28.8" x14ac:dyDescent="0.3">
      <c r="B8" s="232"/>
      <c r="C8" s="234"/>
      <c r="D8" s="4" t="s">
        <v>68</v>
      </c>
      <c r="E8" s="4" t="s">
        <v>69</v>
      </c>
      <c r="F8" s="11" t="s">
        <v>116</v>
      </c>
      <c r="G8" s="8"/>
      <c r="H8" s="4"/>
      <c r="I8" s="5" t="s">
        <v>70</v>
      </c>
      <c r="J8" s="5"/>
    </row>
    <row r="9" spans="2:10" ht="28.8" x14ac:dyDescent="0.3">
      <c r="B9" s="231" t="s">
        <v>79</v>
      </c>
      <c r="C9" s="233" t="s">
        <v>99</v>
      </c>
      <c r="D9" s="4" t="s">
        <v>64</v>
      </c>
      <c r="E9" s="4" t="s">
        <v>47</v>
      </c>
      <c r="F9" s="11" t="s">
        <v>116</v>
      </c>
      <c r="G9" s="11" t="s">
        <v>116</v>
      </c>
      <c r="H9" s="4"/>
      <c r="I9" s="5" t="s">
        <v>75</v>
      </c>
      <c r="J9" s="5"/>
    </row>
    <row r="10" spans="2:10" ht="45.75" customHeight="1" x14ac:dyDescent="0.3">
      <c r="B10" s="232"/>
      <c r="C10" s="234"/>
      <c r="D10" s="4" t="s">
        <v>68</v>
      </c>
      <c r="E10" s="4" t="s">
        <v>80</v>
      </c>
      <c r="F10" s="11" t="s">
        <v>116</v>
      </c>
      <c r="G10" s="8"/>
      <c r="H10" s="4"/>
      <c r="I10" s="5" t="s">
        <v>81</v>
      </c>
      <c r="J10" s="5"/>
    </row>
    <row r="11" spans="2:10" ht="57.6" x14ac:dyDescent="0.3">
      <c r="B11" s="6" t="s">
        <v>82</v>
      </c>
      <c r="C11" s="7" t="s">
        <v>101</v>
      </c>
      <c r="D11" s="4" t="s">
        <v>83</v>
      </c>
      <c r="E11" s="4" t="s">
        <v>82</v>
      </c>
      <c r="F11" s="11" t="s">
        <v>116</v>
      </c>
      <c r="G11" s="8"/>
      <c r="H11" s="4"/>
      <c r="I11" s="5" t="s">
        <v>100</v>
      </c>
      <c r="J11" s="5" t="s">
        <v>84</v>
      </c>
    </row>
    <row r="12" spans="2:10" ht="28.8" x14ac:dyDescent="0.3">
      <c r="B12" s="231" t="s">
        <v>85</v>
      </c>
      <c r="C12" s="233" t="s">
        <v>102</v>
      </c>
      <c r="D12" s="4" t="s">
        <v>86</v>
      </c>
      <c r="E12" s="4" t="s">
        <v>69</v>
      </c>
      <c r="F12" s="11" t="s">
        <v>116</v>
      </c>
      <c r="G12" s="8"/>
      <c r="H12" s="4"/>
      <c r="I12" s="5" t="s">
        <v>70</v>
      </c>
      <c r="J12" s="5"/>
    </row>
    <row r="13" spans="2:10" ht="43.2" x14ac:dyDescent="0.3">
      <c r="B13" s="232"/>
      <c r="C13" s="234"/>
      <c r="D13" s="4" t="s">
        <v>46</v>
      </c>
      <c r="E13" s="4" t="s">
        <v>46</v>
      </c>
      <c r="F13" s="11" t="s">
        <v>116</v>
      </c>
      <c r="G13" s="8"/>
      <c r="H13" s="4"/>
      <c r="I13" s="5" t="s">
        <v>87</v>
      </c>
      <c r="J13" s="5" t="s">
        <v>88</v>
      </c>
    </row>
    <row r="14" spans="2:10" ht="28.8" x14ac:dyDescent="0.3">
      <c r="B14" s="231" t="s">
        <v>89</v>
      </c>
      <c r="C14" s="233" t="s">
        <v>103</v>
      </c>
      <c r="D14" s="4" t="s">
        <v>90</v>
      </c>
      <c r="E14" s="4" t="s">
        <v>47</v>
      </c>
      <c r="F14" s="11" t="s">
        <v>116</v>
      </c>
      <c r="G14" s="11" t="s">
        <v>116</v>
      </c>
      <c r="H14" s="4"/>
      <c r="I14" s="5" t="s">
        <v>75</v>
      </c>
      <c r="J14" s="5"/>
    </row>
    <row r="15" spans="2:10" ht="28.8" x14ac:dyDescent="0.3">
      <c r="B15" s="232"/>
      <c r="C15" s="234"/>
      <c r="D15" s="4" t="s">
        <v>91</v>
      </c>
      <c r="E15" s="4" t="s">
        <v>92</v>
      </c>
      <c r="F15" s="4"/>
      <c r="G15" s="8"/>
      <c r="H15" s="10" t="s">
        <v>94</v>
      </c>
      <c r="I15" s="5" t="s">
        <v>93</v>
      </c>
      <c r="J15" s="5"/>
    </row>
    <row r="16" spans="2:10" x14ac:dyDescent="0.3">
      <c r="B16" s="14"/>
      <c r="C16" s="14"/>
      <c r="D16" s="14"/>
      <c r="E16" s="14"/>
      <c r="F16" s="14"/>
      <c r="G16" s="14"/>
      <c r="H16" s="14"/>
      <c r="I16" s="15" t="s">
        <v>108</v>
      </c>
      <c r="J16" s="16"/>
    </row>
    <row r="17" spans="9:9" x14ac:dyDescent="0.3">
      <c r="I17" s="17" t="s">
        <v>104</v>
      </c>
    </row>
    <row r="18" spans="9:9" x14ac:dyDescent="0.3">
      <c r="I18" s="17" t="s">
        <v>105</v>
      </c>
    </row>
    <row r="19" spans="9:9" x14ac:dyDescent="0.3">
      <c r="I19" s="17" t="s">
        <v>106</v>
      </c>
    </row>
    <row r="20" spans="9:9" x14ac:dyDescent="0.3">
      <c r="I20" s="17" t="s">
        <v>107</v>
      </c>
    </row>
  </sheetData>
  <mergeCells count="12">
    <mergeCell ref="B14:B15"/>
    <mergeCell ref="C2:C3"/>
    <mergeCell ref="C4:C6"/>
    <mergeCell ref="C7:C8"/>
    <mergeCell ref="C9:C10"/>
    <mergeCell ref="C12:C13"/>
    <mergeCell ref="C14:C15"/>
    <mergeCell ref="B2:B3"/>
    <mergeCell ref="B4:B6"/>
    <mergeCell ref="B7:B8"/>
    <mergeCell ref="B9:B10"/>
    <mergeCell ref="B12: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4"/>
  <sheetViews>
    <sheetView topLeftCell="C1" zoomScale="70" zoomScaleNormal="70" workbookViewId="0">
      <selection activeCell="E57" sqref="E57"/>
    </sheetView>
  </sheetViews>
  <sheetFormatPr defaultRowHeight="14.4" x14ac:dyDescent="0.3"/>
  <cols>
    <col min="1" max="1" width="9.88671875" bestFit="1" customWidth="1"/>
    <col min="2" max="2" width="25.5546875" bestFit="1" customWidth="1"/>
    <col min="3" max="3" width="22.109375" customWidth="1"/>
    <col min="4" max="4" width="26.6640625" bestFit="1" customWidth="1"/>
    <col min="5" max="5" width="14.33203125" customWidth="1"/>
    <col min="6" max="6" width="13.5546875" customWidth="1"/>
    <col min="7" max="7" width="27.88671875" bestFit="1" customWidth="1"/>
    <col min="8" max="8" width="15.44140625" customWidth="1"/>
    <col min="9" max="9" width="25.6640625" customWidth="1"/>
    <col min="10" max="10" width="10" bestFit="1" customWidth="1"/>
    <col min="11" max="11" width="3" customWidth="1"/>
    <col min="13" max="13" width="3.6640625" customWidth="1"/>
    <col min="14" max="14" width="19.88671875" bestFit="1" customWidth="1"/>
    <col min="15" max="15" width="6.44140625" customWidth="1"/>
    <col min="16" max="16" width="28" bestFit="1" customWidth="1"/>
    <col min="17" max="17" width="12.5546875" customWidth="1"/>
  </cols>
  <sheetData>
    <row r="1" spans="1:19" x14ac:dyDescent="0.3">
      <c r="A1" t="s">
        <v>113</v>
      </c>
    </row>
    <row r="2" spans="1:19" ht="46.8" x14ac:dyDescent="0.3">
      <c r="A2" s="1" t="s">
        <v>4</v>
      </c>
      <c r="B2" s="2" t="s">
        <v>1</v>
      </c>
      <c r="C2" s="2" t="s">
        <v>5</v>
      </c>
      <c r="D2" t="s">
        <v>123</v>
      </c>
      <c r="E2" t="s">
        <v>124</v>
      </c>
      <c r="G2" s="2" t="s">
        <v>2</v>
      </c>
      <c r="H2" s="2" t="s">
        <v>167</v>
      </c>
      <c r="I2" s="2" t="s">
        <v>3</v>
      </c>
      <c r="J2" s="2" t="s">
        <v>111</v>
      </c>
      <c r="N2" s="2" t="s">
        <v>123</v>
      </c>
      <c r="O2" s="2"/>
      <c r="P2" s="2" t="s">
        <v>124</v>
      </c>
      <c r="Q2" s="2" t="s">
        <v>123</v>
      </c>
      <c r="S2" s="2" t="s">
        <v>218</v>
      </c>
    </row>
    <row r="3" spans="1:19" x14ac:dyDescent="0.3">
      <c r="A3" t="s">
        <v>14</v>
      </c>
      <c r="B3" t="s">
        <v>6</v>
      </c>
      <c r="C3" t="s">
        <v>119</v>
      </c>
      <c r="G3" t="s">
        <v>215</v>
      </c>
      <c r="H3" t="s">
        <v>168</v>
      </c>
      <c r="I3" t="s">
        <v>49</v>
      </c>
      <c r="J3" t="s">
        <v>168</v>
      </c>
      <c r="L3" t="s">
        <v>66</v>
      </c>
      <c r="N3" s="12" t="s">
        <v>131</v>
      </c>
      <c r="O3" s="12"/>
      <c r="P3" s="12" t="s">
        <v>137</v>
      </c>
      <c r="Q3" s="12" t="s">
        <v>125</v>
      </c>
      <c r="S3" s="12" t="s">
        <v>219</v>
      </c>
    </row>
    <row r="4" spans="1:19" x14ac:dyDescent="0.3">
      <c r="A4" t="s">
        <v>15</v>
      </c>
      <c r="B4" t="s">
        <v>7</v>
      </c>
      <c r="C4" t="s">
        <v>44</v>
      </c>
      <c r="D4" t="s">
        <v>129</v>
      </c>
      <c r="E4" t="s">
        <v>146</v>
      </c>
      <c r="G4" t="s">
        <v>161</v>
      </c>
      <c r="H4" t="s">
        <v>169</v>
      </c>
      <c r="I4" t="s">
        <v>178</v>
      </c>
      <c r="J4" t="s">
        <v>168</v>
      </c>
      <c r="L4" t="s">
        <v>62</v>
      </c>
      <c r="N4" s="12" t="s">
        <v>136</v>
      </c>
      <c r="O4" s="12"/>
      <c r="P4" s="12" t="s">
        <v>138</v>
      </c>
      <c r="Q4" s="12" t="s">
        <v>125</v>
      </c>
      <c r="S4" s="12" t="s">
        <v>220</v>
      </c>
    </row>
    <row r="5" spans="1:19" x14ac:dyDescent="0.3">
      <c r="A5" t="s">
        <v>16</v>
      </c>
      <c r="B5" t="s">
        <v>8</v>
      </c>
      <c r="C5" t="s">
        <v>39</v>
      </c>
      <c r="D5" s="13" t="s">
        <v>130</v>
      </c>
      <c r="E5" s="13" t="s">
        <v>147</v>
      </c>
      <c r="G5" t="s">
        <v>162</v>
      </c>
      <c r="H5" t="s">
        <v>168</v>
      </c>
      <c r="I5" t="s">
        <v>179</v>
      </c>
      <c r="J5" t="s">
        <v>168</v>
      </c>
      <c r="L5" t="s">
        <v>63</v>
      </c>
      <c r="N5" s="12" t="s">
        <v>129</v>
      </c>
      <c r="O5" s="12"/>
      <c r="P5" s="12" t="s">
        <v>139</v>
      </c>
      <c r="Q5" s="12" t="s">
        <v>125</v>
      </c>
    </row>
    <row r="6" spans="1:19" x14ac:dyDescent="0.3">
      <c r="A6" t="s">
        <v>19</v>
      </c>
      <c r="B6" t="s">
        <v>9</v>
      </c>
      <c r="C6" t="s">
        <v>33</v>
      </c>
      <c r="D6" t="s">
        <v>129</v>
      </c>
      <c r="E6" t="s">
        <v>146</v>
      </c>
      <c r="G6" t="s">
        <v>166</v>
      </c>
      <c r="H6" t="s">
        <v>169</v>
      </c>
      <c r="I6" t="s">
        <v>110</v>
      </c>
      <c r="J6" t="s">
        <v>168</v>
      </c>
      <c r="N6" s="12" t="s">
        <v>132</v>
      </c>
      <c r="O6" s="12"/>
      <c r="P6" s="12" t="s">
        <v>140</v>
      </c>
      <c r="Q6" s="12" t="s">
        <v>126</v>
      </c>
    </row>
    <row r="7" spans="1:19" x14ac:dyDescent="0.3">
      <c r="A7" t="s">
        <v>20</v>
      </c>
      <c r="B7" t="s">
        <v>10</v>
      </c>
      <c r="C7" t="s">
        <v>41</v>
      </c>
      <c r="D7" s="13" t="s">
        <v>131</v>
      </c>
      <c r="E7" s="13" t="s">
        <v>148</v>
      </c>
      <c r="G7" t="s">
        <v>165</v>
      </c>
      <c r="H7" t="s">
        <v>168</v>
      </c>
      <c r="I7" t="s">
        <v>111</v>
      </c>
      <c r="J7" t="s">
        <v>169</v>
      </c>
      <c r="L7" t="s">
        <v>223</v>
      </c>
      <c r="N7" s="12" t="s">
        <v>135</v>
      </c>
      <c r="O7" s="12"/>
      <c r="P7" s="12" t="s">
        <v>141</v>
      </c>
      <c r="Q7" s="12" t="s">
        <v>127</v>
      </c>
    </row>
    <row r="8" spans="1:19" x14ac:dyDescent="0.3">
      <c r="A8" t="s">
        <v>17</v>
      </c>
      <c r="B8" t="s">
        <v>11</v>
      </c>
      <c r="C8" t="s">
        <v>37</v>
      </c>
      <c r="D8" s="13" t="s">
        <v>132</v>
      </c>
      <c r="E8" t="s">
        <v>150</v>
      </c>
      <c r="G8" t="s">
        <v>46</v>
      </c>
      <c r="H8" t="s">
        <v>168</v>
      </c>
      <c r="L8" t="s">
        <v>62</v>
      </c>
      <c r="N8" s="12" t="s">
        <v>133</v>
      </c>
      <c r="O8" s="12"/>
      <c r="P8" s="12" t="s">
        <v>142</v>
      </c>
      <c r="Q8" s="12" t="s">
        <v>128</v>
      </c>
    </row>
    <row r="9" spans="1:19" x14ac:dyDescent="0.3">
      <c r="A9" t="s">
        <v>18</v>
      </c>
      <c r="B9" t="s">
        <v>12</v>
      </c>
      <c r="C9" t="s">
        <v>38</v>
      </c>
      <c r="D9" s="12" t="s">
        <v>128</v>
      </c>
      <c r="E9" s="41" t="s">
        <v>128</v>
      </c>
      <c r="G9" t="s">
        <v>164</v>
      </c>
      <c r="H9" t="s">
        <v>169</v>
      </c>
      <c r="N9" s="12" t="s">
        <v>128</v>
      </c>
      <c r="O9" s="12"/>
      <c r="P9" s="12" t="s">
        <v>143</v>
      </c>
      <c r="Q9" s="12" t="s">
        <v>128</v>
      </c>
    </row>
    <row r="10" spans="1:19" x14ac:dyDescent="0.3">
      <c r="A10" t="s">
        <v>21</v>
      </c>
      <c r="B10" t="s">
        <v>13</v>
      </c>
      <c r="C10" t="s">
        <v>35</v>
      </c>
      <c r="D10" t="s">
        <v>129</v>
      </c>
      <c r="E10" t="s">
        <v>146</v>
      </c>
      <c r="G10" t="s">
        <v>212</v>
      </c>
      <c r="H10" t="s">
        <v>169</v>
      </c>
      <c r="N10" s="12" t="s">
        <v>127</v>
      </c>
      <c r="O10" s="12"/>
      <c r="P10" s="12" t="s">
        <v>128</v>
      </c>
      <c r="Q10" s="12" t="s">
        <v>128</v>
      </c>
    </row>
    <row r="11" spans="1:19" x14ac:dyDescent="0.3">
      <c r="A11" t="s">
        <v>27</v>
      </c>
      <c r="B11" t="s">
        <v>22</v>
      </c>
      <c r="C11" t="s">
        <v>40</v>
      </c>
      <c r="D11" s="13" t="s">
        <v>130</v>
      </c>
      <c r="E11" s="13" t="s">
        <v>147</v>
      </c>
      <c r="G11" t="s">
        <v>47</v>
      </c>
      <c r="H11" t="s">
        <v>169</v>
      </c>
      <c r="N11" s="12" t="s">
        <v>130</v>
      </c>
      <c r="O11" s="12"/>
      <c r="P11" s="12" t="s">
        <v>144</v>
      </c>
      <c r="Q11" s="12" t="s">
        <v>128</v>
      </c>
    </row>
    <row r="12" spans="1:19" x14ac:dyDescent="0.3">
      <c r="A12" t="s">
        <v>28</v>
      </c>
      <c r="B12" t="s">
        <v>23</v>
      </c>
      <c r="C12" t="s">
        <v>34</v>
      </c>
      <c r="D12" s="13" t="s">
        <v>130</v>
      </c>
      <c r="E12" s="13" t="s">
        <v>147</v>
      </c>
      <c r="G12" t="s">
        <v>92</v>
      </c>
      <c r="H12" t="s">
        <v>169</v>
      </c>
      <c r="N12" s="12" t="s">
        <v>126</v>
      </c>
      <c r="O12" s="12"/>
      <c r="P12" s="12" t="s">
        <v>145</v>
      </c>
      <c r="Q12" s="12" t="s">
        <v>129</v>
      </c>
    </row>
    <row r="13" spans="1:19" x14ac:dyDescent="0.3">
      <c r="A13" t="s">
        <v>29</v>
      </c>
      <c r="B13" t="s">
        <v>24</v>
      </c>
      <c r="C13" t="s">
        <v>42</v>
      </c>
      <c r="D13" s="12" t="s">
        <v>134</v>
      </c>
      <c r="E13" s="41" t="s">
        <v>152</v>
      </c>
      <c r="G13" t="s">
        <v>160</v>
      </c>
      <c r="H13" t="s">
        <v>169</v>
      </c>
      <c r="N13" s="12" t="s">
        <v>125</v>
      </c>
      <c r="O13" s="12"/>
      <c r="P13" s="12" t="s">
        <v>146</v>
      </c>
      <c r="Q13" s="12" t="s">
        <v>129</v>
      </c>
    </row>
    <row r="14" spans="1:19" x14ac:dyDescent="0.3">
      <c r="A14" t="s">
        <v>30</v>
      </c>
      <c r="B14" t="s">
        <v>25</v>
      </c>
      <c r="C14" t="s">
        <v>43</v>
      </c>
      <c r="D14" s="12" t="s">
        <v>134</v>
      </c>
      <c r="E14" s="41" t="s">
        <v>152</v>
      </c>
      <c r="G14" t="s">
        <v>163</v>
      </c>
      <c r="H14" t="s">
        <v>168</v>
      </c>
      <c r="N14" s="12" t="s">
        <v>134</v>
      </c>
      <c r="O14" s="12"/>
      <c r="P14" s="12" t="s">
        <v>147</v>
      </c>
      <c r="Q14" s="12" t="s">
        <v>130</v>
      </c>
    </row>
    <row r="15" spans="1:19" x14ac:dyDescent="0.3">
      <c r="A15" t="s">
        <v>31</v>
      </c>
      <c r="B15" t="s">
        <v>26</v>
      </c>
      <c r="C15" t="s">
        <v>36</v>
      </c>
      <c r="D15" t="s">
        <v>129</v>
      </c>
      <c r="E15" t="s">
        <v>146</v>
      </c>
      <c r="G15" t="s">
        <v>48</v>
      </c>
      <c r="H15" t="s">
        <v>168</v>
      </c>
      <c r="O15" s="12"/>
      <c r="P15" s="12" t="s">
        <v>156</v>
      </c>
      <c r="Q15" s="12" t="s">
        <v>131</v>
      </c>
    </row>
    <row r="16" spans="1:19" x14ac:dyDescent="0.3">
      <c r="A16" t="s">
        <v>32</v>
      </c>
      <c r="B16" t="s">
        <v>120</v>
      </c>
      <c r="G16" t="s">
        <v>232</v>
      </c>
      <c r="H16" t="s">
        <v>168</v>
      </c>
      <c r="O16" s="12"/>
      <c r="P16" s="12" t="s">
        <v>148</v>
      </c>
      <c r="Q16" s="12" t="s">
        <v>131</v>
      </c>
    </row>
    <row r="17" spans="5:17" x14ac:dyDescent="0.3">
      <c r="E17" s="13"/>
      <c r="O17" s="12"/>
      <c r="P17" s="12" t="s">
        <v>149</v>
      </c>
      <c r="Q17" s="12" t="s">
        <v>132</v>
      </c>
    </row>
    <row r="18" spans="5:17" x14ac:dyDescent="0.3">
      <c r="O18" s="12"/>
      <c r="P18" s="12" t="s">
        <v>150</v>
      </c>
      <c r="Q18" s="12" t="s">
        <v>132</v>
      </c>
    </row>
    <row r="19" spans="5:17" x14ac:dyDescent="0.3">
      <c r="O19" s="12"/>
      <c r="P19" s="12" t="s">
        <v>151</v>
      </c>
      <c r="Q19" s="12" t="s">
        <v>133</v>
      </c>
    </row>
    <row r="20" spans="5:17" x14ac:dyDescent="0.3">
      <c r="O20" s="12"/>
      <c r="P20" s="12" t="s">
        <v>152</v>
      </c>
      <c r="Q20" s="12" t="s">
        <v>134</v>
      </c>
    </row>
    <row r="21" spans="5:17" x14ac:dyDescent="0.3">
      <c r="O21" s="12"/>
      <c r="P21" s="12" t="s">
        <v>153</v>
      </c>
      <c r="Q21" s="12" t="s">
        <v>135</v>
      </c>
    </row>
    <row r="22" spans="5:17" x14ac:dyDescent="0.3">
      <c r="O22" s="12"/>
      <c r="P22" s="12" t="s">
        <v>154</v>
      </c>
      <c r="Q22" s="12" t="s">
        <v>135</v>
      </c>
    </row>
    <row r="23" spans="5:17" x14ac:dyDescent="0.3">
      <c r="O23" s="12"/>
      <c r="P23" s="12" t="s">
        <v>155</v>
      </c>
      <c r="Q23" s="12" t="s">
        <v>136</v>
      </c>
    </row>
    <row r="24" spans="5:17" x14ac:dyDescent="0.3">
      <c r="P24" s="12"/>
    </row>
  </sheetData>
  <sortState xmlns:xlrd2="http://schemas.microsoft.com/office/spreadsheetml/2017/richdata2" ref="N3:N14">
    <sortCondition ref="N1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817179EF0AD346BF390F7DE92DDB83" ma:contentTypeVersion="13" ma:contentTypeDescription="Create a new document." ma:contentTypeScope="" ma:versionID="20e18090b1cc5f3e187fa9f6c0d855d8">
  <xsd:schema xmlns:xsd="http://www.w3.org/2001/XMLSchema" xmlns:xs="http://www.w3.org/2001/XMLSchema" xmlns:p="http://schemas.microsoft.com/office/2006/metadata/properties" xmlns:ns3="4d245cb8-9cb1-4cae-b646-8145dc625204" xmlns:ns4="cc2f36f7-5f80-4313-8875-db0d4e07f966" targetNamespace="http://schemas.microsoft.com/office/2006/metadata/properties" ma:root="true" ma:fieldsID="85c562d4c199285000005d607f9c7699" ns3:_="" ns4:_="">
    <xsd:import namespace="4d245cb8-9cb1-4cae-b646-8145dc625204"/>
    <xsd:import namespace="cc2f36f7-5f80-4313-8875-db0d4e07f9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45cb8-9cb1-4cae-b646-8145dc6252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2f36f7-5f80-4313-8875-db0d4e07f9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FFD664-140C-44FF-BE4F-E1156A33A009}">
  <ds:schemaRefs>
    <ds:schemaRef ds:uri="http://schemas.microsoft.com/sharepoint/v3/contenttype/forms"/>
  </ds:schemaRefs>
</ds:datastoreItem>
</file>

<file path=customXml/itemProps2.xml><?xml version="1.0" encoding="utf-8"?>
<ds:datastoreItem xmlns:ds="http://schemas.openxmlformats.org/officeDocument/2006/customXml" ds:itemID="{4BBE2BCF-992D-4932-8455-0E945BEDD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45cb8-9cb1-4cae-b646-8145dc625204"/>
    <ds:schemaRef ds:uri="cc2f36f7-5f80-4313-8875-db0d4e07f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B831F-CC2A-4282-90C6-890A5513482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d245cb8-9cb1-4cae-b646-8145dc625204"/>
    <ds:schemaRef ds:uri="cc2f36f7-5f80-4313-8875-db0d4e07f9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summary</vt:lpstr>
      <vt:lpstr>BMP P Tracking Table</vt:lpstr>
      <vt:lpstr>Disconnection</vt:lpstr>
      <vt:lpstr>Maintenance Only</vt:lpstr>
      <vt:lpstr>Performance Curves</vt:lpstr>
      <vt:lpstr>Loading Rates</vt:lpstr>
      <vt:lpstr>BMP Definitions</vt:lpstr>
      <vt:lpstr>Dropdowns</vt:lpstr>
      <vt:lpstr>'BMP P Tracking Table'!Print_Area</vt:lpstr>
      <vt:lpstr>Disconnection!Print_Area</vt:lpstr>
      <vt:lpstr>Instructions!Print_Area</vt:lpstr>
      <vt:lpstr>'Maintenance Only'!Print_Area</vt:lpstr>
      <vt:lpstr>summary!Print_Area</vt:lpstr>
      <vt:lpstr>'BMP P Tracking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VTDEC</dc:creator>
  <cp:lastModifiedBy>Heidi Miller</cp:lastModifiedBy>
  <cp:lastPrinted>2024-03-25T15:01:56Z</cp:lastPrinted>
  <dcterms:created xsi:type="dcterms:W3CDTF">2017-05-17T15:08:11Z</dcterms:created>
  <dcterms:modified xsi:type="dcterms:W3CDTF">2024-03-25T21:09:07Z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0x010100B3817179EF0AD346BF390F7DE92DDB83</vt:lpwstr>
  </property>
</Properties>
</file>