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omments2.xml" ContentType="application/vnd.openxmlformats-officedocument.spreadsheetml.comments+xml"/>
  <Override PartName="/xl/threadedComments/threadedComment2.xml" ContentType="application/vnd.ms-excel.threadedcomments+xml"/>
  <Override PartName="/xl/tables/table9.xml" ContentType="application/vnd.openxmlformats-officedocument.spreadsheetml.table+xml"/>
  <Override PartName="/xl/comments3.xml" ContentType="application/vnd.openxmlformats-officedocument.spreadsheetml.comments+xml"/>
  <Override PartName="/xl/threadedComments/threadedComment3.xml" ContentType="application/vnd.ms-excel.threadedcomments+xml"/>
  <Override PartName="/xl/tables/table10.xml" ContentType="application/vnd.openxmlformats-officedocument.spreadsheetml.table+xml"/>
  <Override PartName="/xl/tables/table11.xml" ContentType="application/vnd.openxmlformats-officedocument.spreadsheetml.table+xml"/>
  <Override PartName="/xl/comments4.xml" ContentType="application/vnd.openxmlformats-officedocument.spreadsheetml.comments+xml"/>
  <Override PartName="/xl/threadedComments/threadedComment4.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https://vermontgov.sharepoint.com/teams/ANR.DECAct76ImplementationTeam/Shared Documents/Accountability and Reporting/Interim Phosphorus Calculator Tool/"/>
    </mc:Choice>
  </mc:AlternateContent>
  <xr:revisionPtr revIDLastSave="3251" documentId="8_{F806F4AC-4B25-4490-948A-7A34ADAD44AF}" xr6:coauthVersionLast="47" xr6:coauthVersionMax="47" xr10:uidLastSave="{22EA5EE3-DACD-4FB3-A907-9438899EE795}"/>
  <bookViews>
    <workbookView xWindow="-28920" yWindow="15" windowWidth="29040" windowHeight="15720" tabRatio="888" firstSheet="3" activeTab="3" xr2:uid="{6BD95F6A-2FF2-47DB-AC90-F945BD337C36}"/>
  </bookViews>
  <sheets>
    <sheet name="TargetsFunding" sheetId="7" state="hidden" r:id="rId1"/>
    <sheet name="Cost Rates" sheetId="6" state="hidden" r:id="rId2"/>
    <sheet name="Interim P Planning Options" sheetId="8" state="hidden" r:id="rId3"/>
    <sheet name="P Calculator Directory" sheetId="17" r:id="rId4"/>
    <sheet name="Riparian Buffer " sheetId="9" r:id="rId5"/>
    <sheet name="Lake Shoreline " sheetId="11" r:id="rId6"/>
    <sheet name="Native Revegetation" sheetId="23" r:id="rId7"/>
    <sheet name="Tree Canopy Expansion" sheetId="22" r:id="rId8"/>
    <sheet name="Strategic Wood Addition" sheetId="25" r:id="rId9"/>
    <sheet name="Floodplain Stream - Acre" sheetId="28" r:id="rId10"/>
    <sheet name="Floodplain Stream - Structure" sheetId="30" r:id="rId11"/>
    <sheet name="Outlet and Gully Stabilization" sheetId="16" r:id="rId12"/>
    <sheet name="Forest Road" sheetId="12" r:id="rId13"/>
    <sheet name="Forestry Tables" sheetId="15" state="hidden" r:id="rId14"/>
    <sheet name="Private Road" sheetId="19" r:id="rId15"/>
    <sheet name="Formula Grant Cost Effectivness" sheetId="20" r:id="rId16"/>
    <sheet name="Version History" sheetId="21" r:id="rId17"/>
    <sheet name="Lookup Tables" sheetId="13" state="hidden" r:id="rId18"/>
    <sheet name="CWSP targets" sheetId="5" state="hidden" r:id="rId19"/>
    <sheet name="FFI tables" sheetId="10" state="hidden" r:id="rId20"/>
  </sheets>
  <definedNames>
    <definedName name="_xlnm._FilterDatabase" localSheetId="17" hidden="1">'Lookup Tables'!$A$2:$H$153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1" i="16" l="1"/>
  <c r="H11" i="16"/>
  <c r="I11" i="16" s="1"/>
  <c r="Q4" i="25"/>
  <c r="P4" i="25"/>
  <c r="N4" i="25"/>
  <c r="D16" i="20"/>
  <c r="AE9" i="30"/>
  <c r="M9" i="28"/>
  <c r="N9" i="28"/>
  <c r="I9" i="28"/>
  <c r="AA10" i="9"/>
  <c r="Z10" i="9"/>
  <c r="S10" i="9"/>
  <c r="C4" i="17"/>
  <c r="L9" i="28"/>
  <c r="K9" i="28"/>
  <c r="DF122" i="13" l="1"/>
  <c r="DG122" i="13"/>
  <c r="J12" i="19" l="1"/>
  <c r="F10" i="11"/>
  <c r="H9" i="25"/>
  <c r="AC9" i="30"/>
  <c r="J9" i="28"/>
  <c r="H12" i="25"/>
  <c r="I12" i="25"/>
  <c r="K12" i="25"/>
  <c r="M12" i="25"/>
  <c r="H11" i="25"/>
  <c r="I11" i="25"/>
  <c r="K11" i="25"/>
  <c r="M11" i="25"/>
  <c r="I8" i="25"/>
  <c r="O12" i="25" l="1"/>
  <c r="P12" i="25" s="1"/>
  <c r="O11" i="25"/>
  <c r="P11" i="25" s="1"/>
  <c r="J12" i="25"/>
  <c r="J11" i="25"/>
  <c r="L11" i="25"/>
  <c r="L12" i="25"/>
  <c r="N12" i="25" s="1"/>
  <c r="K8" i="25"/>
  <c r="H8" i="25"/>
  <c r="H10" i="25"/>
  <c r="I10" i="25"/>
  <c r="K10" i="25"/>
  <c r="M10" i="25"/>
  <c r="G11" i="22"/>
  <c r="G11" i="20"/>
  <c r="G15" i="20"/>
  <c r="G16" i="20"/>
  <c r="G17" i="20"/>
  <c r="G18" i="20"/>
  <c r="G19" i="20"/>
  <c r="G20" i="20"/>
  <c r="G21" i="20"/>
  <c r="G22" i="20"/>
  <c r="G23" i="20"/>
  <c r="G24" i="20"/>
  <c r="G25" i="20"/>
  <c r="G26" i="20"/>
  <c r="G27" i="20"/>
  <c r="G28" i="20"/>
  <c r="G29" i="20"/>
  <c r="G30" i="20"/>
  <c r="G31" i="20"/>
  <c r="G32" i="20"/>
  <c r="G33" i="20"/>
  <c r="G34" i="20"/>
  <c r="G35" i="20"/>
  <c r="G36" i="20"/>
  <c r="G37" i="20"/>
  <c r="G38" i="20"/>
  <c r="G39" i="20"/>
  <c r="G40" i="20"/>
  <c r="G41" i="20"/>
  <c r="G42" i="20"/>
  <c r="G43" i="20"/>
  <c r="G44" i="20"/>
  <c r="G45" i="20"/>
  <c r="G46" i="20"/>
  <c r="G47" i="20"/>
  <c r="G48" i="20"/>
  <c r="G49" i="20"/>
  <c r="G50" i="20"/>
  <c r="G51" i="20"/>
  <c r="G52" i="20"/>
  <c r="G53" i="20"/>
  <c r="G54" i="20"/>
  <c r="G55" i="20"/>
  <c r="G56" i="20"/>
  <c r="G57" i="20"/>
  <c r="G58" i="20"/>
  <c r="G59" i="20"/>
  <c r="G60" i="20"/>
  <c r="G61" i="20"/>
  <c r="G62" i="20"/>
  <c r="G63" i="20"/>
  <c r="G64" i="20"/>
  <c r="G65" i="20"/>
  <c r="G66" i="20"/>
  <c r="G67" i="20"/>
  <c r="G68" i="20"/>
  <c r="G69" i="20"/>
  <c r="G70" i="20"/>
  <c r="G71" i="20"/>
  <c r="G72" i="20"/>
  <c r="G73" i="20"/>
  <c r="G74" i="20"/>
  <c r="G75" i="20"/>
  <c r="G76" i="20"/>
  <c r="G77" i="20"/>
  <c r="G78" i="20"/>
  <c r="G79" i="20"/>
  <c r="G80" i="20"/>
  <c r="G81" i="20"/>
  <c r="G82" i="20"/>
  <c r="G83" i="20"/>
  <c r="G84" i="20"/>
  <c r="G85" i="20"/>
  <c r="G86" i="20"/>
  <c r="G87" i="20"/>
  <c r="G88" i="20"/>
  <c r="G89" i="20"/>
  <c r="G90" i="20"/>
  <c r="G91" i="20"/>
  <c r="G92" i="20"/>
  <c r="G93" i="20"/>
  <c r="G94" i="20"/>
  <c r="G95" i="20"/>
  <c r="G96" i="20"/>
  <c r="G97" i="20"/>
  <c r="G98" i="20"/>
  <c r="G99" i="20"/>
  <c r="G100" i="20"/>
  <c r="G101" i="20"/>
  <c r="G102" i="20"/>
  <c r="G103" i="20"/>
  <c r="G104" i="20"/>
  <c r="G105" i="20"/>
  <c r="G106" i="20"/>
  <c r="G107" i="20"/>
  <c r="G108" i="20"/>
  <c r="G109" i="20"/>
  <c r="G110" i="20"/>
  <c r="G111" i="20"/>
  <c r="G112" i="20"/>
  <c r="G113" i="20"/>
  <c r="G114" i="20"/>
  <c r="G115" i="20"/>
  <c r="G116" i="20"/>
  <c r="G117" i="20"/>
  <c r="G118" i="20"/>
  <c r="G119" i="20"/>
  <c r="G120" i="20"/>
  <c r="G121" i="20"/>
  <c r="G122" i="20"/>
  <c r="G123" i="20"/>
  <c r="G124" i="20"/>
  <c r="G125" i="20"/>
  <c r="G126" i="20"/>
  <c r="G127" i="20"/>
  <c r="G128" i="20"/>
  <c r="G129" i="20"/>
  <c r="G130" i="20"/>
  <c r="G131" i="20"/>
  <c r="G132" i="20"/>
  <c r="G133" i="20"/>
  <c r="G134" i="20"/>
  <c r="G135" i="20"/>
  <c r="G136" i="20"/>
  <c r="G137" i="20"/>
  <c r="G138" i="20"/>
  <c r="G139" i="20"/>
  <c r="G140" i="20"/>
  <c r="G141" i="20"/>
  <c r="G142" i="20"/>
  <c r="G143" i="20"/>
  <c r="G144" i="20"/>
  <c r="G145" i="20"/>
  <c r="G146" i="20"/>
  <c r="G147" i="20"/>
  <c r="G148" i="20"/>
  <c r="G149" i="20"/>
  <c r="G150" i="20"/>
  <c r="G151" i="20"/>
  <c r="G152" i="20"/>
  <c r="G153" i="20"/>
  <c r="G154" i="20"/>
  <c r="G155" i="20"/>
  <c r="G156" i="20"/>
  <c r="G157" i="20"/>
  <c r="G158" i="20"/>
  <c r="G159" i="20"/>
  <c r="G160" i="20"/>
  <c r="G161" i="20"/>
  <c r="G162" i="20"/>
  <c r="G163" i="20"/>
  <c r="G164" i="20"/>
  <c r="G165" i="20"/>
  <c r="G166" i="20"/>
  <c r="G167" i="20"/>
  <c r="G168" i="20"/>
  <c r="G169" i="20"/>
  <c r="G170" i="20"/>
  <c r="G171" i="20"/>
  <c r="G172" i="20"/>
  <c r="G173" i="20"/>
  <c r="Q12" i="25" l="1"/>
  <c r="O10" i="25"/>
  <c r="P10" i="25" s="1"/>
  <c r="N11" i="25"/>
  <c r="Q11" i="25" s="1"/>
  <c r="J10" i="25"/>
  <c r="N10" i="25" s="1"/>
  <c r="L10" i="25"/>
  <c r="D6" i="20"/>
  <c r="D7" i="20"/>
  <c r="D8" i="20"/>
  <c r="D9" i="20"/>
  <c r="D10" i="20"/>
  <c r="D11" i="20"/>
  <c r="D12" i="20"/>
  <c r="D13" i="20"/>
  <c r="D14" i="20"/>
  <c r="D15" i="20"/>
  <c r="D17" i="20"/>
  <c r="D18" i="20"/>
  <c r="D19" i="20"/>
  <c r="D20" i="20"/>
  <c r="D21" i="20"/>
  <c r="D22" i="20"/>
  <c r="D23" i="20"/>
  <c r="D24" i="20"/>
  <c r="D25" i="20"/>
  <c r="D26" i="20"/>
  <c r="D27" i="20"/>
  <c r="D28" i="20"/>
  <c r="D29" i="20"/>
  <c r="D30" i="20"/>
  <c r="D31" i="20"/>
  <c r="D32" i="20"/>
  <c r="D33" i="20"/>
  <c r="D34" i="20"/>
  <c r="D35" i="20"/>
  <c r="D36" i="20"/>
  <c r="D37" i="20"/>
  <c r="D38" i="20"/>
  <c r="D39" i="20"/>
  <c r="D40" i="20"/>
  <c r="D41" i="20"/>
  <c r="D42" i="20"/>
  <c r="D43" i="20"/>
  <c r="D44" i="20"/>
  <c r="D45" i="20"/>
  <c r="D46" i="20"/>
  <c r="D47" i="20"/>
  <c r="D48" i="20"/>
  <c r="D49" i="20"/>
  <c r="D50" i="20"/>
  <c r="D51" i="20"/>
  <c r="D52" i="20"/>
  <c r="D53" i="20"/>
  <c r="D54" i="20"/>
  <c r="D55" i="20"/>
  <c r="D56" i="20"/>
  <c r="D57" i="20"/>
  <c r="D58" i="20"/>
  <c r="D59" i="20"/>
  <c r="D60" i="20"/>
  <c r="D61" i="20"/>
  <c r="D62" i="20"/>
  <c r="D63" i="20"/>
  <c r="D64" i="20"/>
  <c r="D65" i="20"/>
  <c r="D66" i="20"/>
  <c r="D67" i="20"/>
  <c r="D68" i="20"/>
  <c r="D69" i="20"/>
  <c r="D70" i="20"/>
  <c r="D71" i="20"/>
  <c r="D72" i="20"/>
  <c r="D73" i="20"/>
  <c r="D74" i="20"/>
  <c r="D75" i="20"/>
  <c r="D76" i="20"/>
  <c r="D77" i="20"/>
  <c r="D78" i="20"/>
  <c r="D79" i="20"/>
  <c r="D80" i="20"/>
  <c r="D81" i="20"/>
  <c r="D82" i="20"/>
  <c r="D83" i="20"/>
  <c r="D84" i="20"/>
  <c r="D85" i="20"/>
  <c r="D86" i="20"/>
  <c r="D87" i="20"/>
  <c r="D88" i="20"/>
  <c r="D89" i="20"/>
  <c r="D90" i="20"/>
  <c r="D91" i="20"/>
  <c r="D92" i="20"/>
  <c r="D93" i="20"/>
  <c r="D94" i="20"/>
  <c r="D95" i="20"/>
  <c r="D96" i="20"/>
  <c r="D97" i="20"/>
  <c r="D98" i="20"/>
  <c r="D99" i="20"/>
  <c r="D100" i="20"/>
  <c r="D101" i="20"/>
  <c r="D102" i="20"/>
  <c r="D103" i="20"/>
  <c r="D104" i="20"/>
  <c r="D105" i="20"/>
  <c r="D106" i="20"/>
  <c r="D107" i="20"/>
  <c r="D108" i="20"/>
  <c r="D109" i="20"/>
  <c r="D110" i="20"/>
  <c r="D111" i="20"/>
  <c r="D112" i="20"/>
  <c r="D113" i="20"/>
  <c r="D114" i="20"/>
  <c r="D115" i="20"/>
  <c r="D116" i="20"/>
  <c r="D117" i="20"/>
  <c r="D118" i="20"/>
  <c r="D119" i="20"/>
  <c r="D120" i="20"/>
  <c r="D121" i="20"/>
  <c r="D122" i="20"/>
  <c r="D123" i="20"/>
  <c r="D124" i="20"/>
  <c r="D125" i="20"/>
  <c r="D126" i="20"/>
  <c r="D127" i="20"/>
  <c r="D128" i="20"/>
  <c r="D129" i="20"/>
  <c r="D130" i="20"/>
  <c r="D131" i="20"/>
  <c r="D132" i="20"/>
  <c r="D133" i="20"/>
  <c r="D134" i="20"/>
  <c r="D135" i="20"/>
  <c r="D136" i="20"/>
  <c r="D137" i="20"/>
  <c r="D138" i="20"/>
  <c r="D139" i="20"/>
  <c r="D140" i="20"/>
  <c r="D141" i="20"/>
  <c r="D142" i="20"/>
  <c r="D143" i="20"/>
  <c r="D144" i="20"/>
  <c r="D145" i="20"/>
  <c r="D146" i="20"/>
  <c r="D147" i="20"/>
  <c r="D148" i="20"/>
  <c r="D149" i="20"/>
  <c r="D150" i="20"/>
  <c r="D151" i="20"/>
  <c r="D152" i="20"/>
  <c r="D153" i="20"/>
  <c r="D154" i="20"/>
  <c r="D155" i="20"/>
  <c r="D156" i="20"/>
  <c r="D157" i="20"/>
  <c r="D158" i="20"/>
  <c r="D159" i="20"/>
  <c r="D160" i="20"/>
  <c r="D161" i="20"/>
  <c r="D162" i="20"/>
  <c r="D163" i="20"/>
  <c r="D164" i="20"/>
  <c r="D165" i="20"/>
  <c r="D166" i="20"/>
  <c r="D167" i="20"/>
  <c r="D168" i="20"/>
  <c r="D169" i="20"/>
  <c r="D170" i="20"/>
  <c r="D171" i="20"/>
  <c r="D172" i="20"/>
  <c r="D173" i="20"/>
  <c r="I9" i="25"/>
  <c r="L8" i="25"/>
  <c r="Q10" i="25" l="1"/>
  <c r="M4" i="25"/>
  <c r="J8" i="25"/>
  <c r="L9" i="25"/>
  <c r="J9" i="25" l="1"/>
  <c r="AA9" i="30" l="1"/>
  <c r="AB9" i="30" s="1"/>
  <c r="AD9" i="30"/>
  <c r="AF9" i="30" l="1"/>
  <c r="M8" i="25"/>
  <c r="O8" i="25" s="1"/>
  <c r="O4" i="25" s="1"/>
  <c r="M9" i="25"/>
  <c r="O9" i="25" s="1"/>
  <c r="K9" i="25"/>
  <c r="N9" i="25" s="1"/>
  <c r="N8" i="25"/>
  <c r="P10" i="9" l="1"/>
  <c r="Q10" i="9"/>
  <c r="H10" i="11"/>
  <c r="Q8" i="25"/>
  <c r="DH122" i="13"/>
  <c r="DI122" i="13"/>
  <c r="DJ122" i="13"/>
  <c r="DK122" i="13"/>
  <c r="DL122" i="13"/>
  <c r="DM122" i="13"/>
  <c r="DF123" i="13"/>
  <c r="DG123" i="13"/>
  <c r="DH123" i="13"/>
  <c r="DI123" i="13"/>
  <c r="DJ123" i="13"/>
  <c r="DK123" i="13"/>
  <c r="DL123" i="13"/>
  <c r="DM123" i="13"/>
  <c r="DF124" i="13"/>
  <c r="DG124" i="13"/>
  <c r="DH124" i="13"/>
  <c r="DI124" i="13"/>
  <c r="DJ124" i="13"/>
  <c r="DK124" i="13"/>
  <c r="DL124" i="13"/>
  <c r="DM124" i="13"/>
  <c r="DF125" i="13"/>
  <c r="DG125" i="13"/>
  <c r="DH125" i="13"/>
  <c r="DI125" i="13"/>
  <c r="DJ125" i="13"/>
  <c r="DK125" i="13"/>
  <c r="DL125" i="13"/>
  <c r="DM125" i="13"/>
  <c r="DF126" i="13"/>
  <c r="DG126" i="13"/>
  <c r="DH126" i="13"/>
  <c r="DI126" i="13"/>
  <c r="DJ126" i="13"/>
  <c r="DK126" i="13"/>
  <c r="DL126" i="13"/>
  <c r="DM126" i="13"/>
  <c r="DF127" i="13"/>
  <c r="DG127" i="13"/>
  <c r="DH127" i="13"/>
  <c r="DI127" i="13"/>
  <c r="DJ127" i="13"/>
  <c r="DK127" i="13"/>
  <c r="DL127" i="13"/>
  <c r="DM127" i="13"/>
  <c r="DF128" i="13"/>
  <c r="DG128" i="13"/>
  <c r="DH128" i="13"/>
  <c r="DI128" i="13"/>
  <c r="DJ128" i="13"/>
  <c r="DK128" i="13"/>
  <c r="DL128" i="13"/>
  <c r="DM128" i="13"/>
  <c r="DF129" i="13"/>
  <c r="DG129" i="13"/>
  <c r="DH129" i="13"/>
  <c r="DI129" i="13"/>
  <c r="DJ129" i="13"/>
  <c r="DK129" i="13"/>
  <c r="DL129" i="13"/>
  <c r="DM129" i="13"/>
  <c r="DF130" i="13"/>
  <c r="DG130" i="13"/>
  <c r="DH130" i="13"/>
  <c r="DI130" i="13"/>
  <c r="DJ130" i="13"/>
  <c r="DK130" i="13"/>
  <c r="DL130" i="13"/>
  <c r="DM130" i="13"/>
  <c r="DF131" i="13"/>
  <c r="DG131" i="13"/>
  <c r="DH131" i="13"/>
  <c r="DI131" i="13"/>
  <c r="DJ131" i="13"/>
  <c r="DK131" i="13"/>
  <c r="DL131" i="13"/>
  <c r="DM131" i="13"/>
  <c r="DF132" i="13"/>
  <c r="DG132" i="13"/>
  <c r="DH132" i="13"/>
  <c r="DI132" i="13"/>
  <c r="DJ132" i="13"/>
  <c r="DK132" i="13"/>
  <c r="DL132" i="13"/>
  <c r="DM132" i="13"/>
  <c r="DF133" i="13"/>
  <c r="DG133" i="13"/>
  <c r="DH133" i="13"/>
  <c r="DI133" i="13"/>
  <c r="DJ133" i="13"/>
  <c r="DK133" i="13"/>
  <c r="DL133" i="13"/>
  <c r="DM133" i="13"/>
  <c r="P9" i="25" l="1"/>
  <c r="Q9" i="25"/>
  <c r="P8" i="25"/>
  <c r="T10" i="9"/>
  <c r="E10" i="23"/>
  <c r="F11" i="22"/>
  <c r="R10" i="9" l="1"/>
  <c r="G13" i="20"/>
  <c r="V10" i="9"/>
  <c r="U10" i="9"/>
  <c r="G14" i="20" l="1"/>
  <c r="W10" i="9"/>
  <c r="Y10" i="9"/>
  <c r="X10" i="9"/>
  <c r="F10" i="23" l="1"/>
  <c r="G10" i="23" s="1"/>
  <c r="G6" i="20" s="1"/>
  <c r="H6" i="20" s="1"/>
  <c r="H11" i="22" l="1"/>
  <c r="G7" i="20" s="1"/>
  <c r="C11" i="12"/>
  <c r="C8" i="12" s="1"/>
  <c r="H99" i="20"/>
  <c r="H100" i="20"/>
  <c r="H101" i="20"/>
  <c r="H102" i="20"/>
  <c r="H103" i="20"/>
  <c r="H104" i="20"/>
  <c r="H105" i="20"/>
  <c r="H106" i="20"/>
  <c r="H107" i="20"/>
  <c r="H108" i="20"/>
  <c r="H109" i="20"/>
  <c r="H110" i="20"/>
  <c r="H111" i="20"/>
  <c r="H112" i="20"/>
  <c r="H113" i="20"/>
  <c r="H114" i="20"/>
  <c r="H115" i="20"/>
  <c r="H116" i="20"/>
  <c r="H117" i="20"/>
  <c r="H118" i="20"/>
  <c r="H119" i="20"/>
  <c r="H120" i="20"/>
  <c r="H121" i="20"/>
  <c r="H122" i="20"/>
  <c r="H123" i="20"/>
  <c r="H124" i="20"/>
  <c r="H125" i="20"/>
  <c r="H126" i="20"/>
  <c r="H127" i="20"/>
  <c r="H128" i="20"/>
  <c r="H129" i="20"/>
  <c r="H130" i="20"/>
  <c r="H131" i="20"/>
  <c r="H132" i="20"/>
  <c r="H133" i="20"/>
  <c r="H134" i="20"/>
  <c r="H135" i="20"/>
  <c r="H136" i="20"/>
  <c r="H137" i="20"/>
  <c r="H138" i="20"/>
  <c r="H139" i="20"/>
  <c r="H140" i="20"/>
  <c r="H141" i="20"/>
  <c r="H142" i="20"/>
  <c r="H143" i="20"/>
  <c r="H144" i="20"/>
  <c r="H145" i="20"/>
  <c r="H146" i="20"/>
  <c r="H147" i="20"/>
  <c r="H148" i="20"/>
  <c r="H149" i="20"/>
  <c r="H150" i="20"/>
  <c r="H151" i="20"/>
  <c r="H152" i="20"/>
  <c r="H153" i="20"/>
  <c r="H154" i="20"/>
  <c r="H155" i="20"/>
  <c r="H156" i="20"/>
  <c r="H157" i="20"/>
  <c r="H158" i="20"/>
  <c r="H159" i="20"/>
  <c r="H160" i="20"/>
  <c r="H161" i="20"/>
  <c r="H162" i="20"/>
  <c r="H163" i="20"/>
  <c r="H164" i="20"/>
  <c r="H165" i="20"/>
  <c r="H166" i="20"/>
  <c r="H167" i="20"/>
  <c r="H168" i="20"/>
  <c r="H169" i="20"/>
  <c r="H170" i="20"/>
  <c r="H171" i="20"/>
  <c r="H172" i="20"/>
  <c r="H173" i="20"/>
  <c r="I99" i="20"/>
  <c r="I100" i="20"/>
  <c r="I101" i="20"/>
  <c r="I102" i="20"/>
  <c r="I103" i="20"/>
  <c r="I104" i="20"/>
  <c r="I105" i="20"/>
  <c r="I106" i="20"/>
  <c r="I107" i="20"/>
  <c r="I108" i="20"/>
  <c r="I109" i="20"/>
  <c r="I110" i="20"/>
  <c r="I111" i="20"/>
  <c r="I112" i="20"/>
  <c r="I113" i="20"/>
  <c r="I114" i="20"/>
  <c r="I115" i="20"/>
  <c r="I116" i="20"/>
  <c r="I117" i="20"/>
  <c r="I118" i="20"/>
  <c r="I119" i="20"/>
  <c r="I120" i="20"/>
  <c r="I121" i="20"/>
  <c r="I122" i="20"/>
  <c r="I123" i="20"/>
  <c r="I124" i="20"/>
  <c r="I125" i="20"/>
  <c r="I126" i="20"/>
  <c r="I127" i="20"/>
  <c r="I128" i="20"/>
  <c r="I129" i="20"/>
  <c r="I130" i="20"/>
  <c r="I131" i="20"/>
  <c r="I132" i="20"/>
  <c r="I133" i="20"/>
  <c r="I134" i="20"/>
  <c r="I135" i="20"/>
  <c r="I136" i="20"/>
  <c r="I137" i="20"/>
  <c r="I138" i="20"/>
  <c r="I139" i="20"/>
  <c r="I140" i="20"/>
  <c r="I141" i="20"/>
  <c r="I142" i="20"/>
  <c r="I143" i="20"/>
  <c r="I144" i="20"/>
  <c r="I145" i="20"/>
  <c r="I146" i="20"/>
  <c r="I147" i="20"/>
  <c r="I148" i="20"/>
  <c r="I149" i="20"/>
  <c r="I150" i="20"/>
  <c r="I151" i="20"/>
  <c r="I152" i="20"/>
  <c r="I153" i="20"/>
  <c r="I154" i="20"/>
  <c r="I155" i="20"/>
  <c r="I156" i="20"/>
  <c r="I157" i="20"/>
  <c r="I158" i="20"/>
  <c r="I159" i="20"/>
  <c r="I160" i="20"/>
  <c r="I161" i="20"/>
  <c r="I162" i="20"/>
  <c r="I163" i="20"/>
  <c r="I164" i="20"/>
  <c r="I165" i="20"/>
  <c r="I166" i="20"/>
  <c r="I167" i="20"/>
  <c r="I168" i="20"/>
  <c r="I169" i="20"/>
  <c r="I170" i="20"/>
  <c r="I171" i="20"/>
  <c r="I172" i="20"/>
  <c r="I173" i="20"/>
  <c r="AD3" i="13"/>
  <c r="AE3" i="13"/>
  <c r="AF3" i="13"/>
  <c r="AG3" i="13"/>
  <c r="AH3" i="13"/>
  <c r="AI3" i="13"/>
  <c r="H92" i="20"/>
  <c r="H93" i="20"/>
  <c r="H94" i="20"/>
  <c r="H95" i="20"/>
  <c r="H96" i="20"/>
  <c r="H97" i="20"/>
  <c r="H98" i="20"/>
  <c r="I92" i="20"/>
  <c r="I93" i="20"/>
  <c r="I94" i="20"/>
  <c r="I95" i="20"/>
  <c r="I96" i="20"/>
  <c r="I97" i="20"/>
  <c r="I98" i="20"/>
  <c r="H81" i="20"/>
  <c r="H82" i="20"/>
  <c r="H83" i="20"/>
  <c r="H84" i="20"/>
  <c r="H85" i="20"/>
  <c r="H86" i="20"/>
  <c r="H87" i="20"/>
  <c r="H88" i="20"/>
  <c r="H89" i="20"/>
  <c r="H90" i="20"/>
  <c r="H91" i="20"/>
  <c r="I81" i="20"/>
  <c r="I82" i="20"/>
  <c r="I83" i="20"/>
  <c r="I84" i="20"/>
  <c r="I85" i="20"/>
  <c r="I86" i="20"/>
  <c r="I87" i="20"/>
  <c r="I88" i="20"/>
  <c r="I89" i="20"/>
  <c r="I90" i="20"/>
  <c r="I91" i="20"/>
  <c r="H67" i="20"/>
  <c r="H68" i="20"/>
  <c r="H69" i="20"/>
  <c r="H70" i="20"/>
  <c r="H71" i="20"/>
  <c r="H72" i="20"/>
  <c r="H73" i="20"/>
  <c r="H74" i="20"/>
  <c r="H75" i="20"/>
  <c r="H76" i="20"/>
  <c r="H77" i="20"/>
  <c r="H78" i="20"/>
  <c r="H79" i="20"/>
  <c r="H80" i="20"/>
  <c r="I67" i="20"/>
  <c r="I68" i="20"/>
  <c r="I69" i="20"/>
  <c r="I70" i="20"/>
  <c r="I71" i="20"/>
  <c r="I72" i="20"/>
  <c r="I73" i="20"/>
  <c r="I74" i="20"/>
  <c r="I75" i="20"/>
  <c r="I76" i="20"/>
  <c r="I77" i="20"/>
  <c r="I78" i="20"/>
  <c r="I79" i="20"/>
  <c r="I80" i="20"/>
  <c r="H49" i="20"/>
  <c r="H50" i="20"/>
  <c r="H51" i="20"/>
  <c r="H52" i="20"/>
  <c r="H53" i="20"/>
  <c r="H54" i="20"/>
  <c r="H55" i="20"/>
  <c r="H56" i="20"/>
  <c r="H57" i="20"/>
  <c r="H58" i="20"/>
  <c r="H59" i="20"/>
  <c r="H60" i="20"/>
  <c r="H61" i="20"/>
  <c r="H62" i="20"/>
  <c r="H63" i="20"/>
  <c r="H64" i="20"/>
  <c r="H65" i="20"/>
  <c r="H66" i="20"/>
  <c r="I49" i="20"/>
  <c r="I50" i="20"/>
  <c r="I51" i="20"/>
  <c r="I52" i="20"/>
  <c r="I53" i="20"/>
  <c r="I54" i="20"/>
  <c r="I55" i="20"/>
  <c r="I56" i="20"/>
  <c r="I57" i="20"/>
  <c r="I58" i="20"/>
  <c r="I59" i="20"/>
  <c r="I60" i="20"/>
  <c r="I61" i="20"/>
  <c r="I62" i="20"/>
  <c r="I63" i="20"/>
  <c r="I64" i="20"/>
  <c r="I65" i="20"/>
  <c r="I66" i="20"/>
  <c r="G10" i="20" l="1"/>
  <c r="C9" i="12"/>
  <c r="BA3" i="13"/>
  <c r="I12" i="20"/>
  <c r="I13" i="20"/>
  <c r="I14" i="20"/>
  <c r="I15" i="20"/>
  <c r="I16" i="20"/>
  <c r="I17" i="20"/>
  <c r="I18" i="20"/>
  <c r="I19" i="20"/>
  <c r="I20" i="20"/>
  <c r="I21" i="20"/>
  <c r="I22" i="20"/>
  <c r="I23" i="20"/>
  <c r="I24" i="20"/>
  <c r="I25" i="20"/>
  <c r="I26" i="20"/>
  <c r="I27" i="20"/>
  <c r="I28" i="20"/>
  <c r="I29" i="20"/>
  <c r="I30" i="20"/>
  <c r="I31" i="20"/>
  <c r="I32" i="20"/>
  <c r="I33" i="20"/>
  <c r="I34" i="20"/>
  <c r="I35" i="20"/>
  <c r="I36" i="20"/>
  <c r="I37" i="20"/>
  <c r="I38" i="20"/>
  <c r="I39" i="20"/>
  <c r="I40" i="20"/>
  <c r="I41" i="20"/>
  <c r="I42" i="20"/>
  <c r="I43" i="20"/>
  <c r="I44" i="20"/>
  <c r="I45" i="20"/>
  <c r="I46" i="20"/>
  <c r="I47" i="20"/>
  <c r="I48" i="20"/>
  <c r="H12" i="20"/>
  <c r="H13" i="20"/>
  <c r="H14" i="20"/>
  <c r="H15" i="20"/>
  <c r="H16" i="20"/>
  <c r="H17" i="20"/>
  <c r="H18" i="20"/>
  <c r="H19" i="20"/>
  <c r="H20" i="20"/>
  <c r="H21" i="20"/>
  <c r="H22" i="20"/>
  <c r="H23" i="20"/>
  <c r="H24" i="20"/>
  <c r="H25" i="20"/>
  <c r="H26" i="20"/>
  <c r="H27" i="20"/>
  <c r="H28" i="20"/>
  <c r="H29" i="20"/>
  <c r="H30" i="20"/>
  <c r="H31" i="20"/>
  <c r="H32" i="20"/>
  <c r="H33" i="20"/>
  <c r="H34" i="20"/>
  <c r="H35" i="20"/>
  <c r="H36" i="20"/>
  <c r="H37" i="20"/>
  <c r="H38" i="20"/>
  <c r="H39" i="20"/>
  <c r="H40" i="20"/>
  <c r="H41" i="20"/>
  <c r="H42" i="20"/>
  <c r="H43" i="20"/>
  <c r="H44" i="20"/>
  <c r="H45" i="20"/>
  <c r="H46" i="20"/>
  <c r="H47" i="20"/>
  <c r="H48" i="20"/>
  <c r="H12" i="19" l="1"/>
  <c r="I12" i="19" s="1"/>
  <c r="K12" i="19" l="1"/>
  <c r="G12" i="20" s="1"/>
  <c r="H11" i="20" l="1"/>
  <c r="I11" i="20"/>
  <c r="H10" i="20"/>
  <c r="I10" i="20"/>
  <c r="BB4" i="13"/>
  <c r="AV25" i="13" s="1"/>
  <c r="BB5" i="13"/>
  <c r="AV26" i="13" s="1"/>
  <c r="BB6" i="13"/>
  <c r="AV27" i="13" s="1"/>
  <c r="BB7" i="13"/>
  <c r="AV28" i="13" s="1"/>
  <c r="BB8" i="13"/>
  <c r="AV29" i="13" s="1"/>
  <c r="BB9" i="13"/>
  <c r="AV30" i="13" s="1"/>
  <c r="BB10" i="13"/>
  <c r="AV31" i="13" s="1"/>
  <c r="BB11" i="13"/>
  <c r="AV32" i="13" s="1"/>
  <c r="BB12" i="13"/>
  <c r="AV33" i="13" s="1"/>
  <c r="BB13" i="13"/>
  <c r="AV34" i="13" s="1"/>
  <c r="BB14" i="13"/>
  <c r="AV35" i="13" s="1"/>
  <c r="BB3" i="13"/>
  <c r="AV24" i="13" s="1"/>
  <c r="BA4" i="13"/>
  <c r="AU25" i="13" s="1"/>
  <c r="BA5" i="13"/>
  <c r="AU26" i="13" s="1"/>
  <c r="BA6" i="13"/>
  <c r="AU27" i="13" s="1"/>
  <c r="BA7" i="13"/>
  <c r="AU28" i="13" s="1"/>
  <c r="BA8" i="13"/>
  <c r="AU29" i="13" s="1"/>
  <c r="BA9" i="13"/>
  <c r="AU30" i="13" s="1"/>
  <c r="BA10" i="13"/>
  <c r="AU31" i="13" s="1"/>
  <c r="BA11" i="13"/>
  <c r="AU32" i="13" s="1"/>
  <c r="BA12" i="13"/>
  <c r="AU33" i="13" s="1"/>
  <c r="BA13" i="13"/>
  <c r="AU34" i="13" s="1"/>
  <c r="BA14" i="13"/>
  <c r="AU35" i="13" s="1"/>
  <c r="AU24" i="13"/>
  <c r="G16" i="12" l="1"/>
  <c r="H16" i="12" s="1"/>
  <c r="G9" i="20" s="1"/>
  <c r="I9" i="20" l="1"/>
  <c r="H9" i="20"/>
  <c r="C15" i="6"/>
  <c r="C19" i="6"/>
  <c r="B25" i="5"/>
  <c r="B37" i="5" s="1"/>
  <c r="F15" i="7" l="1"/>
  <c r="J41" i="15" l="1"/>
  <c r="J11" i="16"/>
  <c r="I6" i="20" l="1"/>
  <c r="P3" i="15" l="1"/>
  <c r="B3" i="15"/>
  <c r="X41" i="15"/>
  <c r="R42" i="15"/>
  <c r="Q42" i="15"/>
  <c r="P42" i="15"/>
  <c r="R41" i="15"/>
  <c r="Q41" i="15"/>
  <c r="P41" i="15"/>
  <c r="R40" i="15"/>
  <c r="Q40" i="15"/>
  <c r="P40" i="15"/>
  <c r="R39" i="15"/>
  <c r="Q39" i="15"/>
  <c r="P39" i="15"/>
  <c r="B40" i="15"/>
  <c r="C40" i="15"/>
  <c r="D40" i="15"/>
  <c r="B41" i="15"/>
  <c r="C41" i="15"/>
  <c r="D41" i="15"/>
  <c r="B42" i="15"/>
  <c r="C42" i="15"/>
  <c r="D42" i="15"/>
  <c r="C39" i="15"/>
  <c r="D39" i="15"/>
  <c r="B39" i="15"/>
  <c r="AE4" i="13" l="1"/>
  <c r="AF4" i="13"/>
  <c r="AG4" i="13"/>
  <c r="AH4" i="13"/>
  <c r="AI4" i="13"/>
  <c r="AE5" i="13"/>
  <c r="AF5" i="13"/>
  <c r="AG5" i="13"/>
  <c r="AH5" i="13"/>
  <c r="AI5" i="13"/>
  <c r="AE6" i="13"/>
  <c r="AF6" i="13"/>
  <c r="AG6" i="13"/>
  <c r="AH6" i="13"/>
  <c r="AI6" i="13"/>
  <c r="AE7" i="13"/>
  <c r="AF7" i="13"/>
  <c r="AG7" i="13"/>
  <c r="AH7" i="13"/>
  <c r="AI7" i="13"/>
  <c r="AE8" i="13"/>
  <c r="AF8" i="13"/>
  <c r="AG8" i="13"/>
  <c r="AH8" i="13"/>
  <c r="AI8" i="13"/>
  <c r="AE9" i="13"/>
  <c r="AF9" i="13"/>
  <c r="AG9" i="13"/>
  <c r="AH9" i="13"/>
  <c r="AI9" i="13"/>
  <c r="AE10" i="13"/>
  <c r="AF10" i="13"/>
  <c r="AG10" i="13"/>
  <c r="AH10" i="13"/>
  <c r="AI10" i="13"/>
  <c r="AE11" i="13"/>
  <c r="AF11" i="13"/>
  <c r="AG11" i="13"/>
  <c r="AH11" i="13"/>
  <c r="AI11" i="13"/>
  <c r="AE12" i="13"/>
  <c r="AF12" i="13"/>
  <c r="AG12" i="13"/>
  <c r="AH12" i="13"/>
  <c r="AI12" i="13"/>
  <c r="AE13" i="13"/>
  <c r="AF13" i="13"/>
  <c r="AG13" i="13"/>
  <c r="AH13" i="13"/>
  <c r="AI13" i="13"/>
  <c r="AE14" i="13"/>
  <c r="AF14" i="13"/>
  <c r="AG14" i="13"/>
  <c r="AH14" i="13"/>
  <c r="AI14" i="13"/>
  <c r="AD14" i="13"/>
  <c r="AD13" i="13"/>
  <c r="AD12" i="13"/>
  <c r="AD11" i="13"/>
  <c r="AD10" i="13"/>
  <c r="AD9" i="13"/>
  <c r="AD8" i="13"/>
  <c r="AD7" i="13"/>
  <c r="AD6" i="13"/>
  <c r="AD5" i="13"/>
  <c r="AD4" i="13"/>
  <c r="H8" i="11"/>
  <c r="G10" i="11"/>
  <c r="I10" i="11" s="1"/>
  <c r="J10" i="11" s="1"/>
  <c r="G8" i="20" l="1"/>
  <c r="H8" i="20"/>
  <c r="I8" i="20"/>
  <c r="F16" i="7" l="1"/>
  <c r="F17" i="7"/>
  <c r="F18" i="7"/>
  <c r="F19" i="7"/>
  <c r="F20" i="7"/>
  <c r="F14" i="7"/>
  <c r="H7" i="20" l="1"/>
  <c r="I7" i="20"/>
  <c r="D17" i="5"/>
  <c r="D14" i="5"/>
  <c r="B61" i="5"/>
  <c r="B48" i="5" s="1"/>
  <c r="B49" i="5" s="1"/>
  <c r="D61" i="5"/>
  <c r="D48" i="5" s="1"/>
  <c r="C12" i="6"/>
  <c r="C61" i="5" s="1"/>
  <c r="C48" i="5" s="1"/>
  <c r="C6" i="6"/>
  <c r="E61" i="5" s="1"/>
  <c r="E48" i="5" s="1"/>
  <c r="N9" i="5"/>
  <c r="O9" i="5" s="1"/>
  <c r="N8" i="5"/>
  <c r="O8" i="5" s="1"/>
  <c r="N7" i="5"/>
  <c r="O7" i="5" s="1"/>
  <c r="N6" i="5"/>
  <c r="O6" i="5" s="1"/>
  <c r="N5" i="5"/>
  <c r="O5" i="5" s="1"/>
  <c r="N4" i="5"/>
  <c r="O4" i="5" s="1"/>
  <c r="N3" i="5"/>
  <c r="O3" i="5" s="1"/>
  <c r="E31" i="5" l="1"/>
  <c r="E43" i="5" s="1"/>
  <c r="B31" i="5"/>
  <c r="B43" i="5" s="1"/>
  <c r="E30" i="5"/>
  <c r="E42" i="5" s="1"/>
  <c r="C30" i="5"/>
  <c r="C42" i="5" s="1"/>
  <c r="B30" i="5"/>
  <c r="B42" i="5" s="1"/>
  <c r="E29" i="5"/>
  <c r="E41" i="5" s="1"/>
  <c r="C29" i="5"/>
  <c r="C41" i="5" s="1"/>
  <c r="B29" i="5"/>
  <c r="B41" i="5" s="1"/>
  <c r="E28" i="5"/>
  <c r="E40" i="5" s="1"/>
  <c r="C28" i="5"/>
  <c r="C40" i="5" s="1"/>
  <c r="B28" i="5"/>
  <c r="B40" i="5" s="1"/>
  <c r="E27" i="5"/>
  <c r="E39" i="5" s="1"/>
  <c r="C27" i="5"/>
  <c r="C39" i="5" s="1"/>
  <c r="B27" i="5"/>
  <c r="B39" i="5" s="1"/>
  <c r="E26" i="5"/>
  <c r="E38" i="5" s="1"/>
  <c r="C26" i="5"/>
  <c r="C38" i="5" s="1"/>
  <c r="B26" i="5"/>
  <c r="B38" i="5" s="1"/>
  <c r="E25" i="5"/>
  <c r="E37" i="5" s="1"/>
  <c r="C25" i="5"/>
  <c r="C37" i="5" s="1"/>
  <c r="E20" i="5"/>
  <c r="D20" i="5"/>
  <c r="D31" i="5" s="1"/>
  <c r="D43" i="5" s="1"/>
  <c r="C20" i="5"/>
  <c r="C31" i="5" s="1"/>
  <c r="C43" i="5" s="1"/>
  <c r="B20" i="5"/>
  <c r="E19" i="5"/>
  <c r="D19" i="5"/>
  <c r="D30" i="5" s="1"/>
  <c r="D42" i="5" s="1"/>
  <c r="B19" i="5"/>
  <c r="E18" i="5"/>
  <c r="D18" i="5"/>
  <c r="D29" i="5" s="1"/>
  <c r="D41" i="5" s="1"/>
  <c r="B18" i="5"/>
  <c r="E17" i="5"/>
  <c r="B17" i="5"/>
  <c r="E16" i="5"/>
  <c r="D16" i="5"/>
  <c r="D27" i="5" s="1"/>
  <c r="D39" i="5" s="1"/>
  <c r="B16" i="5"/>
  <c r="E15" i="5"/>
  <c r="D15" i="5"/>
  <c r="D26" i="5" s="1"/>
  <c r="D38" i="5" s="1"/>
  <c r="B15" i="5"/>
  <c r="E14" i="5"/>
  <c r="B14" i="5"/>
  <c r="D28" i="5"/>
  <c r="E10" i="5"/>
  <c r="D10" i="5"/>
  <c r="C10" i="5"/>
  <c r="B10" i="5"/>
  <c r="F9" i="5"/>
  <c r="F8" i="5"/>
  <c r="F7" i="5"/>
  <c r="F6" i="5"/>
  <c r="F5" i="5"/>
  <c r="F4" i="5"/>
  <c r="F3" i="5"/>
  <c r="B21" i="5" l="1"/>
  <c r="B44" i="5"/>
  <c r="F27" i="5"/>
  <c r="F15" i="5"/>
  <c r="F10" i="5"/>
  <c r="D25" i="5"/>
  <c r="D37" i="5" s="1"/>
  <c r="F19" i="5"/>
  <c r="F29" i="5"/>
  <c r="F26" i="5"/>
  <c r="E21" i="5"/>
  <c r="E32" i="5"/>
  <c r="F30" i="5"/>
  <c r="F17" i="5"/>
  <c r="F31" i="5"/>
  <c r="D51" i="5"/>
  <c r="C32" i="5"/>
  <c r="B32" i="5"/>
  <c r="C21" i="5"/>
  <c r="F16" i="5"/>
  <c r="F18" i="5"/>
  <c r="F20" i="5"/>
  <c r="F25" i="5" l="1"/>
  <c r="D32" i="5"/>
  <c r="D40" i="5"/>
  <c r="B51" i="5"/>
  <c r="B53" i="5"/>
  <c r="D21" i="5"/>
  <c r="F14" i="5"/>
  <c r="F21" i="5" s="1"/>
  <c r="F28" i="5"/>
  <c r="C51" i="5"/>
  <c r="D54" i="5"/>
  <c r="D53" i="5"/>
  <c r="D50" i="5"/>
  <c r="F32" i="5" l="1"/>
  <c r="G25" i="5" s="1"/>
  <c r="C49" i="5"/>
  <c r="C50" i="5"/>
  <c r="C53" i="5"/>
  <c r="E51" i="5"/>
  <c r="F51" i="5" s="1"/>
  <c r="E54" i="5"/>
  <c r="B50" i="5"/>
  <c r="B54" i="5"/>
  <c r="D52" i="5"/>
  <c r="E55" i="5"/>
  <c r="D49" i="5"/>
  <c r="D55" i="5"/>
  <c r="B55" i="5"/>
  <c r="G51" i="5" l="1"/>
  <c r="H51" i="5" s="1"/>
  <c r="J51" i="5" s="1"/>
  <c r="I51" i="5" s="1"/>
  <c r="D56" i="5"/>
  <c r="E50" i="5"/>
  <c r="F50" i="5" s="1"/>
  <c r="G50" i="5" s="1"/>
  <c r="F39" i="5"/>
  <c r="E53" i="5"/>
  <c r="F53" i="5" s="1"/>
  <c r="B52" i="5"/>
  <c r="B56" i="5" s="1"/>
  <c r="C52" i="5"/>
  <c r="E33" i="5"/>
  <c r="G28" i="5"/>
  <c r="G26" i="5"/>
  <c r="G31" i="5"/>
  <c r="C33" i="5"/>
  <c r="G29" i="5"/>
  <c r="B33" i="5"/>
  <c r="G30" i="5"/>
  <c r="G27" i="5"/>
  <c r="D33" i="5"/>
  <c r="C55" i="5"/>
  <c r="E49" i="5"/>
  <c r="D44" i="5"/>
  <c r="F37" i="5"/>
  <c r="G53" i="5" l="1"/>
  <c r="H53" i="5" s="1"/>
  <c r="J53" i="5" s="1"/>
  <c r="I53" i="5" s="1"/>
  <c r="C54" i="5"/>
  <c r="F54" i="5" s="1"/>
  <c r="F38" i="5"/>
  <c r="H50" i="5"/>
  <c r="J50" i="5" s="1"/>
  <c r="I50" i="5" s="1"/>
  <c r="F41" i="5"/>
  <c r="E52" i="5"/>
  <c r="E56" i="5" s="1"/>
  <c r="C44" i="5"/>
  <c r="F42" i="5"/>
  <c r="F43" i="5"/>
  <c r="F49" i="5"/>
  <c r="G49" i="5" s="1"/>
  <c r="F55" i="5"/>
  <c r="G55" i="5" l="1"/>
  <c r="H55" i="5" s="1"/>
  <c r="J55" i="5" s="1"/>
  <c r="I55" i="5" s="1"/>
  <c r="G54" i="5"/>
  <c r="H54" i="5" s="1"/>
  <c r="J54" i="5" s="1"/>
  <c r="I54" i="5" s="1"/>
  <c r="C56" i="5"/>
  <c r="H49" i="5"/>
  <c r="F40" i="5"/>
  <c r="F44" i="5" s="1"/>
  <c r="F52" i="5"/>
  <c r="G52" i="5" s="1"/>
  <c r="E44" i="5"/>
  <c r="J49" i="5" l="1"/>
  <c r="I49" i="5" s="1"/>
  <c r="H52" i="5"/>
  <c r="J52" i="5" s="1"/>
  <c r="I52" i="5" s="1"/>
  <c r="F56" i="5"/>
  <c r="G56" i="5" s="1"/>
  <c r="G39" i="5" l="1"/>
  <c r="G37" i="5"/>
  <c r="G38" i="5"/>
  <c r="G41" i="5"/>
  <c r="G42" i="5"/>
  <c r="G43" i="5"/>
  <c r="G40" i="5"/>
  <c r="H56" i="5"/>
  <c r="J56" i="5" s="1"/>
  <c r="J57" i="5" s="1"/>
  <c r="G44" i="5" l="1"/>
  <c r="I56" i="5"/>
  <c r="K52" i="5"/>
  <c r="K49" i="5"/>
  <c r="K56" i="5"/>
  <c r="K54" i="5"/>
  <c r="K51" i="5"/>
  <c r="K53" i="5"/>
  <c r="K55" i="5"/>
  <c r="K50" i="5"/>
  <c r="E74" i="5" l="1"/>
  <c r="E85" i="5" s="1"/>
  <c r="D63" i="5"/>
  <c r="C66" i="5"/>
  <c r="B64" i="5"/>
  <c r="D66" i="5"/>
  <c r="B62" i="5"/>
  <c r="D64" i="5"/>
  <c r="C67" i="5"/>
  <c r="C65" i="5"/>
  <c r="C62" i="5"/>
  <c r="B65" i="5"/>
  <c r="D67" i="5"/>
  <c r="D62" i="5"/>
  <c r="C63" i="5"/>
  <c r="B66" i="5"/>
  <c r="D68" i="5"/>
  <c r="B63" i="5"/>
  <c r="D65" i="5"/>
  <c r="C68" i="5"/>
  <c r="B67" i="5"/>
  <c r="B68" i="5"/>
  <c r="C64" i="5"/>
  <c r="B78" i="5"/>
  <c r="B89" i="5" s="1"/>
  <c r="E67" i="5"/>
  <c r="E78" i="5"/>
  <c r="E89" i="5" s="1"/>
  <c r="C73" i="5"/>
  <c r="C84" i="5" s="1"/>
  <c r="D74" i="5"/>
  <c r="D85" i="5" s="1"/>
  <c r="B74" i="5"/>
  <c r="B85" i="5" s="1"/>
  <c r="D73" i="5"/>
  <c r="D84" i="5" s="1"/>
  <c r="D78" i="5"/>
  <c r="D89" i="5" s="1"/>
  <c r="E63" i="5"/>
  <c r="C74" i="5"/>
  <c r="C85" i="5" s="1"/>
  <c r="E65" i="5"/>
  <c r="E62" i="5"/>
  <c r="E66" i="5"/>
  <c r="E73" i="5"/>
  <c r="E84" i="5" s="1"/>
  <c r="E64" i="5"/>
  <c r="E68" i="5"/>
  <c r="B73" i="5"/>
  <c r="B84" i="5" s="1"/>
  <c r="C78" i="5"/>
  <c r="C89" i="5" s="1"/>
  <c r="F67" i="5" l="1"/>
  <c r="F63" i="5"/>
  <c r="F66" i="5"/>
  <c r="F89" i="5"/>
  <c r="C69" i="5"/>
  <c r="F85" i="5"/>
  <c r="B69" i="5"/>
  <c r="D69" i="5"/>
  <c r="F84" i="5"/>
  <c r="F74" i="5"/>
  <c r="F64" i="5"/>
  <c r="F62" i="5"/>
  <c r="F68" i="5"/>
  <c r="G68" i="5" s="1"/>
  <c r="F65" i="5"/>
  <c r="E69" i="5"/>
  <c r="F78" i="5"/>
  <c r="F73" i="5"/>
  <c r="G62" i="5" l="1"/>
  <c r="H62" i="5" s="1"/>
  <c r="G65" i="5"/>
  <c r="H65" i="5" s="1"/>
  <c r="J65" i="5" s="1"/>
  <c r="I65" i="5" s="1"/>
  <c r="G66" i="5"/>
  <c r="H66" i="5" s="1"/>
  <c r="J66" i="5" s="1"/>
  <c r="D71" i="5" s="1"/>
  <c r="G63" i="5"/>
  <c r="H63" i="5" s="1"/>
  <c r="J63" i="5" s="1"/>
  <c r="I63" i="5" s="1"/>
  <c r="G64" i="5"/>
  <c r="H64" i="5" s="1"/>
  <c r="J64" i="5" s="1"/>
  <c r="C71" i="5" s="1"/>
  <c r="G67" i="5"/>
  <c r="H67" i="5" s="1"/>
  <c r="J67" i="5" s="1"/>
  <c r="I67" i="5" s="1"/>
  <c r="F69" i="5"/>
  <c r="H68" i="5"/>
  <c r="J68" i="5" s="1"/>
  <c r="I68" i="5" s="1"/>
  <c r="J62" i="5" l="1"/>
  <c r="I62" i="5" s="1"/>
  <c r="I64" i="5"/>
  <c r="G69" i="5"/>
  <c r="F71" i="5"/>
  <c r="C76" i="5" s="1"/>
  <c r="C87" i="5" s="1"/>
  <c r="E71" i="5"/>
  <c r="D79" i="5" s="1"/>
  <c r="D90" i="5" s="1"/>
  <c r="D77" i="5"/>
  <c r="D88" i="5" s="1"/>
  <c r="B77" i="5"/>
  <c r="E77" i="5"/>
  <c r="E88" i="5" s="1"/>
  <c r="C77" i="5"/>
  <c r="C88" i="5" s="1"/>
  <c r="I66" i="5"/>
  <c r="C75" i="5"/>
  <c r="B75" i="5"/>
  <c r="D75" i="5"/>
  <c r="E75" i="5"/>
  <c r="H69" i="5" l="1"/>
  <c r="J69" i="5" s="1"/>
  <c r="I69" i="5" s="1"/>
  <c r="B79" i="5"/>
  <c r="B90" i="5" s="1"/>
  <c r="E79" i="5"/>
  <c r="E90" i="5" s="1"/>
  <c r="C79" i="5"/>
  <c r="C90" i="5" s="1"/>
  <c r="E76" i="5"/>
  <c r="E87" i="5" s="1"/>
  <c r="B76" i="5"/>
  <c r="B87" i="5" s="1"/>
  <c r="D76" i="5"/>
  <c r="D87" i="5" s="1"/>
  <c r="B88" i="5"/>
  <c r="F88" i="5" s="1"/>
  <c r="F77" i="5"/>
  <c r="B86" i="5"/>
  <c r="F75" i="5"/>
  <c r="D86" i="5"/>
  <c r="C86" i="5"/>
  <c r="E86" i="5"/>
  <c r="D80" i="5" l="1"/>
  <c r="D91" i="5" s="1"/>
  <c r="C80" i="5"/>
  <c r="C91" i="5" s="1"/>
  <c r="B80" i="5"/>
  <c r="B91" i="5" s="1"/>
  <c r="F90" i="5"/>
  <c r="F79" i="5"/>
  <c r="F87" i="5"/>
  <c r="E80" i="5"/>
  <c r="E91" i="5" s="1"/>
  <c r="F76" i="5"/>
  <c r="F86" i="5"/>
  <c r="F91" i="5" l="1"/>
  <c r="I84" i="5" s="1"/>
  <c r="G73" i="5" s="1"/>
  <c r="F80" i="5"/>
  <c r="I90" i="5" l="1"/>
  <c r="G79" i="5" s="1"/>
  <c r="I89" i="5"/>
  <c r="G78" i="5" s="1"/>
  <c r="I87" i="5"/>
  <c r="G76" i="5" s="1"/>
  <c r="I88" i="5"/>
  <c r="G77" i="5" s="1"/>
  <c r="I85" i="5"/>
  <c r="G74" i="5" s="1"/>
  <c r="I86" i="5"/>
  <c r="G75" i="5" s="1"/>
  <c r="G80" i="5" l="1"/>
  <c r="H80" i="5" s="1"/>
  <c r="H73" i="5"/>
  <c r="J73" i="5" s="1"/>
  <c r="H84" i="5" s="1"/>
  <c r="H79" i="5"/>
  <c r="J79" i="5" s="1"/>
  <c r="H74" i="5"/>
  <c r="J74" i="5" s="1"/>
  <c r="H75" i="5"/>
  <c r="J75" i="5" s="1"/>
  <c r="H76" i="5"/>
  <c r="J76" i="5" s="1"/>
  <c r="H77" i="5"/>
  <c r="J77" i="5" s="1"/>
  <c r="H78" i="5"/>
  <c r="J78" i="5" s="1"/>
  <c r="G84" i="5" l="1"/>
  <c r="L73" i="5"/>
  <c r="I73" i="5"/>
  <c r="H88" i="5"/>
  <c r="G88" i="5"/>
  <c r="I77" i="5"/>
  <c r="L77" i="5"/>
  <c r="L76" i="5"/>
  <c r="G87" i="5"/>
  <c r="H87" i="5"/>
  <c r="I76" i="5"/>
  <c r="I78" i="5"/>
  <c r="H89" i="5"/>
  <c r="L78" i="5"/>
  <c r="G89" i="5"/>
  <c r="G86" i="5"/>
  <c r="H86" i="5"/>
  <c r="I75" i="5"/>
  <c r="L75" i="5"/>
  <c r="H85" i="5"/>
  <c r="L74" i="5"/>
  <c r="I74" i="5"/>
  <c r="G85" i="5"/>
  <c r="G90" i="5"/>
  <c r="I79" i="5"/>
  <c r="L79" i="5"/>
  <c r="H90" i="5"/>
  <c r="J80" i="5"/>
  <c r="K79" i="5" l="1"/>
  <c r="H91" i="5"/>
  <c r="K80" i="5"/>
  <c r="F81" i="5"/>
  <c r="G81" i="5"/>
  <c r="L80" i="5"/>
  <c r="L81" i="5" s="1"/>
  <c r="J81" i="5"/>
  <c r="K63" i="5"/>
  <c r="K78" i="5"/>
  <c r="K74" i="5"/>
  <c r="K68" i="5"/>
  <c r="K77" i="5"/>
  <c r="K73" i="5"/>
  <c r="G91" i="5"/>
  <c r="K62" i="5"/>
  <c r="K66" i="5"/>
  <c r="I80" i="5"/>
  <c r="I81" i="5" s="1"/>
  <c r="K75" i="5"/>
  <c r="K76" i="5"/>
  <c r="K65" i="5"/>
  <c r="K64" i="5"/>
  <c r="K67" i="5"/>
  <c r="K69" i="5"/>
  <c r="H8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tc={B0DE79AF-6139-41B7-BE72-FEF714E7C012}</author>
    <author>tc={C516CB08-3A86-4D20-B34D-A179DA24BC77}</author>
  </authors>
  <commentList>
    <comment ref="C4" authorId="0" shapeId="0" xr:uid="{B0DE79AF-6139-41B7-BE72-FEF714E7C012}">
      <text>
        <t>[Threaded comment]
Your version of Excel allows you to read this threaded comment; however, any edits to it will get removed if the file is opened in a newer version of Excel. Learn more: https://go.microsoft.com/fwlink/?linkid=870924
Comment:
    Ishee et al. (2015) and Ross et al. (2019)</t>
      </text>
    </comment>
    <comment ref="C5" authorId="1" shapeId="0" xr:uid="{C516CB08-3A86-4D20-B34D-A179DA24BC77}">
      <text>
        <t>[Threaded comment]
Your version of Excel allows you to read this threaded comment; however, any edits to it will get removed if the file is opened in a newer version of Excel. Learn more: https://go.microsoft.com/fwlink/?linkid=870924
Comment:
    Ishee et al. (2015)</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tc={B4F1B727-CDE8-458F-90AF-EA11598A18D2}</author>
    <author>tc={176547CB-998C-48A2-BD26-F69839719442}</author>
    <author>tc={6F48F1F8-0AF7-4082-908E-387F350BA6B2}</author>
    <author>tc={9FAC157A-E8EF-4B2D-8C45-550207E408D7}</author>
  </authors>
  <commentList>
    <comment ref="C4" authorId="0" shapeId="0" xr:uid="{B4F1B727-CDE8-458F-90AF-EA11598A18D2}">
      <text>
        <t>[Threaded comment]
Your version of Excel allows you to read this threaded comment; however, any edits to it will get removed if the file is opened in a newer version of Excel. Learn more: https://go.microsoft.com/fwlink/?linkid=870924
Comment:
    Wemple et al. (2021)</t>
      </text>
    </comment>
    <comment ref="C5" authorId="1" shapeId="0" xr:uid="{176547CB-998C-48A2-BD26-F69839719442}">
      <text>
        <t>[Threaded comment]
Your version of Excel allows you to read this threaded comment; however, any edits to it will get removed if the file is opened in a newer version of Excel. Learn more: https://go.microsoft.com/fwlink/?linkid=870924
Comment:
    Wemple et al. (2021)</t>
      </text>
    </comment>
    <comment ref="B6" authorId="2" shapeId="0" xr:uid="{6F48F1F8-0AF7-4082-908E-387F350BA6B2}">
      <text>
        <t>[Threaded comment]
Your version of Excel allows you to read this threaded comment; however, any edits to it will get removed if the file is opened in a newer version of Excel. Learn more: https://go.microsoft.com/fwlink/?linkid=870924
Comment:
    Outlet and gully stabilization projects that partially mitigate erosion, for instance by stabilizing the area immediately around an outlet and limiting corrections to the area within the right-of-way.</t>
      </text>
    </comment>
    <comment ref="B7" authorId="3" shapeId="0" xr:uid="{9FAC157A-E8EF-4B2D-8C45-550207E408D7}">
      <text>
        <t>[Threaded comment]
Your version of Excel allows you to read this threaded comment; however, any edits to it will get removed if the file is opened in a newer version of Excel. Learn more: https://go.microsoft.com/fwlink/?linkid=870924
Comment:
    Outlet and gully stabilization projects that address the full extent of gully erosion.</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tc={8CF98E34-53E9-47B8-994B-BA847A9E1A4C}</author>
    <author>tc={C269F581-6FAC-4AA0-B862-11C03A66F0C1}</author>
  </authors>
  <commentList>
    <comment ref="C6" authorId="0" shapeId="0" xr:uid="{8CF98E34-53E9-47B8-994B-BA847A9E1A4C}">
      <text>
        <t>[Threaded comment]
Your version of Excel allows you to read this threaded comment; however, any edits to it will get removed if the file is opened in a newer version of Excel. Learn more: https://go.microsoft.com/fwlink/?linkid=870924
Comment:
    Gucinsky et al. (2001)</t>
      </text>
    </comment>
    <comment ref="C7" authorId="1" shapeId="0" xr:uid="{C269F581-6FAC-4AA0-B862-11C03A66F0C1}">
      <text>
        <t>[Threaded comment]
Your version of Excel allows you to read this threaded comment; however, any edits to it will get removed if the file is opened in a newer version of Excel. Learn more: https://go.microsoft.com/fwlink/?linkid=870924
Comment:
    Rothwell (1983)</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tc={74404639-DF3B-434B-9B7E-8AA1C0BF2E68}</author>
  </authors>
  <commentList>
    <comment ref="G2" authorId="0" shapeId="0" xr:uid="{74404639-DF3B-434B-9B7E-8AA1C0BF2E68}">
      <text>
        <t>[Threaded comment]
Your version of Excel allows you to read this threaded comment; however, any edits to it will get removed if the file is opened in a newer version of Excel. Learn more: https://go.microsoft.com/fwlink/?linkid=870924
Comment:
    Champlain in source load, Memph in delivered</t>
      </text>
    </comment>
  </commentList>
</comments>
</file>

<file path=xl/sharedStrings.xml><?xml version="1.0" encoding="utf-8"?>
<sst xmlns="http://schemas.openxmlformats.org/spreadsheetml/2006/main" count="3691" uniqueCount="1188">
  <si>
    <t xml:space="preserve">Basin </t>
  </si>
  <si>
    <t>Reduction target (kg)</t>
  </si>
  <si>
    <t>Project funding (85%)</t>
  </si>
  <si>
    <t>Admin funding (15%)</t>
  </si>
  <si>
    <t>Total funding</t>
  </si>
  <si>
    <t>Basin 2 &amp; 4 - Poultney, Mettawee, South Lake Champlain</t>
  </si>
  <si>
    <t>Basin 3 - Otter, Lewis, Little Otter</t>
  </si>
  <si>
    <t>Basin 5 - Northern Lake Champlain Direct</t>
  </si>
  <si>
    <t>Basin 6 - Missisquoi, Rock, Pike</t>
  </si>
  <si>
    <t>Basin 7 - Lamoille</t>
  </si>
  <si>
    <t>Basin 8 - Winooski</t>
  </si>
  <si>
    <t>Lake Memphremagog</t>
  </si>
  <si>
    <t>Total</t>
  </si>
  <si>
    <t>Basin</t>
  </si>
  <si>
    <t>Number of projects implemented</t>
  </si>
  <si>
    <t>Projects with P reduction*</t>
  </si>
  <si>
    <t>Estimated calculated P reduction achieved kg/yr</t>
  </si>
  <si>
    <t>remaining reductions</t>
  </si>
  <si>
    <t>Table 1. Project categories estimated design/engineering (if applicable) and construction costs per total phosphorus load reduction (kg/yr) averaged by non-regulatory target sector.</t>
  </si>
  <si>
    <t>Non-regulatory Target Sector</t>
  </si>
  <si>
    <t>Project categories representing cost of implementing non-regulatory targets</t>
  </si>
  <si>
    <t>Estimated design/engineering (if applicable) and construction cost per total phosphorus load reduction ($/kg/yr)</t>
  </si>
  <si>
    <t>Streams+</t>
  </si>
  <si>
    <t>Floodplain/stream restoration*</t>
  </si>
  <si>
    <t>River corridor easement</t>
  </si>
  <si>
    <t>Riparian buffer restoration**</t>
  </si>
  <si>
    <t>Streams Average</t>
  </si>
  <si>
    <t xml:space="preserve">Developed </t>
  </si>
  <si>
    <t>Stormwater best management practices (BMPs)</t>
  </si>
  <si>
    <t>Non-regulatory road BMPs</t>
  </si>
  <si>
    <t>Lake shoreline restoration***</t>
  </si>
  <si>
    <t>Lake shoreland runoff treatment</t>
  </si>
  <si>
    <t>Developed Average</t>
  </si>
  <si>
    <t>Farm Field++</t>
  </si>
  <si>
    <t>Farm Field Average</t>
  </si>
  <si>
    <t>Forest+++</t>
  </si>
  <si>
    <t>Non-regulatory forest road BMPs</t>
  </si>
  <si>
    <t>Forest Average</t>
  </si>
  <si>
    <t>Interim option 1: use cost rate methodology to assess relative cost effectiveness by project type; will not incorporate watershed-specific or site/project-specific considerations</t>
  </si>
  <si>
    <t xml:space="preserve">Project categories </t>
  </si>
  <si>
    <t>Output unit</t>
  </si>
  <si>
    <t>Estimated design/ engineering (if applicable) and construction cost per output unit</t>
  </si>
  <si>
    <t>Percent estimated design/ engineering included in cost per output unit</t>
  </si>
  <si>
    <t>Estimated total phosphorus load reduction per output unit (kg/yr)</t>
  </si>
  <si>
    <t>Estimated design/ engineering (if applicable) and construction cost per total phosphorus load reduction ($/kg/yr)</t>
  </si>
  <si>
    <t>Interim option 2: use DEC (to be) developed interim calculator spreadsheet-based tools for priority project types; incorporate watershed-specific loading rates and limited site/project-specific considerations; simplified compared to ultimate online phosphorus calculator tools</t>
  </si>
  <si>
    <t>Data inputs required for proposed interim calculations</t>
  </si>
  <si>
    <t>Floodplain/stream restoration</t>
  </si>
  <si>
    <t>Acres floodplain restored/ reconnected</t>
  </si>
  <si>
    <t>Use Functioning Floodplain Initiative (FFI) tool; if FFI not available in interim, for stream stability benefit: use median value in FFI simulations by watershed location and project type (see page 132 Table 24 of Final Draft Tracking and Accounting Natural Resources SOPs); for floodplain storage benefit (if applicable) use default TP storage credits (see page 48 Table 14 of Final Draft NR SOPs); Lake Memphremagog FFI not available in SFY 2023, use Lake Champlain basin "overall" simulations for stream stability benefit (unless River Scientists recommend another watershed more representative of Memphremagog)</t>
  </si>
  <si>
    <t>Acres floodplain restored; watershed location; project sub-type as defined in FFI report</t>
  </si>
  <si>
    <t>Acres riparian corridor conserved</t>
  </si>
  <si>
    <t>Use FFI; if FFI not available in interim, for stream stability benefit: use median value in FFI simulations by watershed location and project type "Passive Restoration - Easement and Buffer Revegetation" (see page 132 Table 24 of Final Draft NR SOPs); Lake Memphremagog FFI not available in SFY 2023, use Lake Champlain basin "overall" simulations for stream stability benefit (unless River Scientists recommend another watershed more representative of Memphremagog)</t>
  </si>
  <si>
    <t>Acres river corridor conserved; watershed location; project sub-type as defined in FFI report is "Passive Restoration Easement and Buffer Revegetation"</t>
  </si>
  <si>
    <t>Riparian buffer restoration</t>
  </si>
  <si>
    <t>Acres of riparian buffer restored</t>
  </si>
  <si>
    <t>Develop interim spreadsheet calculator tool to estimate treatmetn from overland flow treatment, land use conversion, and stream stability benefit. Stream stability benefit would draw from FFI simulations by watershed location and project type "Buffer Revegetation" (see page 132 Table 24 of Final Draft NR SOPs); Lake Memphremagog FFI not available in SFY 2023, use Lake Champlain basin "overall" simulations for stream stability benefit (unless River Scientists recommend another watershed more representative of Memphremagog)</t>
  </si>
  <si>
    <t>Acres riparian buffer restored; TMDL drainage area subwatershed; primary land use for area treated (simplify data inputs at planning level, will provide more detailed breakdown of land uses treated for reporting), buffer land use prior to restoration (developed pervious, cropland, or pasture)</t>
  </si>
  <si>
    <t>Lake shoreline restoration</t>
  </si>
  <si>
    <t>Linear feet of lakeshore restored</t>
  </si>
  <si>
    <t>Develop Lake Shoreline spreadsheet based interim calculator tool to run equation based on volume of erosion reduced</t>
  </si>
  <si>
    <t>Feet of shoreline restored, average bank height (feet), recession rate (low, moderate, severe as defined in Tracking and Accounting NR SOPs)</t>
  </si>
  <si>
    <t>Acres of existing impervious surface treated</t>
  </si>
  <si>
    <t>Use STP Calculator tool</t>
  </si>
  <si>
    <t>STP type, drainage area acres impervious and acres pervious, storage volume of BMP, infiltration rate if applicable of BMP</t>
  </si>
  <si>
    <t>Use STP Calculator tool if implementing stormwater treatment practice</t>
  </si>
  <si>
    <t>Road miles brought up-to MRGP standards</t>
  </si>
  <si>
    <t>De-prioritize developing interim calculator tools; defer to private road REI work upcoming</t>
  </si>
  <si>
    <t>Forest road miles brought up-to AMP standards</t>
  </si>
  <si>
    <t>De-prioritize developing interim calculator tools; defer to forest road REI work upcoming</t>
  </si>
  <si>
    <t xml:space="preserve">For additional information and for BMPs / Practice Types not listed below, refer to the Standard Operating Procedures for Tracking &amp; Accounting: </t>
  </si>
  <si>
    <r>
      <rPr>
        <i/>
        <sz val="9"/>
        <rFont val="Calibri"/>
        <family val="2"/>
        <scheme val="minor"/>
      </rPr>
      <t>Disclaimer:</t>
    </r>
    <r>
      <rPr>
        <sz val="9"/>
        <rFont val="Calibri"/>
        <family val="2"/>
        <scheme val="minor"/>
      </rPr>
      <t xml:space="preserve"> this tool has been developed to provide estimated annual phosphorus load reductions based on anticipated project implementation metrics to support project prioritization and initial cost effectiveness calculations by CWSPs. VT DEC will calculate final phosphorus reduction credit following project closeout and confirmation of final project metrics as implemented. </t>
    </r>
    <r>
      <rPr>
        <b/>
        <sz val="9"/>
        <rFont val="Calibri"/>
        <family val="2"/>
        <scheme val="minor"/>
      </rPr>
      <t>The tool does not have the capability to calculate estimated phosphorus reductions for stacked practices (i.e. multiple practices treating the same area).</t>
    </r>
    <r>
      <rPr>
        <sz val="9"/>
        <rFont val="Calibri"/>
        <family val="2"/>
        <scheme val="minor"/>
      </rPr>
      <t xml:space="preserve">
Please contact Claire Madden (claire.madden@vermont.gov, 802-636-7536) with any questions related to use of this tool.</t>
    </r>
  </si>
  <si>
    <t xml:space="preserve">For additional information on phosphorus accounting eligibility, see: </t>
  </si>
  <si>
    <t>Agricultural Conservation Practices</t>
  </si>
  <si>
    <t>WID-CWIP Guide to Phosphrous Accounting Eligibility</t>
  </si>
  <si>
    <t>Natural Resources Restoration Projects</t>
  </si>
  <si>
    <t>Version 1.1</t>
  </si>
  <si>
    <t>Developed Lands Regulatory Projects &amp; Non-Regulatory Clean Water Projects</t>
  </si>
  <si>
    <t>BMP / Practice Type</t>
  </si>
  <si>
    <t>Definition</t>
  </si>
  <si>
    <t>Calculator</t>
  </si>
  <si>
    <t>Infiltration Trench</t>
  </si>
  <si>
    <t>Provides storage of runoff using the void spaces within the soil, sand, gravel mixture within the trench for infiltration into the surrounding soils.</t>
  </si>
  <si>
    <t>Stormwater Treatment Practice</t>
  </si>
  <si>
    <t>Subsurface Infiltration</t>
  </si>
  <si>
    <t xml:space="preserve">Provides storage of runoff using the combination of storage structures and void spaces within the washed stone within the system for infiltration into the surrounding soils. </t>
  </si>
  <si>
    <t>Surface Infiltration</t>
  </si>
  <si>
    <t xml:space="preserve">Provides storage of runoff through surface ponding (e.g., basin or swale) for subsequent infiltration into the underlying soils. </t>
  </si>
  <si>
    <t>Rain Garden, Bioretention (no underdrain)</t>
  </si>
  <si>
    <t>Provides storage of runoff through surface ponding and possibly void spaces within the soil, sand, washed stone mixture that is used to filter runoff prior to infiltration into underlying soils.</t>
  </si>
  <si>
    <t>Rain Garden, Bioretention (with underdrain)</t>
  </si>
  <si>
    <t xml:space="preserve">Provides storage of runoff by filtering through an engineered soil media. The storage capacity includes void spaces in the filter media and temporary ponding at the surface.  After runoff passes through the filter media it discharges through an under-drain pipe. </t>
  </si>
  <si>
    <t>Gravel Wetland</t>
  </si>
  <si>
    <t>Provides surface storage of runoff in a wetland cell that is routed to an underlying saturated gravel internal storage reservoir (ISR).  Outflow is controlled by an orifice that has its invert elevation equal to the top of the ISR layer and provides retention of at least 24 hours.</t>
  </si>
  <si>
    <t>Porous Pavement (with infiltration)</t>
  </si>
  <si>
    <t xml:space="preserve">Provides filtering of runoff through a filter course and temporary storage of runoff within the void spaces of a subsurface gravel reservoir prior to infiltration into subsoils.  </t>
  </si>
  <si>
    <t>Porous Pavement (with impermeable underlining or underdrain)</t>
  </si>
  <si>
    <t>Provides filtering of runoff through a filter course and temporary storage of runoff within the void spaces prior to discharge by way of an underdrain.</t>
  </si>
  <si>
    <t>Sand Filter (with underdrain)</t>
  </si>
  <si>
    <t>Provides filtering of runoff through a sand filter course and temporary storage of runoff through surface ponding and within void spaces of the sand and washed stone layers prior to discharge by way of an underdrain.</t>
  </si>
  <si>
    <t>Wet Pond</t>
  </si>
  <si>
    <t>Provides treatment of runoff by routing through permanent pool.</t>
  </si>
  <si>
    <t>Extended Dry Detention Basin</t>
  </si>
  <si>
    <t xml:space="preserve">Provides temporary detention storage for the design storage volume to drain in 24 hours through multiple outlet controls.   </t>
  </si>
  <si>
    <t>Grass Conveyance Swale</t>
  </si>
  <si>
    <t>Conveys runoff through an open channel vegetated with grass. Primary removal mechanism is infiltration.</t>
  </si>
  <si>
    <t>Hydrodynamic (Swirl) Separator</t>
  </si>
  <si>
    <t>Devices designed to improve quality of stormwater runoff by physically removing sediment and nutrients. Must be a stand-alone practice to receive P reduction credit, if included as pretreatment for another practice, no additional credit is given.</t>
  </si>
  <si>
    <t>Bioengineered Lake Shoreline Stabilization</t>
  </si>
  <si>
    <t xml:space="preserve">Bioengineered shoreline stabilization is the implementation of lake shoreline stabilization practices using a combination of biodegradable materials and native plantings to naturally stabilize slopes. Restoration techniques include, but are not limited to, encapsulated soil lifts, slope regrading, and crib walls. See the Vermont Bioengineering Manual to learn more about how to minimize shoreline erosion and design solutions for stabilizing weakened and eroding banks. </t>
  </si>
  <si>
    <t>Lake Shoreline</t>
  </si>
  <si>
    <t>Tree Canopy Expansion</t>
  </si>
  <si>
    <t xml:space="preserve">Tree plantings on developed pervious or impervious land use that result in an increase in tree canopy but are not intended to result in forest-like conditions. Tree canopies intercept rainfall before it becomes stormwater runoff, and the uncompacted soil into which trees are ideally planted can be used to capture and treat runoff.  Trees do not need to be planted contiguously or along a waterbody and there is no minimum density requirement. Trees cannot be part of a forested riparian buffer or structural stormwater BMP, and the replacement of existing trees is not eligible for credit.  </t>
  </si>
  <si>
    <t>Native Revegetation</t>
  </si>
  <si>
    <t>Conversion of developed pervious (e.g., lawns) land uses to native vegetation by the implementation of “no mow” zones or native shrub plantings. Over time, natural succession will allow the area to return to vegetative cover consisting of a mix of trees, shrubs, saplings, and groundcover. The Native Revegetation phosphorus credit can only be applied to a standalone practice. The phosphorus credit cannot be combined with the Bioengineered Shoreline Stabilization BMP, Forested Riparian Buffer Restoration BMP, or the Developed Lands Tree Planting BMP if it covers the same project area.</t>
  </si>
  <si>
    <t>Create Flood Bench</t>
  </si>
  <si>
    <t>Floodplain Stream - Acre (preliminary)</t>
  </si>
  <si>
    <t>Lower Floodplain</t>
  </si>
  <si>
    <t>Restore floodplain vertical connectivity, inundation processes, and storage. In areas with fewer lateral constraints, larger-scale lowering of the floodplain may be possible across more than 2 channel widths, usually targeting the 2-year flood elevation.</t>
  </si>
  <si>
    <t>Raise Channel</t>
  </si>
  <si>
    <t>Reconnect Flood Chute</t>
  </si>
  <si>
    <t>Flood chutes or side arms of the river channel convey flood waters during annual or higher-magnitude flood peaks.  In a depositional reach, the upstream end of these natural features may become blocked with sediment and debris from erosion occurring in upstream reaches. Flood chute lowering can reconnect these side arms to lessen water elevations and velocities within the main channel during flooding events.</t>
  </si>
  <si>
    <t>Remove Berm</t>
  </si>
  <si>
    <t>Earthen berms have traditionally been constructed along streambanks to prevent floodwaters from impacting adjacent land uses including agriculture or built infrastructure.  Materials are often sourced from channel dredging activities.  Berm removal can include full or partial lowering or breaching.</t>
  </si>
  <si>
    <t>Restore Channel Slope</t>
  </si>
  <si>
    <t>Creating meanders and floodplain and riparian features on incised and straightened channels (e.g., rock weirs, log vanes, constructed riffles, adding boulders, etc.) to reduce channel slope and establish a meander planform consistent with equilibrium conditions.</t>
  </si>
  <si>
    <t>Restore Wetland</t>
  </si>
  <si>
    <t xml:space="preserve">Wetland restoration is credited for improving the temporal connectivity of the watershed due to land use changes that alter the timing, duration, and magnitude of flows. Estimated phosphorus reductions calculated by this tool are currently limited to wetland areas located within river corridors. </t>
  </si>
  <si>
    <t>Plant 50-Foot Riparian Area</t>
  </si>
  <si>
    <t>Remove Major Constraint</t>
  </si>
  <si>
    <t>Removing hard constraints and protecting the land from future development, that would otherwise result in stream channelization, armoring and expected channel disequilibrium. Major constraints include items such as local roads, railways, clusters of buildings, and active croplands with and without ditch networks, and tile drains that are unlikely to be removed.</t>
  </si>
  <si>
    <t>Remove Minor Constraint</t>
  </si>
  <si>
    <t>Removing hard constraints and protecting the land from future development, that would otherwise result in stream channelization, armoring and expected channel disequilibrium. Minor constraints include items such as isolated structures, inactive railbeds, and private roads and drives that may be removed or lowered under certain circumstances such as a FEMA buyout or floodplain restoration project.</t>
  </si>
  <si>
    <t>Remove/ Convert Large Peaking Hydro Dam</t>
  </si>
  <si>
    <t>Floodplain Stream - Structure (preliminary)</t>
  </si>
  <si>
    <t>Remove/Convert Medium Peaking Hydro Dam</t>
  </si>
  <si>
    <t>Remove Large Flood Control Dam</t>
  </si>
  <si>
    <t>Remove Large Run of River Dam</t>
  </si>
  <si>
    <t>Remove Medium Breached Dam</t>
  </si>
  <si>
    <t>Restoration of the site of a fully or partially breached dam. A medium dam has a height greater than 10 feet, up to 20 feet. The impoundment surface area of the medium dam is greater than one acre, up to 10 acres. Structures with no data available for dam height or impoundment area are considered medium for planning purposes.</t>
  </si>
  <si>
    <t>Remove Medium Run of River Dam</t>
  </si>
  <si>
    <t>Remove Small Breached Dam</t>
  </si>
  <si>
    <t>Restoration of the site of a fully or partially breached dam. A small dam has a height less than or equal to 10 feet and impoundment surface area is less than or equal to one acre.</t>
  </si>
  <si>
    <t>Remove Small Intact Run of River Dam</t>
  </si>
  <si>
    <t>Replace Bridge (50% &gt; Wbkf &gt; 100%)</t>
  </si>
  <si>
    <t>Structures under a transportation route under which the stream flows. This definition includes arches for the FFI tool. The structure width is 50 - 100% of the bankfull channel width before replacement with a structure sized for the bankfull channel.</t>
  </si>
  <si>
    <t>Replace Bridge (No Wbkf Data)</t>
  </si>
  <si>
    <t>Replace Bridge (Wbkf&lt;50%), shallow channel (&lt;2%)</t>
  </si>
  <si>
    <t>Structures under a transportation route under which the stream flows. This definition includes arches for the FFI tool. The structure width is less than 50% of the bankfull channel width before replacement with a structure sized for the bankfull channel. The channel slope is less than two percent.</t>
  </si>
  <si>
    <t>Replace Bridge (Wbkf&lt;50%), steep channel (&gt;2%)</t>
  </si>
  <si>
    <t>Structures under a transportation route under which the stream flows. This definition includes arches for the FFI tool. The structure width is less than 50% of the bankfull channel width before replacement with a structure sized for the bankfull channel. The channel slope is greater than or equal to two percent.</t>
  </si>
  <si>
    <t>Replace Culvert (50%&gt;Wbkf&gt;100%), shallow channel (&lt;2%)</t>
  </si>
  <si>
    <t>Structures under a transportation route through which the stream flows. The structure width is 50 - 100% of the bankfull channel width before replacement with a structure sized for the bankfull channel. The channel slope is less than two percent.</t>
  </si>
  <si>
    <t>Replace Culvert (50%&gt;Wbkf&gt;100%), steep channel (&gt;2%)</t>
  </si>
  <si>
    <t>Structures under a transportation route through which the stream flows. The structure width is 50 - 100% of the bankfull channel width before replacement with a structure sized for the bankfull channel. The channel slope is greater than or equal to two percent.</t>
  </si>
  <si>
    <t>Replace Culvert (No Wbkf Data), shallow channel (&lt;2%)</t>
  </si>
  <si>
    <t>Replace Culvert (No Wbkf Data), steep channel (&gt;2%)</t>
  </si>
  <si>
    <t>Replace Culvert (Wbkf&lt;50%), steep channel (&gt;2%)</t>
  </si>
  <si>
    <t>Structures under a transportation route through which the stream flows. The structure width is less than 50% of the bankfull channel width before replacement with a structure sized for the bankfull channel. The channel slope is less than two percent.</t>
  </si>
  <si>
    <t>Replace Culvert (Wbkf&lt;50%), shallow channel (&lt;2%)</t>
  </si>
  <si>
    <t>Structures under a transportation route through which the stream flows. The structure width is less than 50% of the bankfull channel width before replacement with a structure sized for the bankfull channel. The channel slope is greater than or equal to two percent.</t>
  </si>
  <si>
    <t>Stabilize Gully</t>
  </si>
  <si>
    <t>Stabilize Headcut in Perrenial Stream</t>
  </si>
  <si>
    <t>Arrest the erosion process at the project site, and, in-so-doing promote equilibrium at the reach and watershed scale. Headcuts are a steep, near vertical, slope change in a stream channel associated with downcutting or erosion of the channel from downstream to upstream.</t>
  </si>
  <si>
    <t>Strategic Wood Addition (restore channel roughness)</t>
  </si>
  <si>
    <t>Strategic Wood Addition (all calculations)</t>
  </si>
  <si>
    <t>Outlet and Gully Stabilization</t>
  </si>
  <si>
    <t xml:space="preserve">Outlet and gully stabilization projects restore eroding channels to a state where sediment loss is minimized or eliminated. An 'outlet' is the point at which sotmrwater discharges from a pipe or other collection system. Restoration techniques include but are not limited to rock aprons, plunge pools, riprap, step pools, check dams, armored turnouts, outlet headwalls, seeding/mulching, and vegetated or structural bank and slope stabilization techniques. Applies only to outlet and gully stabilization in ephemeral streams adjacent to developed lands. Gully stabilization on perennial streams should be accounted for using the applicable floodplain/stream practice type. Other types of gullies do not have methods to account for phosphorus reduction. </t>
  </si>
  <si>
    <t>Forested Riparian Buffer (overland flow and buffer area land coversion credits)</t>
  </si>
  <si>
    <t>Planting of riparian buffer area along rivers/streams with trees and shrubs, resulting in an average minimum buffer width of 35-feet (300 stems per acre), planted with native woody vegetation whose location floats with the river. Buffer supports restoration of riparian corridor/floodplain, filters nutrient and sediment pollution from runoff, and provides habitat benefits.</t>
  </si>
  <si>
    <t>Riparian Buffer</t>
  </si>
  <si>
    <t>Forest Road and Trail Erosion Control</t>
  </si>
  <si>
    <t>Implementation of forest logging road, trail, and/or stream crossing Acceptable Management Practices (AMPs) project(s) to address erosion to control nutrient and sediment pollution at prioritized locations.</t>
  </si>
  <si>
    <t>Forest Road</t>
  </si>
  <si>
    <t>Private Road Erosion Remediation</t>
  </si>
  <si>
    <t>Installation of a suite of practices to correct road related erosion problems for private gravel and paved roads and road drainage culverts to comply with standards established by the Municipal Roads General Permit (MRGP).</t>
  </si>
  <si>
    <t>Private Road</t>
  </si>
  <si>
    <t>Riparian Buffer Planting Estimated Phosphorus Reduction Calculator</t>
  </si>
  <si>
    <t>to enter additional land uses of the drainage area, click '+' to expand</t>
  </si>
  <si>
    <r>
      <rPr>
        <b/>
        <sz val="9"/>
        <color theme="1"/>
        <rFont val="Calibri"/>
        <family val="2"/>
        <scheme val="minor"/>
      </rPr>
      <t>Total Phosphorus Reduction = buffer area land use change P reduction + drainage area overland flow P reduction</t>
    </r>
    <r>
      <rPr>
        <sz val="9"/>
        <color theme="1"/>
        <rFont val="Calibri"/>
        <family val="2"/>
        <scheme val="minor"/>
      </rPr>
      <t xml:space="preserve">
Buffer area land use change P reduction = (TMDL Drainage Area land use loading rate for prior land use (kg/acre)* acres of buffer restored) - (TMDL Drainage Area land use loading rate for forest land (kg/acre)* acres of buffer restored)
Drainage area overland flow P reduction = TMDL Drainage Area land use loading rate (kg/acre) * drainage area acres * 40% (P reduction efficiency)</t>
    </r>
  </si>
  <si>
    <t>Variable</t>
  </si>
  <si>
    <t>Value</t>
  </si>
  <si>
    <t>Unit</t>
  </si>
  <si>
    <t>Land Use Defitions:</t>
  </si>
  <si>
    <t>Notes:</t>
  </si>
  <si>
    <t>Buffer drainage area</t>
  </si>
  <si>
    <t>times the planted buffer area</t>
  </si>
  <si>
    <t xml:space="preserve">Developed Pervious = lawn, turfgrass, unmowed meadow with no agricultural use
Developed Impervious = paved and unpaved roads, driveways, parking lots
Pasture = hayfield with manure application, livestock grazing area
Cropland = cultivated land with corn, row crops, specialty crops
Mixed Forest = deciduous, coniferous and mixed forest land </t>
  </si>
  <si>
    <t xml:space="preserve">
If any impervious land use is known to drain to a storm drain and not to the buffer, exclude it from the calculation of drainage area. Buffer area with developed impervious land use prior to restoration is accounted for in the buffer area land use change calculation.
For more detail on the accounting methods and metrics, please see Standard Operating Procedures for Tracking &amp; Accounting of Natural Resources Restoration Projects, available on the VT DEC website.</t>
  </si>
  <si>
    <t>Phosphorus reduction efficiency</t>
  </si>
  <si>
    <t>percent of load</t>
  </si>
  <si>
    <t xml:space="preserve">To add a new project calculation, enter new a project identifier in the row directly below the last row of data. The preset functions will automatically populate in the new row. </t>
  </si>
  <si>
    <t xml:space="preserve">To find the TMDL Drainage Area for your project, visit the ANR Natural Resources Atlas, turn on 'ANR Basemap Data' and 'Lake Segment Basins' layers. Navigate to your project location on the map, click on the map to view the Lake Segment name for the location of your project. </t>
  </si>
  <si>
    <t>Enter the acres of planted area</t>
  </si>
  <si>
    <t xml:space="preserve">Select the land use of the planted area prior to planting. See above for land use definitions and select the most repreesntative. </t>
  </si>
  <si>
    <t xml:space="preserve">The buffer drainage area is defined for the purposes of estimating phosphorus reduction as 5 times the buffer planting area, directly adjacent to the buffer opposite the riparian edge. Measurement tools are available in the ANR Atlas to estimate the buffer drainage area and the proportion of the drainage area occupied by each land use. Drainage area may have only one land use, or up to five land uses, depending on the site. </t>
  </si>
  <si>
    <t xml:space="preserve">Land use percentages must add to 100%, if this value isn't 100% please revisit the land use percentages entered in previous cells. </t>
  </si>
  <si>
    <t xml:space="preserve">Calculated buffer drainage area based on buffer planting area. </t>
  </si>
  <si>
    <t>Input*</t>
  </si>
  <si>
    <t>Dropdown*</t>
  </si>
  <si>
    <t>Input Value*</t>
  </si>
  <si>
    <t>Input Percent*</t>
  </si>
  <si>
    <t>Dropdown</t>
  </si>
  <si>
    <t>Input Percent</t>
  </si>
  <si>
    <t>Input Error Check</t>
  </si>
  <si>
    <t>Output value</t>
  </si>
  <si>
    <t>Project Identifier</t>
  </si>
  <si>
    <t>Project Location TMDL Drainage Area</t>
  </si>
  <si>
    <t>Riparian Buffer Area Planted (Acres)</t>
  </si>
  <si>
    <t>Prior Land Use of Buffer Planting Area</t>
  </si>
  <si>
    <t>Buffer Drainage Area Land Use 1</t>
  </si>
  <si>
    <t>Land Use 1 Percent of Drainage Area</t>
  </si>
  <si>
    <t>Buffer Drainage Area Land Use 2</t>
  </si>
  <si>
    <t>Land Use 2 Percent of Drainage Area</t>
  </si>
  <si>
    <t>Buffer Drainage Area Land Use 3</t>
  </si>
  <si>
    <t>Land Use 3 Percent of Drainage Area</t>
  </si>
  <si>
    <t>Buffer Drainage Area Land Use 4</t>
  </si>
  <si>
    <t>Land Use 4 Percent of Drainage Area</t>
  </si>
  <si>
    <t>Buffer Drainage Area Land Use 5</t>
  </si>
  <si>
    <t>Land Use 5 Percent of Drainage Area</t>
  </si>
  <si>
    <t>Total Percent Drainage Area (must equal 100%)</t>
  </si>
  <si>
    <t>Total Buffer Drainage Area</t>
  </si>
  <si>
    <t>Land Use 1 Load</t>
  </si>
  <si>
    <t>Land Use 2 Load</t>
  </si>
  <si>
    <t>Land Use 3 Load</t>
  </si>
  <si>
    <t>Land Use 4 Load</t>
  </si>
  <si>
    <t>Land Use 5 Load</t>
  </si>
  <si>
    <t>Estimated P Reduction from Drainage Area (kg/yr)</t>
  </si>
  <si>
    <t>Calculated Phosphorus Load Buffer Area Pre-Treatment</t>
  </si>
  <si>
    <t>Estimated P Reduction from Land Use Change (kg/yr)</t>
  </si>
  <si>
    <t>Estimated P Reduction (kg/yr)</t>
  </si>
  <si>
    <t>Example Riparian Buffer 1</t>
  </si>
  <si>
    <t>Barton River-headwaters to Roaring Brook</t>
  </si>
  <si>
    <t>Developed Pervious</t>
  </si>
  <si>
    <t>Developed Impervious</t>
  </si>
  <si>
    <t>Mixed Forest</t>
  </si>
  <si>
    <t>Bioengineered Lake Shoreline Stabilization Estimated Phosphorus Reduction Calculator</t>
  </si>
  <si>
    <r>
      <t>Volume of sediment erosion (ft</t>
    </r>
    <r>
      <rPr>
        <vertAlign val="superscript"/>
        <sz val="10"/>
        <color rgb="FF000000"/>
        <rFont val="Calibri"/>
        <family val="2"/>
        <scheme val="minor"/>
      </rPr>
      <t>3</t>
    </r>
    <r>
      <rPr>
        <sz val="10"/>
        <color rgb="FF000000"/>
        <rFont val="Calibri"/>
        <family val="2"/>
        <scheme val="minor"/>
      </rPr>
      <t>/yr) = Length of Shoreline (feet)∗Average Bank Height (feet)∗Average Shoreline Recession Rate (feet/year) 
kg of TP eroded = Volume of sediment erosion (ft</t>
    </r>
    <r>
      <rPr>
        <vertAlign val="superscript"/>
        <sz val="10"/>
        <color rgb="FF000000"/>
        <rFont val="Calibri"/>
        <family val="2"/>
        <scheme val="minor"/>
      </rPr>
      <t>3</t>
    </r>
    <r>
      <rPr>
        <sz val="10"/>
        <color rgb="FF000000"/>
        <rFont val="Calibri"/>
        <family val="2"/>
        <scheme val="minor"/>
      </rPr>
      <t>/yr) * Average sediment bulk density (34 kg/ft</t>
    </r>
    <r>
      <rPr>
        <vertAlign val="superscript"/>
        <sz val="10"/>
        <color rgb="FF000000"/>
        <rFont val="Calibri"/>
        <family val="2"/>
        <scheme val="minor"/>
      </rPr>
      <t>3</t>
    </r>
    <r>
      <rPr>
        <sz val="10"/>
        <color rgb="FF000000"/>
        <rFont val="Calibri"/>
        <family val="2"/>
        <scheme val="minor"/>
      </rPr>
      <t>) * Average sediment P content (0.000621 kg TP/kg sed.) = volume of sediment (ft</t>
    </r>
    <r>
      <rPr>
        <vertAlign val="superscript"/>
        <sz val="10"/>
        <color rgb="FF000000"/>
        <rFont val="Calibri"/>
        <family val="2"/>
        <scheme val="minor"/>
      </rPr>
      <t>3</t>
    </r>
    <r>
      <rPr>
        <sz val="10"/>
        <color rgb="FF000000"/>
        <rFont val="Calibri"/>
        <family val="2"/>
        <scheme val="minor"/>
      </rPr>
      <t>/yr) * 0.021 kg TP/ft</t>
    </r>
    <r>
      <rPr>
        <vertAlign val="superscript"/>
        <sz val="10"/>
        <color rgb="FF000000"/>
        <rFont val="Calibri"/>
        <family val="2"/>
        <scheme val="minor"/>
      </rPr>
      <t>3</t>
    </r>
  </si>
  <si>
    <t>Notes</t>
  </si>
  <si>
    <t>Average sediment bulk density</t>
  </si>
  <si>
    <r>
      <t>kg/ft</t>
    </r>
    <r>
      <rPr>
        <i/>
        <vertAlign val="superscript"/>
        <sz val="11"/>
        <color theme="1"/>
        <rFont val="Calibri"/>
        <family val="2"/>
        <scheme val="minor"/>
      </rPr>
      <t>3</t>
    </r>
  </si>
  <si>
    <r>
      <rPr>
        <b/>
        <sz val="8"/>
        <color theme="1"/>
        <rFont val="Calibri"/>
        <family val="2"/>
        <scheme val="minor"/>
      </rPr>
      <t>Low erosion: 0-2 inches/year</t>
    </r>
    <r>
      <rPr>
        <sz val="8"/>
        <color theme="1"/>
        <rFont val="Calibri"/>
        <family val="2"/>
        <scheme val="minor"/>
      </rPr>
      <t xml:space="preserve">. The most common type of shoreland erosion occurs slowly over time, causing less than two inches of soil erosion per year or even pausing for a period of time until continuing to erode again under severe storms.
</t>
    </r>
    <r>
      <rPr>
        <b/>
        <sz val="8"/>
        <color theme="1"/>
        <rFont val="Calibri"/>
        <family val="2"/>
        <scheme val="minor"/>
      </rPr>
      <t>Moderate erosion: 2-4 inches/year.</t>
    </r>
    <r>
      <rPr>
        <sz val="8"/>
        <color theme="1"/>
        <rFont val="Calibri"/>
        <family val="2"/>
        <scheme val="minor"/>
      </rPr>
      <t xml:space="preserve"> Vegetative banks buffer shorelines from wind, wave, and ice energy while binding the soils together also protecting the bank from erosive upland runoff. When the vegetation is removed, erosion can occur in many forms, including scouring underneath which ultimately undermines and weakens the entire bank.
</t>
    </r>
    <r>
      <rPr>
        <b/>
        <sz val="8"/>
        <color theme="1"/>
        <rFont val="Calibri"/>
        <family val="2"/>
        <scheme val="minor"/>
      </rPr>
      <t>Severe erosion: 4-6 inches/year.</t>
    </r>
    <r>
      <rPr>
        <sz val="8"/>
        <color theme="1"/>
        <rFont val="Calibri"/>
        <family val="2"/>
        <scheme val="minor"/>
      </rPr>
      <t xml:space="preserve"> Shorelands with more than a 20 percent slope (one foot vertical to five feet horizontal) are considered steep shores with increased erosion potential. Plants typically root best on slopes less than 30 percent but can grow on slopes up to 50 percent.  Another type of severe erosion occurs on man-made beaches made of sand. Sand is very unstable and will severely erode annually, washing into the lake and disturbing natural aquatic habitats.
</t>
    </r>
    <r>
      <rPr>
        <b/>
        <i/>
        <sz val="8"/>
        <color theme="1"/>
        <rFont val="Calibri"/>
        <family val="2"/>
        <scheme val="minor"/>
      </rPr>
      <t xml:space="preserve">If the shoreline recession rate is greater than 6 inches/ year, please contact DEC Lakes and Ponds Program prior to initiating a project.
</t>
    </r>
    <r>
      <rPr>
        <sz val="8"/>
        <color theme="1"/>
        <rFont val="Calibri"/>
        <family val="2"/>
        <scheme val="minor"/>
      </rPr>
      <t>For more detail on the accounting methods and metrics, please see Standard Operating Procedures for Tracking &amp; Accounting of Natural Resources Restoration Projects, available on the VT DEC website.</t>
    </r>
  </si>
  <si>
    <t>Average sediment P content</t>
  </si>
  <si>
    <t>kg TP / kg sediment</t>
  </si>
  <si>
    <t xml:space="preserve">Measure bank height in at least 3 places along the restoration site. </t>
  </si>
  <si>
    <t xml:space="preserve">If available, shoreline recession rate should be measured or determined based on imagery. If unavailable, use the general definitions above to determine representative recession rate. </t>
  </si>
  <si>
    <t>Volume of sediment erosion (ft3) is converted to kilograms of phosphorus using sediment bulk density and sediment phosphorus concentration values.</t>
  </si>
  <si>
    <t>Input value*</t>
  </si>
  <si>
    <t>Length of eroded shoreline to be restored (ft)</t>
  </si>
  <si>
    <t>Average Bank Height (ft)</t>
  </si>
  <si>
    <r>
      <t xml:space="preserve">Average Shoreline Recession Rate </t>
    </r>
    <r>
      <rPr>
        <b/>
        <sz val="11"/>
        <color theme="1"/>
        <rFont val="Calibri"/>
        <family val="2"/>
        <scheme val="minor"/>
      </rPr>
      <t>(in/yr)</t>
    </r>
  </si>
  <si>
    <t>Average Shoreline Recession Rate (ft/yr)</t>
  </si>
  <si>
    <r>
      <t>Volume of sediment erosion (ft</t>
    </r>
    <r>
      <rPr>
        <vertAlign val="superscript"/>
        <sz val="11"/>
        <color theme="1"/>
        <rFont val="Calibri"/>
        <family val="2"/>
        <scheme val="minor"/>
      </rPr>
      <t>3</t>
    </r>
    <r>
      <rPr>
        <sz val="11"/>
        <color theme="1"/>
        <rFont val="Calibri"/>
        <family val="2"/>
        <scheme val="minor"/>
      </rPr>
      <t>/yr)</t>
    </r>
  </si>
  <si>
    <r>
      <t>Average P content per ft</t>
    </r>
    <r>
      <rPr>
        <vertAlign val="superscript"/>
        <sz val="11"/>
        <color theme="1"/>
        <rFont val="Calibri"/>
        <family val="2"/>
        <scheme val="minor"/>
      </rPr>
      <t>2</t>
    </r>
    <r>
      <rPr>
        <sz val="11"/>
        <color theme="1"/>
        <rFont val="Calibri"/>
        <family val="2"/>
        <scheme val="minor"/>
      </rPr>
      <t xml:space="preserve"> of sedment (kg/ft</t>
    </r>
    <r>
      <rPr>
        <vertAlign val="superscript"/>
        <sz val="11"/>
        <color theme="1"/>
        <rFont val="Calibri"/>
        <family val="2"/>
        <scheme val="minor"/>
      </rPr>
      <t>2</t>
    </r>
    <r>
      <rPr>
        <sz val="11"/>
        <color theme="1"/>
        <rFont val="Calibri"/>
        <family val="2"/>
        <scheme val="minor"/>
      </rPr>
      <t>)</t>
    </r>
  </si>
  <si>
    <t>Estimated annual TP erosion (kg/yr)</t>
  </si>
  <si>
    <t>Estimated Annual P Reduction (kg/yr)</t>
  </si>
  <si>
    <t>Lake Shoreline Example 1</t>
  </si>
  <si>
    <t>Native Revegetation ("no mow" zone) Estimated Phosphorus Reduction Calculator</t>
  </si>
  <si>
    <t>estimated P load reduction = [developed pervious loading rate (kg/acre/yr) - range brush (alt. forest) loading rate (kg/acre/yr)] * area of native revegetation (acres)</t>
  </si>
  <si>
    <t xml:space="preserve">Native revegetation, also known as a "no mow" zone, is the practice of allowing developed pervious land use (such as lawns) to regrow a diversity of plant material. Over time, natural succession will allow the area to return to vegetative cover consisting of a mix of trees, shrubs, saplings, and groundcover.
Native revegetation estimated phosphorus load reduction is calculated as a change in land use loading rate from developed pervious to range brush. Some drainage areas in the Lake Champlain basin do not have an assigned loading rate for range brush land use, in which case forest land use loading rate is used as the "current" land use loading rate for the area in native revegetation. 
In order to receive stormwater permitting credits for native revegetation, projects must meet the required elements for passive reforestation under the “Reforestation and Tree Planting” BMP in the 2017 Vermont Stormwater Management Manual. The native revegetation phosphorus credit can only be applied to a standalone practice. The phosphorus credit cannot be combined with the bioengineered shoreline stabilization BMP, forested riparian buffer BMP, or the tree canopy expansion BMP if it covers the same project area.  </t>
  </si>
  <si>
    <t xml:space="preserve">Area of Revegetation (acres) </t>
  </si>
  <si>
    <t xml:space="preserve">Previous Land Use Loading </t>
  </si>
  <si>
    <t>Current Land Use Loading</t>
  </si>
  <si>
    <t>Native Revegetation test 1</t>
  </si>
  <si>
    <t>Winooski River</t>
  </si>
  <si>
    <t>Tree Canopy Expansion Estimated Phosphorus Reduction Calculator</t>
  </si>
  <si>
    <t>estimated phosphorus load reduction (kg/yr) = number of trees planted * 94 (sqft/tree) / 43560 (sqft/acre) * loading rate (kg/acre/yr) * practice reduction efficiency</t>
  </si>
  <si>
    <t>Area treated</t>
  </si>
  <si>
    <t>sqft per planted tree</t>
  </si>
  <si>
    <t xml:space="preserve">Tree plantings on developed pervious or impervious land use that result in an increase in tree canopy but are not intended to result in forest-like conditions. Tree canopies intercept rainfall before it becomes stormwater runoff, and the uncompacted soil into which trees are ideally planted can be used to capture and treat runoff.  Trees do not need to be planted contiguously or along a waterbody and there is no minimum density requirement. 
Trees cannot be part of a forested riparian buffer or structural stormwater BMP, and the replacement of existing trees is not eligible for credit.  In order to receive stormwater permitting credits for tree canopy expansion, projects must meet the required elements for single tree plantings under the “Reforestation and Tree Planting” BMP in the 2017 Vermont Stormwater Management Manual. </t>
  </si>
  <si>
    <t>Unit conversion</t>
  </si>
  <si>
    <t>sqft per acre</t>
  </si>
  <si>
    <t>Phosphorus reduction efficiency (developed impervious)</t>
  </si>
  <si>
    <t>Phosphorus reduction efficiency (developed pervious)</t>
  </si>
  <si>
    <r>
      <rPr>
        <b/>
        <sz val="8"/>
        <color theme="0"/>
        <rFont val="Calibri"/>
        <family val="2"/>
        <scheme val="minor"/>
      </rPr>
      <t>Developed Pervious</t>
    </r>
    <r>
      <rPr>
        <sz val="8"/>
        <color theme="0"/>
        <rFont val="Calibri"/>
        <family val="2"/>
        <scheme val="minor"/>
      </rPr>
      <t xml:space="preserve"> =  lawn, turfgrass, unmowed meadow with no agricultural use
</t>
    </r>
    <r>
      <rPr>
        <b/>
        <sz val="8"/>
        <color theme="0"/>
        <rFont val="Calibri"/>
        <family val="2"/>
        <scheme val="minor"/>
      </rPr>
      <t xml:space="preserve">Developed Impervious </t>
    </r>
    <r>
      <rPr>
        <sz val="8"/>
        <color theme="0"/>
        <rFont val="Calibri"/>
        <family val="2"/>
        <scheme val="minor"/>
      </rPr>
      <t>= paved and unpaved roads, driveways, parking lots</t>
    </r>
  </si>
  <si>
    <t>Land Use</t>
  </si>
  <si>
    <t>Number of Trees Planted</t>
  </si>
  <si>
    <t>Estimated Phosphorus Load (kg/yr)</t>
  </si>
  <si>
    <t>Reduction Efficiency</t>
  </si>
  <si>
    <t>Tree Canopy Expansion Example</t>
  </si>
  <si>
    <t>Poultney River</t>
  </si>
  <si>
    <t>Strategic Wood Addition on Perennial Streams</t>
  </si>
  <si>
    <t>Please consult SWA Crediting Guidance</t>
  </si>
  <si>
    <r>
      <t xml:space="preserve">Calculations completed through the use of this tool should </t>
    </r>
    <r>
      <rPr>
        <b/>
        <sz val="8"/>
        <color rgb="FF000000"/>
        <rFont val="Calibri"/>
        <family val="2"/>
        <scheme val="minor"/>
      </rPr>
      <t>only be applied in perennial stream settings</t>
    </r>
    <r>
      <rPr>
        <sz val="8"/>
        <color rgb="FF000000"/>
        <rFont val="Calibri"/>
        <family val="2"/>
        <scheme val="minor"/>
      </rPr>
      <t xml:space="preserve">. Calculations for estimating phosphrous reductions associated with SWA on intermittent streams are not currently available. The steps for estimating the phosphorus reduction benefit of an SWA project include first estimating the acres of enhanced floodplain connection and anticpated chnage in incision ratio, then multiplying by watershed-specific FFI metrics for separate floodplain storage and stream stability credits per reconnected acre, and lastly summing the two credit types. Final design and as-built project phase calculations should be completed for each distinct floodplain pocket as a unique row below, and these rows can be summed to a project total using the summary table with green headers (right). For preliminary designs row information can be completed at the reach level, with total floodplain acreage and representative bankfull and floodplain height information summarized within continuous reaches with similar geomorphic characteristics (e.g., width, slope, bed material). Not all sites are suitable for SWA or eligible for phosphorus reduction calculations, see the linked SWA crediting guidance (left) for more information. </t>
    </r>
  </si>
  <si>
    <t>Project Total Reconnected Floodplain Acres</t>
  </si>
  <si>
    <t>Annual Stream Stability P Reduction (kg/yr)</t>
  </si>
  <si>
    <t>Annual Storage P Reduction (kg/yr)</t>
  </si>
  <si>
    <t>Year 1 Additional Storage P reduction (kg)</t>
  </si>
  <si>
    <t>Estimated Project Total Annual P Reduction (kg/yr)</t>
  </si>
  <si>
    <t>calculate project total here -&gt;</t>
  </si>
  <si>
    <t>North Branch SWA</t>
  </si>
  <si>
    <t>To add a new project calculation, enter new a project identifier in the row directly below the last row of data. The preset functions will automatically populate in the new row. If calculating for more than one floodplain pocket (final/as-built designs) or stream reach (preliminary design) within a single project, use one row for each pocket and use a single project identifier for all rows, then enter the same project identifier in cell J5 to calculate the estimated phosphorus reduction for the full project.</t>
  </si>
  <si>
    <t xml:space="preserve">To determine HUC12 - visit the ANR Atlas (click here), turn on 'ANR Basemap Data', 'Watershed Boundary Dataset (WBD)', and 'Subwatershed (HUC12)' layers, enter the project lat/lon in the search bar, and click on the search result to zoom to the project location. HUC12 name and number will display in green outlined text. </t>
  </si>
  <si>
    <t>Desktop-based or field-based floodplain acreage estimate, restricting extent of estimated floodplain to the river corridor as described in the SWA Crediting Guidance (Step 1)</t>
  </si>
  <si>
    <t>Floodplain storage credit can include reconnected floodplain area outside of the mapped river corridor, if applicable. This area is credited at 50%.</t>
  </si>
  <si>
    <t>See SWA Crediting Guidance</t>
  </si>
  <si>
    <t>Calculated based on bankfull height and floodplain height</t>
  </si>
  <si>
    <t xml:space="preserve">Potential Achievable IR assuming 0.5ft aggradation in channel behind structure. With additional data this 0.5ft assumption may be subject to change in future iterations of this guidance. See SWA Crediting Guidance for more information. </t>
  </si>
  <si>
    <t>hide?</t>
  </si>
  <si>
    <t>Credit multiplier is determined based on HUC12 project location</t>
  </si>
  <si>
    <t>Universal storage credit for 'Moderate' to 'High' vertical reconnection, used for all projects and taken from the 2023 FFI Manual Table 5-2 Page 53</t>
  </si>
  <si>
    <t>Stream stability credit is dependent on achieving an adequate change in incision ratio, which is not possible in all contexts. See SWA crediting guidance for more information.</t>
  </si>
  <si>
    <t>Additional storage in year one is credited towards the project but not recommended for use in assessing cost effectiveness</t>
  </si>
  <si>
    <t>Project Location HUC12</t>
  </si>
  <si>
    <t>Estimated Reconnected Floodplain Area within the River Corridor (acres)</t>
  </si>
  <si>
    <t>Estimated Reconnecte Floodplain Area outside the River Corridor (acres)</t>
  </si>
  <si>
    <t>Estimated Bankfull Height (ft)</t>
  </si>
  <si>
    <t>Estimated Floodplain Height (ft)</t>
  </si>
  <si>
    <t>Existing Incision Ratio</t>
  </si>
  <si>
    <t>Proposed Post-Implementation Incision Ratio</t>
  </si>
  <si>
    <t>stability credit yes/no</t>
  </si>
  <si>
    <t>Stability Credit Multiplier (kg/acre/year)</t>
  </si>
  <si>
    <t>Stability Credit Proration</t>
  </si>
  <si>
    <t>Storage Credit Multiplier (kg/acre/yr)</t>
  </si>
  <si>
    <t>start here -&gt;</t>
  </si>
  <si>
    <t>043001030301 - Headwaters North Branch Winooski River</t>
  </si>
  <si>
    <t>Stream and Floodplain Restoration Projects on Perennial Streams</t>
  </si>
  <si>
    <t>Functioning Floodplains Initiative (FFI) web application</t>
  </si>
  <si>
    <t xml:space="preserve">Stream stability credit is only applicable to acres within the river corridor boundary. Most river corridors are mapped in the ANR Atlas. If the project site is located in an unmapped corridor, assume the river corridor extends 50ft from the top of the bank. </t>
  </si>
  <si>
    <t>Floodplain connectivity calculation (RCscore): 
RCscore = [(0.5*lateral connectivity) +(0.35*protection)+(0.15*natural buffer)]/incision ratio
RCscore 90 - 100 = high
RCscore 75-89 = moderate
RCscore 36-74 = low
if unknown based on stage of project planning, select best estimate or consult with DEC Rivers Program</t>
  </si>
  <si>
    <t>Storage is credited at 100% for floodplain acres within the river corridor. Storage is credited at 50% for acres outside the river corridor.</t>
  </si>
  <si>
    <t>Practice Type</t>
  </si>
  <si>
    <t>Floodplain Connectivity Pre-Restoration</t>
  </si>
  <si>
    <t>Floodplain Connectivity Post-Restoration</t>
  </si>
  <si>
    <t>Stream Stability P Reduction (kg/unit/year)</t>
  </si>
  <si>
    <t>Annual Stream Stability P Reduction (kg/year)</t>
  </si>
  <si>
    <t>Annual Storage P Reduction (kg/acre/year)</t>
  </si>
  <si>
    <t>Annual Storage P Reduction (kg/year)</t>
  </si>
  <si>
    <t>Year 1 Additional Storage P Reduction (kg)</t>
  </si>
  <si>
    <t>Total Estimated Annual P Reduction (kg/year)</t>
  </si>
  <si>
    <t>Example</t>
  </si>
  <si>
    <t>Low</t>
  </si>
  <si>
    <t>High</t>
  </si>
  <si>
    <t>Stream Connectivity (Structure) Projects on Perennial Streams</t>
  </si>
  <si>
    <t>When making a selection, please ensure that the project meets the definition and criteria for the selected practice type as outlined in the P Calculator Directory tab.</t>
  </si>
  <si>
    <t>The width of a river or stream channel between the highest banks on either side of a stream in a non-incised setting, typically containing the 1.5- to 2-year flood.</t>
  </si>
  <si>
    <t xml:space="preserve">For dam removal and gully staiblization projects, set structure width to 0. </t>
  </si>
  <si>
    <t>For dam removal projects only, all other practices leave this field blank.</t>
  </si>
  <si>
    <t xml:space="preserve">Enter the number of each structure type that exists on the reach. Do not include the barrier that is being removed, proposed, stabilized in 'Practice Type'. Definition of each structure type is available in the P Calculator Directory list of practice types. </t>
  </si>
  <si>
    <t xml:space="preserve">Tally of existing barriers on the reach determines longitudinal deductions. </t>
  </si>
  <si>
    <t xml:space="preserve">Credit eligibility is determined by the longitudinal deductions. </t>
  </si>
  <si>
    <t>Input Value</t>
  </si>
  <si>
    <t>Bankfull Width(Wbkf) (feet)</t>
  </si>
  <si>
    <t>Structure Width (feet)</t>
  </si>
  <si>
    <t>Dam Impoundment Area (acres)</t>
  </si>
  <si>
    <t>Number of Large Flood Control Dams</t>
  </si>
  <si>
    <t>Number of Large Peaking Hydro Dams</t>
  </si>
  <si>
    <t>Number of Large Run of River (ROR) Dams</t>
  </si>
  <si>
    <t>Number of Medium Peaking Hydro Dams</t>
  </si>
  <si>
    <t>Number of  Medium ROR Dams</t>
  </si>
  <si>
    <t>Number of Medium Breached Dams</t>
  </si>
  <si>
    <t>Number of Small Intact ROR Dams</t>
  </si>
  <si>
    <t>Number of Small Breached Dams</t>
  </si>
  <si>
    <t>Number of Bridges (Wbkf &gt; 100%)</t>
  </si>
  <si>
    <t>Number of Bridges (50% - 100% or unknown)</t>
  </si>
  <si>
    <t>Number of Bridges (Wbkf &lt; 50%), shallow channel (&lt; 2%)</t>
  </si>
  <si>
    <t>Number of Bridges (Wbkf&lt; 50%), steep channel (&gt; 2%)</t>
  </si>
  <si>
    <t>Number of Culverts (Wbkf&gt; 100%)</t>
  </si>
  <si>
    <t>Number of Culverts (50% - 100% or unknown) shallow</t>
  </si>
  <si>
    <t>Number of Culverts (50% - 100% or unknown), steep</t>
  </si>
  <si>
    <t>Number of Culverts (Wbkf &lt; 50%), shallow</t>
  </si>
  <si>
    <t>Number of Culverts (Wbkf &lt; 50%), steep</t>
  </si>
  <si>
    <t>Number of Gullies</t>
  </si>
  <si>
    <t>Number of Headcuts</t>
  </si>
  <si>
    <t>Estimated Longitudinal Deductions</t>
  </si>
  <si>
    <t>Score Eligible for Credit</t>
  </si>
  <si>
    <t>Bankfull Width : Structure Width (%)</t>
  </si>
  <si>
    <t>Geomorphic Compatibility Scale Factor</t>
  </si>
  <si>
    <t>043001080801 - La Platte River</t>
  </si>
  <si>
    <t>Gully or Outlet Stabilization Estimated Phosphorus Reduction Calculator</t>
  </si>
  <si>
    <t>Sediement Erosion Rate = [volume of erosion treated (ft^3) * sediment bulk density (kg / ft^3)] / age of erosion (years)
TP Loading Rate = sediment erosion rate (kg/year) * sediment to TP weight conversion (kg P / kg sediement)</t>
  </si>
  <si>
    <r>
      <t xml:space="preserve">The calculation of estimated annual phosphorus reduction in this tab </t>
    </r>
    <r>
      <rPr>
        <b/>
        <sz val="9"/>
        <color theme="1"/>
        <rFont val="Calibri"/>
        <family val="2"/>
        <scheme val="minor"/>
      </rPr>
      <t>applies only to gully or outlet stabilization implemented ephemeral streams adjacent to roads or other developed lands with curbs and catch basins.</t>
    </r>
    <r>
      <rPr>
        <sz val="9"/>
        <color theme="1"/>
        <rFont val="Calibri"/>
        <family val="2"/>
        <scheme val="minor"/>
      </rPr>
      <t xml:space="preserve"> For projects that stabilize gully erosion that is adjacent to and entering a perennial stream, use the 'Stabilize Gully' practice type in the Floodplain Stream - Structure tab of this tool. For projects that address non-jurisdictional erosion on uncurbed roads without catch basins, use the Private Road tab. 
Rill erosion is generally characterized by a depth of less than 1ft
Gully erosion is generally characterized by a depth of greater than 1ft 
If actual age of erosion is unknown, default values are as follows: 
- rill = 5 years
- gully = 15 years
For more detail on the accounting methods and metrics, please see Standard Operating Procedures for Tracking &amp; Accounting of Developed Lands Regulatory projects &amp; Non-Regulatory Clean Water Projects, available on the VT DEC website.</t>
    </r>
  </si>
  <si>
    <t>Sediment bulk density</t>
  </si>
  <si>
    <r>
      <t>kg / ft</t>
    </r>
    <r>
      <rPr>
        <i/>
        <vertAlign val="superscript"/>
        <sz val="10"/>
        <color theme="1"/>
        <rFont val="Calibri"/>
        <family val="2"/>
        <scheme val="minor"/>
      </rPr>
      <t>3</t>
    </r>
  </si>
  <si>
    <t>Phosphorus reduction efficiency (partial mitigation)</t>
  </si>
  <si>
    <t>Phosphorus reduction efficiency (full mitigation)</t>
  </si>
  <si>
    <r>
      <rPr>
        <b/>
        <sz val="8"/>
        <color theme="0"/>
        <rFont val="Calibri"/>
        <family val="2"/>
        <scheme val="minor"/>
      </rPr>
      <t>Fully mitigated</t>
    </r>
    <r>
      <rPr>
        <sz val="8"/>
        <color theme="0"/>
        <rFont val="Calibri"/>
        <family val="2"/>
        <scheme val="minor"/>
      </rPr>
      <t xml:space="preserve"> = project has addressed the full extent of gully erosion.
</t>
    </r>
    <r>
      <rPr>
        <b/>
        <sz val="8"/>
        <color theme="0"/>
        <rFont val="Calibri"/>
        <family val="2"/>
        <scheme val="minor"/>
      </rPr>
      <t>Partially mitigated</t>
    </r>
    <r>
      <rPr>
        <sz val="8"/>
        <color theme="0"/>
        <rFont val="Calibri"/>
        <family val="2"/>
        <scheme val="minor"/>
      </rPr>
      <t xml:space="preserve"> = project has addressed a portion of the gully erosion, for instance by stabilizing the area immediately around the outlet and within the right-of-way, but did not address the full extent of erosion. </t>
    </r>
  </si>
  <si>
    <t>Input</t>
  </si>
  <si>
    <t>Average Legnth of Gully (ft)</t>
  </si>
  <si>
    <t>Average Width of Gully (ft)</t>
  </si>
  <si>
    <t xml:space="preserve">Average Depth of Gully (ft) </t>
  </si>
  <si>
    <t>Level of Erosion Mitigation</t>
  </si>
  <si>
    <t>Estimated Gully Age (years)</t>
  </si>
  <si>
    <r>
      <t>Gully Volume (ft</t>
    </r>
    <r>
      <rPr>
        <vertAlign val="superscript"/>
        <sz val="11"/>
        <color theme="1"/>
        <rFont val="Calibri"/>
        <family val="2"/>
        <scheme val="minor"/>
      </rPr>
      <t>3</t>
    </r>
    <r>
      <rPr>
        <sz val="11"/>
        <color theme="1"/>
        <rFont val="Calibri"/>
        <family val="2"/>
        <scheme val="minor"/>
      </rPr>
      <t xml:space="preserve">) </t>
    </r>
  </si>
  <si>
    <t>Sediment Erosion Rate (kg/yr)</t>
  </si>
  <si>
    <t>TP Loading Rate (kg/yr)</t>
  </si>
  <si>
    <t>Estimated P Load Reduction (kg/yr)</t>
  </si>
  <si>
    <t>Example Gully 1</t>
  </si>
  <si>
    <t>Fully mitigated</t>
  </si>
  <si>
    <t>Forest Road Erosion Control Estimated Phosphorus Reduction Calculator</t>
  </si>
  <si>
    <r>
      <t>linear P loading rate = area loading rate (kg/ha/yr) * percent of phosphorus loading from forest roads / (road area per hectare of forest (ft</t>
    </r>
    <r>
      <rPr>
        <vertAlign val="superscript"/>
        <sz val="11"/>
        <color theme="1"/>
        <rFont val="Calibri"/>
        <family val="2"/>
        <scheme val="minor"/>
      </rPr>
      <t>2</t>
    </r>
    <r>
      <rPr>
        <sz val="11"/>
        <color theme="1"/>
        <rFont val="Calibri"/>
        <family val="2"/>
        <scheme val="minor"/>
      </rPr>
      <t>/ha) / average forest road width (ft))
estimated P load reduction (kg/yr) = linear loading rate (kg/ft/yr) * length of road remediated (ft)</t>
    </r>
  </si>
  <si>
    <t>Assumptions</t>
  </si>
  <si>
    <t>Truck Road average phosphorus loading rate</t>
  </si>
  <si>
    <t>kg/ha/yr</t>
  </si>
  <si>
    <t>This calculator tool applies only to hydrologically connected forest roads, defined as the following:
- Forest roads within 100’ to a water of the state or wetland; 
- Forest roads that bisect a water of the state or wetland or a defined channel; or
- Forest road segment that is uphill from, and drains to, a forest road that bisects a water of the state or wetland, or defined channel. 
This tool provides a high level relative estimation of phosphorus reduction potential based on several assumptions and averages. For a more accurate estimation of the actual phosphorus reduction likely to be attributed to a particular project, please find detailed accounting methods and metrics in the Standard Operating Procedures for Tracking &amp; Accounting for Natural Resources Restoration Projects document, available on the VT DEC website.</t>
  </si>
  <si>
    <t>Skid Trail average phosphorus loading rate</t>
  </si>
  <si>
    <t>Percent of forested area with road surface</t>
  </si>
  <si>
    <t>Percent of forest phosphorus loading from forest roads</t>
  </si>
  <si>
    <t>Truck Road linear loading rate</t>
  </si>
  <si>
    <t>kg/ft/yr</t>
  </si>
  <si>
    <t>Skid Trail linear loading rate</t>
  </si>
  <si>
    <t>Conversion factor</t>
  </si>
  <si>
    <r>
      <t>ft</t>
    </r>
    <r>
      <rPr>
        <i/>
        <vertAlign val="superscript"/>
        <sz val="10"/>
        <color theme="1"/>
        <rFont val="Calibri"/>
        <family val="2"/>
        <scheme val="minor"/>
      </rPr>
      <t xml:space="preserve">2 </t>
    </r>
    <r>
      <rPr>
        <i/>
        <sz val="10"/>
        <color theme="1"/>
        <rFont val="Calibri"/>
        <family val="2"/>
        <scheme val="minor"/>
      </rPr>
      <t>per hectare</t>
    </r>
  </si>
  <si>
    <t xml:space="preserve">Forest road area </t>
  </si>
  <si>
    <t>Forest road average width</t>
  </si>
  <si>
    <t>ft</t>
  </si>
  <si>
    <t>Forest Road and Trail Erosion Inventory Survey123</t>
  </si>
  <si>
    <t xml:space="preserve">To add a new project calculation, enter new a project identifier in the row directly below the last row of data. The preset functions will automatically populate in the new row. If assessing multiple segments, enter each segment as its own row and then sum the total across segments addressed under a single project. </t>
  </si>
  <si>
    <t xml:space="preserve">Compliance score is based on segment meeting Acceptable Management Practice (AMP) standards and should be assessed using the Forest Road and Trail Inventory in Survey123. Guidance and trainings are under development, expected to be available spring 2025. </t>
  </si>
  <si>
    <t>Forest Road Segment ID or Project ID</t>
  </si>
  <si>
    <t>Road/Trail Type</t>
  </si>
  <si>
    <t>Length of Road Segment (ft)</t>
  </si>
  <si>
    <r>
      <t xml:space="preserve">Road Erosion Inventory (REI) compliance score </t>
    </r>
    <r>
      <rPr>
        <u/>
        <sz val="11"/>
        <color theme="1"/>
        <rFont val="Calibri"/>
        <family val="2"/>
        <scheme val="minor"/>
      </rPr>
      <t>before</t>
    </r>
    <r>
      <rPr>
        <sz val="11"/>
        <color theme="1"/>
        <rFont val="Calibri"/>
        <family val="2"/>
        <scheme val="minor"/>
      </rPr>
      <t xml:space="preserve"> restoration</t>
    </r>
  </si>
  <si>
    <r>
      <t xml:space="preserve">Road Erosion Inventory (REI) compliance score </t>
    </r>
    <r>
      <rPr>
        <u/>
        <sz val="11"/>
        <color theme="1"/>
        <rFont val="Calibri"/>
        <family val="2"/>
        <scheme val="minor"/>
      </rPr>
      <t>after</t>
    </r>
    <r>
      <rPr>
        <sz val="11"/>
        <color theme="1"/>
        <rFont val="Calibri"/>
        <family val="2"/>
        <scheme val="minor"/>
      </rPr>
      <t xml:space="preserve"> restoration</t>
    </r>
  </si>
  <si>
    <t>P Reduction Efficiency</t>
  </si>
  <si>
    <t>Estimated P Load Reduction (kg/year)</t>
  </si>
  <si>
    <t>Forest Road Example 1</t>
  </si>
  <si>
    <t>Truck Road</t>
  </si>
  <si>
    <t>Does Not Meet</t>
  </si>
  <si>
    <t>Fully Meets</t>
  </si>
  <si>
    <t>Grand Isle</t>
  </si>
  <si>
    <t>Lamoille</t>
  </si>
  <si>
    <t>Grand Isle, Franklin, Chittenden, or Addison</t>
  </si>
  <si>
    <t>Franklin</t>
  </si>
  <si>
    <t>Washington</t>
  </si>
  <si>
    <t>Lamoille, Washington, or Orange</t>
  </si>
  <si>
    <t>Chittenden</t>
  </si>
  <si>
    <t>Orange</t>
  </si>
  <si>
    <t>Addison</t>
  </si>
  <si>
    <t>P production leaving road (kg / 100m / year)</t>
  </si>
  <si>
    <t xml:space="preserve">% of P production that reaches water </t>
  </si>
  <si>
    <t>Loam</t>
  </si>
  <si>
    <t>Gradual Slope (&lt;5%)</t>
  </si>
  <si>
    <t>Moderate Slope (5-10%)</t>
  </si>
  <si>
    <t>Steep Slope (11 - 20%)</t>
  </si>
  <si>
    <t>Very Steep Slope (&gt;20%)</t>
  </si>
  <si>
    <t>&lt;25ft</t>
  </si>
  <si>
    <t>25-49ft</t>
  </si>
  <si>
    <t>50-69ft</t>
  </si>
  <si>
    <t>70-89ft</t>
  </si>
  <si>
    <t>90-100ft</t>
  </si>
  <si>
    <t>&gt;100ft</t>
  </si>
  <si>
    <t>Very High</t>
  </si>
  <si>
    <t>0-10%</t>
  </si>
  <si>
    <t>11-20%</t>
  </si>
  <si>
    <t>Moderate</t>
  </si>
  <si>
    <t>21-30%</t>
  </si>
  <si>
    <t>31-40%</t>
  </si>
  <si>
    <t>Sandy Loam</t>
  </si>
  <si>
    <t>Silt Loam</t>
  </si>
  <si>
    <t>Clay Loam</t>
  </si>
  <si>
    <t>Private Road Erosion Remediation Estimated Phosphorus Reduction Calculator</t>
  </si>
  <si>
    <t>Estimated P Load Reduction (kg/yr) = generalized municipal road phosphorus loading rate (kg/km/yr) * private road load adjustment factor * length of road remediated (km) * phosphorus reduction efficiency (%)</t>
  </si>
  <si>
    <t>Private road baseline linear loading rate</t>
  </si>
  <si>
    <t>Generalized municpal road loading rates</t>
  </si>
  <si>
    <t>kg/km/yr</t>
  </si>
  <si>
    <r>
      <t xml:space="preserve">DEC has not yet established baseline linear phosphorus loading rates for private roads in the Lake Champlain or Lake Memphremagog basins. </t>
    </r>
    <r>
      <rPr>
        <b/>
        <sz val="9"/>
        <color theme="1"/>
        <rFont val="Calibri"/>
        <family val="2"/>
        <scheme val="minor"/>
      </rPr>
      <t>This tool uses adjusted generalized municipal road phosphorus loading rates with an adjustment to account for private roads generally being one half to three quarters of the width of muncipal roads to estimate phosphorus reductions from private road erosion remediation projects</t>
    </r>
    <r>
      <rPr>
        <sz val="9"/>
        <color theme="1"/>
        <rFont val="Calibri"/>
        <family val="2"/>
        <scheme val="minor"/>
      </rPr>
      <t xml:space="preserve"> until a point when private road linear loading rates are available. For more information, please see the Standard Operating Procedures for Tracking &amp; Accounting of Developed Lands Regulatory projects &amp; Non-Regulatory Clean Water Projects available on the VT DEC website. 
Private road erosion remediation projects should follow the Municipal Roads General Permit (MRGP) standards for the road type most similar to the site of the project to determine pre- and post- restoration condition and estimate phosphorus reduction. Private road erosion remediation projects should be conducted only on hydrologically connected road segments. A hydrologically connected road segment meets one of the following criteria: 
- road segment is within 100 ft of a perennial or intermittent stream, lake, pond, wetland
- road segment bisects a waterbody
- road segment is uphill from, and drains to, a road segment that bisects a waterbody</t>
    </r>
  </si>
  <si>
    <t>Municipal road loading rate adjustment for private road scaling</t>
  </si>
  <si>
    <t>pre-restoration condition = partially meets</t>
  </si>
  <si>
    <t>pre-restoration condition = does not meet</t>
  </si>
  <si>
    <t>Post-restoration road condition</t>
  </si>
  <si>
    <t>Road condition must fully meet MRGP standards post-remediation to be eligible for funding</t>
  </si>
  <si>
    <t xml:space="preserve">To find the correct TMDL Drainage Area for your project, visit the ANR Natural Resources Atlas, scroll to the ANR Basemap Data group and select the "Lake Segment Basins" layer. Navigate to your project location on the map, click on the map to view the Lake Segment name for the location of your project. </t>
  </si>
  <si>
    <t>Default value</t>
  </si>
  <si>
    <t>Road Classification Most Similar to Private Road Remediation Site</t>
  </si>
  <si>
    <t>Length of Road Erosion Remediation (meters)</t>
  </si>
  <si>
    <r>
      <t>Volume of Gully Erosion (ft</t>
    </r>
    <r>
      <rPr>
        <vertAlign val="superscript"/>
        <sz val="11"/>
        <color theme="1"/>
        <rFont val="Calibri"/>
        <family val="2"/>
        <scheme val="minor"/>
      </rPr>
      <t>3</t>
    </r>
    <r>
      <rPr>
        <sz val="11"/>
        <color theme="1"/>
        <rFont val="Calibri"/>
        <family val="2"/>
        <scheme val="minor"/>
      </rPr>
      <t xml:space="preserve">) 
</t>
    </r>
    <r>
      <rPr>
        <i/>
        <sz val="11"/>
        <color theme="1"/>
        <rFont val="Calibri"/>
        <family val="2"/>
        <scheme val="minor"/>
      </rPr>
      <t>Class 4 road types only</t>
    </r>
  </si>
  <si>
    <t>Road Condition Pre-Remediation</t>
  </si>
  <si>
    <t>Road Condition Post-Remediation</t>
  </si>
  <si>
    <t>P Load Reduction Efficiency (%)</t>
  </si>
  <si>
    <t>Annual P Load (kg/yr)</t>
  </si>
  <si>
    <t>Estimated Annual P Load Reduction (kg/yr)</t>
  </si>
  <si>
    <t>Example project</t>
  </si>
  <si>
    <t>Lamoille River</t>
  </si>
  <si>
    <t>Unpaved - Class 1-3</t>
  </si>
  <si>
    <t>Cost Effectiveness Calculator for Formula Grant Project Prioritization</t>
  </si>
  <si>
    <r>
      <rPr>
        <b/>
        <sz val="9"/>
        <color theme="1"/>
        <rFont val="Calibri"/>
        <family val="2"/>
        <scheme val="minor"/>
      </rPr>
      <t>Cost effectiveness of a project with a design life 15 years or greater:</t>
    </r>
    <r>
      <rPr>
        <sz val="9"/>
        <color theme="1"/>
        <rFont val="Calibri"/>
        <family val="2"/>
        <scheme val="minor"/>
      </rPr>
      <t xml:space="preserve">
Cost effectiveness ($/kg/yr) = total capital project cost (dollars) for design and construction / annual average phosphorus load reduction (kg/yr)
</t>
    </r>
    <r>
      <rPr>
        <b/>
        <sz val="9"/>
        <color theme="1"/>
        <rFont val="Calibri"/>
        <family val="2"/>
        <scheme val="minor"/>
      </rPr>
      <t xml:space="preserve">Cost effectiveness for a project with less than 15-year design life: </t>
    </r>
    <r>
      <rPr>
        <sz val="9"/>
        <color theme="1"/>
        <rFont val="Calibri"/>
        <family val="2"/>
        <scheme val="minor"/>
      </rPr>
      <t xml:space="preserve">
Cost effectiveness ($/kg/yr) = (15 years/design life years)*(Total Project Cost $) /Average annual P load reduction</t>
    </r>
  </si>
  <si>
    <t>The calculation of cost effectiveness used in this tool is intended to be used to inform project prioritization for projects proposed to be funded under Formula Grants. The cost effectiveness calculation in this tool considers the project lifespan in the context of the 15-year Formula Grant implemnetation timeframe and utilizes the cost effectiveness formula presented in Chapter 6 of Act 76 Guidance. The cost effectiveness equation used in this tool is subject to revision following conclusion of the public notice period for Chapter 6 of the Act 76 Guidance Document. Cost effectiveness metrics presented elsewhere, such as in the Vermont Clean Water Initiative Performance Report, may use a different equation to calculate cost effectiveness. 
For more information on Act 76 and Guidance, please visit https://dec.vermont.gov/water-investment/statues-rules-policies/act-76</t>
  </si>
  <si>
    <t xml:space="preserve">Enter the project ID exactly entered in the phosphorus calculator tab to autofill calculated estimated P load reduction. </t>
  </si>
  <si>
    <t xml:space="preserve">It is recommended that cost effectiveness is calculated with and without inclusion of any anticipated match or leveraged funds, if applicable. </t>
  </si>
  <si>
    <r>
      <rPr>
        <i/>
        <sz val="8"/>
        <color theme="0"/>
        <rFont val="Calibri"/>
        <family val="2"/>
        <scheme val="minor"/>
      </rPr>
      <t>Optional</t>
    </r>
    <r>
      <rPr>
        <sz val="8"/>
        <color theme="0"/>
        <rFont val="Calibri"/>
        <family val="2"/>
        <scheme val="minor"/>
      </rPr>
      <t xml:space="preserve"> if different than total project costs. Consider Chapter 6 Guidance on co-funded projects and proportional credit for co-funders that are reporting partners. </t>
    </r>
  </si>
  <si>
    <t xml:space="preserve">Value will autofill based on project ID. If project type is a stormwater treatment practice, calculated estimated P load reduction should be copied and pasted from the STP calculator output. </t>
  </si>
  <si>
    <t>Output</t>
  </si>
  <si>
    <t>Output Value</t>
  </si>
  <si>
    <t>Project ID</t>
  </si>
  <si>
    <t>Project Type</t>
  </si>
  <si>
    <t>Estimated Project Type Design Life</t>
  </si>
  <si>
    <t>Total Estimated Project Cost (design and construction)</t>
  </si>
  <si>
    <t>Estimated Project Cost to be Covered by Formula Grant Funds (design and construction)</t>
  </si>
  <si>
    <t>Calculated Estimated P Load Reduction (kg/yr)</t>
  </si>
  <si>
    <t>Total Project Estimated Cost Effectiveness ($/kg/yr)</t>
  </si>
  <si>
    <t>Formula Grant Estimated Cost Effectiveness ($/kg/yr)</t>
  </si>
  <si>
    <t>Truck Road Erosion Control</t>
  </si>
  <si>
    <t>Forested Riparian Buffer</t>
  </si>
  <si>
    <t>Stormwater Project Example 1</t>
  </si>
  <si>
    <t>Rain Garden/Bioretention w/underdrain</t>
  </si>
  <si>
    <t>Floodplain Stream - Acre</t>
  </si>
  <si>
    <t>Strategic Wood Addtion</t>
  </si>
  <si>
    <t xml:space="preserve">Version </t>
  </si>
  <si>
    <t>Updates from Previous Version</t>
  </si>
  <si>
    <t>Publish Date</t>
  </si>
  <si>
    <t xml:space="preserve">Interim Phosphorus Reduction Calculator </t>
  </si>
  <si>
    <t>August 2022</t>
  </si>
  <si>
    <t>Added links and references to supporting resources as applicable and available</t>
  </si>
  <si>
    <t>February 2025</t>
  </si>
  <si>
    <t>Added calculators for strategic wood addition, native revegetation, and tree canopy expansion practice types</t>
  </si>
  <si>
    <t>Updated riparian buffer calculator to allow up to 5 drainage area land use categories</t>
  </si>
  <si>
    <t>Updated private roads linear loading rate to apply scale adjustment of 75% width of municipal roads</t>
  </si>
  <si>
    <t>Moved notes to instructions row</t>
  </si>
  <si>
    <t>didn't work --&gt;</t>
  </si>
  <si>
    <t>=INDEX('Lookup Tables'!$BY$4:$CQ$136, MATCH([@[Practice Type]],'Lookup Tables'!$BY$3:$CQ$3,0), MATCH([@[Project Location HUC12]], 'Lookup Tables'!$BX$4:$BX$136,0))</t>
  </si>
  <si>
    <t>longitudinal deductions lookup</t>
  </si>
  <si>
    <t>bankfull compatibility</t>
  </si>
  <si>
    <t>LandUse</t>
  </si>
  <si>
    <t>DrainageAreaID</t>
  </si>
  <si>
    <t>DrainageArea</t>
  </si>
  <si>
    <t>BasinPlanID</t>
  </si>
  <si>
    <t>HydroSoilGroup</t>
  </si>
  <si>
    <t>AvgSlope</t>
  </si>
  <si>
    <t>P Land Loading Rates.xlsx</t>
  </si>
  <si>
    <t>SOURCE loading rate</t>
  </si>
  <si>
    <t>Drainage Area</t>
  </si>
  <si>
    <t>Delivery percent</t>
  </si>
  <si>
    <t>Land Uses</t>
  </si>
  <si>
    <t>County</t>
  </si>
  <si>
    <t>Buffer Planting Area Prior Land Use</t>
  </si>
  <si>
    <t>Road Type</t>
  </si>
  <si>
    <t>Road Erosion Inventory Score</t>
  </si>
  <si>
    <t>Road Segment Runoff Potential</t>
  </si>
  <si>
    <t>Road Segment Gradient</t>
  </si>
  <si>
    <t>Soil Type</t>
  </si>
  <si>
    <t>Forest Buffer Gradient</t>
  </si>
  <si>
    <t>Distance from water</t>
  </si>
  <si>
    <t>Floodplain connectivity</t>
  </si>
  <si>
    <t>Lamoille </t>
  </si>
  <si>
    <t>Missisquoi </t>
  </si>
  <si>
    <t>Northern Lake Champlain </t>
  </si>
  <si>
    <t>Otter Creek-Little Otter Creek-Lewis Creek </t>
  </si>
  <si>
    <t>Southern Lake Champlain </t>
  </si>
  <si>
    <t>Winooski </t>
  </si>
  <si>
    <t>Memphremagog</t>
  </si>
  <si>
    <t>Low to High </t>
  </si>
  <si>
    <t>Low to Moderate </t>
  </si>
  <si>
    <t>Moderate to High </t>
  </si>
  <si>
    <t>Lake Segment</t>
  </si>
  <si>
    <t>Paved Roads SOURCE loading rate (kg/km/yr)</t>
  </si>
  <si>
    <t>Unpaved Roads SOURCE loading rate (kg/km/yr)</t>
  </si>
  <si>
    <t> Drainage Area</t>
  </si>
  <si>
    <t>Paved Roads DELIVERED loading rate (kg/km/yr)</t>
  </si>
  <si>
    <t>Unpaved Roads DELIVERED loading rate (kg/km/yr)</t>
  </si>
  <si>
    <t>paved road SOURCE loading rate (kg/km/yr)</t>
  </si>
  <si>
    <t>unpaved road SOURCE loading rate (kg/km/yr)</t>
  </si>
  <si>
    <t>Memphremagog Basin HUC 12 name</t>
  </si>
  <si>
    <t>Memphremagog Delivery Percentage</t>
  </si>
  <si>
    <t>BH2</t>
  </si>
  <si>
    <t>Design Life (yrs)</t>
  </si>
  <si>
    <t>floodplain storage crediting (kg/year)</t>
  </si>
  <si>
    <t>FFI manual page 53</t>
  </si>
  <si>
    <t>kg/acre</t>
  </si>
  <si>
    <t>kg/structure</t>
  </si>
  <si>
    <t>kg/project</t>
  </si>
  <si>
    <t>less than</t>
  </si>
  <si>
    <t>Cropland (WA)</t>
  </si>
  <si>
    <t>Mettawee River</t>
  </si>
  <si>
    <t>NA</t>
  </si>
  <si>
    <t>Black River-headwaters to Seaver Branch</t>
  </si>
  <si>
    <t>Floodplain Restoration with Buffer Revegetation</t>
  </si>
  <si>
    <t>Initial </t>
  </si>
  <si>
    <t>Partially mitigated</t>
  </si>
  <si>
    <t>Paved - Class 1-3</t>
  </si>
  <si>
    <t>BURLINGTON BAY</t>
  </si>
  <si>
    <t>Burlington Bay - CSO</t>
  </si>
  <si>
    <t>Headwaters Black River</t>
  </si>
  <si>
    <t>BH3</t>
  </si>
  <si>
    <t xml:space="preserve">start </t>
  </si>
  <si>
    <t>HUC12</t>
  </si>
  <si>
    <t>Name</t>
  </si>
  <si>
    <t>HUC12+name</t>
  </si>
  <si>
    <t>Restore Channel Roughness and Wood</t>
  </si>
  <si>
    <t>Plant 50- Foot Riparian Area</t>
  </si>
  <si>
    <t>Stabilize Gully with Treatment of Stormwater</t>
  </si>
  <si>
    <t>Implement River Corridor Easement</t>
  </si>
  <si>
    <t>Adopt River Corridor Bylaws</t>
  </si>
  <si>
    <t>NRCS Wetland Reserve</t>
  </si>
  <si>
    <r>
      <rPr>
        <b/>
        <sz val="7"/>
        <rFont val="Calibri"/>
        <family val="2"/>
      </rPr>
      <t>Plant Floodplain Outside of Corridor</t>
    </r>
  </si>
  <si>
    <r>
      <rPr>
        <b/>
        <sz val="7"/>
        <rFont val="Calibri"/>
        <family val="2"/>
      </rPr>
      <t xml:space="preserve">Plant River
</t>
    </r>
    <r>
      <rPr>
        <b/>
        <sz val="7"/>
        <rFont val="Calibri"/>
        <family val="2"/>
      </rPr>
      <t>Corridor Outside of 50- Foot Riparian Area</t>
    </r>
  </si>
  <si>
    <t>Replace Bridge (Wbkf &gt;100%)</t>
  </si>
  <si>
    <t>Replace Culvert (Wbkf &gt;100%)</t>
  </si>
  <si>
    <t>Place Baffles in Culvert</t>
  </si>
  <si>
    <t>Backwater Culvert with Weir or Other Approach</t>
  </si>
  <si>
    <t>Black River-Seaver Branch to Lords Creek</t>
  </si>
  <si>
    <t>Bennington</t>
  </si>
  <si>
    <t>Skid Trail</t>
  </si>
  <si>
    <t>Partially Meets</t>
  </si>
  <si>
    <t>Floodplain Restoration with Buffer Revegetation and Easement</t>
  </si>
  <si>
    <t>Future (50%) </t>
  </si>
  <si>
    <t>Burlington Bay - DD</t>
  </si>
  <si>
    <t>Lamphean Brook-Black River</t>
  </si>
  <si>
    <t>BH4</t>
  </si>
  <si>
    <t>low</t>
  </si>
  <si>
    <t>moderate</t>
  </si>
  <si>
    <t>high</t>
  </si>
  <si>
    <t>values updated January 2025</t>
  </si>
  <si>
    <t>Headwaters Lamoille River</t>
  </si>
  <si>
    <t>043001050101 - Headwaters Lamoille River</t>
  </si>
  <si>
    <r>
      <rPr>
        <sz val="7"/>
        <rFont val="Calibri"/>
        <family val="2"/>
      </rPr>
      <t>N/A</t>
    </r>
  </si>
  <si>
    <t>N/A</t>
  </si>
  <si>
    <t>South Lake B Direct Drainage</t>
  </si>
  <si>
    <t>Lords Creek</t>
  </si>
  <si>
    <t>Caledonia</t>
  </si>
  <si>
    <t>Cropland</t>
  </si>
  <si>
    <t>Large/medium dam removal with floodplain restoration</t>
  </si>
  <si>
    <t>Class 4</t>
  </si>
  <si>
    <t>ISLE LA MOTTE</t>
  </si>
  <si>
    <t>Isle La Motte - DD</t>
  </si>
  <si>
    <t>BH5</t>
  </si>
  <si>
    <t>end</t>
  </si>
  <si>
    <t xml:space="preserve">low </t>
  </si>
  <si>
    <t>HUC12_Simulation_Results_20250116.xlsx</t>
  </si>
  <si>
    <t>Hardwick Lake Dam-Lamoille River</t>
  </si>
  <si>
    <t>043001050102 - Hardwick Lake Dam-Lamoille River</t>
  </si>
  <si>
    <t>South Lake A Direct Drainage</t>
  </si>
  <si>
    <t>Black River-Lords Creek to mouth</t>
  </si>
  <si>
    <t>Pasture</t>
  </si>
  <si>
    <t>Small/medium intact run of river or breached dam removal with floodplain restoration</t>
  </si>
  <si>
    <t>MALLETTS BAY</t>
  </si>
  <si>
    <t>Black River</t>
  </si>
  <si>
    <t>BH6</t>
  </si>
  <si>
    <t>Skid Trail Erosion Control</t>
  </si>
  <si>
    <t>Wild Branch</t>
  </si>
  <si>
    <t>043001050103 - Wild Branch</t>
  </si>
  <si>
    <t>Port Henry Direct Drainage</t>
  </si>
  <si>
    <t>Essex</t>
  </si>
  <si>
    <t>Wood addition in 1st and 2nd order streams</t>
  </si>
  <si>
    <t>SHELBURNE BAY</t>
  </si>
  <si>
    <t>LaPlatte River</t>
  </si>
  <si>
    <t>Headwaters Barton River</t>
  </si>
  <si>
    <t>BH7</t>
  </si>
  <si>
    <t>Elmore Branch-Lamoille River</t>
  </si>
  <si>
    <t>043001050104 - Elmore Branch-Lamoille River</t>
  </si>
  <si>
    <t>Lewis Creek</t>
  </si>
  <si>
    <t>Barton River-Roaring Branch to Willoughby River</t>
  </si>
  <si>
    <t>Wood addition in 3rd and 4th order streams</t>
  </si>
  <si>
    <t>OTTER CREEK</t>
  </si>
  <si>
    <t>Willoughby Brook-Barton River</t>
  </si>
  <si>
    <t>BH8</t>
  </si>
  <si>
    <t>Floodplain Stream - Structure</t>
  </si>
  <si>
    <t>Green River</t>
  </si>
  <si>
    <t>043001050105 - Green River</t>
  </si>
  <si>
    <t>Little Otter Creek</t>
  </si>
  <si>
    <t>Willoughby River</t>
  </si>
  <si>
    <t>Remove hard constraint</t>
  </si>
  <si>
    <t>BH9</t>
  </si>
  <si>
    <t>Ryder Brook-Lamoille River</t>
  </si>
  <si>
    <t>043001050106 - Ryder Brook-Lamoille River</t>
  </si>
  <si>
    <t>Otter Creek</t>
  </si>
  <si>
    <t>Barton River-Willoughby River to mouth</t>
  </si>
  <si>
    <t>Passive Restoration - Easement and Buffer Revegetation</t>
  </si>
  <si>
    <t>MAIN LAKE</t>
  </si>
  <si>
    <t>Main Lake - DD</t>
  </si>
  <si>
    <t>Barton River</t>
  </si>
  <si>
    <t>BH10</t>
  </si>
  <si>
    <t>Kenfield Brook-Lamoille River</t>
  </si>
  <si>
    <t>043001050107 - Kenfield Brook-Lamoille River</t>
  </si>
  <si>
    <t>Otter Creek Direct Drainage</t>
  </si>
  <si>
    <t>Clyde River-headwaters to Echo Lake stream</t>
  </si>
  <si>
    <t>Adopt Corridor Bylaws</t>
  </si>
  <si>
    <t>Malletts Bay - DD</t>
  </si>
  <si>
    <t>Headwaters Clyde River</t>
  </si>
  <si>
    <t>BH11</t>
  </si>
  <si>
    <t>Headwaters Browns River</t>
  </si>
  <si>
    <t>043001050201 - Headwaters Browns River</t>
  </si>
  <si>
    <t>Main Lake Direct Drainage</t>
  </si>
  <si>
    <t>Seymour and Echo Lakes</t>
  </si>
  <si>
    <t>Orleans</t>
  </si>
  <si>
    <t>Buffer Revegetation</t>
  </si>
  <si>
    <t>SOUTH LAKE B</t>
  </si>
  <si>
    <t>Seymour Lake-Clyde River</t>
  </si>
  <si>
    <t>BH12</t>
  </si>
  <si>
    <t>Browns River</t>
  </si>
  <si>
    <t>043001050202 - Browns River</t>
  </si>
  <si>
    <t>Clyde River-Echo Lake stream to mouth</t>
  </si>
  <si>
    <t>Rutland</t>
  </si>
  <si>
    <t>Replace Culverts - Undersized with Shallow Slope</t>
  </si>
  <si>
    <t>MISSISQUOI BAY</t>
  </si>
  <si>
    <t>Missisquoi Bay - DD</t>
  </si>
  <si>
    <t>Clyde River</t>
  </si>
  <si>
    <t>BH13</t>
  </si>
  <si>
    <t>Gihon River</t>
  </si>
  <si>
    <t>043001050301 - Gihon River</t>
  </si>
  <si>
    <t>Laplatte River</t>
  </si>
  <si>
    <t>Direct drainage-south end of Lake Memphremagog</t>
  </si>
  <si>
    <t>Stabilize Gully on Perennial Stream</t>
  </si>
  <si>
    <t>Missisquoi River</t>
  </si>
  <si>
    <t>BH14</t>
  </si>
  <si>
    <t>North Branch Lamoille River</t>
  </si>
  <si>
    <t>043001050302 - North Branch Lamoille River</t>
  </si>
  <si>
    <t>Burlington Bay Direct Drainage</t>
  </si>
  <si>
    <t>Windham</t>
  </si>
  <si>
    <t>NORTHEAST ARM</t>
  </si>
  <si>
    <t>Northeast Arm - DD</t>
  </si>
  <si>
    <t>BH15</t>
  </si>
  <si>
    <t>Brewster River-Lamoille River</t>
  </si>
  <si>
    <t>043001050303 - Brewster River-Lamoille River</t>
  </si>
  <si>
    <t>Windsor</t>
  </si>
  <si>
    <t>BH16</t>
  </si>
  <si>
    <t>Hydrodynamic (swirl) Separator Structure</t>
  </si>
  <si>
    <t>Seymour River-Lamoille River</t>
  </si>
  <si>
    <t>043001050304 - Seymour River-Lamoille River</t>
  </si>
  <si>
    <t>Malletts Bay Direct Drainage</t>
  </si>
  <si>
    <t>Otter Creek - DD</t>
  </si>
  <si>
    <t>BH17</t>
  </si>
  <si>
    <t>Stones Brook-Lamoille River</t>
  </si>
  <si>
    <t>043001050305 - Stones Brook-Lamoille River</t>
  </si>
  <si>
    <t>Northeast Arm Direct Drainage</t>
  </si>
  <si>
    <t>PORT HENRY</t>
  </si>
  <si>
    <t>Port Henry - DD</t>
  </si>
  <si>
    <t>BH18</t>
  </si>
  <si>
    <t>Porous Pavement w/ underdrain</t>
  </si>
  <si>
    <t>043001050306 - Lamoille River</t>
  </si>
  <si>
    <t>St. Albans Bay Direct Drainage</t>
  </si>
  <si>
    <t>BH19</t>
  </si>
  <si>
    <t>Porous Pavement w/ infiltration</t>
  </si>
  <si>
    <t>Missisquoi</t>
  </si>
  <si>
    <t>Headwater Missisquoi River</t>
  </si>
  <si>
    <t>043001070101 - Headwater Missisquoi River</t>
  </si>
  <si>
    <t>Missisquoi Bay Direct Drainage</t>
  </si>
  <si>
    <t>SOUTH LAKE A</t>
  </si>
  <si>
    <t>South Lake A - DD</t>
  </si>
  <si>
    <t>BH20</t>
  </si>
  <si>
    <t>Snider Brook-Missisquoi River</t>
  </si>
  <si>
    <t>043001070102 - Snider Brook-Missisquoi River</t>
  </si>
  <si>
    <t>South Lake B - DD</t>
  </si>
  <si>
    <t>BH21</t>
  </si>
  <si>
    <t>Rain Garden/Bioretention w/o underdrain</t>
  </si>
  <si>
    <t>Mineral Spring Brook-Missisquoi River</t>
  </si>
  <si>
    <t>043001070103 - Mineral Spring Brook-Missisquoi River</t>
  </si>
  <si>
    <t>Isle La Motte Direct Drainage</t>
  </si>
  <si>
    <t>ST ALBANS BAY</t>
  </si>
  <si>
    <t>St. Albans Bay - DD</t>
  </si>
  <si>
    <t>BH22</t>
  </si>
  <si>
    <t>Sand Filter w/ underdrain</t>
  </si>
  <si>
    <t>Jay Branch</t>
  </si>
  <si>
    <t>043001070104 - Jay Branch</t>
  </si>
  <si>
    <t>BH23</t>
  </si>
  <si>
    <t>Mud Creek</t>
  </si>
  <si>
    <t>043001070106 - Mud Creek</t>
  </si>
  <si>
    <t>BH24</t>
  </si>
  <si>
    <t>Beetle Brook-Missisquoi River</t>
  </si>
  <si>
    <t>043001070107 - Beetle Brook-Missisquoi River</t>
  </si>
  <si>
    <t>BH25</t>
  </si>
  <si>
    <t>Leavit Brook-Missisquoi River</t>
  </si>
  <si>
    <t>043001070206 - Leavit Brook-Missisquoi River</t>
  </si>
  <si>
    <t>BH26</t>
  </si>
  <si>
    <t>Outlet Sutton River</t>
  </si>
  <si>
    <t>043001070209 - Outlet Sutton River</t>
  </si>
  <si>
    <t>Lucas Brook-Missisquoi River</t>
  </si>
  <si>
    <t>043001070210 - Lucas Brook-Missisquoi River</t>
  </si>
  <si>
    <t>Headwaters Trout River</t>
  </si>
  <si>
    <t>043001070301 - Headwaters Trout River</t>
  </si>
  <si>
    <t>Outlet Trout River</t>
  </si>
  <si>
    <t>043001070302 - Outlet Trout River</t>
  </si>
  <si>
    <t>Tyler Branch</t>
  </si>
  <si>
    <t>043001070401 - Tyler Branch</t>
  </si>
  <si>
    <t>Enosburg Falls-Missisquoi River</t>
  </si>
  <si>
    <t>043001070402 - Enosburg Falls-Missisquoi River</t>
  </si>
  <si>
    <t>Goodsell Brook-Missisquoi River</t>
  </si>
  <si>
    <t>043001070403 - Goodsell Brook-Missisquoi River</t>
  </si>
  <si>
    <t>Headwaters Black Creek</t>
  </si>
  <si>
    <t>043001070501 - Headwaters Black Creek</t>
  </si>
  <si>
    <t>Fairfield River</t>
  </si>
  <si>
    <t>043001070502 - Fairfield River</t>
  </si>
  <si>
    <t>Developed Impervious (WA)</t>
  </si>
  <si>
    <t>Dead Creek</t>
  </si>
  <si>
    <t>043001070503 - Dead Creek</t>
  </si>
  <si>
    <t>Black Creek</t>
  </si>
  <si>
    <t>043001070504 - Black Creek</t>
  </si>
  <si>
    <t>McGowan Brook-Missisquoi River</t>
  </si>
  <si>
    <t>043001070601 - McGowan Brook-Missisquoi River</t>
  </si>
  <si>
    <t>Hungerford Brook</t>
  </si>
  <si>
    <t>043001070602 - Hungerford Brook</t>
  </si>
  <si>
    <t>Outlet Missisquoi River</t>
  </si>
  <si>
    <t>043001070603 - Outlet Missisquoi River</t>
  </si>
  <si>
    <t>Heawaters Pike River</t>
  </si>
  <si>
    <t>043001081001 - Heawaters Pike River</t>
  </si>
  <si>
    <t>Groat Creek</t>
  </si>
  <si>
    <t>043001081005 - Groat Creek</t>
  </si>
  <si>
    <t>Rock River</t>
  </si>
  <si>
    <t>043001081101 - Rock River</t>
  </si>
  <si>
    <t>Carman Brook-Missisquoi Bay</t>
  </si>
  <si>
    <t>043001081102 - Carman Brook-Missisquoi Bay</t>
  </si>
  <si>
    <t>Northern Lake Champlain</t>
  </si>
  <si>
    <t>La Platte River</t>
  </si>
  <si>
    <t>Munroe Brook-Shelburne Bay</t>
  </si>
  <si>
    <t>043001080802 - Munroe Brook-Shelburne Bay</t>
  </si>
  <si>
    <t>Malletts Creek</t>
  </si>
  <si>
    <t>043001080901 - Malletts Creek</t>
  </si>
  <si>
    <t>Malletts Bay</t>
  </si>
  <si>
    <t>043001080902 - Malletts Bay</t>
  </si>
  <si>
    <t>Jewett Brook</t>
  </si>
  <si>
    <t>043001081201 - Jewett Brook</t>
  </si>
  <si>
    <t>Mill River</t>
  </si>
  <si>
    <t>043001081202 - Mill River</t>
  </si>
  <si>
    <t>043001081203 - Mud Creek</t>
  </si>
  <si>
    <t>Saint Albans Bay-Lake Champlain</t>
  </si>
  <si>
    <t>043001081204 - Saint Albans Bay-Lake Champlain</t>
  </si>
  <si>
    <t>Lake Champlain</t>
  </si>
  <si>
    <t>043001081604 - Lake Champlain</t>
  </si>
  <si>
    <t>Little River-Richelieu River</t>
  </si>
  <si>
    <t>043001090302 - Little River-Richelieu River</t>
  </si>
  <si>
    <t>South River</t>
  </si>
  <si>
    <t>043001090303 - South River</t>
  </si>
  <si>
    <t>Otter Creek- Little Otter Creek- Lewis Creek</t>
  </si>
  <si>
    <t>Headwaters Otter Creek</t>
  </si>
  <si>
    <t>043001020101 - Headwaters Otter Creek</t>
  </si>
  <si>
    <t>Big Branch</t>
  </si>
  <si>
    <t>043001020102 - Big Branch</t>
  </si>
  <si>
    <t>Homer Stone Brook-Otter Creek</t>
  </si>
  <si>
    <t>043001020103 - Homer Stone Brook-Otter Creek</t>
  </si>
  <si>
    <t>Headwaters Mill Creek</t>
  </si>
  <si>
    <t>043001020104 - Headwaters Mill Creek</t>
  </si>
  <si>
    <t>Mill Creek</t>
  </si>
  <si>
    <t>043001020105 - Mill Creek</t>
  </si>
  <si>
    <t>Cold River</t>
  </si>
  <si>
    <t>043001020106 - Cold River</t>
  </si>
  <si>
    <t>East Creek</t>
  </si>
  <si>
    <t>043001020107 - East Creek</t>
  </si>
  <si>
    <t>Clarendon River</t>
  </si>
  <si>
    <t>043001020108 - Clarendon River</t>
  </si>
  <si>
    <t>Moon Brook-Otter Creek</t>
  </si>
  <si>
    <t>043001020109 - Moon Brook-Otter Creek</t>
  </si>
  <si>
    <t>Headwaters New Haven River</t>
  </si>
  <si>
    <t>043001020201 - Headwaters New Haven River</t>
  </si>
  <si>
    <t>Baldwin Creek</t>
  </si>
  <si>
    <t>043001020202 - Baldwin Creek</t>
  </si>
  <si>
    <t>New Haven River</t>
  </si>
  <si>
    <t>043001020203 - New Haven River</t>
  </si>
  <si>
    <t>Furnace Brook</t>
  </si>
  <si>
    <t>043001020301 - Furnace Brook</t>
  </si>
  <si>
    <t>Developed Pervious (WA)</t>
  </si>
  <si>
    <t>Bresee Mill Brook-Otter Creek</t>
  </si>
  <si>
    <t>043001020302 - Bresee Mill Brook-Otter Creek</t>
  </si>
  <si>
    <t>Neshobe River</t>
  </si>
  <si>
    <t>043001020303 - Neshobe River</t>
  </si>
  <si>
    <t>Willow Brook-Otter Creek</t>
  </si>
  <si>
    <t>043001020304 - Willow Brook-Otter Creek</t>
  </si>
  <si>
    <t>Leicester River</t>
  </si>
  <si>
    <t>043001020305 - Leicester River</t>
  </si>
  <si>
    <t>Middlebury River</t>
  </si>
  <si>
    <t>043001020306 - Middlebury River</t>
  </si>
  <si>
    <t>Pleasant Brook-Otter Creek</t>
  </si>
  <si>
    <t>043001020307 - Pleasant Brook-Otter Creek</t>
  </si>
  <si>
    <t>Upper Lemon Fair River</t>
  </si>
  <si>
    <t>043001020401 - Upper Lemon Fair River</t>
  </si>
  <si>
    <t>Lower Lemon Fair River</t>
  </si>
  <si>
    <t>043001020402 - Lower Lemon Fair River</t>
  </si>
  <si>
    <t>043001020501 - Dead Creek</t>
  </si>
  <si>
    <t>043001020502 - Otter Creek</t>
  </si>
  <si>
    <t>Headwaters Little Otter Creek</t>
  </si>
  <si>
    <t>043001080401 - Headwaters Little Otter Creek</t>
  </si>
  <si>
    <t>Outlet Little Otter Creek</t>
  </si>
  <si>
    <t>043001080402 - Outlet Little Otter Creek</t>
  </si>
  <si>
    <t>Headwaters Lewis Creek</t>
  </si>
  <si>
    <t>043001080501 - Headwaters Lewis Creek</t>
  </si>
  <si>
    <t>Outlet Lewis Creek</t>
  </si>
  <si>
    <t>043001080502 - Outlet Lewis Creek</t>
  </si>
  <si>
    <t>Southern Lake Champlain</t>
  </si>
  <si>
    <t>Headwaters Mettawee River</t>
  </si>
  <si>
    <t>043001010201 - Headwaters Mettawee River</t>
  </si>
  <si>
    <t>Flower Brook</t>
  </si>
  <si>
    <t>043001010202 - Flower Brook</t>
  </si>
  <si>
    <t>Wells Brook-Mettawee River</t>
  </si>
  <si>
    <t>043001010203 - Wells Brook-Mettawee River</t>
  </si>
  <si>
    <t>Indian River</t>
  </si>
  <si>
    <t>043001010204 - Indian River</t>
  </si>
  <si>
    <t>043001010205 - Mettawee River</t>
  </si>
  <si>
    <t>Headwaters Poultney River</t>
  </si>
  <si>
    <t>043001010301 - Headwaters Poultney River</t>
  </si>
  <si>
    <t>Finel Hollow Brook-Poultney River</t>
  </si>
  <si>
    <t>043001010302 - Finel Hollow Brook-Poultney River</t>
  </si>
  <si>
    <t>Headwaters Castleton River</t>
  </si>
  <si>
    <t>043001010303 - Headwaters Castleton River</t>
  </si>
  <si>
    <t>Castleton River</t>
  </si>
  <si>
    <t>043001010304 - Castleton River</t>
  </si>
  <si>
    <t>Mud Brook-Poultney River</t>
  </si>
  <si>
    <t>043001010305 - Mud Brook-Poultney River</t>
  </si>
  <si>
    <t>Hubbardton River</t>
  </si>
  <si>
    <t>043001010306 - Hubbardton River</t>
  </si>
  <si>
    <t>Poultney River-Head of Lake Champlain</t>
  </si>
  <si>
    <t>043001010307 - Poultney River-Head of Lake Champlain</t>
  </si>
  <si>
    <t>Charter Brook-Lake Champlain</t>
  </si>
  <si>
    <t>043001080104 - Charter Brook-Lake Champlain</t>
  </si>
  <si>
    <t>043001080301 - East Creek</t>
  </si>
  <si>
    <t>McKenzie Brook-Lake Champlain</t>
  </si>
  <si>
    <t>043001080304 - McKenzie Brook-Lake Champlain</t>
  </si>
  <si>
    <t>Hoisington Brook-Lake Champlain</t>
  </si>
  <si>
    <t>043001080602 - Hoisington Brook-Lake Champlain</t>
  </si>
  <si>
    <t>Winooski</t>
  </si>
  <si>
    <t>Headwaters Stevens Branch</t>
  </si>
  <si>
    <t>043001030101 - Headwaters Stevens Branch</t>
  </si>
  <si>
    <t>Jail Branch</t>
  </si>
  <si>
    <t>043001030102 - Jail Branch</t>
  </si>
  <si>
    <t>Stevens Branch</t>
  </si>
  <si>
    <t>043001030103 - Stevens Branch</t>
  </si>
  <si>
    <t>Forest (WA)</t>
  </si>
  <si>
    <t>Headwaters Winooski River</t>
  </si>
  <si>
    <t>043001030201 - Headwaters Winooski River</t>
  </si>
  <si>
    <t>Nasmith Brook-Winooski River</t>
  </si>
  <si>
    <t>043001030202 - Nasmith Brook-Winooski River</t>
  </si>
  <si>
    <t>Kingsbury Branch</t>
  </si>
  <si>
    <t>043001030203 - Kingsbury Branch</t>
  </si>
  <si>
    <t>Sodom Pond Brook-Winooski River</t>
  </si>
  <si>
    <t>043001030204 - Sodom Pond Brook-Winooski River</t>
  </si>
  <si>
    <t>Headwaters North Branch Winooski River</t>
  </si>
  <si>
    <t>North Branch Winooski River</t>
  </si>
  <si>
    <t>043001030302 - North Branch Winooski River</t>
  </si>
  <si>
    <t>Headwaters Dog River</t>
  </si>
  <si>
    <t>043001030401 - Headwaters Dog River</t>
  </si>
  <si>
    <t>Dog River</t>
  </si>
  <si>
    <t>043001030402 - Dog River</t>
  </si>
  <si>
    <t>Great Brook-Winooski River</t>
  </si>
  <si>
    <t>043001030403 - Great Brook-Winooski River</t>
  </si>
  <si>
    <t>Headwaters Mad River</t>
  </si>
  <si>
    <t>043001030501 - Headwaters Mad River</t>
  </si>
  <si>
    <t>Mill Brook-Mad River</t>
  </si>
  <si>
    <t>043001030502 - Mill Brook-Mad River</t>
  </si>
  <si>
    <t>Shepard Brook</t>
  </si>
  <si>
    <t>043001030503 - Shepard Brook</t>
  </si>
  <si>
    <t>Mad River</t>
  </si>
  <si>
    <t>043001030504 - Mad River</t>
  </si>
  <si>
    <t>Graves Brook-Winooski River</t>
  </si>
  <si>
    <t>043001030601 - Graves Brook-Winooski River</t>
  </si>
  <si>
    <t>Headwaters Little River</t>
  </si>
  <si>
    <t>043001030602 - Headwaters Little River</t>
  </si>
  <si>
    <t>Little River</t>
  </si>
  <si>
    <t>043001030603 - Little River</t>
  </si>
  <si>
    <t>Joiner Brook-Winooski River</t>
  </si>
  <si>
    <t>043001030604 - Joiner Brook-Winooski River</t>
  </si>
  <si>
    <t>Huntington River</t>
  </si>
  <si>
    <t>043001030701 - Huntington River</t>
  </si>
  <si>
    <t>Snipe Island Brook-Winooski River</t>
  </si>
  <si>
    <t>043001030702 - Snipe Island Brook-Winooski River</t>
  </si>
  <si>
    <t>Muddy Brook</t>
  </si>
  <si>
    <t>043001030703 - Muddy Brook</t>
  </si>
  <si>
    <t>043001030704 - Winooski River</t>
  </si>
  <si>
    <t>memph values are LCB wide simulated median</t>
  </si>
  <si>
    <t>043002021203 - Lords Creek</t>
  </si>
  <si>
    <t>LakeChamplainBasin_Simulation_Results.xlsx</t>
  </si>
  <si>
    <t>043002021104 - Barton River</t>
  </si>
  <si>
    <t>043002021201 - Headwaters Black River</t>
  </si>
  <si>
    <t>043002021202 - Lamphean Brook-Black River</t>
  </si>
  <si>
    <t>043002021102 - Willoughby Brook-Barton River</t>
  </si>
  <si>
    <t>043002021101 - Headwaters Barton River</t>
  </si>
  <si>
    <t>Seymour Lake</t>
  </si>
  <si>
    <t>043002021302 - Seymour Lake</t>
  </si>
  <si>
    <t>043002021303 - Clyde River</t>
  </si>
  <si>
    <t>043002021301 - Headwaters Clyde River</t>
  </si>
  <si>
    <t>043002021103 - Willoughby River</t>
  </si>
  <si>
    <t>Stony Brook-Black River</t>
  </si>
  <si>
    <t>043002021204 - Stony Brook-Black River</t>
  </si>
  <si>
    <t>043002021404 - Lake Memphremagog</t>
  </si>
  <si>
    <t>Range_Brush (native revegetation)</t>
  </si>
  <si>
    <t>Forest (WA) (native revegetation)</t>
  </si>
  <si>
    <t>taken from Microsoft Power BI (powerbigov.us)</t>
  </si>
  <si>
    <t>1) Phosphorus Reduction Targets by Basin and landuse (kg)</t>
  </si>
  <si>
    <t>Farm Field</t>
  </si>
  <si>
    <t>Developed</t>
  </si>
  <si>
    <t>Forest</t>
  </si>
  <si>
    <t>Stream</t>
  </si>
  <si>
    <t xml:space="preserve">Total regulatory phosphorus reduction estimates (kg) </t>
  </si>
  <si>
    <t>3 acre</t>
  </si>
  <si>
    <t>MRGP</t>
  </si>
  <si>
    <t>TS4</t>
  </si>
  <si>
    <t>MS4</t>
  </si>
  <si>
    <t>% of target</t>
  </si>
  <si>
    <t>Blue cells</t>
  </si>
  <si>
    <t>Input cells to change</t>
  </si>
  <si>
    <t>Basin 2 &amp; 4 or South Lake A&amp;B, Port Henry segments (TS4)</t>
  </si>
  <si>
    <t>Yellow Cells</t>
  </si>
  <si>
    <t>Unique calculations for specific basins</t>
  </si>
  <si>
    <t>Basin 3 - or Otter Creek segment (TS4)</t>
  </si>
  <si>
    <t>Basin 5 – or Shelburne, NE arm, St Albans, Isle le Mott (TS4)</t>
  </si>
  <si>
    <t>Basin 6 - Missisquoi, Rock, Pike OR Missisquoi Bay segment</t>
  </si>
  <si>
    <t>Basin 7 – Lamoille- OR Mallets Bay lake segment (TS4)</t>
  </si>
  <si>
    <t>Basin 8 – Winooski – OR Main Lake Segment (TS4)</t>
  </si>
  <si>
    <t xml:space="preserve">Total </t>
  </si>
  <si>
    <t>Percent of reduction for CWSP - typical basin</t>
  </si>
  <si>
    <t xml:space="preserve">Permit based </t>
  </si>
  <si>
    <t>2) Regulatory phosphorus reductions (kg)</t>
  </si>
  <si>
    <r>
      <t>Lake Memphremagog</t>
    </r>
    <r>
      <rPr>
        <vertAlign val="superscript"/>
        <sz val="11"/>
        <color theme="1"/>
        <rFont val="Calibri"/>
        <family val="2"/>
        <scheme val="minor"/>
      </rPr>
      <t>1</t>
    </r>
  </si>
  <si>
    <t xml:space="preserve">Total reduction </t>
  </si>
  <si>
    <r>
      <rPr>
        <b/>
        <i/>
        <vertAlign val="superscript"/>
        <sz val="11"/>
        <color theme="1"/>
        <rFont val="Calibri"/>
        <family val="2"/>
        <scheme val="minor"/>
      </rPr>
      <t>1</t>
    </r>
    <r>
      <rPr>
        <b/>
        <i/>
        <sz val="11"/>
        <color theme="1"/>
        <rFont val="Calibri"/>
        <family val="2"/>
        <scheme val="minor"/>
      </rPr>
      <t>Memphremagog reductions are assumed to be the average of the percent reductions (excluding MS4 permit) across all Lake Champlain Basins except for Mississquoi Basin or 44.6%.</t>
    </r>
  </si>
  <si>
    <t>3) CWSP total load reduction targets-totals (kg)</t>
  </si>
  <si>
    <t>Percent</t>
  </si>
  <si>
    <t>Percent of total load reduction target for all basins</t>
  </si>
  <si>
    <t>Number of Years to achieve loading reduction target</t>
  </si>
  <si>
    <t>4) CWSP annual load reduction increase needed to meet TMDL targets (kg)</t>
  </si>
  <si>
    <t>Farm field</t>
  </si>
  <si>
    <t>total</t>
  </si>
  <si>
    <t>5) CWSP annual funding level to meet targets (onetime)</t>
  </si>
  <si>
    <t>Total annual cost design/engineering and construction</t>
  </si>
  <si>
    <t>7% total annual cost project ID/dev</t>
  </si>
  <si>
    <t>Total annual cost all project steps (excludes O&amp;M)</t>
  </si>
  <si>
    <t>15% admin</t>
  </si>
  <si>
    <t>Total project + 15% admin</t>
  </si>
  <si>
    <t xml:space="preserve">Percentage </t>
  </si>
  <si>
    <r>
      <t>CWSP Cost/kg/yr</t>
    </r>
    <r>
      <rPr>
        <b/>
        <vertAlign val="superscript"/>
        <sz val="11"/>
        <color theme="1"/>
        <rFont val="Calibri"/>
        <family val="2"/>
        <scheme val="minor"/>
      </rPr>
      <t>3</t>
    </r>
  </si>
  <si>
    <t>% of funds avail.</t>
  </si>
  <si>
    <t xml:space="preserve">Available funds </t>
  </si>
  <si>
    <t>6) CWSP annual funding based on funds available</t>
  </si>
  <si>
    <t>CWSP Cost/kg/yr</t>
  </si>
  <si>
    <t>Basin 5 adj</t>
  </si>
  <si>
    <t>Basin 7 adj</t>
  </si>
  <si>
    <t>Basin 17 adj</t>
  </si>
  <si>
    <t>Basin 6 adj</t>
  </si>
  <si>
    <t>Minimum CWSP funding level</t>
  </si>
  <si>
    <t>OPTION 1c</t>
  </si>
  <si>
    <t>7) CWSP annual funding based on funds available &amp; min</t>
  </si>
  <si>
    <t>7% total annual cost project ID/dev distributed based on total TP reduction targets per watershed (available and minimum funds)</t>
  </si>
  <si>
    <t>Total annual cost all project steps - project ID/dev option 1c (excludes O&amp;M)</t>
  </si>
  <si>
    <t>Admin funding</t>
  </si>
  <si>
    <t>8) Reduction targets based on available and minimum funds</t>
  </si>
  <si>
    <t>Cost (project &amp; admin)</t>
  </si>
  <si>
    <t>cost per kg</t>
  </si>
  <si>
    <t>FFI tables</t>
  </si>
  <si>
    <t>Table 24. Complete results summary for simulated stream and floodplain connectivity projects. </t>
  </si>
  <si>
    <r>
      <t>Table 14</t>
    </r>
    <r>
      <rPr>
        <b/>
        <sz val="11"/>
        <color rgb="FF000000"/>
        <rFont val="Franklin Gothic Book"/>
        <family val="2"/>
      </rPr>
      <t>.</t>
    </r>
    <r>
      <rPr>
        <sz val="11"/>
        <color rgb="FF000000"/>
        <rFont val="Franklin Gothic Book"/>
        <family val="2"/>
      </rPr>
      <t xml:space="preserve"> Estimated P load reduction due to improved floodplain storage indicated by a change in floodplain connectivity (high, moderate, and low refer to floodplain connectivity scores). Storage credits to be updated by project specific measurements or future research.  </t>
    </r>
  </si>
  <si>
    <t>Project Type (Appendix B) </t>
  </si>
  <si>
    <t>Simulated Project </t>
  </si>
  <si>
    <t>Basin Plan: </t>
  </si>
  <si>
    <t xml:space="preserve">Overall P reduction </t>
  </si>
  <si>
    <t>Multiply median value by the acres of project restored</t>
  </si>
  <si>
    <t xml:space="preserve">Estimate change in floodplain connectivity </t>
  </si>
  <si>
    <r>
      <t>Default TP Storage Credits (lbs/acre/year)</t>
    </r>
    <r>
      <rPr>
        <sz val="11"/>
        <color rgb="FFFFFFFF"/>
        <rFont val="Franklin Gothic Book"/>
        <family val="2"/>
      </rPr>
      <t> </t>
    </r>
  </si>
  <si>
    <t>Multiply by acres of floodplain restored</t>
  </si>
  <si>
    <t>Add values from 2 tables together.</t>
  </si>
  <si>
    <r>
      <t>1A, 3</t>
    </r>
    <r>
      <rPr>
        <sz val="10"/>
        <color rgb="FF000000"/>
        <rFont val="Calibri"/>
        <family val="2"/>
      </rPr>
      <t> </t>
    </r>
  </si>
  <si>
    <r>
      <t>Floodplain Restoration with Buffer Revegetation (lb/ac/yr)</t>
    </r>
    <r>
      <rPr>
        <sz val="10"/>
        <color rgb="FF000000"/>
        <rFont val="Calibri"/>
        <family val="2"/>
      </rPr>
      <t> </t>
    </r>
  </si>
  <si>
    <r>
      <t>mean</t>
    </r>
    <r>
      <rPr>
        <sz val="10"/>
        <color rgb="FF000000"/>
        <rFont val="Calibri"/>
        <family val="2"/>
      </rPr>
      <t> </t>
    </r>
  </si>
  <si>
    <t>0.5 </t>
  </si>
  <si>
    <t>2.9 </t>
  </si>
  <si>
    <t>1.1 </t>
  </si>
  <si>
    <t>1.4 </t>
  </si>
  <si>
    <t>1.9 </t>
  </si>
  <si>
    <r>
      <t>median</t>
    </r>
    <r>
      <rPr>
        <sz val="10"/>
        <color rgb="FF000000"/>
        <rFont val="Calibri"/>
        <family val="2"/>
      </rPr>
      <t> </t>
    </r>
  </si>
  <si>
    <r>
      <t>n</t>
    </r>
    <r>
      <rPr>
        <sz val="10"/>
        <color rgb="FF000000"/>
        <rFont val="Calibri"/>
        <family val="2"/>
      </rPr>
      <t> </t>
    </r>
  </si>
  <si>
    <r>
      <t>496</t>
    </r>
    <r>
      <rPr>
        <sz val="10"/>
        <color rgb="FF000000"/>
        <rFont val="Calibri"/>
        <family val="2"/>
      </rPr>
      <t> </t>
    </r>
  </si>
  <si>
    <r>
      <t>338</t>
    </r>
    <r>
      <rPr>
        <sz val="10"/>
        <color rgb="FF000000"/>
        <rFont val="Calibri"/>
        <family val="2"/>
      </rPr>
      <t> </t>
    </r>
  </si>
  <si>
    <r>
      <t>88</t>
    </r>
    <r>
      <rPr>
        <sz val="10"/>
        <color rgb="FF000000"/>
        <rFont val="Calibri"/>
        <family val="2"/>
      </rPr>
      <t> </t>
    </r>
  </si>
  <si>
    <r>
      <t>506</t>
    </r>
    <r>
      <rPr>
        <sz val="10"/>
        <color rgb="FF000000"/>
        <rFont val="Calibri"/>
        <family val="2"/>
      </rPr>
      <t> </t>
    </r>
  </si>
  <si>
    <r>
      <t>134</t>
    </r>
    <r>
      <rPr>
        <sz val="10"/>
        <color rgb="FF000000"/>
        <rFont val="Calibri"/>
        <family val="2"/>
      </rPr>
      <t> </t>
    </r>
  </si>
  <si>
    <r>
      <t>663</t>
    </r>
    <r>
      <rPr>
        <sz val="10"/>
        <color rgb="FF000000"/>
        <rFont val="Calibri"/>
        <family val="2"/>
      </rPr>
      <t> </t>
    </r>
  </si>
  <si>
    <r>
      <t>2225</t>
    </r>
    <r>
      <rPr>
        <sz val="10"/>
        <rFont val="Calibri"/>
        <family val="2"/>
      </rPr>
      <t> </t>
    </r>
  </si>
  <si>
    <r>
      <t>Floodplain Restoration with Buffer Revegetation and Easement (lb/ac/yr)</t>
    </r>
    <r>
      <rPr>
        <sz val="10"/>
        <color rgb="FF000000"/>
        <rFont val="Calibri"/>
        <family val="2"/>
      </rPr>
      <t> </t>
    </r>
  </si>
  <si>
    <t>0.6 </t>
  </si>
  <si>
    <t>3.9 </t>
  </si>
  <si>
    <t>1.5 </t>
  </si>
  <si>
    <t>3.8 </t>
  </si>
  <si>
    <t>2.5 </t>
  </si>
  <si>
    <r>
      <t>481</t>
    </r>
    <r>
      <rPr>
        <sz val="10"/>
        <color rgb="FF000000"/>
        <rFont val="Calibri"/>
        <family val="2"/>
      </rPr>
      <t> </t>
    </r>
  </si>
  <si>
    <r>
      <t>335</t>
    </r>
    <r>
      <rPr>
        <sz val="10"/>
        <color rgb="FF000000"/>
        <rFont val="Calibri"/>
        <family val="2"/>
      </rPr>
      <t> </t>
    </r>
  </si>
  <si>
    <r>
      <t>87</t>
    </r>
    <r>
      <rPr>
        <sz val="10"/>
        <color rgb="FF000000"/>
        <rFont val="Calibri"/>
        <family val="2"/>
      </rPr>
      <t> </t>
    </r>
  </si>
  <si>
    <r>
      <t>495</t>
    </r>
    <r>
      <rPr>
        <sz val="10"/>
        <color rgb="FF000000"/>
        <rFont val="Calibri"/>
        <family val="2"/>
      </rPr>
      <t> </t>
    </r>
  </si>
  <si>
    <r>
      <t>133</t>
    </r>
    <r>
      <rPr>
        <sz val="10"/>
        <color rgb="FF000000"/>
        <rFont val="Calibri"/>
        <family val="2"/>
      </rPr>
      <t> </t>
    </r>
  </si>
  <si>
    <r>
      <t>648</t>
    </r>
    <r>
      <rPr>
        <sz val="10"/>
        <color rgb="FF000000"/>
        <rFont val="Calibri"/>
        <family val="2"/>
      </rPr>
      <t> </t>
    </r>
  </si>
  <si>
    <r>
      <t>2179</t>
    </r>
    <r>
      <rPr>
        <sz val="10"/>
        <rFont val="Calibri"/>
        <family val="2"/>
      </rPr>
      <t> </t>
    </r>
  </si>
  <si>
    <r>
      <t>1B</t>
    </r>
    <r>
      <rPr>
        <sz val="10"/>
        <color rgb="FF000000"/>
        <rFont val="Calibri"/>
        <family val="2"/>
      </rPr>
      <t> </t>
    </r>
  </si>
  <si>
    <r>
      <t>Large/medium dam removal with floodplain restoration (lb/ac/yr)</t>
    </r>
    <r>
      <rPr>
        <sz val="10"/>
        <color rgb="FF000000"/>
        <rFont val="Calibri"/>
        <family val="2"/>
      </rPr>
      <t> </t>
    </r>
  </si>
  <si>
    <t>0.7 </t>
  </si>
  <si>
    <t>3.5 </t>
  </si>
  <si>
    <t>2.6 </t>
  </si>
  <si>
    <t>3.1 </t>
  </si>
  <si>
    <t>2.2 </t>
  </si>
  <si>
    <r>
      <t>4</t>
    </r>
    <r>
      <rPr>
        <sz val="10"/>
        <color rgb="FF000000"/>
        <rFont val="Calibri"/>
        <family val="2"/>
      </rPr>
      <t> </t>
    </r>
  </si>
  <si>
    <r>
      <t>5</t>
    </r>
    <r>
      <rPr>
        <sz val="10"/>
        <color rgb="FF000000"/>
        <rFont val="Calibri"/>
        <family val="2"/>
      </rPr>
      <t> </t>
    </r>
  </si>
  <si>
    <r>
      <t>1</t>
    </r>
    <r>
      <rPr>
        <sz val="10"/>
        <color rgb="FF000000"/>
        <rFont val="Calibri"/>
        <family val="2"/>
      </rPr>
      <t> </t>
    </r>
  </si>
  <si>
    <r>
      <t>11</t>
    </r>
    <r>
      <rPr>
        <sz val="10"/>
        <color rgb="FF000000"/>
        <rFont val="Calibri"/>
        <family val="2"/>
      </rPr>
      <t> </t>
    </r>
  </si>
  <si>
    <r>
      <t>2</t>
    </r>
    <r>
      <rPr>
        <sz val="10"/>
        <color rgb="FF000000"/>
        <rFont val="Calibri"/>
        <family val="2"/>
      </rPr>
      <t> </t>
    </r>
  </si>
  <si>
    <r>
      <t>14</t>
    </r>
    <r>
      <rPr>
        <sz val="10"/>
        <color rgb="FF000000"/>
        <rFont val="Calibri"/>
        <family val="2"/>
      </rPr>
      <t> </t>
    </r>
  </si>
  <si>
    <r>
      <t>37</t>
    </r>
    <r>
      <rPr>
        <sz val="10"/>
        <rFont val="Calibri"/>
        <family val="2"/>
      </rPr>
      <t> </t>
    </r>
  </si>
  <si>
    <r>
      <t>Small/medium intact ROR or breached dam removal with floodplain restoration (lb/ac/yr)</t>
    </r>
    <r>
      <rPr>
        <sz val="10"/>
        <color rgb="FF000000"/>
        <rFont val="Calibri"/>
        <family val="2"/>
      </rPr>
      <t> </t>
    </r>
  </si>
  <si>
    <t>0.8 </t>
  </si>
  <si>
    <t>4.7 </t>
  </si>
  <si>
    <t>2.4 </t>
  </si>
  <si>
    <t>12.7 </t>
  </si>
  <si>
    <t>6.4 </t>
  </si>
  <si>
    <r>
      <t>8</t>
    </r>
    <r>
      <rPr>
        <sz val="10"/>
        <color rgb="FF000000"/>
        <rFont val="Calibri"/>
        <family val="2"/>
      </rPr>
      <t> </t>
    </r>
  </si>
  <si>
    <r>
      <t>10</t>
    </r>
    <r>
      <rPr>
        <sz val="10"/>
        <color rgb="FF000000"/>
        <rFont val="Calibri"/>
        <family val="2"/>
      </rPr>
      <t> </t>
    </r>
  </si>
  <si>
    <r>
      <t>3</t>
    </r>
    <r>
      <rPr>
        <sz val="10"/>
        <color rgb="FF000000"/>
        <rFont val="Calibri"/>
        <family val="2"/>
      </rPr>
      <t> </t>
    </r>
  </si>
  <si>
    <r>
      <t>18</t>
    </r>
    <r>
      <rPr>
        <sz val="10"/>
        <color rgb="FF000000"/>
        <rFont val="Calibri"/>
        <family val="2"/>
      </rPr>
      <t> </t>
    </r>
  </si>
  <si>
    <r>
      <t>38</t>
    </r>
    <r>
      <rPr>
        <sz val="10"/>
        <color rgb="FF000000"/>
        <rFont val="Calibri"/>
        <family val="2"/>
      </rPr>
      <t> </t>
    </r>
  </si>
  <si>
    <r>
      <t>87</t>
    </r>
    <r>
      <rPr>
        <sz val="10"/>
        <rFont val="Calibri"/>
        <family val="2"/>
      </rPr>
      <t> </t>
    </r>
  </si>
  <si>
    <r>
      <t>Wood addition in 1st and 2nd order streams (lb/ac/yr)</t>
    </r>
    <r>
      <rPr>
        <sz val="10"/>
        <color rgb="FF000000"/>
        <rFont val="Calibri"/>
        <family val="2"/>
      </rPr>
      <t> </t>
    </r>
  </si>
  <si>
    <t>0.4 </t>
  </si>
  <si>
    <t>1.2 </t>
  </si>
  <si>
    <t>1.3 </t>
  </si>
  <si>
    <t>2.3 </t>
  </si>
  <si>
    <t>1.7 </t>
  </si>
  <si>
    <r>
      <t>28</t>
    </r>
    <r>
      <rPr>
        <sz val="10"/>
        <color rgb="FF000000"/>
        <rFont val="Calibri"/>
        <family val="2"/>
      </rPr>
      <t> </t>
    </r>
  </si>
  <si>
    <r>
      <t>68</t>
    </r>
    <r>
      <rPr>
        <sz val="10"/>
        <color rgb="FF000000"/>
        <rFont val="Calibri"/>
        <family val="2"/>
      </rPr>
      <t> </t>
    </r>
  </si>
  <si>
    <r>
      <t>6</t>
    </r>
    <r>
      <rPr>
        <sz val="10"/>
        <color rgb="FF000000"/>
        <rFont val="Calibri"/>
        <family val="2"/>
      </rPr>
      <t> </t>
    </r>
  </si>
  <si>
    <r>
      <t>45</t>
    </r>
    <r>
      <rPr>
        <sz val="10"/>
        <color rgb="FF000000"/>
        <rFont val="Calibri"/>
        <family val="2"/>
      </rPr>
      <t> </t>
    </r>
  </si>
  <si>
    <r>
      <t>16</t>
    </r>
    <r>
      <rPr>
        <sz val="10"/>
        <color rgb="FF000000"/>
        <rFont val="Calibri"/>
        <family val="2"/>
      </rPr>
      <t> </t>
    </r>
  </si>
  <si>
    <r>
      <t>208</t>
    </r>
    <r>
      <rPr>
        <sz val="10"/>
        <rFont val="Calibri"/>
        <family val="2"/>
      </rPr>
      <t> </t>
    </r>
  </si>
  <si>
    <r>
      <t>Wood addition in 3rd and 4th order streams (lb/ac/yr)</t>
    </r>
    <r>
      <rPr>
        <sz val="10"/>
        <color rgb="FF000000"/>
        <rFont val="Calibri"/>
        <family val="2"/>
      </rPr>
      <t> </t>
    </r>
  </si>
  <si>
    <t>0.2 </t>
  </si>
  <si>
    <r>
      <t>485</t>
    </r>
    <r>
      <rPr>
        <sz val="10"/>
        <color rgb="FF000000"/>
        <rFont val="Calibri"/>
        <family val="2"/>
      </rPr>
      <t> </t>
    </r>
  </si>
  <si>
    <r>
      <t>334</t>
    </r>
    <r>
      <rPr>
        <sz val="10"/>
        <color rgb="FF000000"/>
        <rFont val="Calibri"/>
        <family val="2"/>
      </rPr>
      <t> </t>
    </r>
  </si>
  <si>
    <r>
      <t>108</t>
    </r>
    <r>
      <rPr>
        <sz val="10"/>
        <color rgb="FF000000"/>
        <rFont val="Calibri"/>
        <family val="2"/>
      </rPr>
      <t> </t>
    </r>
  </si>
  <si>
    <r>
      <t>439</t>
    </r>
    <r>
      <rPr>
        <sz val="10"/>
        <color rgb="FF000000"/>
        <rFont val="Calibri"/>
        <family val="2"/>
      </rPr>
      <t> </t>
    </r>
  </si>
  <si>
    <r>
      <t>157</t>
    </r>
    <r>
      <rPr>
        <sz val="10"/>
        <color rgb="FF000000"/>
        <rFont val="Calibri"/>
        <family val="2"/>
      </rPr>
      <t> </t>
    </r>
  </si>
  <si>
    <r>
      <t>597</t>
    </r>
    <r>
      <rPr>
        <sz val="10"/>
        <color rgb="FF000000"/>
        <rFont val="Calibri"/>
        <family val="2"/>
      </rPr>
      <t> </t>
    </r>
  </si>
  <si>
    <r>
      <t>2120</t>
    </r>
    <r>
      <rPr>
        <sz val="10"/>
        <rFont val="Calibri"/>
        <family val="2"/>
      </rPr>
      <t> </t>
    </r>
  </si>
  <si>
    <r>
      <t>Remove hard constraint (lb/ac/yr)</t>
    </r>
    <r>
      <rPr>
        <sz val="10"/>
        <color rgb="FF000000"/>
        <rFont val="Calibri"/>
        <family val="2"/>
      </rPr>
      <t> </t>
    </r>
  </si>
  <si>
    <t>0.9 </t>
  </si>
  <si>
    <r>
      <t>1215</t>
    </r>
    <r>
      <rPr>
        <sz val="10"/>
        <color rgb="FF000000"/>
        <rFont val="Calibri"/>
        <family val="2"/>
      </rPr>
      <t> </t>
    </r>
  </si>
  <si>
    <r>
      <t>994</t>
    </r>
    <r>
      <rPr>
        <sz val="10"/>
        <color rgb="FF000000"/>
        <rFont val="Calibri"/>
        <family val="2"/>
      </rPr>
      <t> </t>
    </r>
  </si>
  <si>
    <r>
      <t>309</t>
    </r>
    <r>
      <rPr>
        <sz val="10"/>
        <color rgb="FF000000"/>
        <rFont val="Calibri"/>
        <family val="2"/>
      </rPr>
      <t> </t>
    </r>
  </si>
  <si>
    <r>
      <t>1616</t>
    </r>
    <r>
      <rPr>
        <sz val="10"/>
        <color rgb="FF000000"/>
        <rFont val="Calibri"/>
        <family val="2"/>
      </rPr>
      <t> </t>
    </r>
  </si>
  <si>
    <r>
      <t>448</t>
    </r>
    <r>
      <rPr>
        <sz val="10"/>
        <color rgb="FF000000"/>
        <rFont val="Calibri"/>
        <family val="2"/>
      </rPr>
      <t> </t>
    </r>
  </si>
  <si>
    <r>
      <t>1557</t>
    </r>
    <r>
      <rPr>
        <sz val="10"/>
        <color rgb="FF000000"/>
        <rFont val="Calibri"/>
        <family val="2"/>
      </rPr>
      <t> </t>
    </r>
  </si>
  <si>
    <r>
      <t>6139</t>
    </r>
    <r>
      <rPr>
        <sz val="10"/>
        <rFont val="Calibri"/>
        <family val="2"/>
      </rPr>
      <t> </t>
    </r>
  </si>
  <si>
    <r>
      <t>Passive Restoration - Easement and Buffer Revegetation (lb/ac/yr)</t>
    </r>
    <r>
      <rPr>
        <sz val="10"/>
        <color rgb="FF000000"/>
        <rFont val="Calibri"/>
        <family val="2"/>
      </rPr>
      <t> </t>
    </r>
  </si>
  <si>
    <t>0.3 </t>
  </si>
  <si>
    <t>1.8 </t>
  </si>
  <si>
    <t>1.0 </t>
  </si>
  <si>
    <t>2.1 </t>
  </si>
  <si>
    <r>
      <t>197</t>
    </r>
    <r>
      <rPr>
        <sz val="10"/>
        <color rgb="FF000000"/>
        <rFont val="Calibri"/>
        <family val="2"/>
      </rPr>
      <t> </t>
    </r>
  </si>
  <si>
    <r>
      <t>123</t>
    </r>
    <r>
      <rPr>
        <sz val="10"/>
        <color rgb="FF000000"/>
        <rFont val="Calibri"/>
        <family val="2"/>
      </rPr>
      <t> </t>
    </r>
  </si>
  <si>
    <r>
      <t>194</t>
    </r>
    <r>
      <rPr>
        <sz val="10"/>
        <color rgb="FF000000"/>
        <rFont val="Calibri"/>
        <family val="2"/>
      </rPr>
      <t> </t>
    </r>
  </si>
  <si>
    <r>
      <t>57</t>
    </r>
    <r>
      <rPr>
        <sz val="10"/>
        <color rgb="FF000000"/>
        <rFont val="Calibri"/>
        <family val="2"/>
      </rPr>
      <t> </t>
    </r>
  </si>
  <si>
    <r>
      <t>43</t>
    </r>
    <r>
      <rPr>
        <sz val="10"/>
        <color rgb="FF000000"/>
        <rFont val="Calibri"/>
        <family val="2"/>
      </rPr>
      <t> </t>
    </r>
  </si>
  <si>
    <r>
      <t>635</t>
    </r>
    <r>
      <rPr>
        <sz val="10"/>
        <rFont val="Calibri"/>
        <family val="2"/>
      </rPr>
      <t> </t>
    </r>
  </si>
  <si>
    <r>
      <t>7</t>
    </r>
    <r>
      <rPr>
        <sz val="10"/>
        <color rgb="FF000000"/>
        <rFont val="Calibri"/>
        <family val="2"/>
      </rPr>
      <t> </t>
    </r>
  </si>
  <si>
    <r>
      <t>Adopt Corridor Bylaws (lb/ac/yr)</t>
    </r>
    <r>
      <rPr>
        <sz val="10"/>
        <color rgb="FF000000"/>
        <rFont val="Calibri"/>
        <family val="2"/>
      </rPr>
      <t> </t>
    </r>
  </si>
  <si>
    <t>0.1 </t>
  </si>
  <si>
    <r>
      <t>971</t>
    </r>
    <r>
      <rPr>
        <sz val="10"/>
        <color rgb="FF000000"/>
        <rFont val="Calibri"/>
        <family val="2"/>
      </rPr>
      <t> </t>
    </r>
  </si>
  <si>
    <r>
      <t>595</t>
    </r>
    <r>
      <rPr>
        <sz val="10"/>
        <color rgb="FF000000"/>
        <rFont val="Calibri"/>
        <family val="2"/>
      </rPr>
      <t> </t>
    </r>
  </si>
  <si>
    <r>
      <t>137</t>
    </r>
    <r>
      <rPr>
        <sz val="10"/>
        <color rgb="FF000000"/>
        <rFont val="Calibri"/>
        <family val="2"/>
      </rPr>
      <t> </t>
    </r>
  </si>
  <si>
    <r>
      <t>1124</t>
    </r>
    <r>
      <rPr>
        <sz val="10"/>
        <color rgb="FF000000"/>
        <rFont val="Calibri"/>
        <family val="2"/>
      </rPr>
      <t> </t>
    </r>
  </si>
  <si>
    <r>
      <t>313</t>
    </r>
    <r>
      <rPr>
        <sz val="10"/>
        <color rgb="FF000000"/>
        <rFont val="Calibri"/>
        <family val="2"/>
      </rPr>
      <t> </t>
    </r>
  </si>
  <si>
    <r>
      <t>562</t>
    </r>
    <r>
      <rPr>
        <sz val="10"/>
        <color rgb="FF000000"/>
        <rFont val="Calibri"/>
        <family val="2"/>
      </rPr>
      <t> </t>
    </r>
  </si>
  <si>
    <r>
      <t>3702</t>
    </r>
    <r>
      <rPr>
        <sz val="10"/>
        <rFont val="Calibri"/>
        <family val="2"/>
      </rPr>
      <t> </t>
    </r>
  </si>
  <si>
    <r>
      <t>8A</t>
    </r>
    <r>
      <rPr>
        <sz val="10"/>
        <color rgb="FF000000"/>
        <rFont val="Calibri"/>
        <family val="2"/>
      </rPr>
      <t> </t>
    </r>
  </si>
  <si>
    <r>
      <t>Buffer Revegetation (lb/ac/yr)</t>
    </r>
    <r>
      <rPr>
        <sz val="10"/>
        <color rgb="FF000000"/>
        <rFont val="Calibri"/>
        <family val="2"/>
      </rPr>
      <t> </t>
    </r>
  </si>
  <si>
    <r>
      <t>9B</t>
    </r>
    <r>
      <rPr>
        <sz val="10"/>
        <color rgb="FF000000"/>
        <rFont val="Calibri"/>
        <family val="2"/>
      </rPr>
      <t> </t>
    </r>
  </si>
  <si>
    <r>
      <t>Replace Culverts - Undersized with Shallow Slope (lb/culvert/yr)</t>
    </r>
    <r>
      <rPr>
        <sz val="10"/>
        <rFont val="Calibri"/>
        <family val="2"/>
      </rPr>
      <t> </t>
    </r>
  </si>
  <si>
    <t>7.5 </t>
  </si>
  <si>
    <t>4.2 </t>
  </si>
  <si>
    <t>2.7 </t>
  </si>
  <si>
    <t>5.7 </t>
  </si>
  <si>
    <t>4.3 </t>
  </si>
  <si>
    <r>
      <t>32</t>
    </r>
    <r>
      <rPr>
        <sz val="10"/>
        <color rgb="FF000000"/>
        <rFont val="Calibri"/>
        <family val="2"/>
      </rPr>
      <t> </t>
    </r>
  </si>
  <si>
    <r>
      <t>56</t>
    </r>
    <r>
      <rPr>
        <sz val="10"/>
        <color rgb="FF000000"/>
        <rFont val="Calibri"/>
        <family val="2"/>
      </rPr>
      <t> </t>
    </r>
  </si>
  <si>
    <r>
      <t>31</t>
    </r>
    <r>
      <rPr>
        <sz val="10"/>
        <color rgb="FF000000"/>
        <rFont val="Calibri"/>
        <family val="2"/>
      </rPr>
      <t> </t>
    </r>
  </si>
  <si>
    <r>
      <t>69</t>
    </r>
    <r>
      <rPr>
        <sz val="10"/>
        <color rgb="FF000000"/>
        <rFont val="Calibri"/>
        <family val="2"/>
      </rPr>
      <t> </t>
    </r>
  </si>
  <si>
    <r>
      <t>27</t>
    </r>
    <r>
      <rPr>
        <sz val="10"/>
        <color rgb="FF000000"/>
        <rFont val="Calibri"/>
        <family val="2"/>
      </rPr>
      <t> </t>
    </r>
  </si>
  <si>
    <r>
      <t>258</t>
    </r>
    <r>
      <rPr>
        <sz val="10"/>
        <rFont val="Calibri"/>
        <family val="2"/>
      </rPr>
      <t> </t>
    </r>
  </si>
  <si>
    <r>
      <t>Stabilize Gully on Perennial Stream (lb/project/yr)</t>
    </r>
    <r>
      <rPr>
        <sz val="10"/>
        <rFont val="Calibri"/>
        <family val="2"/>
      </rPr>
      <t> </t>
    </r>
  </si>
  <si>
    <t>1.6 </t>
  </si>
  <si>
    <t>4.8 </t>
  </si>
  <si>
    <r>
      <t>25</t>
    </r>
    <r>
      <rPr>
        <sz val="10"/>
        <color rgb="FF000000"/>
        <rFont val="Calibri"/>
        <family val="2"/>
      </rPr>
      <t> </t>
    </r>
  </si>
  <si>
    <r>
      <t>51</t>
    </r>
    <r>
      <rPr>
        <sz val="10"/>
        <rFont val="Calibri"/>
        <family val="2"/>
      </rPr>
      <t> </t>
    </r>
  </si>
  <si>
    <t xml:space="preserve">Practice Area Within the River Corridor (acres) </t>
  </si>
  <si>
    <t>Practice Area Outside the River Corridor (acres)</t>
  </si>
  <si>
    <t>Restore Channel Roughness / Wood Addition</t>
  </si>
  <si>
    <t xml:space="preserve">Restore floodplain vertical connectivity, inundation processes, and storage. Reconnect floodplains through the installation of structural practices that raise the channel bed elevation. Channel raising is typically implemented on smaller rivers (e.g., 4th order and smaller, on steeper reaches). These practices are typically hard practices, such as stone,  for practices that promote aggradation with wood structures, refer to the definitions of Restore Channel Roughness and Strategic Wood Addition to select the appropriate practice type. </t>
  </si>
  <si>
    <t>Structures under a transportation route through which the stream flows. Structure width or channel width are unavailable. The channel slope is less than two percent.  A user may select this project type for initial planning.  The structure width and bankfull width must be measured before the preliminary design stage.</t>
  </si>
  <si>
    <t>Structures under a transportation route through which the stream flows. Structure width or channel width are unavailable. The channel slope is greater than or equal to two percent.  A user may select this project type for initial planning.  The structure width and bankfull width must be measured before the preliminary design stage.</t>
  </si>
  <si>
    <t>Restore floodplain vertical connectivity, inundation processes, and storage. Flood benches are smaller-scale floodplain reconnection practices (i.e., 1 or 2 channel widths) typically implemented in areas with lateral constraints such as nearby buildings or roads.  This technique is also used in steeper-gradient settings more closely confined by valley walls.  Elevation lowering may target the 2-year flood, or a higher-stage, lower frequency design storm.</t>
  </si>
  <si>
    <t>Planting natural vegetation within a 50’ riparian buffer. The buffer width must be a minimum of 50-feet to receive stream stability credit for the planting. Buffer projects begin receiving the full credit associated with a mature buffer upfront upon completion of the planting.</t>
  </si>
  <si>
    <t>Decommissioning and restoration of the site of a dam in service that operates by storing and releasing water to generate hydroelectric power. A large dam has a greater than 20 feet and impoundment surface area is greater than 10 acres.</t>
  </si>
  <si>
    <t>Decommissioning and restoration of the site of a dam in service that operates by storing and releasing water to generate hydroelectric power. A medium dam has a height greater than 10 feet, up to 20 feet. The impoundment surface area of the medium dam is greater than one acre, up to 10 acres. Structures with no data available for dam height or impoundment area are considered medium for planning purposes.</t>
  </si>
  <si>
    <t>Decommissioning and restoration of the site of a dam in service for the purpose of flood control. A large dam has a greater than 20 feet and impoundment surface area is greater than 10 acres.</t>
  </si>
  <si>
    <t>Decommissioning and restoration of the site of a dam in service that is not a peaking hydro or flood control dam. A large dam has a greater than 20 feet and impoundment surface area is greater than 10 acres.</t>
  </si>
  <si>
    <t>Decommissioning and restoration of the site of a dam in service that is not a peaking hydro or flood control dam. A medium dam has a height greater than 10 feet, up to 20 feet. The impoundment surface area of the medium dam is greater than one acre, up to 10 acres. Structures with no data available for dam height or impoundment area are considered medium for planning purposes.</t>
  </si>
  <si>
    <t>Decommissioning and restoration of the site of a dam in service. A small dam has a height less than or equal to 10 feet and impoundment surface area is less than or equal to one acre.</t>
  </si>
  <si>
    <t>Addition of large wood to mainly forested (long term potential for wood recruitment) smaller (1st to 4th order) streams to address fluvial geomorphic departures stemming from lack of natural wood loads that would have been achieved prior to recent human disturbance (e.g. stream channel wood removal for historic industrial or perceived hazard reduction purposes; riparian area clearing and loss of natural wood recruitment). Strategic wood addition (SWA) is usually conducted with hand tool in reaches where added wood is likely to stay and have lasting beneficial impact. Practices should be done  where the  stream process can become self-sustaining over time and the practices itself are not the long-term necessity to maintain the benefits achieved.</t>
  </si>
  <si>
    <t>Structures under a transportation route under which the stream flows. This definition includes arches for the FFI tool. Structure width or bankfull channel width are unavailable. A user may select this project type for initial planning.  The structure width and bankfull width must be measured before the preliminary design stage.</t>
  </si>
  <si>
    <t>Stabilize Headcut in Perennial Stream</t>
  </si>
  <si>
    <t>Creating bed features to diversify hydraulic patterns, promote aggradation, and improve habitat complexity (e.g., beaver dam analogs, engineered log jams, etc.). Practices that meet the definition of Strategic Wood Addition (SWA) below should use the Strategic Wood Addition calculator tab. These practices need to accommodate river process and are not to be used as bank stabilization practices on channels that are not in appropriate geomorphic planform.  Practices are generally appropriate for 1st to 4th order streams.  Practices should be done  where the  stream process can become self-sustaining over time and the practices itself are not the long-term necessity to maintain the benefits achieved.</t>
  </si>
  <si>
    <r>
      <rPr>
        <b/>
        <sz val="8"/>
        <color theme="0"/>
        <rFont val="Calibri"/>
        <family val="2"/>
        <scheme val="minor"/>
      </rPr>
      <t xml:space="preserve">Truck Road </t>
    </r>
    <r>
      <rPr>
        <sz val="8"/>
        <color theme="0"/>
        <rFont val="Calibri"/>
        <family val="2"/>
        <scheme val="minor"/>
      </rPr>
      <t xml:space="preserve">= road connecting a public or private residential road to a log landing
</t>
    </r>
    <r>
      <rPr>
        <b/>
        <sz val="8"/>
        <color theme="0"/>
        <rFont val="Calibri"/>
        <family val="2"/>
        <scheme val="minor"/>
      </rPr>
      <t xml:space="preserve">Skid Trail </t>
    </r>
    <r>
      <rPr>
        <sz val="8"/>
        <color theme="0"/>
        <rFont val="Calibri"/>
        <family val="2"/>
        <scheme val="minor"/>
      </rPr>
      <t>= trail connecting a log landing to a harvest site</t>
    </r>
  </si>
  <si>
    <t>Arrest the erosion process at the project site, and, in-so-doing promote equilibrium at the reach and watershed scale. Gullies are a linear erosion feature caused by concentrated flows with a direct connection to a perennial stream.</t>
  </si>
  <si>
    <t>Guidance is forthcoming on how to estimate phosphorus reduction of multiple practices implemented as a single project. Simulated values include practice implementation assumptions, see FFI user manual for more information or consult with the DEC Rivers Program.</t>
  </si>
  <si>
    <r>
      <t xml:space="preserve">Calculations completed through the use of this tool should </t>
    </r>
    <r>
      <rPr>
        <b/>
        <sz val="8"/>
        <color theme="1"/>
        <rFont val="Calibri"/>
        <family val="2"/>
        <scheme val="minor"/>
      </rPr>
      <t>only be applied in perennial stream settings</t>
    </r>
    <r>
      <rPr>
        <sz val="8"/>
        <color theme="1"/>
        <rFont val="Calibri"/>
        <family val="2"/>
        <scheme val="minor"/>
      </rPr>
      <t xml:space="preserve">. Calculations for estimating phosphrous reductions associated with structures on intermittent streams are not currently available. Not all longitudinal or temporal stream connectivity projects receive a stream stability P reduction credit. Credit is assigned and scaled by evaluating additional barriers to connectivity on the reach and structure width as a proportion of the channel's bankfull width. For more detail on phosphorus credit allocations by project type, please refer to the Standard Operating Procedures for Tracking &amp; Accounting of Natural Resources Restoration Projects available on the VT DEC website. 
</t>
    </r>
    <r>
      <rPr>
        <b/>
        <sz val="8"/>
        <color theme="1"/>
        <rFont val="Calibri"/>
        <family val="2"/>
        <scheme val="minor"/>
      </rPr>
      <t xml:space="preserve">The Functioning Floodplains Initiative (FFI) web application is equipped to generate the most accurate estimation of phosphorus reduction achieved through a floodplain or stream restoration projects in the Lake Champlain basin based on more detailed project specifications, and will ultimately be used for phosphorus accounting purposes by VT DEC. </t>
    </r>
    <r>
      <rPr>
        <sz val="8"/>
        <color theme="1"/>
        <rFont val="Calibri"/>
        <family val="2"/>
        <scheme val="minor"/>
      </rPr>
      <t>This tool was developed as an interim solution to provide high level estimation of potential phosphorus reductions and can be used to help compare potential project outcomes to inform prioritization,  particularly in the early stages of project development prior to knowing exact project specifications, and for use in the Lake Memphremagog basin where the FFI tool is not available. Phosphorus reductions calculated in the interim tool are based on FFI project simulations by practice type and HUC12. This interim tool cannot be used to accurately account for stacked practices (i.e. multiple project types implemented in a single location) however, the FFI allows for calculation of estimated phosphorus reduction resulting from implementation of multiple project components.</t>
    </r>
  </si>
  <si>
    <r>
      <t xml:space="preserve">Calculations completed through the use of this tool should </t>
    </r>
    <r>
      <rPr>
        <b/>
        <sz val="8"/>
        <color rgb="FF000000"/>
        <rFont val="Calibri"/>
        <family val="2"/>
        <scheme val="minor"/>
      </rPr>
      <t>only be applied in perennial stream settings</t>
    </r>
    <r>
      <rPr>
        <sz val="8"/>
        <color rgb="FF000000"/>
        <rFont val="Calibri"/>
        <family val="2"/>
        <scheme val="minor"/>
      </rPr>
      <t xml:space="preserve">. Calculations for estimating phosphrous reductions associated with projects on intermittent streams are not currently available. Not all floodplain and stream restoration projects receive a storage P reduction credit. If a project does not effectively change the ability of a stream or river to access a floodplain, select matching floodplain connectivity ranking for pre- and post- restoration (ex: floodplain connectivity pre-restoration = low, floodplain connectivity post-restoration = low). This is most common for protection, revegetation, and constraint removal practices. For more detail on phosphorus credit allocations by practice type, please refer to the Standard Operating Procedures for Tracking &amp; Accounting of Natural Resources Restoration Projects available on the VT DEC website. 
</t>
    </r>
    <r>
      <rPr>
        <b/>
        <sz val="8"/>
        <color rgb="FF000000"/>
        <rFont val="Calibri"/>
        <family val="2"/>
        <scheme val="minor"/>
      </rPr>
      <t xml:space="preserve">The Functioning Floodplains Initiative (FFI) web application (linked below) is equipped to generate the most accurate estimation of phosphorus reduction achieved through a floodplain or stream restoration projects in the Lake Champlain basin based on more detailed project specifications, and will ultimately be used for phosphorus accounting purposes by VT DEC. </t>
    </r>
    <r>
      <rPr>
        <sz val="8"/>
        <color rgb="FF000000"/>
        <rFont val="Calibri"/>
        <family val="2"/>
        <scheme val="minor"/>
      </rPr>
      <t>This tool was developed as an interim solution to provide high level estimation of potential phosphorus reductions and can be used to help compare potential project outcomes to inform prioritization, particularly in the early stages of project development prior to knowing exact project specifications, and for use in the Lake Memphremagog basin where the FFI tool is not available. Phosphorus reductions calculated in the interim tool are based on FFI project simulations by practice type and HUC12. This interim tool cannot be used to accurately account for stacked practices (i.e. multiple project types implemented in a single location) however, the FFI allows for calculation of estimated phosphorus reduction resulting from implementation of multiple project components.</t>
    </r>
  </si>
  <si>
    <t>Updated calculators for stream and floodplain practices to better align with FFI</t>
  </si>
  <si>
    <t>Calculated Phosphorus Load Buffer Area Post-Treatment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</si>
</sst>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quot;$&quot;#,##0_);[Red]\(&quot;$&quot;#,##0\)"/>
    <numFmt numFmtId="44" formatCode="_(&quot;$&quot;* #,##0.00_);_(&quot;$&quot;* \(#,##0.00\);_(&quot;$&quot;* &quot;-&quot;??_);_(@_)"/>
    <numFmt numFmtId="43" formatCode="_(* #,##0.00_);_(* \(#,##0.00\);_(* &quot;-&quot;??_);_(@_)"/>
    <numFmt numFmtId="164" formatCode="_(* #,##0_);_(* \(#,##0\);_(* &quot;-&quot;??_);_(@_)"/>
    <numFmt numFmtId="165" formatCode="0.0"/>
    <numFmt numFmtId="166" formatCode="0.0%"/>
    <numFmt numFmtId="167" formatCode="_(&quot;$&quot;* #,##0_);_(&quot;$&quot;* \(#,##0\);_(&quot;$&quot;* &quot;-&quot;??_);_(@_)"/>
    <numFmt numFmtId="168" formatCode="&quot;$&quot;#,##0"/>
    <numFmt numFmtId="169" formatCode="_(* #,##0.0_);_(* \(#,##0.0\);_(* &quot;-&quot;??_);_(@_)"/>
    <numFmt numFmtId="170" formatCode="0.000"/>
    <numFmt numFmtId="171" formatCode="0.0000"/>
    <numFmt numFmtId="172" formatCode="&quot;$&quot;#,##0.00"/>
    <numFmt numFmtId="173" formatCode="[$-409]mmmm\ d\,\ yyyy;@"/>
    <numFmt numFmtId="174" formatCode="000000000000"/>
  </numFmts>
  <fonts count="81"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vertAlign val="superscript"/>
      <sz val="11"/>
      <color theme="1"/>
      <name val="Calibri"/>
      <family val="2"/>
      <scheme val="minor"/>
    </font>
    <font>
      <b/>
      <vertAlign val="superscript"/>
      <sz val="11"/>
      <color theme="1"/>
      <name val="Calibri"/>
      <family val="2"/>
      <scheme val="minor"/>
    </font>
    <font>
      <sz val="11"/>
      <color rgb="FF000000"/>
      <name val="Calibri"/>
      <family val="2"/>
      <scheme val="minor"/>
    </font>
    <font>
      <b/>
      <sz val="11"/>
      <color rgb="FF000000"/>
      <name val="Calibri"/>
      <family val="2"/>
      <scheme val="minor"/>
    </font>
    <font>
      <b/>
      <i/>
      <sz val="11"/>
      <color theme="1"/>
      <name val="Calibri"/>
      <family val="2"/>
      <scheme val="minor"/>
    </font>
    <font>
      <b/>
      <i/>
      <vertAlign val="superscript"/>
      <sz val="11"/>
      <color theme="1"/>
      <name val="Calibri"/>
      <family val="2"/>
      <scheme val="minor"/>
    </font>
    <font>
      <sz val="11"/>
      <color theme="1"/>
      <name val="Franklin Gothic Book"/>
      <family val="2"/>
    </font>
    <font>
      <sz val="10"/>
      <color theme="1"/>
      <name val="Franklin Gothic Book"/>
      <family val="2"/>
    </font>
    <font>
      <b/>
      <sz val="10"/>
      <color theme="1"/>
      <name val="Franklin Gothic Book"/>
      <family val="2"/>
    </font>
    <font>
      <sz val="10"/>
      <color rgb="FF000000"/>
      <name val="Franklin Gothic Book"/>
      <family val="2"/>
    </font>
    <font>
      <strike/>
      <sz val="11"/>
      <color theme="1"/>
      <name val="Calibri"/>
      <family val="2"/>
      <scheme val="minor"/>
    </font>
    <font>
      <i/>
      <sz val="11"/>
      <color theme="1"/>
      <name val="Calibri"/>
      <family val="2"/>
      <scheme val="minor"/>
    </font>
    <font>
      <b/>
      <sz val="10"/>
      <color rgb="FFFFFFFF"/>
      <name val="Calibri"/>
      <family val="2"/>
    </font>
    <font>
      <b/>
      <sz val="10"/>
      <color rgb="FF000000"/>
      <name val="Calibri"/>
      <family val="2"/>
    </font>
    <font>
      <sz val="10"/>
      <color rgb="FF000000"/>
      <name val="Calibri"/>
      <family val="2"/>
    </font>
    <font>
      <sz val="10"/>
      <name val="Calibri"/>
      <family val="2"/>
    </font>
    <font>
      <b/>
      <sz val="10"/>
      <name val="Calibri"/>
      <family val="2"/>
    </font>
    <font>
      <i/>
      <sz val="10"/>
      <color rgb="FF000000"/>
      <name val="Calibri"/>
      <family val="2"/>
    </font>
    <font>
      <i/>
      <sz val="10"/>
      <name val="Calibri"/>
      <family val="2"/>
    </font>
    <font>
      <sz val="10"/>
      <color rgb="FF000000"/>
      <name val="Palatino Linotype"/>
      <family val="1"/>
    </font>
    <font>
      <sz val="11"/>
      <color rgb="FF000000"/>
      <name val="Franklin Gothic Book"/>
      <family val="2"/>
    </font>
    <font>
      <sz val="11"/>
      <name val="Franklin Gothic Book"/>
      <family val="2"/>
    </font>
    <font>
      <b/>
      <sz val="11"/>
      <color rgb="FFFFFFFF"/>
      <name val="Franklin Gothic Book"/>
      <family val="2"/>
    </font>
    <font>
      <sz val="11"/>
      <color rgb="FFFFFFFF"/>
      <name val="Franklin Gothic Book"/>
      <family val="2"/>
    </font>
    <font>
      <b/>
      <sz val="11"/>
      <color rgb="FF000000"/>
      <name val="Franklin Gothic Book"/>
      <family val="2"/>
    </font>
    <font>
      <b/>
      <sz val="14"/>
      <color theme="1"/>
      <name val="Calibri Light"/>
      <family val="2"/>
      <scheme val="major"/>
    </font>
    <font>
      <b/>
      <sz val="12"/>
      <color theme="1"/>
      <name val="Calibri"/>
      <family val="2"/>
      <scheme val="minor"/>
    </font>
    <font>
      <i/>
      <sz val="12"/>
      <color theme="1"/>
      <name val="Calibri"/>
      <family val="2"/>
      <scheme val="minor"/>
    </font>
    <font>
      <sz val="12"/>
      <color theme="1"/>
      <name val="Calibri"/>
      <family val="2"/>
      <scheme val="minor"/>
    </font>
    <font>
      <sz val="12"/>
      <color rgb="FF000000"/>
      <name val="Calibri"/>
      <family val="2"/>
      <scheme val="minor"/>
    </font>
    <font>
      <u/>
      <sz val="12"/>
      <color theme="10"/>
      <name val="Calibri"/>
      <family val="2"/>
      <scheme val="minor"/>
    </font>
    <font>
      <sz val="10"/>
      <color theme="1"/>
      <name val="Calibri"/>
      <family val="2"/>
      <scheme val="minor"/>
    </font>
    <font>
      <sz val="8"/>
      <color theme="1"/>
      <name val="Calibri"/>
      <family val="2"/>
      <scheme val="minor"/>
    </font>
    <font>
      <b/>
      <sz val="8"/>
      <color theme="1"/>
      <name val="Calibri"/>
      <family val="2"/>
      <scheme val="minor"/>
    </font>
    <font>
      <u/>
      <sz val="11"/>
      <color theme="1"/>
      <name val="Calibri"/>
      <family val="2"/>
      <scheme val="minor"/>
    </font>
    <font>
      <sz val="9"/>
      <color theme="1"/>
      <name val="Calibri Light"/>
      <family val="2"/>
      <scheme val="major"/>
    </font>
    <font>
      <sz val="8"/>
      <name val="Calibri"/>
      <family val="2"/>
      <scheme val="minor"/>
    </font>
    <font>
      <i/>
      <sz val="10"/>
      <color theme="1"/>
      <name val="Calibri"/>
      <family val="2"/>
      <scheme val="minor"/>
    </font>
    <font>
      <sz val="9"/>
      <color theme="1"/>
      <name val="Calibri"/>
      <family val="2"/>
      <scheme val="minor"/>
    </font>
    <font>
      <i/>
      <sz val="8"/>
      <color rgb="FF000000"/>
      <name val="Calibri"/>
      <family val="2"/>
      <scheme val="minor"/>
    </font>
    <font>
      <i/>
      <vertAlign val="superscript"/>
      <sz val="11"/>
      <color theme="1"/>
      <name val="Calibri"/>
      <family val="2"/>
      <scheme val="minor"/>
    </font>
    <font>
      <i/>
      <vertAlign val="superscript"/>
      <sz val="10"/>
      <color theme="1"/>
      <name val="Calibri"/>
      <family val="2"/>
      <scheme val="minor"/>
    </font>
    <font>
      <sz val="16"/>
      <color theme="1"/>
      <name val="Calibri"/>
      <family val="2"/>
      <scheme val="minor"/>
    </font>
    <font>
      <b/>
      <sz val="9"/>
      <color theme="1"/>
      <name val="Calibri"/>
      <family val="2"/>
      <scheme val="minor"/>
    </font>
    <font>
      <i/>
      <sz val="11"/>
      <name val="Calibri"/>
      <family val="2"/>
      <scheme val="minor"/>
    </font>
    <font>
      <sz val="10"/>
      <color rgb="FF000000"/>
      <name val="Calibri"/>
      <family val="2"/>
      <scheme val="minor"/>
    </font>
    <font>
      <vertAlign val="superscript"/>
      <sz val="10"/>
      <color rgb="FF000000"/>
      <name val="Calibri"/>
      <family val="2"/>
      <scheme val="minor"/>
    </font>
    <font>
      <b/>
      <i/>
      <sz val="8"/>
      <color theme="1"/>
      <name val="Calibri"/>
      <family val="2"/>
      <scheme val="minor"/>
    </font>
    <font>
      <sz val="9"/>
      <name val="Calibri"/>
      <family val="2"/>
      <scheme val="minor"/>
    </font>
    <font>
      <i/>
      <sz val="9"/>
      <name val="Calibri"/>
      <family val="2"/>
      <scheme val="minor"/>
    </font>
    <font>
      <b/>
      <sz val="9"/>
      <name val="Calibri"/>
      <family val="2"/>
      <scheme val="minor"/>
    </font>
    <font>
      <sz val="14"/>
      <color theme="1"/>
      <name val="Calibri"/>
      <family val="2"/>
      <scheme val="minor"/>
    </font>
    <font>
      <sz val="10"/>
      <color rgb="FF333333"/>
      <name val="Segoe UI"/>
      <family val="2"/>
    </font>
    <font>
      <b/>
      <sz val="7"/>
      <name val="Calibri"/>
      <family val="2"/>
    </font>
    <font>
      <sz val="7"/>
      <color rgb="FF000000"/>
      <name val="Calibri"/>
      <family val="2"/>
    </font>
    <font>
      <sz val="7"/>
      <name val="Calibri"/>
      <family val="2"/>
    </font>
    <font>
      <i/>
      <sz val="8"/>
      <color theme="1"/>
      <name val="Calibri"/>
      <family val="2"/>
      <scheme val="minor"/>
    </font>
    <font>
      <i/>
      <sz val="8"/>
      <color theme="0"/>
      <name val="Calibri"/>
      <family val="2"/>
      <scheme val="minor"/>
    </font>
    <font>
      <u/>
      <sz val="8"/>
      <color theme="0"/>
      <name val="Calibri"/>
      <family val="2"/>
      <scheme val="minor"/>
    </font>
    <font>
      <sz val="8"/>
      <color theme="0"/>
      <name val="Calibri"/>
      <family val="2"/>
      <scheme val="minor"/>
    </font>
    <font>
      <sz val="7"/>
      <color theme="1"/>
      <name val="Calibri"/>
      <family val="2"/>
    </font>
    <font>
      <b/>
      <sz val="7"/>
      <name val="Calibri"/>
      <family val="2"/>
    </font>
    <font>
      <sz val="7"/>
      <name val="Calibri"/>
      <family val="2"/>
    </font>
    <font>
      <b/>
      <sz val="11"/>
      <color theme="0"/>
      <name val="Calibri"/>
      <family val="2"/>
      <scheme val="minor"/>
    </font>
    <font>
      <b/>
      <sz val="8"/>
      <color theme="0"/>
      <name val="Calibri"/>
      <family val="2"/>
      <scheme val="minor"/>
    </font>
    <font>
      <b/>
      <sz val="10"/>
      <color rgb="FFFFFFFF"/>
      <name val="Franklin Gothic Book"/>
      <family val="2"/>
    </font>
    <font>
      <b/>
      <sz val="11"/>
      <color rgb="FF000000"/>
      <name val="Arial Narrow"/>
      <family val="2"/>
    </font>
    <font>
      <sz val="8"/>
      <color rgb="FFFF0000"/>
      <name val="Calibri"/>
      <family val="2"/>
      <scheme val="minor"/>
    </font>
    <font>
      <sz val="11"/>
      <name val="Calibri"/>
      <family val="2"/>
      <scheme val="minor"/>
    </font>
    <font>
      <b/>
      <sz val="11"/>
      <name val="Calibri"/>
      <family val="2"/>
      <scheme val="minor"/>
    </font>
    <font>
      <sz val="8"/>
      <color theme="0"/>
      <name val="Calibri"/>
      <family val="2"/>
      <scheme val="minor"/>
    </font>
    <font>
      <sz val="8"/>
      <color rgb="FF000000"/>
      <name val="Calibri"/>
      <family val="2"/>
      <scheme val="minor"/>
    </font>
    <font>
      <b/>
      <sz val="8"/>
      <color rgb="FF000000"/>
      <name val="Calibri"/>
      <family val="2"/>
      <scheme val="minor"/>
    </font>
    <font>
      <u/>
      <sz val="10"/>
      <color theme="10"/>
      <name val="Calibri"/>
      <family val="2"/>
      <scheme val="minor"/>
    </font>
    <font>
      <u/>
      <sz val="8"/>
      <color theme="10"/>
      <name val="Calibri"/>
      <family val="2"/>
      <scheme val="minor"/>
    </font>
    <font>
      <u/>
      <sz val="9"/>
      <color theme="10"/>
      <name val="Calibri"/>
      <family val="2"/>
      <scheme val="minor"/>
    </font>
    <font>
      <b/>
      <i/>
      <sz val="9"/>
      <color theme="1"/>
      <name val="Calibri"/>
      <family val="2"/>
      <scheme val="minor"/>
    </font>
  </fonts>
  <fills count="4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rgb="FFFFFF00"/>
        <bgColor indexed="64"/>
      </patternFill>
    </fill>
    <fill>
      <patternFill patternType="solid">
        <fgColor rgb="FFD9E1F2"/>
        <bgColor indexed="64"/>
      </patternFill>
    </fill>
    <fill>
      <patternFill patternType="solid">
        <fgColor rgb="FF92D050"/>
        <bgColor indexed="64"/>
      </patternFill>
    </fill>
    <fill>
      <patternFill patternType="solid">
        <fgColor rgb="FFFFFFFF"/>
        <bgColor indexed="64"/>
      </patternFill>
    </fill>
    <fill>
      <patternFill patternType="solid">
        <fgColor theme="9" tint="0.59999389629810485"/>
        <bgColor indexed="64"/>
      </patternFill>
    </fill>
    <fill>
      <patternFill patternType="solid">
        <fgColor rgb="FF70AD47"/>
        <bgColor indexed="64"/>
      </patternFill>
    </fill>
    <fill>
      <patternFill patternType="solid">
        <fgColor rgb="FFE2EFD9"/>
        <bgColor indexed="64"/>
      </patternFill>
    </fill>
    <fill>
      <patternFill patternType="solid">
        <fgColor rgb="FFC5E0B3"/>
        <bgColor indexed="64"/>
      </patternFill>
    </fill>
    <fill>
      <patternFill patternType="solid">
        <fgColor theme="8" tint="-0.49998474074526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bgColor indexed="64"/>
      </patternFill>
    </fill>
    <fill>
      <patternFill patternType="solid">
        <fgColor theme="0" tint="-4.9989318521683403E-2"/>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7"/>
        <bgColor indexed="64"/>
      </patternFill>
    </fill>
    <fill>
      <patternFill patternType="solid">
        <fgColor theme="1" tint="0.499984740745262"/>
        <bgColor indexed="64"/>
      </patternFill>
    </fill>
    <fill>
      <patternFill patternType="solid">
        <fgColor rgb="FFF0F8FF"/>
        <bgColor rgb="FFF0F8FF"/>
      </patternFill>
    </fill>
    <fill>
      <patternFill patternType="solid">
        <fgColor rgb="FFFFFFFF"/>
        <bgColor rgb="FFFFFFFF"/>
      </patternFill>
    </fill>
    <fill>
      <patternFill patternType="solid">
        <fgColor theme="8" tint="0.79998168889431442"/>
        <bgColor indexed="64"/>
      </patternFill>
    </fill>
    <fill>
      <patternFill patternType="solid">
        <fgColor rgb="FFB7DEE8"/>
      </patternFill>
    </fill>
    <fill>
      <patternFill patternType="solid">
        <fgColor rgb="FFFFCCCC"/>
        <bgColor indexed="64"/>
      </patternFill>
    </fill>
    <fill>
      <patternFill patternType="solid">
        <fgColor rgb="FFC4D69B"/>
      </patternFill>
    </fill>
    <fill>
      <patternFill patternType="solid">
        <fgColor rgb="FFE6B8B7"/>
      </patternFill>
    </fill>
    <fill>
      <patternFill patternType="solid">
        <fgColor rgb="FFCCC0DA"/>
      </patternFill>
    </fill>
    <fill>
      <patternFill patternType="solid">
        <fgColor rgb="FFFBD4B4"/>
      </patternFill>
    </fill>
    <fill>
      <patternFill patternType="solid">
        <fgColor rgb="FFD9D9D9"/>
      </patternFill>
    </fill>
    <fill>
      <patternFill patternType="solid">
        <fgColor rgb="FFFF6600"/>
        <bgColor indexed="64"/>
      </patternFill>
    </fill>
    <fill>
      <patternFill patternType="solid">
        <fgColor theme="9"/>
        <bgColor indexed="64"/>
      </patternFill>
    </fill>
    <fill>
      <patternFill patternType="solid">
        <fgColor theme="9" tint="-0.499984740745262"/>
        <bgColor indexed="64"/>
      </patternFill>
    </fill>
    <fill>
      <patternFill patternType="solid">
        <fgColor theme="9" tint="-0.499984740745262"/>
        <bgColor theme="4"/>
      </patternFill>
    </fill>
    <fill>
      <patternFill patternType="solid">
        <fgColor theme="7" tint="0.59999389629810485"/>
        <bgColor indexed="64"/>
      </patternFill>
    </fill>
    <fill>
      <patternFill patternType="solid">
        <fgColor theme="4"/>
        <bgColor indexed="64"/>
      </patternFill>
    </fill>
    <fill>
      <patternFill patternType="solid">
        <fgColor rgb="FFED7D31"/>
        <bgColor indexed="64"/>
      </patternFill>
    </fill>
    <fill>
      <patternFill patternType="solid">
        <fgColor rgb="FF7030A0"/>
        <bgColor indexed="64"/>
      </patternFill>
    </fill>
    <fill>
      <patternFill patternType="solid">
        <fgColor theme="3"/>
        <bgColor indexed="64"/>
      </patternFill>
    </fill>
  </fills>
  <borders count="78">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ck">
        <color rgb="FFFFFFFF"/>
      </left>
      <right style="thick">
        <color rgb="FFFFFFFF"/>
      </right>
      <top style="thick">
        <color rgb="FFFFFFFF"/>
      </top>
      <bottom style="thick">
        <color rgb="FFFFFFFF"/>
      </bottom>
      <diagonal/>
    </border>
    <border>
      <left style="thick">
        <color rgb="FFFFFFFF"/>
      </left>
      <right style="thick">
        <color rgb="FFFFFFFF"/>
      </right>
      <top style="thick">
        <color rgb="FFFFFFFF"/>
      </top>
      <bottom/>
      <diagonal/>
    </border>
    <border>
      <left style="thick">
        <color rgb="FFFFFFFF"/>
      </left>
      <right style="thick">
        <color rgb="FFFFFFFF"/>
      </right>
      <top/>
      <bottom/>
      <diagonal/>
    </border>
    <border>
      <left style="thick">
        <color rgb="FFFFFFFF"/>
      </left>
      <right style="thick">
        <color rgb="FFFFFFFF"/>
      </right>
      <top/>
      <bottom style="thick">
        <color rgb="FFFFFFFF"/>
      </bottom>
      <diagonal/>
    </border>
    <border>
      <left style="thin">
        <color rgb="FF000000"/>
      </left>
      <right style="thick">
        <color rgb="FFFFFFFF"/>
      </right>
      <top style="thin">
        <color rgb="FF000000"/>
      </top>
      <bottom style="thick">
        <color rgb="FFFFFFFF"/>
      </bottom>
      <diagonal/>
    </border>
    <border>
      <left style="thick">
        <color rgb="FFFFFFFF"/>
      </left>
      <right style="thick">
        <color rgb="FFFFFFFF"/>
      </right>
      <top style="thin">
        <color rgb="FF000000"/>
      </top>
      <bottom style="thick">
        <color rgb="FFFFFFFF"/>
      </bottom>
      <diagonal/>
    </border>
    <border>
      <left style="thick">
        <color rgb="FFFFFFFF"/>
      </left>
      <right style="thin">
        <color rgb="FF000000"/>
      </right>
      <top style="thin">
        <color rgb="FF000000"/>
      </top>
      <bottom style="thick">
        <color rgb="FFFFFFFF"/>
      </bottom>
      <diagonal/>
    </border>
    <border>
      <left style="thin">
        <color rgb="FF000000"/>
      </left>
      <right style="thick">
        <color rgb="FFFFFFFF"/>
      </right>
      <top style="thick">
        <color rgb="FFFFFFFF"/>
      </top>
      <bottom/>
      <diagonal/>
    </border>
    <border>
      <left style="thick">
        <color rgb="FFFFFFFF"/>
      </left>
      <right style="thin">
        <color rgb="FF000000"/>
      </right>
      <top style="thick">
        <color rgb="FFFFFFFF"/>
      </top>
      <bottom style="thick">
        <color rgb="FFFFFFFF"/>
      </bottom>
      <diagonal/>
    </border>
    <border>
      <left style="thin">
        <color rgb="FF000000"/>
      </left>
      <right style="thick">
        <color rgb="FFFFFFFF"/>
      </right>
      <top/>
      <bottom/>
      <diagonal/>
    </border>
    <border>
      <left style="thin">
        <color rgb="FF000000"/>
      </left>
      <right style="thick">
        <color rgb="FFFFFFFF"/>
      </right>
      <top/>
      <bottom style="thick">
        <color rgb="FFFFFFFF"/>
      </bottom>
      <diagonal/>
    </border>
    <border>
      <left style="thin">
        <color rgb="FF000000"/>
      </left>
      <right style="thick">
        <color rgb="FFFFFFFF"/>
      </right>
      <top/>
      <bottom style="thin">
        <color rgb="FF000000"/>
      </bottom>
      <diagonal/>
    </border>
    <border>
      <left style="thick">
        <color rgb="FFFFFFFF"/>
      </left>
      <right style="thick">
        <color rgb="FFFFFFFF"/>
      </right>
      <top/>
      <bottom style="thin">
        <color rgb="FF000000"/>
      </bottom>
      <diagonal/>
    </border>
    <border>
      <left style="thick">
        <color rgb="FFFFFFFF"/>
      </left>
      <right style="thick">
        <color rgb="FFFFFFFF"/>
      </right>
      <top style="thick">
        <color rgb="FFFFFFFF"/>
      </top>
      <bottom style="thin">
        <color rgb="FF000000"/>
      </bottom>
      <diagonal/>
    </border>
    <border>
      <left style="thick">
        <color rgb="FFFFFFFF"/>
      </left>
      <right style="thin">
        <color rgb="FF000000"/>
      </right>
      <top style="thick">
        <color rgb="FFFFFFFF"/>
      </top>
      <bottom style="thin">
        <color rgb="FF000000"/>
      </bottom>
      <diagonal/>
    </border>
    <border>
      <left style="thick">
        <color rgb="FFFFFFFF"/>
      </left>
      <right/>
      <top/>
      <bottom/>
      <diagonal/>
    </border>
    <border>
      <left style="thick">
        <color rgb="FFFFFFFF"/>
      </left>
      <right/>
      <top style="thin">
        <color rgb="FF000000"/>
      </top>
      <bottom style="thick">
        <color rgb="FFFFFFFF"/>
      </bottom>
      <diagonal/>
    </border>
    <border>
      <left/>
      <right/>
      <top style="thin">
        <color rgb="FF000000"/>
      </top>
      <bottom style="thick">
        <color rgb="FFFFFFFF"/>
      </bottom>
      <diagonal/>
    </border>
    <border>
      <left/>
      <right style="thin">
        <color rgb="FF000000"/>
      </right>
      <top style="thin">
        <color rgb="FF000000"/>
      </top>
      <bottom style="thick">
        <color rgb="FFFFFFFF"/>
      </bottom>
      <diagonal/>
    </border>
    <border>
      <left style="thin">
        <color rgb="FF000000"/>
      </left>
      <right style="thick">
        <color rgb="FFFFFFFF"/>
      </right>
      <top style="thick">
        <color rgb="FFFFFFFF"/>
      </top>
      <bottom style="thick">
        <color rgb="FFFFFFFF"/>
      </bottom>
      <diagonal/>
    </border>
    <border>
      <left style="thin">
        <color rgb="FF000000"/>
      </left>
      <right style="thick">
        <color rgb="FFFFFFFF"/>
      </right>
      <top style="thick">
        <color rgb="FFFFFFFF"/>
      </top>
      <bottom style="thin">
        <color rgb="FF000000"/>
      </bottom>
      <diagonal/>
    </border>
    <border>
      <left/>
      <right/>
      <top/>
      <bottom style="thin">
        <color rgb="FF00000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top/>
      <bottom style="double">
        <color indexed="64"/>
      </bottom>
      <diagonal/>
    </border>
    <border>
      <left/>
      <right/>
      <top style="double">
        <color indexed="64"/>
      </top>
      <bottom style="medium">
        <color indexed="64"/>
      </bottom>
      <diagonal/>
    </border>
    <border>
      <left/>
      <right/>
      <top style="double">
        <color indexed="64"/>
      </top>
      <bottom/>
      <diagonal/>
    </border>
    <border>
      <left/>
      <right/>
      <top style="medium">
        <color indexed="64"/>
      </top>
      <bottom style="double">
        <color indexed="64"/>
      </bottom>
      <diagonal/>
    </border>
    <border>
      <left style="medium">
        <color indexed="64"/>
      </left>
      <right/>
      <top style="medium">
        <color indexed="64"/>
      </top>
      <bottom style="double">
        <color indexed="64"/>
      </bottom>
      <diagonal/>
    </border>
    <border>
      <left style="medium">
        <color indexed="64"/>
      </left>
      <right/>
      <top style="double">
        <color indexed="64"/>
      </top>
      <bottom style="medium">
        <color indexed="64"/>
      </bottom>
      <diagonal/>
    </border>
    <border>
      <left/>
      <right style="thin">
        <color indexed="64"/>
      </right>
      <top/>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style="thin">
        <color rgb="FF000000"/>
      </left>
      <right style="thin">
        <color rgb="FF000000"/>
      </right>
      <top style="thin">
        <color rgb="FF000000"/>
      </top>
      <bottom style="thin">
        <color rgb="FF000000"/>
      </bottom>
      <diagonal/>
    </border>
    <border>
      <left style="thin">
        <color indexed="64"/>
      </left>
      <right/>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thick">
        <color indexed="64"/>
      </bottom>
      <diagonal/>
    </border>
    <border>
      <left/>
      <right/>
      <top style="medium">
        <color indexed="64"/>
      </top>
      <bottom style="thick">
        <color indexed="64"/>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rgb="FF000000"/>
      </bottom>
      <diagonal/>
    </border>
    <border>
      <left style="medium">
        <color rgb="FFFFFFFF"/>
      </left>
      <right style="medium">
        <color rgb="FFFFFFFF"/>
      </right>
      <top style="medium">
        <color rgb="FFFFFFFF"/>
      </top>
      <bottom/>
      <diagonal/>
    </border>
    <border>
      <left/>
      <right style="thick">
        <color rgb="FFFFFFFF"/>
      </right>
      <top/>
      <bottom style="thick">
        <color rgb="FFFFFFFF"/>
      </bottom>
      <diagonal/>
    </border>
    <border>
      <left/>
      <right style="thin">
        <color indexed="64"/>
      </right>
      <top style="thin">
        <color indexed="64"/>
      </top>
      <bottom style="medium">
        <color indexed="64"/>
      </bottom>
      <diagonal/>
    </border>
    <border>
      <left/>
      <right style="thin">
        <color indexed="64"/>
      </right>
      <top style="double">
        <color indexed="64"/>
      </top>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cellStyleXfs>
  <cellXfs count="511">
    <xf numFmtId="0" fontId="0" fillId="0" borderId="0" xfId="0"/>
    <xf numFmtId="2" fontId="0" fillId="2" borderId="0" xfId="0" applyNumberFormat="1" applyFill="1"/>
    <xf numFmtId="1" fontId="0" fillId="2" borderId="0" xfId="0" applyNumberFormat="1" applyFill="1" applyAlignment="1">
      <alignment horizontal="center"/>
    </xf>
    <xf numFmtId="1" fontId="0" fillId="0" borderId="0" xfId="0" applyNumberFormat="1" applyAlignment="1">
      <alignment horizontal="center"/>
    </xf>
    <xf numFmtId="0" fontId="3" fillId="0" borderId="1" xfId="4" applyFill="1" applyBorder="1"/>
    <xf numFmtId="0" fontId="2" fillId="3" borderId="2" xfId="0" applyFont="1" applyFill="1" applyBorder="1"/>
    <xf numFmtId="0" fontId="0" fillId="3" borderId="2" xfId="0" applyFill="1" applyBorder="1" applyAlignment="1">
      <alignment horizontal="center"/>
    </xf>
    <xf numFmtId="0" fontId="0" fillId="0" borderId="2" xfId="0" applyBorder="1"/>
    <xf numFmtId="164" fontId="0" fillId="0" borderId="2" xfId="1" applyNumberFormat="1" applyFont="1" applyBorder="1" applyAlignment="1">
      <alignment horizontal="center"/>
    </xf>
    <xf numFmtId="0" fontId="0" fillId="4" borderId="0" xfId="0" applyFill="1"/>
    <xf numFmtId="164" fontId="0" fillId="0" borderId="0" xfId="0" applyNumberFormat="1"/>
    <xf numFmtId="0" fontId="0" fillId="5" borderId="0" xfId="0" applyFill="1"/>
    <xf numFmtId="17" fontId="0" fillId="0" borderId="0" xfId="0" applyNumberFormat="1"/>
    <xf numFmtId="9" fontId="0" fillId="4" borderId="2" xfId="0" applyNumberFormat="1" applyFill="1" applyBorder="1"/>
    <xf numFmtId="165" fontId="0" fillId="0" borderId="2" xfId="0" applyNumberFormat="1" applyBorder="1"/>
    <xf numFmtId="164" fontId="0" fillId="5" borderId="2" xfId="1" applyNumberFormat="1" applyFont="1" applyFill="1" applyBorder="1" applyAlignment="1">
      <alignment horizontal="center"/>
    </xf>
    <xf numFmtId="0" fontId="0" fillId="0" borderId="1" xfId="0" applyBorder="1"/>
    <xf numFmtId="0" fontId="0" fillId="0" borderId="4" xfId="0" applyBorder="1"/>
    <xf numFmtId="9" fontId="0" fillId="2" borderId="4" xfId="0" applyNumberFormat="1" applyFill="1" applyBorder="1"/>
    <xf numFmtId="164" fontId="0" fillId="0" borderId="2" xfId="1" applyNumberFormat="1" applyFont="1" applyBorder="1"/>
    <xf numFmtId="164" fontId="0" fillId="5" borderId="2" xfId="1" applyNumberFormat="1" applyFont="1" applyFill="1" applyBorder="1"/>
    <xf numFmtId="166" fontId="0" fillId="0" borderId="2" xfId="3" applyNumberFormat="1" applyFont="1" applyBorder="1"/>
    <xf numFmtId="166" fontId="0" fillId="0" borderId="2" xfId="3" applyNumberFormat="1" applyFont="1" applyFill="1" applyBorder="1"/>
    <xf numFmtId="1" fontId="0" fillId="0" borderId="0" xfId="0" applyNumberFormat="1"/>
    <xf numFmtId="0" fontId="2" fillId="3" borderId="2" xfId="0" applyFont="1" applyFill="1" applyBorder="1" applyAlignment="1">
      <alignment wrapText="1"/>
    </xf>
    <xf numFmtId="0" fontId="0" fillId="3" borderId="2" xfId="0" applyFill="1" applyBorder="1" applyAlignment="1">
      <alignment horizontal="center" wrapText="1"/>
    </xf>
    <xf numFmtId="0" fontId="0" fillId="3" borderId="2" xfId="0" applyFill="1" applyBorder="1"/>
    <xf numFmtId="0" fontId="0" fillId="4" borderId="3" xfId="0" applyFill="1" applyBorder="1"/>
    <xf numFmtId="167" fontId="0" fillId="4" borderId="2" xfId="2" applyNumberFormat="1" applyFont="1" applyFill="1" applyBorder="1"/>
    <xf numFmtId="167" fontId="0" fillId="0" borderId="2" xfId="0" applyNumberFormat="1" applyBorder="1"/>
    <xf numFmtId="9" fontId="0" fillId="0" borderId="2" xfId="3" applyFont="1" applyBorder="1"/>
    <xf numFmtId="167" fontId="0" fillId="0" borderId="0" xfId="0" applyNumberFormat="1"/>
    <xf numFmtId="9" fontId="0" fillId="0" borderId="1" xfId="3" applyFont="1" applyFill="1" applyBorder="1"/>
    <xf numFmtId="166" fontId="0" fillId="0" borderId="0" xfId="3" applyNumberFormat="1" applyFont="1"/>
    <xf numFmtId="9" fontId="0" fillId="2" borderId="1" xfId="0" applyNumberFormat="1" applyFill="1" applyBorder="1"/>
    <xf numFmtId="43" fontId="0" fillId="0" borderId="0" xfId="0" applyNumberFormat="1"/>
    <xf numFmtId="167" fontId="0" fillId="4" borderId="0" xfId="2" applyNumberFormat="1" applyFont="1" applyFill="1"/>
    <xf numFmtId="0" fontId="6" fillId="0" borderId="2" xfId="0" applyFont="1" applyBorder="1" applyAlignment="1">
      <alignment vertical="center"/>
    </xf>
    <xf numFmtId="0" fontId="6" fillId="0" borderId="2" xfId="0" applyFont="1" applyBorder="1" applyAlignment="1">
      <alignment horizontal="right" vertical="center" wrapText="1"/>
    </xf>
    <xf numFmtId="0" fontId="6" fillId="0" borderId="2" xfId="0" applyFont="1" applyBorder="1" applyAlignment="1">
      <alignment horizontal="right" vertical="center"/>
    </xf>
    <xf numFmtId="0" fontId="7" fillId="6" borderId="2" xfId="0" applyFont="1" applyFill="1" applyBorder="1" applyAlignment="1">
      <alignment vertical="center"/>
    </xf>
    <xf numFmtId="0" fontId="7" fillId="6" borderId="2" xfId="0" applyFont="1" applyFill="1" applyBorder="1" applyAlignment="1">
      <alignment vertical="center" wrapText="1"/>
    </xf>
    <xf numFmtId="168" fontId="0" fillId="0" borderId="2" xfId="0" applyNumberFormat="1" applyBorder="1"/>
    <xf numFmtId="167" fontId="1" fillId="0" borderId="2" xfId="2" applyNumberFormat="1" applyFont="1" applyBorder="1"/>
    <xf numFmtId="9" fontId="0" fillId="0" borderId="0" xfId="3" applyFont="1"/>
    <xf numFmtId="9" fontId="0" fillId="0" borderId="0" xfId="0" applyNumberFormat="1"/>
    <xf numFmtId="0" fontId="8" fillId="0" borderId="0" xfId="0" applyFont="1"/>
    <xf numFmtId="0" fontId="2" fillId="0" borderId="1" xfId="0" applyFont="1" applyBorder="1"/>
    <xf numFmtId="0" fontId="2" fillId="0" borderId="0" xfId="0" applyFont="1"/>
    <xf numFmtId="0" fontId="2" fillId="0" borderId="0" xfId="0" applyFont="1" applyAlignment="1">
      <alignment horizontal="center"/>
    </xf>
    <xf numFmtId="44" fontId="0" fillId="0" borderId="0" xfId="0" applyNumberFormat="1"/>
    <xf numFmtId="0" fontId="0" fillId="7" borderId="2" xfId="0" applyFill="1" applyBorder="1" applyAlignment="1">
      <alignment horizontal="center" wrapText="1"/>
    </xf>
    <xf numFmtId="166" fontId="2" fillId="7" borderId="0" xfId="3" applyNumberFormat="1" applyFont="1" applyFill="1" applyAlignment="1">
      <alignment horizontal="center"/>
    </xf>
    <xf numFmtId="0" fontId="10" fillId="0" borderId="0" xfId="0" applyFont="1" applyAlignment="1">
      <alignment vertical="center"/>
    </xf>
    <xf numFmtId="0" fontId="11" fillId="0" borderId="2" xfId="0" applyFont="1" applyBorder="1" applyAlignment="1">
      <alignment vertical="center"/>
    </xf>
    <xf numFmtId="6" fontId="11" fillId="0" borderId="2" xfId="0" applyNumberFormat="1" applyFont="1" applyBorder="1" applyAlignment="1">
      <alignment vertical="center"/>
    </xf>
    <xf numFmtId="0" fontId="12" fillId="0" borderId="2" xfId="0" applyFont="1" applyBorder="1" applyAlignment="1">
      <alignment vertical="center"/>
    </xf>
    <xf numFmtId="6" fontId="13" fillId="0" borderId="2" xfId="0" applyNumberFormat="1" applyFont="1" applyBorder="1" applyAlignment="1">
      <alignment vertical="center"/>
    </xf>
    <xf numFmtId="9" fontId="14" fillId="0" borderId="1" xfId="3" applyFont="1" applyFill="1" applyBorder="1"/>
    <xf numFmtId="9" fontId="0" fillId="0" borderId="2" xfId="3" applyFont="1" applyFill="1" applyBorder="1"/>
    <xf numFmtId="164" fontId="0" fillId="0" borderId="2" xfId="1" applyNumberFormat="1" applyFont="1" applyFill="1" applyBorder="1" applyAlignment="1">
      <alignment horizontal="center"/>
    </xf>
    <xf numFmtId="9" fontId="0" fillId="0" borderId="0" xfId="3" applyFont="1" applyFill="1" applyBorder="1"/>
    <xf numFmtId="169" fontId="0" fillId="0" borderId="2" xfId="1" applyNumberFormat="1" applyFont="1" applyBorder="1"/>
    <xf numFmtId="9" fontId="2" fillId="0" borderId="0" xfId="3" applyFont="1"/>
    <xf numFmtId="0" fontId="0" fillId="8" borderId="2" xfId="0" applyFill="1" applyBorder="1"/>
    <xf numFmtId="168" fontId="0" fillId="8" borderId="2" xfId="0" applyNumberFormat="1" applyFill="1" applyBorder="1"/>
    <xf numFmtId="9" fontId="0" fillId="8" borderId="2" xfId="3" applyFont="1" applyFill="1" applyBorder="1"/>
    <xf numFmtId="168" fontId="0" fillId="0" borderId="2" xfId="2" applyNumberFormat="1" applyFont="1" applyBorder="1"/>
    <xf numFmtId="165" fontId="0" fillId="0" borderId="2" xfId="0" applyNumberFormat="1" applyBorder="1" applyAlignment="1">
      <alignment horizontal="center"/>
    </xf>
    <xf numFmtId="0" fontId="2" fillId="3" borderId="2" xfId="0" applyFont="1" applyFill="1" applyBorder="1" applyAlignment="1">
      <alignment horizontal="center" wrapText="1"/>
    </xf>
    <xf numFmtId="0" fontId="11" fillId="0" borderId="5" xfId="0" applyFont="1" applyBorder="1" applyAlignment="1">
      <alignment vertical="center" wrapText="1"/>
    </xf>
    <xf numFmtId="0" fontId="11" fillId="0" borderId="6" xfId="0" applyFont="1" applyBorder="1" applyAlignment="1">
      <alignment vertical="center" wrapText="1"/>
    </xf>
    <xf numFmtId="0" fontId="0" fillId="0" borderId="0" xfId="0" applyAlignment="1">
      <alignment wrapText="1"/>
    </xf>
    <xf numFmtId="0" fontId="15" fillId="0" borderId="0" xfId="0" applyFont="1"/>
    <xf numFmtId="0" fontId="17" fillId="11" borderId="10" xfId="0" applyFont="1" applyFill="1" applyBorder="1" applyAlignment="1">
      <alignment horizontal="center" vertical="center" wrapText="1"/>
    </xf>
    <xf numFmtId="0" fontId="18" fillId="11" borderId="10" xfId="0" applyFont="1" applyFill="1" applyBorder="1" applyAlignment="1">
      <alignment horizontal="center" vertical="center" wrapText="1"/>
    </xf>
    <xf numFmtId="0" fontId="21" fillId="11" borderId="10" xfId="0" applyFont="1" applyFill="1" applyBorder="1" applyAlignment="1">
      <alignment horizontal="center" vertical="center" wrapText="1"/>
    </xf>
    <xf numFmtId="0" fontId="17" fillId="12" borderId="10" xfId="0" applyFont="1" applyFill="1" applyBorder="1" applyAlignment="1">
      <alignment horizontal="center" vertical="center" wrapText="1"/>
    </xf>
    <xf numFmtId="0" fontId="18" fillId="12" borderId="10" xfId="0" applyFont="1" applyFill="1" applyBorder="1" applyAlignment="1">
      <alignment horizontal="center" vertical="center" wrapText="1"/>
    </xf>
    <xf numFmtId="0" fontId="21" fillId="12" borderId="10" xfId="0" applyFont="1" applyFill="1" applyBorder="1" applyAlignment="1">
      <alignment horizontal="center" vertical="center" wrapText="1"/>
    </xf>
    <xf numFmtId="0" fontId="23" fillId="11" borderId="10" xfId="0" applyFont="1" applyFill="1" applyBorder="1" applyAlignment="1">
      <alignment horizontal="center" vertical="center" wrapText="1"/>
    </xf>
    <xf numFmtId="0" fontId="16" fillId="10" borderId="14" xfId="0" applyFont="1" applyFill="1" applyBorder="1" applyAlignment="1">
      <alignment horizontal="center" vertical="center" wrapText="1"/>
    </xf>
    <xf numFmtId="0" fontId="16" fillId="10" borderId="15" xfId="0" applyFont="1" applyFill="1" applyBorder="1" applyAlignment="1">
      <alignment horizontal="center" vertical="center" wrapText="1"/>
    </xf>
    <xf numFmtId="0" fontId="16" fillId="10" borderId="16" xfId="0" applyFont="1" applyFill="1" applyBorder="1" applyAlignment="1">
      <alignment horizontal="center" vertical="center" wrapText="1"/>
    </xf>
    <xf numFmtId="0" fontId="19" fillId="11" borderId="18" xfId="0" applyFont="1" applyFill="1" applyBorder="1" applyAlignment="1">
      <alignment horizontal="center" vertical="center" wrapText="1"/>
    </xf>
    <xf numFmtId="0" fontId="20" fillId="11" borderId="18" xfId="0" applyFont="1" applyFill="1" applyBorder="1" applyAlignment="1">
      <alignment horizontal="center" vertical="center" wrapText="1"/>
    </xf>
    <xf numFmtId="0" fontId="22" fillId="11" borderId="18" xfId="0" applyFont="1" applyFill="1" applyBorder="1" applyAlignment="1">
      <alignment horizontal="center" vertical="center" wrapText="1"/>
    </xf>
    <xf numFmtId="0" fontId="19" fillId="12" borderId="18" xfId="0" applyFont="1" applyFill="1" applyBorder="1" applyAlignment="1">
      <alignment horizontal="center" vertical="center" wrapText="1"/>
    </xf>
    <xf numFmtId="0" fontId="20" fillId="12" borderId="18" xfId="0" applyFont="1" applyFill="1" applyBorder="1" applyAlignment="1">
      <alignment horizontal="center" vertical="center" wrapText="1"/>
    </xf>
    <xf numFmtId="0" fontId="22" fillId="12" borderId="18" xfId="0" applyFont="1" applyFill="1" applyBorder="1" applyAlignment="1">
      <alignment horizontal="center" vertical="center" wrapText="1"/>
    </xf>
    <xf numFmtId="0" fontId="17" fillId="11" borderId="23" xfId="0" applyFont="1" applyFill="1" applyBorder="1" applyAlignment="1">
      <alignment horizontal="center" vertical="center" wrapText="1"/>
    </xf>
    <xf numFmtId="0" fontId="21" fillId="11" borderId="23" xfId="0" applyFont="1" applyFill="1" applyBorder="1" applyAlignment="1">
      <alignment horizontal="center" vertical="center" wrapText="1"/>
    </xf>
    <xf numFmtId="0" fontId="22" fillId="11" borderId="24" xfId="0" applyFont="1" applyFill="1" applyBorder="1" applyAlignment="1">
      <alignment horizontal="center" vertical="center" wrapText="1"/>
    </xf>
    <xf numFmtId="0" fontId="24" fillId="0" borderId="0" xfId="0" applyFont="1"/>
    <xf numFmtId="0" fontId="16" fillId="13" borderId="25" xfId="0" applyFont="1" applyFill="1" applyBorder="1" applyAlignment="1">
      <alignment horizontal="center" vertical="center" wrapText="1"/>
    </xf>
    <xf numFmtId="0" fontId="25" fillId="12" borderId="10" xfId="0" applyFont="1" applyFill="1" applyBorder="1" applyAlignment="1">
      <alignment horizontal="center" vertical="center" wrapText="1"/>
    </xf>
    <xf numFmtId="0" fontId="25" fillId="11" borderId="10" xfId="0" applyFont="1" applyFill="1" applyBorder="1" applyAlignment="1">
      <alignment horizontal="center" vertical="center" wrapText="1"/>
    </xf>
    <xf numFmtId="0" fontId="25" fillId="0" borderId="14" xfId="0" applyFont="1" applyBorder="1" applyAlignment="1">
      <alignment horizontal="center" vertical="center" wrapText="1"/>
    </xf>
    <xf numFmtId="0" fontId="25" fillId="0" borderId="29" xfId="0" applyFont="1" applyBorder="1" applyAlignment="1">
      <alignment horizontal="center" vertical="center" wrapText="1"/>
    </xf>
    <xf numFmtId="0" fontId="25" fillId="12" borderId="18" xfId="0" applyFont="1" applyFill="1" applyBorder="1" applyAlignment="1">
      <alignment horizontal="center" vertical="center" wrapText="1"/>
    </xf>
    <xf numFmtId="0" fontId="25" fillId="12" borderId="29" xfId="0" applyFont="1" applyFill="1" applyBorder="1" applyAlignment="1">
      <alignment horizontal="left" vertical="center" wrapText="1"/>
    </xf>
    <xf numFmtId="0" fontId="25" fillId="11" borderId="18" xfId="0" applyFont="1" applyFill="1" applyBorder="1" applyAlignment="1">
      <alignment horizontal="center" vertical="center" wrapText="1"/>
    </xf>
    <xf numFmtId="0" fontId="25" fillId="12" borderId="30" xfId="0" applyFont="1" applyFill="1" applyBorder="1" applyAlignment="1">
      <alignment horizontal="left" vertical="center" wrapText="1"/>
    </xf>
    <xf numFmtId="0" fontId="25" fillId="11" borderId="23" xfId="0" applyFont="1" applyFill="1" applyBorder="1" applyAlignment="1">
      <alignment horizontal="center" vertical="center" wrapText="1"/>
    </xf>
    <xf numFmtId="0" fontId="25" fillId="11" borderId="24" xfId="0" applyFont="1" applyFill="1" applyBorder="1" applyAlignment="1">
      <alignment horizontal="center" vertical="center" wrapText="1"/>
    </xf>
    <xf numFmtId="0" fontId="0" fillId="0" borderId="0" xfId="0" applyAlignment="1">
      <alignment vertical="top" wrapText="1"/>
    </xf>
    <xf numFmtId="0" fontId="30" fillId="0" borderId="8" xfId="0" applyFont="1" applyBorder="1" applyAlignment="1">
      <alignment wrapText="1"/>
    </xf>
    <xf numFmtId="0" fontId="31" fillId="9" borderId="8" xfId="0" applyFont="1" applyFill="1" applyBorder="1" applyAlignment="1">
      <alignment vertical="center" wrapText="1"/>
    </xf>
    <xf numFmtId="6" fontId="32" fillId="0" borderId="7" xfId="0" applyNumberFormat="1" applyFont="1" applyBorder="1"/>
    <xf numFmtId="9" fontId="32" fillId="0" borderId="7" xfId="3" applyFont="1" applyBorder="1"/>
    <xf numFmtId="0" fontId="33" fillId="0" borderId="7" xfId="0" applyFont="1" applyBorder="1"/>
    <xf numFmtId="168" fontId="32" fillId="0" borderId="7" xfId="0" applyNumberFormat="1" applyFont="1" applyBorder="1"/>
    <xf numFmtId="0" fontId="32" fillId="0" borderId="7" xfId="0" applyFont="1" applyBorder="1" applyAlignment="1">
      <alignment wrapText="1"/>
    </xf>
    <xf numFmtId="0" fontId="32" fillId="0" borderId="2" xfId="0" applyFont="1" applyBorder="1"/>
    <xf numFmtId="6" fontId="32" fillId="0" borderId="2" xfId="0" applyNumberFormat="1" applyFont="1" applyBorder="1"/>
    <xf numFmtId="9" fontId="32" fillId="0" borderId="2" xfId="3" applyFont="1" applyBorder="1"/>
    <xf numFmtId="168" fontId="32" fillId="0" borderId="2" xfId="0" applyNumberFormat="1" applyFont="1" applyBorder="1"/>
    <xf numFmtId="0" fontId="32" fillId="0" borderId="2" xfId="0" applyFont="1" applyBorder="1" applyAlignment="1">
      <alignment wrapText="1"/>
    </xf>
    <xf numFmtId="166" fontId="32" fillId="0" borderId="2" xfId="3" applyNumberFormat="1" applyFont="1" applyBorder="1"/>
    <xf numFmtId="0" fontId="34" fillId="0" borderId="2" xfId="4" applyFont="1" applyBorder="1"/>
    <xf numFmtId="0" fontId="15" fillId="15" borderId="0" xfId="0" applyFont="1" applyFill="1" applyAlignment="1">
      <alignment wrapText="1"/>
    </xf>
    <xf numFmtId="0" fontId="0" fillId="0" borderId="32" xfId="0" applyBorder="1" applyAlignment="1">
      <alignment vertical="center" wrapText="1"/>
    </xf>
    <xf numFmtId="0" fontId="0" fillId="0" borderId="33" xfId="0" applyBorder="1" applyAlignment="1">
      <alignment vertical="center" wrapText="1"/>
    </xf>
    <xf numFmtId="0" fontId="0" fillId="0" borderId="34" xfId="0" applyBorder="1" applyAlignment="1">
      <alignment vertical="center" wrapText="1"/>
    </xf>
    <xf numFmtId="165" fontId="1" fillId="0" borderId="2" xfId="2" applyNumberFormat="1" applyFont="1" applyBorder="1"/>
    <xf numFmtId="0" fontId="15" fillId="16" borderId="0" xfId="0" applyFont="1" applyFill="1"/>
    <xf numFmtId="0" fontId="15" fillId="16" borderId="6" xfId="0" applyFont="1" applyFill="1" applyBorder="1" applyAlignment="1">
      <alignment vertical="center"/>
    </xf>
    <xf numFmtId="0" fontId="15" fillId="16" borderId="38" xfId="0" applyFont="1" applyFill="1" applyBorder="1" applyAlignment="1">
      <alignment vertical="center"/>
    </xf>
    <xf numFmtId="0" fontId="15" fillId="16" borderId="34" xfId="0" applyFont="1" applyFill="1" applyBorder="1" applyAlignment="1">
      <alignment vertical="center"/>
    </xf>
    <xf numFmtId="0" fontId="15" fillId="16" borderId="43" xfId="0" applyFont="1" applyFill="1" applyBorder="1" applyAlignment="1">
      <alignment vertical="center"/>
    </xf>
    <xf numFmtId="0" fontId="15" fillId="16" borderId="44" xfId="0" applyFont="1" applyFill="1" applyBorder="1" applyAlignment="1">
      <alignment vertical="center"/>
    </xf>
    <xf numFmtId="0" fontId="15" fillId="16" borderId="45" xfId="0" applyFont="1" applyFill="1" applyBorder="1" applyAlignment="1">
      <alignment vertical="center"/>
    </xf>
    <xf numFmtId="0" fontId="15" fillId="16" borderId="47" xfId="0" applyFont="1" applyFill="1" applyBorder="1" applyAlignment="1">
      <alignment horizontal="right" vertical="center"/>
    </xf>
    <xf numFmtId="0" fontId="15" fillId="16" borderId="1" xfId="0" applyFont="1" applyFill="1" applyBorder="1" applyAlignment="1">
      <alignment horizontal="right" vertical="center"/>
    </xf>
    <xf numFmtId="9" fontId="15" fillId="16" borderId="48" xfId="3" applyFont="1" applyFill="1" applyBorder="1" applyAlignment="1">
      <alignment horizontal="right" vertical="center"/>
    </xf>
    <xf numFmtId="0" fontId="0" fillId="0" borderId="40" xfId="0" applyBorder="1" applyAlignment="1">
      <alignment wrapText="1"/>
    </xf>
    <xf numFmtId="0" fontId="0" fillId="0" borderId="41" xfId="0" applyBorder="1" applyAlignment="1">
      <alignment wrapText="1"/>
    </xf>
    <xf numFmtId="0" fontId="29" fillId="0" borderId="49" xfId="0" applyFont="1" applyBorder="1"/>
    <xf numFmtId="0" fontId="0" fillId="0" borderId="49" xfId="0" applyBorder="1"/>
    <xf numFmtId="0" fontId="29" fillId="0" borderId="0" xfId="0" applyFont="1"/>
    <xf numFmtId="9" fontId="0" fillId="0" borderId="0" xfId="0" applyNumberFormat="1" applyAlignment="1">
      <alignment wrapText="1"/>
    </xf>
    <xf numFmtId="0" fontId="0" fillId="18" borderId="42" xfId="0" applyFill="1" applyBorder="1"/>
    <xf numFmtId="0" fontId="0" fillId="18" borderId="46" xfId="0" applyFill="1" applyBorder="1"/>
    <xf numFmtId="0" fontId="0" fillId="18" borderId="33" xfId="0" applyFill="1" applyBorder="1"/>
    <xf numFmtId="0" fontId="0" fillId="19" borderId="40" xfId="0" applyFill="1" applyBorder="1"/>
    <xf numFmtId="0" fontId="0" fillId="18" borderId="42" xfId="0" applyFill="1" applyBorder="1" applyAlignment="1">
      <alignment wrapText="1"/>
    </xf>
    <xf numFmtId="0" fontId="0" fillId="18" borderId="46" xfId="0" applyFill="1" applyBorder="1" applyAlignment="1">
      <alignment wrapText="1"/>
    </xf>
    <xf numFmtId="9" fontId="0" fillId="0" borderId="0" xfId="3" applyFont="1" applyAlignment="1">
      <alignment wrapText="1"/>
    </xf>
    <xf numFmtId="0" fontId="0" fillId="18" borderId="41" xfId="0" applyFill="1" applyBorder="1" applyAlignment="1">
      <alignment wrapText="1"/>
    </xf>
    <xf numFmtId="0" fontId="0" fillId="19" borderId="41" xfId="0" applyFill="1" applyBorder="1"/>
    <xf numFmtId="0" fontId="0" fillId="19" borderId="33" xfId="0" applyFill="1" applyBorder="1"/>
    <xf numFmtId="170" fontId="15" fillId="16" borderId="0" xfId="0" applyNumberFormat="1" applyFont="1" applyFill="1"/>
    <xf numFmtId="170" fontId="0" fillId="0" borderId="0" xfId="0" applyNumberFormat="1"/>
    <xf numFmtId="2" fontId="0" fillId="0" borderId="0" xfId="0" applyNumberFormat="1"/>
    <xf numFmtId="2" fontId="0" fillId="0" borderId="0" xfId="0" applyNumberFormat="1" applyAlignment="1">
      <alignment wrapText="1"/>
    </xf>
    <xf numFmtId="0" fontId="0" fillId="18" borderId="47" xfId="0" applyFill="1" applyBorder="1"/>
    <xf numFmtId="0" fontId="0" fillId="18" borderId="6" xfId="0" applyFill="1" applyBorder="1"/>
    <xf numFmtId="0" fontId="15" fillId="16" borderId="39" xfId="0" applyFont="1" applyFill="1" applyBorder="1" applyAlignment="1">
      <alignment vertical="center" wrapText="1"/>
    </xf>
    <xf numFmtId="0" fontId="0" fillId="16" borderId="0" xfId="0" applyFill="1"/>
    <xf numFmtId="0" fontId="0" fillId="14" borderId="0" xfId="0" applyFill="1"/>
    <xf numFmtId="9" fontId="0" fillId="14" borderId="0" xfId="3" applyFont="1" applyFill="1"/>
    <xf numFmtId="9" fontId="0" fillId="14" borderId="0" xfId="0" applyNumberFormat="1" applyFill="1"/>
    <xf numFmtId="0" fontId="0" fillId="20" borderId="0" xfId="0" applyFill="1"/>
    <xf numFmtId="9" fontId="0" fillId="20" borderId="0" xfId="0" applyNumberFormat="1" applyFill="1"/>
    <xf numFmtId="0" fontId="0" fillId="18" borderId="40" xfId="0" applyFill="1" applyBorder="1" applyAlignment="1">
      <alignment wrapText="1"/>
    </xf>
    <xf numFmtId="0" fontId="0" fillId="18" borderId="33" xfId="0" applyFill="1" applyBorder="1" applyAlignment="1">
      <alignment wrapText="1"/>
    </xf>
    <xf numFmtId="0" fontId="15" fillId="9" borderId="0" xfId="0" applyFont="1" applyFill="1" applyAlignment="1">
      <alignment wrapText="1"/>
    </xf>
    <xf numFmtId="9" fontId="0" fillId="0" borderId="0" xfId="0" applyNumberFormat="1" applyAlignment="1">
      <alignment vertical="top"/>
    </xf>
    <xf numFmtId="0" fontId="8" fillId="16" borderId="0" xfId="0" applyFont="1" applyFill="1"/>
    <xf numFmtId="0" fontId="39" fillId="0" borderId="51" xfId="0" applyFont="1" applyBorder="1"/>
    <xf numFmtId="0" fontId="39" fillId="0" borderId="0" xfId="0" applyFont="1"/>
    <xf numFmtId="4" fontId="0" fillId="0" borderId="0" xfId="0" applyNumberFormat="1"/>
    <xf numFmtId="0" fontId="0" fillId="18" borderId="35" xfId="0" applyFill="1" applyBorder="1"/>
    <xf numFmtId="0" fontId="41" fillId="16" borderId="37" xfId="0" applyFont="1" applyFill="1" applyBorder="1" applyAlignment="1">
      <alignment vertical="center" wrapText="1"/>
    </xf>
    <xf numFmtId="0" fontId="41" fillId="16" borderId="1" xfId="0" applyFont="1" applyFill="1" applyBorder="1" applyAlignment="1">
      <alignment horizontal="right" vertical="center" wrapText="1"/>
    </xf>
    <xf numFmtId="0" fontId="41" fillId="16" borderId="38" xfId="0" applyFont="1" applyFill="1" applyBorder="1" applyAlignment="1">
      <alignment vertical="center" wrapText="1"/>
    </xf>
    <xf numFmtId="9" fontId="41" fillId="16" borderId="1" xfId="0" applyNumberFormat="1" applyFont="1" applyFill="1" applyBorder="1" applyAlignment="1">
      <alignment vertical="center" wrapText="1"/>
    </xf>
    <xf numFmtId="0" fontId="41" fillId="16" borderId="39" xfId="0" applyFont="1" applyFill="1" applyBorder="1" applyAlignment="1">
      <alignment vertical="center" wrapText="1"/>
    </xf>
    <xf numFmtId="9" fontId="41" fillId="16" borderId="48" xfId="0" applyNumberFormat="1" applyFont="1" applyFill="1" applyBorder="1" applyAlignment="1">
      <alignment vertical="center" wrapText="1"/>
    </xf>
    <xf numFmtId="0" fontId="41" fillId="16" borderId="34" xfId="0" applyFont="1" applyFill="1" applyBorder="1" applyAlignment="1">
      <alignment vertical="center" wrapText="1"/>
    </xf>
    <xf numFmtId="0" fontId="3" fillId="0" borderId="2" xfId="4" applyBorder="1" applyAlignment="1">
      <alignment wrapText="1"/>
    </xf>
    <xf numFmtId="0" fontId="15" fillId="16" borderId="9" xfId="0" applyFont="1" applyFill="1" applyBorder="1"/>
    <xf numFmtId="0" fontId="8" fillId="16" borderId="34" xfId="0" applyFont="1" applyFill="1" applyBorder="1"/>
    <xf numFmtId="0" fontId="0" fillId="0" borderId="49" xfId="0" applyBorder="1" applyAlignment="1">
      <alignment wrapText="1"/>
    </xf>
    <xf numFmtId="0" fontId="0" fillId="0" borderId="0" xfId="0" applyAlignment="1">
      <alignment vertical="center"/>
    </xf>
    <xf numFmtId="0" fontId="42" fillId="0" borderId="0" xfId="0" applyFont="1" applyAlignment="1">
      <alignment vertical="center" wrapText="1"/>
    </xf>
    <xf numFmtId="0" fontId="42" fillId="16" borderId="0" xfId="0" applyFont="1" applyFill="1" applyAlignment="1">
      <alignment vertical="center" wrapText="1"/>
    </xf>
    <xf numFmtId="0" fontId="41" fillId="16" borderId="35" xfId="0" applyFont="1" applyFill="1" applyBorder="1" applyAlignment="1">
      <alignment wrapText="1"/>
    </xf>
    <xf numFmtId="0" fontId="41" fillId="16" borderId="47" xfId="0" applyFont="1" applyFill="1" applyBorder="1" applyAlignment="1">
      <alignment wrapText="1"/>
    </xf>
    <xf numFmtId="0" fontId="41" fillId="16" borderId="6" xfId="0" applyFont="1" applyFill="1" applyBorder="1" applyAlignment="1">
      <alignment wrapText="1"/>
    </xf>
    <xf numFmtId="0" fontId="41" fillId="16" borderId="37" xfId="0" applyFont="1" applyFill="1" applyBorder="1" applyAlignment="1">
      <alignment wrapText="1"/>
    </xf>
    <xf numFmtId="0" fontId="41" fillId="16" borderId="1" xfId="0" applyFont="1" applyFill="1" applyBorder="1" applyAlignment="1">
      <alignment wrapText="1"/>
    </xf>
    <xf numFmtId="0" fontId="41" fillId="16" borderId="38" xfId="0" applyFont="1" applyFill="1" applyBorder="1" applyAlignment="1">
      <alignment wrapText="1"/>
    </xf>
    <xf numFmtId="166" fontId="41" fillId="16" borderId="1" xfId="3" applyNumberFormat="1" applyFont="1" applyFill="1" applyBorder="1" applyAlignment="1">
      <alignment wrapText="1"/>
    </xf>
    <xf numFmtId="9" fontId="41" fillId="16" borderId="38" xfId="0" applyNumberFormat="1" applyFont="1" applyFill="1" applyBorder="1" applyAlignment="1">
      <alignment wrapText="1"/>
    </xf>
    <xf numFmtId="0" fontId="41" fillId="16" borderId="39" xfId="0" applyFont="1" applyFill="1" applyBorder="1" applyAlignment="1">
      <alignment wrapText="1"/>
    </xf>
    <xf numFmtId="9" fontId="41" fillId="16" borderId="34" xfId="0" applyNumberFormat="1" applyFont="1" applyFill="1" applyBorder="1" applyAlignment="1">
      <alignment wrapText="1"/>
    </xf>
    <xf numFmtId="9" fontId="41" fillId="16" borderId="1" xfId="3" applyFont="1" applyFill="1" applyBorder="1" applyAlignment="1">
      <alignment wrapText="1"/>
    </xf>
    <xf numFmtId="1" fontId="41" fillId="16" borderId="1" xfId="0" applyNumberFormat="1" applyFont="1" applyFill="1" applyBorder="1" applyAlignment="1">
      <alignment wrapText="1"/>
    </xf>
    <xf numFmtId="171" fontId="41" fillId="16" borderId="1" xfId="3" applyNumberFormat="1" applyFont="1" applyFill="1" applyBorder="1" applyAlignment="1">
      <alignment wrapText="1"/>
    </xf>
    <xf numFmtId="1" fontId="41" fillId="16" borderId="48" xfId="0" applyNumberFormat="1" applyFont="1" applyFill="1" applyBorder="1" applyAlignment="1">
      <alignment wrapText="1"/>
    </xf>
    <xf numFmtId="172" fontId="0" fillId="0" borderId="0" xfId="0" applyNumberFormat="1"/>
    <xf numFmtId="0" fontId="48" fillId="9" borderId="0" xfId="0" applyFont="1" applyFill="1" applyAlignment="1">
      <alignment wrapText="1"/>
    </xf>
    <xf numFmtId="0" fontId="42" fillId="17" borderId="1" xfId="0" applyFont="1" applyFill="1" applyBorder="1" applyAlignment="1">
      <alignment vertical="center" wrapText="1"/>
    </xf>
    <xf numFmtId="0" fontId="42" fillId="17" borderId="48" xfId="0" applyFont="1" applyFill="1" applyBorder="1" applyAlignment="1">
      <alignment vertical="center" wrapText="1"/>
    </xf>
    <xf numFmtId="9" fontId="42" fillId="17" borderId="1" xfId="0" applyNumberFormat="1" applyFont="1" applyFill="1" applyBorder="1" applyAlignment="1">
      <alignment vertical="center" wrapText="1"/>
    </xf>
    <xf numFmtId="0" fontId="0" fillId="0" borderId="41" xfId="0" applyBorder="1"/>
    <xf numFmtId="0" fontId="48" fillId="9" borderId="40" xfId="0" applyFont="1" applyFill="1" applyBorder="1" applyAlignment="1">
      <alignment wrapText="1"/>
    </xf>
    <xf numFmtId="0" fontId="48" fillId="9" borderId="41" xfId="0" applyFont="1" applyFill="1" applyBorder="1" applyAlignment="1">
      <alignment wrapText="1"/>
    </xf>
    <xf numFmtId="0" fontId="15" fillId="16" borderId="41" xfId="0" applyFont="1" applyFill="1" applyBorder="1"/>
    <xf numFmtId="0" fontId="29" fillId="0" borderId="53" xfId="0" applyFont="1" applyBorder="1"/>
    <xf numFmtId="0" fontId="29" fillId="0" borderId="52" xfId="0" applyFont="1" applyBorder="1"/>
    <xf numFmtId="0" fontId="36" fillId="21" borderId="9" xfId="0" applyFont="1" applyFill="1" applyBorder="1" applyAlignment="1">
      <alignment vertical="center" wrapText="1"/>
    </xf>
    <xf numFmtId="0" fontId="36" fillId="21" borderId="34" xfId="0" applyFont="1" applyFill="1" applyBorder="1" applyAlignment="1">
      <alignment vertical="center" wrapText="1"/>
    </xf>
    <xf numFmtId="0" fontId="15" fillId="16" borderId="33" xfId="0" applyFont="1" applyFill="1" applyBorder="1"/>
    <xf numFmtId="9" fontId="15" fillId="21" borderId="0" xfId="0" applyNumberFormat="1" applyFont="1" applyFill="1" applyAlignment="1">
      <alignment vertical="center"/>
    </xf>
    <xf numFmtId="0" fontId="15" fillId="21" borderId="0" xfId="0" applyFont="1" applyFill="1" applyAlignment="1">
      <alignment vertical="center"/>
    </xf>
    <xf numFmtId="0" fontId="36" fillId="21" borderId="0" xfId="0" applyFont="1" applyFill="1" applyAlignment="1">
      <alignment horizontal="left" vertical="center" wrapText="1"/>
    </xf>
    <xf numFmtId="0" fontId="15" fillId="9" borderId="39" xfId="0" applyFont="1" applyFill="1" applyBorder="1" applyAlignment="1">
      <alignment wrapText="1"/>
    </xf>
    <xf numFmtId="0" fontId="15" fillId="9" borderId="9" xfId="0" applyFont="1" applyFill="1" applyBorder="1" applyAlignment="1">
      <alignment wrapText="1"/>
    </xf>
    <xf numFmtId="0" fontId="15" fillId="16" borderId="0" xfId="0" applyFont="1" applyFill="1" applyAlignment="1">
      <alignment wrapText="1"/>
    </xf>
    <xf numFmtId="0" fontId="15" fillId="16" borderId="43" xfId="0" applyFont="1" applyFill="1" applyBorder="1" applyAlignment="1">
      <alignment vertical="center" wrapText="1"/>
    </xf>
    <xf numFmtId="0" fontId="15" fillId="16" borderId="47" xfId="0" applyFont="1" applyFill="1" applyBorder="1" applyAlignment="1">
      <alignment vertical="center" wrapText="1"/>
    </xf>
    <xf numFmtId="0" fontId="15" fillId="16" borderId="36" xfId="0" applyFont="1" applyFill="1" applyBorder="1" applyAlignment="1">
      <alignment vertical="center"/>
    </xf>
    <xf numFmtId="9" fontId="15" fillId="16" borderId="48" xfId="0" applyNumberFormat="1" applyFont="1" applyFill="1" applyBorder="1" applyAlignment="1">
      <alignment vertical="center" wrapText="1"/>
    </xf>
    <xf numFmtId="0" fontId="15" fillId="16" borderId="9" xfId="0" applyFont="1" applyFill="1" applyBorder="1" applyAlignment="1">
      <alignment vertical="center" wrapText="1"/>
    </xf>
    <xf numFmtId="0" fontId="55" fillId="18" borderId="56" xfId="0" applyFont="1" applyFill="1" applyBorder="1"/>
    <xf numFmtId="165" fontId="0" fillId="19" borderId="55" xfId="0" applyNumberFormat="1" applyFill="1" applyBorder="1"/>
    <xf numFmtId="0" fontId="0" fillId="0" borderId="55" xfId="0" applyBorder="1"/>
    <xf numFmtId="0" fontId="55" fillId="18" borderId="57" xfId="0" applyFont="1" applyFill="1" applyBorder="1"/>
    <xf numFmtId="0" fontId="0" fillId="19" borderId="1" xfId="0" applyFill="1" applyBorder="1"/>
    <xf numFmtId="0" fontId="56" fillId="22" borderId="58" xfId="0" applyFont="1" applyFill="1" applyBorder="1" applyAlignment="1">
      <alignment horizontal="left" vertical="top" wrapText="1" readingOrder="1"/>
    </xf>
    <xf numFmtId="0" fontId="15" fillId="16" borderId="55" xfId="0" applyFont="1" applyFill="1" applyBorder="1" applyAlignment="1">
      <alignment horizontal="right" vertical="center"/>
    </xf>
    <xf numFmtId="0" fontId="15" fillId="16" borderId="44" xfId="0" applyFont="1" applyFill="1" applyBorder="1" applyAlignment="1">
      <alignment vertical="center" wrapText="1"/>
    </xf>
    <xf numFmtId="0" fontId="15" fillId="16" borderId="45" xfId="0" applyFont="1" applyFill="1" applyBorder="1" applyAlignment="1">
      <alignment vertical="center" wrapText="1"/>
    </xf>
    <xf numFmtId="166" fontId="15" fillId="16" borderId="48" xfId="3" applyNumberFormat="1" applyFont="1" applyFill="1" applyBorder="1" applyAlignment="1">
      <alignment horizontal="right" vertical="center"/>
    </xf>
    <xf numFmtId="0" fontId="43" fillId="19" borderId="41" xfId="0" applyFont="1" applyFill="1" applyBorder="1" applyAlignment="1">
      <alignment wrapText="1"/>
    </xf>
    <xf numFmtId="0" fontId="43" fillId="19" borderId="33" xfId="0" applyFont="1" applyFill="1" applyBorder="1" applyAlignment="1">
      <alignment wrapText="1"/>
    </xf>
    <xf numFmtId="166" fontId="15" fillId="16" borderId="55" xfId="3" applyNumberFormat="1" applyFont="1" applyFill="1" applyBorder="1" applyAlignment="1">
      <alignment horizontal="right" vertical="center"/>
    </xf>
    <xf numFmtId="170" fontId="0" fillId="0" borderId="0" xfId="0" applyNumberFormat="1" applyAlignment="1">
      <alignment wrapText="1"/>
    </xf>
    <xf numFmtId="1" fontId="0" fillId="0" borderId="0" xfId="0" applyNumberFormat="1" applyAlignment="1">
      <alignment wrapText="1"/>
    </xf>
    <xf numFmtId="166" fontId="0" fillId="0" borderId="0" xfId="3" applyNumberFormat="1" applyFont="1" applyAlignment="1">
      <alignment wrapText="1"/>
    </xf>
    <xf numFmtId="165" fontId="0" fillId="19" borderId="61" xfId="0" applyNumberFormat="1" applyFill="1" applyBorder="1"/>
    <xf numFmtId="0" fontId="0" fillId="19" borderId="62" xfId="0" applyFill="1" applyBorder="1"/>
    <xf numFmtId="0" fontId="0" fillId="19" borderId="3" xfId="0" applyFill="1" applyBorder="1"/>
    <xf numFmtId="0" fontId="0" fillId="19" borderId="7" xfId="0" applyFill="1" applyBorder="1"/>
    <xf numFmtId="0" fontId="42" fillId="0" borderId="0" xfId="0" applyFont="1" applyAlignment="1">
      <alignment horizontal="left" vertical="center" wrapText="1"/>
    </xf>
    <xf numFmtId="0" fontId="57" fillId="0" borderId="58" xfId="0" applyFont="1" applyBorder="1" applyAlignment="1">
      <alignment horizontal="left" wrapText="1"/>
    </xf>
    <xf numFmtId="0" fontId="0" fillId="26" borderId="0" xfId="0" applyFill="1"/>
    <xf numFmtId="0" fontId="0" fillId="0" borderId="39" xfId="0" applyBorder="1" applyAlignment="1">
      <alignment wrapText="1"/>
    </xf>
    <xf numFmtId="0" fontId="60" fillId="21" borderId="0" xfId="0" applyFont="1" applyFill="1" applyAlignment="1">
      <alignment vertical="center" wrapText="1"/>
    </xf>
    <xf numFmtId="0" fontId="36" fillId="0" borderId="0" xfId="0" applyFont="1"/>
    <xf numFmtId="0" fontId="61" fillId="21" borderId="0" xfId="0" applyFont="1" applyFill="1" applyAlignment="1">
      <alignment vertical="center" wrapText="1"/>
    </xf>
    <xf numFmtId="0" fontId="0" fillId="0" borderId="67" xfId="0" applyBorder="1" applyAlignment="1">
      <alignment wrapText="1"/>
    </xf>
    <xf numFmtId="0" fontId="0" fillId="0" borderId="68" xfId="0" applyBorder="1" applyAlignment="1">
      <alignment wrapText="1"/>
    </xf>
    <xf numFmtId="9" fontId="62" fillId="21" borderId="0" xfId="4" applyNumberFormat="1" applyFont="1" applyFill="1" applyBorder="1" applyAlignment="1">
      <alignment vertical="center" wrapText="1"/>
    </xf>
    <xf numFmtId="0" fontId="60" fillId="21" borderId="0" xfId="0" applyFont="1" applyFill="1" applyAlignment="1">
      <alignment vertical="center"/>
    </xf>
    <xf numFmtId="0" fontId="63" fillId="0" borderId="0" xfId="0" applyFont="1"/>
    <xf numFmtId="0" fontId="64" fillId="0" borderId="0" xfId="0" applyFont="1" applyAlignment="1">
      <alignment horizontal="left"/>
    </xf>
    <xf numFmtId="0" fontId="57" fillId="0" borderId="70" xfId="0" applyFont="1" applyBorder="1" applyAlignment="1">
      <alignment horizontal="left"/>
    </xf>
    <xf numFmtId="174" fontId="58" fillId="0" borderId="58" xfId="0" applyNumberFormat="1" applyFont="1" applyBorder="1" applyAlignment="1">
      <alignment horizontal="left"/>
    </xf>
    <xf numFmtId="0" fontId="59" fillId="0" borderId="58" xfId="0" applyFont="1" applyBorder="1" applyAlignment="1">
      <alignment horizontal="left"/>
    </xf>
    <xf numFmtId="0" fontId="57" fillId="30" borderId="58" xfId="0" applyFont="1" applyFill="1" applyBorder="1" applyAlignment="1">
      <alignment horizontal="left" wrapText="1"/>
    </xf>
    <xf numFmtId="0" fontId="57" fillId="25" borderId="58" xfId="0" applyFont="1" applyFill="1" applyBorder="1" applyAlignment="1">
      <alignment horizontal="left" wrapText="1"/>
    </xf>
    <xf numFmtId="0" fontId="57" fillId="27" borderId="58" xfId="0" applyFont="1" applyFill="1" applyBorder="1" applyAlignment="1">
      <alignment horizontal="left" wrapText="1"/>
    </xf>
    <xf numFmtId="0" fontId="57" fillId="28" borderId="58" xfId="0" applyFont="1" applyFill="1" applyBorder="1" applyAlignment="1">
      <alignment horizontal="left" wrapText="1"/>
    </xf>
    <xf numFmtId="0" fontId="57" fillId="29" borderId="58" xfId="0" applyFont="1" applyFill="1" applyBorder="1" applyAlignment="1">
      <alignment horizontal="left" wrapText="1"/>
    </xf>
    <xf numFmtId="0" fontId="57" fillId="31" borderId="58" xfId="0" applyFont="1" applyFill="1" applyBorder="1" applyAlignment="1">
      <alignment horizontal="left" wrapText="1"/>
    </xf>
    <xf numFmtId="9" fontId="0" fillId="0" borderId="0" xfId="3" applyFont="1" applyAlignment="1"/>
    <xf numFmtId="0" fontId="57" fillId="32" borderId="58" xfId="0" applyFont="1" applyFill="1" applyBorder="1" applyAlignment="1">
      <alignment horizontal="left" wrapText="1"/>
    </xf>
    <xf numFmtId="0" fontId="64" fillId="32" borderId="0" xfId="0" applyFont="1" applyFill="1" applyAlignment="1">
      <alignment horizontal="left"/>
    </xf>
    <xf numFmtId="0" fontId="57" fillId="32" borderId="58" xfId="0" applyFont="1" applyFill="1" applyBorder="1" applyAlignment="1">
      <alignment wrapText="1"/>
    </xf>
    <xf numFmtId="2" fontId="58" fillId="32" borderId="58" xfId="0" applyNumberFormat="1" applyFont="1" applyFill="1" applyBorder="1" applyAlignment="1">
      <alignment horizontal="left"/>
    </xf>
    <xf numFmtId="0" fontId="65" fillId="32" borderId="58" xfId="0" applyFont="1" applyFill="1" applyBorder="1" applyAlignment="1">
      <alignment horizontal="center" vertical="top" wrapText="1"/>
    </xf>
    <xf numFmtId="0" fontId="0" fillId="32" borderId="58" xfId="0" applyFill="1" applyBorder="1" applyAlignment="1">
      <alignment horizontal="center" vertical="top" wrapText="1"/>
    </xf>
    <xf numFmtId="0" fontId="0" fillId="32" borderId="0" xfId="0" applyFill="1" applyAlignment="1">
      <alignment horizontal="left" vertical="top"/>
    </xf>
    <xf numFmtId="0" fontId="0" fillId="33" borderId="0" xfId="0" applyFill="1"/>
    <xf numFmtId="0" fontId="0" fillId="33" borderId="9" xfId="0" applyFill="1" applyBorder="1"/>
    <xf numFmtId="0" fontId="0" fillId="33" borderId="41" xfId="0" applyFill="1" applyBorder="1"/>
    <xf numFmtId="0" fontId="56" fillId="23" borderId="58" xfId="0" applyFont="1" applyFill="1" applyBorder="1" applyAlignment="1">
      <alignment horizontal="left" vertical="top" readingOrder="1"/>
    </xf>
    <xf numFmtId="0" fontId="56" fillId="23" borderId="58" xfId="0" applyFont="1" applyFill="1" applyBorder="1" applyAlignment="1">
      <alignment horizontal="left" vertical="top" wrapText="1" readingOrder="1"/>
    </xf>
    <xf numFmtId="0" fontId="67" fillId="34" borderId="35" xfId="0" applyFont="1" applyFill="1" applyBorder="1" applyAlignment="1">
      <alignment wrapText="1"/>
    </xf>
    <xf numFmtId="0" fontId="67" fillId="34" borderId="36" xfId="0" applyFont="1" applyFill="1" applyBorder="1" applyAlignment="1">
      <alignment wrapText="1"/>
    </xf>
    <xf numFmtId="0" fontId="67" fillId="35" borderId="36" xfId="0" applyFont="1" applyFill="1" applyBorder="1" applyAlignment="1">
      <alignment wrapText="1"/>
    </xf>
    <xf numFmtId="0" fontId="67" fillId="35" borderId="6" xfId="0" applyFont="1" applyFill="1" applyBorder="1" applyAlignment="1">
      <alignment wrapText="1"/>
    </xf>
    <xf numFmtId="0" fontId="63" fillId="21" borderId="0" xfId="0" applyFont="1" applyFill="1" applyAlignment="1">
      <alignment vertical="center" wrapText="1"/>
    </xf>
    <xf numFmtId="0" fontId="0" fillId="9" borderId="71" xfId="0" applyFill="1" applyBorder="1" applyAlignment="1">
      <alignment wrapText="1"/>
    </xf>
    <xf numFmtId="0" fontId="64" fillId="9" borderId="0" xfId="0" applyFont="1" applyFill="1" applyAlignment="1">
      <alignment horizontal="left"/>
    </xf>
    <xf numFmtId="0" fontId="64" fillId="36" borderId="0" xfId="0" applyFont="1" applyFill="1" applyAlignment="1">
      <alignment horizontal="left"/>
    </xf>
    <xf numFmtId="0" fontId="48" fillId="9" borderId="9" xfId="0" applyFont="1" applyFill="1" applyBorder="1" applyAlignment="1">
      <alignment wrapText="1"/>
    </xf>
    <xf numFmtId="0" fontId="15" fillId="16" borderId="9" xfId="0" applyFont="1" applyFill="1" applyBorder="1" applyAlignment="1">
      <alignment wrapText="1"/>
    </xf>
    <xf numFmtId="0" fontId="0" fillId="19" borderId="33" xfId="0" applyFill="1" applyBorder="1" applyAlignment="1">
      <alignment horizontal="left"/>
    </xf>
    <xf numFmtId="0" fontId="67" fillId="37" borderId="0" xfId="0" applyFont="1" applyFill="1"/>
    <xf numFmtId="0" fontId="3" fillId="5" borderId="0" xfId="4" applyFill="1" applyAlignment="1"/>
    <xf numFmtId="0" fontId="3" fillId="5" borderId="0" xfId="4" applyFill="1" applyBorder="1" applyAlignment="1"/>
    <xf numFmtId="0" fontId="26" fillId="38" borderId="74" xfId="0" applyFont="1" applyFill="1" applyBorder="1" applyAlignment="1">
      <alignment vertical="center"/>
    </xf>
    <xf numFmtId="0" fontId="26" fillId="38" borderId="0" xfId="0" applyFont="1" applyFill="1" applyAlignment="1">
      <alignment horizontal="center" vertical="center"/>
    </xf>
    <xf numFmtId="0" fontId="2" fillId="7" borderId="0" xfId="0" applyFont="1" applyFill="1"/>
    <xf numFmtId="0" fontId="2" fillId="7" borderId="4" xfId="0" applyFont="1" applyFill="1" applyBorder="1"/>
    <xf numFmtId="0" fontId="26" fillId="38" borderId="13" xfId="0" applyFont="1" applyFill="1" applyBorder="1" applyAlignment="1">
      <alignment horizontal="left" vertical="center"/>
    </xf>
    <xf numFmtId="0" fontId="26" fillId="38" borderId="75" xfId="0" applyFont="1" applyFill="1" applyBorder="1" applyAlignment="1">
      <alignment horizontal="left" vertical="center"/>
    </xf>
    <xf numFmtId="0" fontId="69" fillId="38" borderId="75" xfId="0" applyFont="1" applyFill="1" applyBorder="1" applyAlignment="1">
      <alignment horizontal="center" vertical="center"/>
    </xf>
    <xf numFmtId="0" fontId="26" fillId="38" borderId="11" xfId="0" applyFont="1" applyFill="1" applyBorder="1" applyAlignment="1">
      <alignment vertical="center"/>
    </xf>
    <xf numFmtId="0" fontId="69" fillId="38" borderId="0" xfId="0" applyFont="1" applyFill="1" applyAlignment="1">
      <alignment horizontal="center" vertical="center"/>
    </xf>
    <xf numFmtId="0" fontId="70" fillId="38" borderId="10" xfId="0" applyFont="1" applyFill="1" applyBorder="1" applyAlignment="1">
      <alignment horizontal="center" vertical="center"/>
    </xf>
    <xf numFmtId="0" fontId="67" fillId="39" borderId="0" xfId="0" applyFont="1" applyFill="1"/>
    <xf numFmtId="0" fontId="56" fillId="22" borderId="58" xfId="0" applyFont="1" applyFill="1" applyBorder="1" applyAlignment="1">
      <alignment horizontal="left" readingOrder="1"/>
    </xf>
    <xf numFmtId="0" fontId="3" fillId="0" borderId="0" xfId="4"/>
    <xf numFmtId="2" fontId="66" fillId="32" borderId="58" xfId="0" applyNumberFormat="1" applyFont="1" applyFill="1" applyBorder="1" applyAlignment="1">
      <alignment horizontal="center" vertical="top" wrapText="1"/>
    </xf>
    <xf numFmtId="2" fontId="59" fillId="32" borderId="58" xfId="0" applyNumberFormat="1" applyFont="1" applyFill="1" applyBorder="1" applyAlignment="1">
      <alignment horizontal="left"/>
    </xf>
    <xf numFmtId="0" fontId="0" fillId="24" borderId="0" xfId="0" applyFill="1"/>
    <xf numFmtId="0" fontId="64" fillId="15" borderId="0" xfId="0" applyFont="1" applyFill="1" applyAlignment="1">
      <alignment horizontal="left"/>
    </xf>
    <xf numFmtId="0" fontId="0" fillId="37" borderId="40" xfId="0" applyFill="1" applyBorder="1" applyAlignment="1">
      <alignment wrapText="1"/>
    </xf>
    <xf numFmtId="0" fontId="0" fillId="37" borderId="68" xfId="0" applyFill="1" applyBorder="1" applyAlignment="1">
      <alignment wrapText="1"/>
    </xf>
    <xf numFmtId="0" fontId="0" fillId="37" borderId="9" xfId="0" applyFill="1" applyBorder="1" applyAlignment="1">
      <alignment wrapText="1"/>
    </xf>
    <xf numFmtId="0" fontId="0" fillId="37" borderId="73" xfId="0" applyFill="1" applyBorder="1" applyAlignment="1">
      <alignment wrapText="1"/>
    </xf>
    <xf numFmtId="0" fontId="0" fillId="40" borderId="9" xfId="0" applyFill="1" applyBorder="1" applyAlignment="1">
      <alignment wrapText="1"/>
    </xf>
    <xf numFmtId="0" fontId="0" fillId="40" borderId="41" xfId="0" applyFill="1" applyBorder="1" applyAlignment="1">
      <alignment wrapText="1"/>
    </xf>
    <xf numFmtId="0" fontId="2" fillId="40" borderId="9" xfId="0" applyFont="1" applyFill="1" applyBorder="1" applyAlignment="1">
      <alignment wrapText="1"/>
    </xf>
    <xf numFmtId="0" fontId="2" fillId="40" borderId="33" xfId="0" applyFont="1" applyFill="1" applyBorder="1" applyAlignment="1">
      <alignment wrapText="1"/>
    </xf>
    <xf numFmtId="0" fontId="2" fillId="40" borderId="34" xfId="0" applyFont="1" applyFill="1" applyBorder="1" applyAlignment="1">
      <alignment wrapText="1"/>
    </xf>
    <xf numFmtId="0" fontId="0" fillId="40" borderId="68" xfId="0" applyFill="1" applyBorder="1" applyAlignment="1">
      <alignment wrapText="1"/>
    </xf>
    <xf numFmtId="0" fontId="0" fillId="40" borderId="33" xfId="0" applyFill="1" applyBorder="1" applyAlignment="1">
      <alignment wrapText="1"/>
    </xf>
    <xf numFmtId="0" fontId="0" fillId="19" borderId="40" xfId="0" applyFill="1" applyBorder="1" applyAlignment="1">
      <alignment horizontal="left"/>
    </xf>
    <xf numFmtId="0" fontId="0" fillId="19" borderId="41" xfId="0" applyFill="1" applyBorder="1" applyAlignment="1">
      <alignment horizontal="left"/>
    </xf>
    <xf numFmtId="0" fontId="0" fillId="0" borderId="9" xfId="0" applyBorder="1" applyAlignment="1">
      <alignment wrapText="1"/>
    </xf>
    <xf numFmtId="0" fontId="42" fillId="0" borderId="50" xfId="0" applyFont="1" applyBorder="1"/>
    <xf numFmtId="0" fontId="42" fillId="0" borderId="51" xfId="0" applyFont="1" applyBorder="1"/>
    <xf numFmtId="0" fontId="42" fillId="0" borderId="0" xfId="0" applyFont="1"/>
    <xf numFmtId="0" fontId="42" fillId="0" borderId="9" xfId="0" applyFont="1" applyBorder="1" applyAlignment="1">
      <alignment wrapText="1"/>
    </xf>
    <xf numFmtId="0" fontId="0" fillId="9" borderId="76" xfId="0" applyFill="1" applyBorder="1" applyAlignment="1">
      <alignment wrapText="1"/>
    </xf>
    <xf numFmtId="0" fontId="71" fillId="21" borderId="0" xfId="0" applyFont="1" applyFill="1" applyAlignment="1">
      <alignment vertical="center" wrapText="1"/>
    </xf>
    <xf numFmtId="0" fontId="0" fillId="32" borderId="0" xfId="0" applyFill="1"/>
    <xf numFmtId="2" fontId="64" fillId="32" borderId="0" xfId="0" applyNumberFormat="1" applyFont="1" applyFill="1" applyAlignment="1">
      <alignment horizontal="left"/>
    </xf>
    <xf numFmtId="0" fontId="46" fillId="0" borderId="52" xfId="0" applyFont="1" applyBorder="1" applyAlignment="1">
      <alignment vertical="center"/>
    </xf>
    <xf numFmtId="0" fontId="72" fillId="0" borderId="0" xfId="0" applyFont="1"/>
    <xf numFmtId="0" fontId="72" fillId="0" borderId="0" xfId="0" applyFont="1" applyAlignment="1">
      <alignment wrapText="1"/>
    </xf>
    <xf numFmtId="0" fontId="63" fillId="21" borderId="9" xfId="0" applyFont="1" applyFill="1" applyBorder="1" applyAlignment="1">
      <alignment vertical="center" wrapText="1"/>
    </xf>
    <xf numFmtId="0" fontId="63" fillId="21" borderId="39" xfId="0" applyFont="1" applyFill="1" applyBorder="1" applyAlignment="1">
      <alignment wrapText="1"/>
    </xf>
    <xf numFmtId="0" fontId="36" fillId="21" borderId="9" xfId="0" applyFont="1" applyFill="1" applyBorder="1" applyAlignment="1">
      <alignment wrapText="1"/>
    </xf>
    <xf numFmtId="0" fontId="63" fillId="21" borderId="9" xfId="0" applyFont="1" applyFill="1" applyBorder="1" applyAlignment="1">
      <alignment wrapText="1"/>
    </xf>
    <xf numFmtId="170" fontId="0" fillId="16" borderId="8" xfId="0" applyNumberFormat="1" applyFill="1" applyBorder="1"/>
    <xf numFmtId="170" fontId="0" fillId="16" borderId="72" xfId="0" applyNumberFormat="1" applyFill="1" applyBorder="1"/>
    <xf numFmtId="170" fontId="0" fillId="16" borderId="32" xfId="0" applyNumberFormat="1" applyFill="1" applyBorder="1"/>
    <xf numFmtId="170" fontId="72" fillId="0" borderId="0" xfId="0" applyNumberFormat="1" applyFont="1"/>
    <xf numFmtId="170" fontId="72" fillId="0" borderId="0" xfId="0" applyNumberFormat="1" applyFont="1" applyAlignment="1">
      <alignment wrapText="1"/>
    </xf>
    <xf numFmtId="170" fontId="72" fillId="0" borderId="0" xfId="0" applyNumberFormat="1" applyFont="1" applyAlignment="1">
      <alignment horizontal="right" wrapText="1"/>
    </xf>
    <xf numFmtId="170" fontId="72" fillId="0" borderId="0" xfId="0" applyNumberFormat="1" applyFont="1" applyAlignment="1">
      <alignment horizontal="right"/>
    </xf>
    <xf numFmtId="0" fontId="73" fillId="0" borderId="0" xfId="0" applyFont="1"/>
    <xf numFmtId="0" fontId="36" fillId="0" borderId="36" xfId="0" applyFont="1" applyBorder="1" applyAlignment="1">
      <alignment vertical="center" wrapText="1"/>
    </xf>
    <xf numFmtId="0" fontId="36" fillId="0" borderId="0" xfId="0" applyFont="1" applyAlignment="1">
      <alignment wrapText="1"/>
    </xf>
    <xf numFmtId="9" fontId="63" fillId="21" borderId="0" xfId="4" applyNumberFormat="1" applyFont="1" applyFill="1" applyBorder="1" applyAlignment="1">
      <alignment vertical="center" wrapText="1"/>
    </xf>
    <xf numFmtId="0" fontId="42" fillId="0" borderId="0" xfId="0" applyFont="1" applyAlignment="1">
      <alignment wrapText="1"/>
    </xf>
    <xf numFmtId="0" fontId="74" fillId="21" borderId="0" xfId="0" applyFont="1" applyFill="1" applyAlignment="1">
      <alignment vertical="center" wrapText="1"/>
    </xf>
    <xf numFmtId="0" fontId="0" fillId="18" borderId="40" xfId="0" applyFill="1" applyBorder="1"/>
    <xf numFmtId="0" fontId="0" fillId="18" borderId="41" xfId="0" applyFill="1" applyBorder="1"/>
    <xf numFmtId="0" fontId="2" fillId="0" borderId="0" xfId="0" applyFont="1" applyAlignment="1">
      <alignment wrapText="1"/>
    </xf>
    <xf numFmtId="0" fontId="35" fillId="0" borderId="0" xfId="0" applyFont="1"/>
    <xf numFmtId="0" fontId="55" fillId="18" borderId="49" xfId="0" applyFont="1" applyFill="1" applyBorder="1"/>
    <xf numFmtId="0" fontId="0" fillId="19" borderId="60" xfId="0" applyFill="1" applyBorder="1"/>
    <xf numFmtId="0" fontId="0" fillId="19" borderId="0" xfId="0" applyFill="1"/>
    <xf numFmtId="0" fontId="42" fillId="16" borderId="0" xfId="0" applyFont="1" applyFill="1" applyAlignment="1">
      <alignment vertical="center"/>
    </xf>
    <xf numFmtId="0" fontId="42" fillId="0" borderId="0" xfId="0" applyFont="1" applyAlignment="1">
      <alignment vertical="center"/>
    </xf>
    <xf numFmtId="0" fontId="79" fillId="0" borderId="0" xfId="4" quotePrefix="1" applyFont="1" applyAlignment="1">
      <alignment vertical="center"/>
    </xf>
    <xf numFmtId="0" fontId="79" fillId="0" borderId="0" xfId="4" quotePrefix="1" applyFont="1" applyAlignment="1">
      <alignment horizontal="left" vertical="center"/>
    </xf>
    <xf numFmtId="0" fontId="80" fillId="19" borderId="6" xfId="0" applyFont="1" applyFill="1" applyBorder="1" applyAlignment="1">
      <alignment horizontal="right" vertical="center" wrapText="1"/>
    </xf>
    <xf numFmtId="0" fontId="79" fillId="19" borderId="38" xfId="4" applyFont="1" applyFill="1" applyBorder="1" applyAlignment="1">
      <alignment horizontal="right" vertical="center" wrapText="1"/>
    </xf>
    <xf numFmtId="0" fontId="42" fillId="19" borderId="38" xfId="0" applyFont="1" applyFill="1" applyBorder="1" applyAlignment="1">
      <alignment horizontal="right" vertical="center" wrapText="1"/>
    </xf>
    <xf numFmtId="173" fontId="42" fillId="19" borderId="38" xfId="0" applyNumberFormat="1" applyFont="1" applyFill="1" applyBorder="1" applyAlignment="1">
      <alignment horizontal="right" vertical="center" wrapText="1"/>
    </xf>
    <xf numFmtId="0" fontId="80" fillId="19" borderId="0" xfId="0" applyFont="1" applyFill="1" applyAlignment="1">
      <alignment vertical="center" wrapText="1"/>
    </xf>
    <xf numFmtId="0" fontId="79" fillId="19" borderId="0" xfId="4" applyFont="1" applyFill="1" applyBorder="1" applyAlignment="1">
      <alignment vertical="center"/>
    </xf>
    <xf numFmtId="0" fontId="29" fillId="0" borderId="0" xfId="0" quotePrefix="1" applyFont="1"/>
    <xf numFmtId="174" fontId="0" fillId="0" borderId="0" xfId="0" applyNumberFormat="1"/>
    <xf numFmtId="2" fontId="0" fillId="32" borderId="0" xfId="0" applyNumberFormat="1" applyFill="1"/>
    <xf numFmtId="171" fontId="0" fillId="0" borderId="0" xfId="0" applyNumberFormat="1"/>
    <xf numFmtId="0" fontId="79" fillId="0" borderId="0" xfId="4" applyFont="1" applyAlignment="1">
      <alignment vertical="center"/>
    </xf>
    <xf numFmtId="0" fontId="79" fillId="0" borderId="0" xfId="4" quotePrefix="1" applyFont="1" applyAlignment="1">
      <alignment vertical="center" wrapText="1"/>
    </xf>
    <xf numFmtId="0" fontId="63" fillId="21" borderId="0" xfId="0" applyFont="1" applyFill="1" applyAlignment="1">
      <alignment horizontal="left" vertical="center" wrapText="1"/>
    </xf>
    <xf numFmtId="0" fontId="43" fillId="19" borderId="33" xfId="0" applyFont="1" applyFill="1" applyBorder="1" applyAlignment="1">
      <alignment horizontal="left" wrapText="1"/>
    </xf>
    <xf numFmtId="0" fontId="42" fillId="0" borderId="50" xfId="0" applyFont="1" applyBorder="1" applyAlignment="1">
      <alignment wrapText="1"/>
    </xf>
    <xf numFmtId="0" fontId="42" fillId="17" borderId="37" xfId="0" applyFont="1" applyFill="1" applyBorder="1" applyAlignment="1">
      <alignment vertical="center" wrapText="1"/>
    </xf>
    <xf numFmtId="0" fontId="42" fillId="17" borderId="38" xfId="0" applyFont="1" applyFill="1" applyBorder="1" applyAlignment="1">
      <alignment vertical="center" wrapText="1"/>
    </xf>
    <xf numFmtId="0" fontId="42" fillId="17" borderId="39" xfId="0" applyFont="1" applyFill="1" applyBorder="1" applyAlignment="1">
      <alignment vertical="center" wrapText="1"/>
    </xf>
    <xf numFmtId="0" fontId="42" fillId="17" borderId="34" xfId="0" applyFont="1" applyFill="1" applyBorder="1" applyAlignment="1">
      <alignment vertical="center" wrapText="1"/>
    </xf>
    <xf numFmtId="0" fontId="35" fillId="0" borderId="50" xfId="0" applyFont="1" applyBorder="1" applyAlignment="1">
      <alignment wrapText="1"/>
    </xf>
    <xf numFmtId="9" fontId="63" fillId="21" borderId="0" xfId="0" applyNumberFormat="1" applyFont="1" applyFill="1" applyAlignment="1">
      <alignment vertical="center" wrapText="1"/>
    </xf>
    <xf numFmtId="0" fontId="11" fillId="0" borderId="2" xfId="0" applyFont="1" applyBorder="1" applyAlignment="1">
      <alignment horizontal="left" vertical="center"/>
    </xf>
    <xf numFmtId="0" fontId="11" fillId="0" borderId="3" xfId="0" applyFont="1" applyBorder="1" applyAlignment="1">
      <alignment horizontal="left" vertical="center"/>
    </xf>
    <xf numFmtId="0" fontId="11" fillId="0" borderId="1" xfId="0" applyFont="1" applyBorder="1" applyAlignment="1">
      <alignment horizontal="left" vertical="center"/>
    </xf>
    <xf numFmtId="0" fontId="11" fillId="0" borderId="7" xfId="0" applyFont="1" applyBorder="1" applyAlignment="1">
      <alignment horizontal="left" vertical="center"/>
    </xf>
    <xf numFmtId="0" fontId="15" fillId="9" borderId="4" xfId="0" applyFont="1" applyFill="1" applyBorder="1" applyAlignment="1">
      <alignment horizontal="center" vertical="center" wrapText="1"/>
    </xf>
    <xf numFmtId="0" fontId="52" fillId="19" borderId="0" xfId="4" applyFont="1" applyFill="1" applyBorder="1" applyAlignment="1">
      <alignment horizontal="left" vertical="center" wrapText="1"/>
    </xf>
    <xf numFmtId="0" fontId="52" fillId="19" borderId="9" xfId="4" applyFont="1" applyFill="1" applyBorder="1" applyAlignment="1">
      <alignment horizontal="left" vertical="center" wrapText="1"/>
    </xf>
    <xf numFmtId="0" fontId="79" fillId="0" borderId="0" xfId="4" applyFont="1" applyAlignment="1">
      <alignment vertical="center"/>
    </xf>
    <xf numFmtId="0" fontId="79" fillId="0" borderId="0" xfId="4" quotePrefix="1" applyFont="1" applyAlignment="1">
      <alignment horizontal="left" vertical="center" wrapText="1"/>
    </xf>
    <xf numFmtId="0" fontId="79" fillId="0" borderId="0" xfId="4" quotePrefix="1" applyFont="1" applyAlignment="1">
      <alignment vertical="center" wrapText="1"/>
    </xf>
    <xf numFmtId="0" fontId="42" fillId="0" borderId="0" xfId="0" applyFont="1" applyAlignment="1">
      <alignment horizontal="left" wrapText="1"/>
    </xf>
    <xf numFmtId="0" fontId="36" fillId="17" borderId="35" xfId="0" applyFont="1" applyFill="1" applyBorder="1" applyAlignment="1">
      <alignment vertical="center" wrapText="1"/>
    </xf>
    <xf numFmtId="0" fontId="36" fillId="17" borderId="36" xfId="0" applyFont="1" applyFill="1" applyBorder="1" applyAlignment="1">
      <alignment vertical="center" wrapText="1"/>
    </xf>
    <xf numFmtId="0" fontId="36" fillId="17" borderId="39" xfId="0" applyFont="1" applyFill="1" applyBorder="1" applyAlignment="1">
      <alignment vertical="center" wrapText="1"/>
    </xf>
    <xf numFmtId="0" fontId="36" fillId="17" borderId="9" xfId="0" applyFont="1" applyFill="1" applyBorder="1" applyAlignment="1">
      <alignment vertical="center" wrapText="1"/>
    </xf>
    <xf numFmtId="0" fontId="36" fillId="17" borderId="35" xfId="0" applyFont="1" applyFill="1" applyBorder="1" applyAlignment="1">
      <alignment wrapText="1"/>
    </xf>
    <xf numFmtId="0" fontId="36" fillId="17" borderId="36" xfId="0" applyFont="1" applyFill="1" applyBorder="1" applyAlignment="1">
      <alignment wrapText="1"/>
    </xf>
    <xf numFmtId="0" fontId="36" fillId="17" borderId="6" xfId="0" applyFont="1" applyFill="1" applyBorder="1" applyAlignment="1">
      <alignment wrapText="1"/>
    </xf>
    <xf numFmtId="0" fontId="36" fillId="17" borderId="39" xfId="0" applyFont="1" applyFill="1" applyBorder="1" applyAlignment="1">
      <alignment wrapText="1"/>
    </xf>
    <xf numFmtId="0" fontId="36" fillId="17" borderId="9" xfId="0" applyFont="1" applyFill="1" applyBorder="1" applyAlignment="1">
      <alignment wrapText="1"/>
    </xf>
    <xf numFmtId="0" fontId="36" fillId="17" borderId="34" xfId="0" applyFont="1" applyFill="1" applyBorder="1" applyAlignment="1">
      <alignment wrapText="1"/>
    </xf>
    <xf numFmtId="0" fontId="63" fillId="21" borderId="0" xfId="0" applyFont="1" applyFill="1" applyAlignment="1">
      <alignment horizontal="left" vertical="center" wrapText="1"/>
    </xf>
    <xf numFmtId="0" fontId="49" fillId="0" borderId="0" xfId="0" applyFont="1" applyAlignment="1">
      <alignment horizontal="left" vertical="center" wrapText="1"/>
    </xf>
    <xf numFmtId="0" fontId="43" fillId="19" borderId="41" xfId="0" applyFont="1" applyFill="1" applyBorder="1" applyAlignment="1">
      <alignment horizontal="left" wrapText="1"/>
    </xf>
    <xf numFmtId="0" fontId="43" fillId="19" borderId="33" xfId="0" applyFont="1" applyFill="1" applyBorder="1" applyAlignment="1">
      <alignment horizontal="left" wrapText="1"/>
    </xf>
    <xf numFmtId="0" fontId="36" fillId="17" borderId="35" xfId="0" applyFont="1" applyFill="1" applyBorder="1" applyAlignment="1">
      <alignment horizontal="left" vertical="top" wrapText="1"/>
    </xf>
    <xf numFmtId="0" fontId="36" fillId="17" borderId="36" xfId="0" applyFont="1" applyFill="1" applyBorder="1" applyAlignment="1">
      <alignment horizontal="left" vertical="top" wrapText="1"/>
    </xf>
    <xf numFmtId="0" fontId="36" fillId="17" borderId="6" xfId="0" applyFont="1" applyFill="1" applyBorder="1" applyAlignment="1">
      <alignment horizontal="left" vertical="top" wrapText="1"/>
    </xf>
    <xf numFmtId="0" fontId="36" fillId="17" borderId="37" xfId="0" applyFont="1" applyFill="1" applyBorder="1" applyAlignment="1">
      <alignment horizontal="left" vertical="top" wrapText="1"/>
    </xf>
    <xf numFmtId="0" fontId="36" fillId="17" borderId="0" xfId="0" applyFont="1" applyFill="1" applyAlignment="1">
      <alignment horizontal="left" vertical="top" wrapText="1"/>
    </xf>
    <xf numFmtId="0" fontId="36" fillId="17" borderId="38" xfId="0" applyFont="1" applyFill="1" applyBorder="1" applyAlignment="1">
      <alignment horizontal="left" vertical="top" wrapText="1"/>
    </xf>
    <xf numFmtId="0" fontId="36" fillId="17" borderId="39" xfId="0" applyFont="1" applyFill="1" applyBorder="1" applyAlignment="1">
      <alignment horizontal="left" vertical="top" wrapText="1"/>
    </xf>
    <xf numFmtId="0" fontId="36" fillId="17" borderId="9" xfId="0" applyFont="1" applyFill="1" applyBorder="1" applyAlignment="1">
      <alignment horizontal="left" vertical="top" wrapText="1"/>
    </xf>
    <xf numFmtId="0" fontId="36" fillId="17" borderId="34" xfId="0" applyFont="1" applyFill="1" applyBorder="1" applyAlignment="1">
      <alignment horizontal="left" vertical="top" wrapText="1"/>
    </xf>
    <xf numFmtId="0" fontId="36" fillId="17" borderId="35" xfId="0" applyFont="1" applyFill="1" applyBorder="1" applyAlignment="1">
      <alignment vertical="top" wrapText="1"/>
    </xf>
    <xf numFmtId="0" fontId="36" fillId="17" borderId="36" xfId="0" applyFont="1" applyFill="1" applyBorder="1" applyAlignment="1">
      <alignment vertical="top" wrapText="1"/>
    </xf>
    <xf numFmtId="0" fontId="36" fillId="17" borderId="6" xfId="0" applyFont="1" applyFill="1" applyBorder="1" applyAlignment="1">
      <alignment vertical="top" wrapText="1"/>
    </xf>
    <xf numFmtId="0" fontId="36" fillId="17" borderId="37" xfId="0" applyFont="1" applyFill="1" applyBorder="1" applyAlignment="1">
      <alignment vertical="top" wrapText="1"/>
    </xf>
    <xf numFmtId="0" fontId="36" fillId="17" borderId="0" xfId="0" applyFont="1" applyFill="1" applyAlignment="1">
      <alignment vertical="top" wrapText="1"/>
    </xf>
    <xf numFmtId="0" fontId="36" fillId="17" borderId="38" xfId="0" applyFont="1" applyFill="1" applyBorder="1" applyAlignment="1">
      <alignment vertical="top" wrapText="1"/>
    </xf>
    <xf numFmtId="0" fontId="36" fillId="17" borderId="39" xfId="0" applyFont="1" applyFill="1" applyBorder="1" applyAlignment="1">
      <alignment vertical="top" wrapText="1"/>
    </xf>
    <xf numFmtId="0" fontId="36" fillId="17" borderId="9" xfId="0" applyFont="1" applyFill="1" applyBorder="1" applyAlignment="1">
      <alignment vertical="top" wrapText="1"/>
    </xf>
    <xf numFmtId="0" fontId="36" fillId="17" borderId="34" xfId="0" applyFont="1" applyFill="1" applyBorder="1" applyAlignment="1">
      <alignment vertical="top" wrapText="1"/>
    </xf>
    <xf numFmtId="0" fontId="42" fillId="0" borderId="50" xfId="0" applyFont="1" applyBorder="1" applyAlignment="1">
      <alignment wrapText="1"/>
    </xf>
    <xf numFmtId="0" fontId="42" fillId="0" borderId="51" xfId="0" applyFont="1" applyBorder="1" applyAlignment="1">
      <alignment wrapText="1"/>
    </xf>
    <xf numFmtId="0" fontId="42" fillId="0" borderId="77" xfId="0" applyFont="1" applyBorder="1" applyAlignment="1">
      <alignment wrapText="1"/>
    </xf>
    <xf numFmtId="0" fontId="75" fillId="24" borderId="35" xfId="0" applyFont="1" applyFill="1" applyBorder="1" applyAlignment="1">
      <alignment vertical="center" wrapText="1"/>
    </xf>
    <xf numFmtId="0" fontId="75" fillId="24" borderId="36" xfId="0" applyFont="1" applyFill="1" applyBorder="1" applyAlignment="1">
      <alignment vertical="center" wrapText="1"/>
    </xf>
    <xf numFmtId="0" fontId="75" fillId="24" borderId="6" xfId="0" applyFont="1" applyFill="1" applyBorder="1" applyAlignment="1">
      <alignment vertical="center" wrapText="1"/>
    </xf>
    <xf numFmtId="0" fontId="75" fillId="24" borderId="39" xfId="0" applyFont="1" applyFill="1" applyBorder="1" applyAlignment="1">
      <alignment vertical="center" wrapText="1"/>
    </xf>
    <xf numFmtId="0" fontId="75" fillId="24" borderId="9" xfId="0" applyFont="1" applyFill="1" applyBorder="1" applyAlignment="1">
      <alignment vertical="center" wrapText="1"/>
    </xf>
    <xf numFmtId="0" fontId="75" fillId="24" borderId="34" xfId="0" applyFont="1" applyFill="1" applyBorder="1" applyAlignment="1">
      <alignment vertical="center" wrapText="1"/>
    </xf>
    <xf numFmtId="0" fontId="3" fillId="16" borderId="5" xfId="4" applyFill="1" applyBorder="1" applyAlignment="1">
      <alignment vertical="center"/>
    </xf>
    <xf numFmtId="0" fontId="3" fillId="16" borderId="69" xfId="4" applyFill="1" applyBorder="1" applyAlignment="1">
      <alignment vertical="center"/>
    </xf>
    <xf numFmtId="0" fontId="36" fillId="17" borderId="0" xfId="0" applyFont="1" applyFill="1" applyAlignment="1">
      <alignment horizontal="left" vertical="center" wrapText="1"/>
    </xf>
    <xf numFmtId="0" fontId="36" fillId="17" borderId="37" xfId="0" applyFont="1" applyFill="1" applyBorder="1" applyAlignment="1">
      <alignment horizontal="left" vertical="center" wrapText="1"/>
    </xf>
    <xf numFmtId="0" fontId="78" fillId="17" borderId="37" xfId="4" applyFont="1" applyFill="1" applyBorder="1" applyAlignment="1">
      <alignment horizontal="left" vertical="center" wrapText="1"/>
    </xf>
    <xf numFmtId="0" fontId="78" fillId="17" borderId="0" xfId="4" applyFont="1" applyFill="1" applyBorder="1" applyAlignment="1">
      <alignment horizontal="left" vertical="center" wrapText="1"/>
    </xf>
    <xf numFmtId="0" fontId="42" fillId="17" borderId="37" xfId="0" applyFont="1" applyFill="1" applyBorder="1" applyAlignment="1">
      <alignment horizontal="left" vertical="center" wrapText="1"/>
    </xf>
    <xf numFmtId="0" fontId="42" fillId="17" borderId="0" xfId="0" applyFont="1" applyFill="1" applyAlignment="1">
      <alignment horizontal="left" vertical="center" wrapText="1"/>
    </xf>
    <xf numFmtId="0" fontId="42" fillId="17" borderId="38" xfId="0" applyFont="1" applyFill="1" applyBorder="1" applyAlignment="1">
      <alignment horizontal="left" vertical="center" wrapText="1"/>
    </xf>
    <xf numFmtId="0" fontId="42" fillId="17" borderId="39" xfId="0" applyFont="1" applyFill="1" applyBorder="1" applyAlignment="1">
      <alignment horizontal="left" vertical="center" wrapText="1"/>
    </xf>
    <xf numFmtId="0" fontId="42" fillId="17" borderId="9" xfId="0" applyFont="1" applyFill="1" applyBorder="1" applyAlignment="1">
      <alignment horizontal="left" vertical="center" wrapText="1"/>
    </xf>
    <xf numFmtId="0" fontId="42" fillId="17" borderId="34" xfId="0" applyFont="1" applyFill="1" applyBorder="1" applyAlignment="1">
      <alignment horizontal="left" vertical="center" wrapText="1"/>
    </xf>
    <xf numFmtId="0" fontId="0" fillId="0" borderId="50" xfId="0" applyBorder="1" applyAlignment="1">
      <alignment horizontal="left" wrapText="1"/>
    </xf>
    <xf numFmtId="0" fontId="63" fillId="21" borderId="36" xfId="0" applyFont="1" applyFill="1" applyBorder="1" applyAlignment="1">
      <alignment horizontal="left" vertical="center" wrapText="1"/>
    </xf>
    <xf numFmtId="0" fontId="35" fillId="17" borderId="35" xfId="0" applyFont="1" applyFill="1" applyBorder="1" applyAlignment="1">
      <alignment horizontal="left" vertical="center" wrapText="1"/>
    </xf>
    <xf numFmtId="0" fontId="35" fillId="17" borderId="36" xfId="0" applyFont="1" applyFill="1" applyBorder="1" applyAlignment="1">
      <alignment horizontal="left" vertical="center" wrapText="1"/>
    </xf>
    <xf numFmtId="0" fontId="35" fillId="17" borderId="6" xfId="0" applyFont="1" applyFill="1" applyBorder="1" applyAlignment="1">
      <alignment horizontal="left" vertical="center" wrapText="1"/>
    </xf>
    <xf numFmtId="0" fontId="35" fillId="17" borderId="37" xfId="0" applyFont="1" applyFill="1" applyBorder="1" applyAlignment="1">
      <alignment horizontal="left" vertical="center" wrapText="1"/>
    </xf>
    <xf numFmtId="0" fontId="35" fillId="17" borderId="0" xfId="0" applyFont="1" applyFill="1" applyAlignment="1">
      <alignment horizontal="left" vertical="center" wrapText="1"/>
    </xf>
    <xf numFmtId="0" fontId="35" fillId="17" borderId="38" xfId="0" applyFont="1" applyFill="1" applyBorder="1" applyAlignment="1">
      <alignment horizontal="left" vertical="center" wrapText="1"/>
    </xf>
    <xf numFmtId="0" fontId="77" fillId="17" borderId="39" xfId="4" applyFont="1" applyFill="1" applyBorder="1" applyAlignment="1">
      <alignment horizontal="left" vertical="center" wrapText="1"/>
    </xf>
    <xf numFmtId="0" fontId="77" fillId="17" borderId="9" xfId="4" applyFont="1" applyFill="1" applyBorder="1" applyAlignment="1">
      <alignment horizontal="left" vertical="center" wrapText="1"/>
    </xf>
    <xf numFmtId="0" fontId="77" fillId="17" borderId="34" xfId="4" applyFont="1" applyFill="1" applyBorder="1" applyAlignment="1">
      <alignment horizontal="left" vertical="center" wrapText="1"/>
    </xf>
    <xf numFmtId="0" fontId="42" fillId="17" borderId="35" xfId="0" applyFont="1" applyFill="1" applyBorder="1" applyAlignment="1">
      <alignment vertical="center" wrapText="1"/>
    </xf>
    <xf numFmtId="0" fontId="42" fillId="17" borderId="36" xfId="0" applyFont="1" applyFill="1" applyBorder="1" applyAlignment="1">
      <alignment vertical="center" wrapText="1"/>
    </xf>
    <xf numFmtId="0" fontId="42" fillId="17" borderId="6" xfId="0" applyFont="1" applyFill="1" applyBorder="1" applyAlignment="1">
      <alignment vertical="center" wrapText="1"/>
    </xf>
    <xf numFmtId="0" fontId="42" fillId="17" borderId="37" xfId="0" applyFont="1" applyFill="1" applyBorder="1" applyAlignment="1">
      <alignment vertical="center" wrapText="1"/>
    </xf>
    <xf numFmtId="0" fontId="42" fillId="17" borderId="0" xfId="0" applyFont="1" applyFill="1" applyAlignment="1">
      <alignment vertical="center" wrapText="1"/>
    </xf>
    <xf numFmtId="0" fontId="42" fillId="17" borderId="38" xfId="0" applyFont="1" applyFill="1" applyBorder="1" applyAlignment="1">
      <alignment vertical="center" wrapText="1"/>
    </xf>
    <xf numFmtId="0" fontId="42" fillId="17" borderId="39" xfId="0" applyFont="1" applyFill="1" applyBorder="1" applyAlignment="1">
      <alignment vertical="center" wrapText="1"/>
    </xf>
    <xf numFmtId="0" fontId="42" fillId="17" borderId="9" xfId="0" applyFont="1" applyFill="1" applyBorder="1" applyAlignment="1">
      <alignment vertical="center" wrapText="1"/>
    </xf>
    <xf numFmtId="0" fontId="42" fillId="17" borderId="34" xfId="0" applyFont="1" applyFill="1" applyBorder="1" applyAlignment="1">
      <alignment vertical="center" wrapText="1"/>
    </xf>
    <xf numFmtId="0" fontId="35" fillId="0" borderId="50" xfId="0" applyFont="1" applyBorder="1" applyAlignment="1">
      <alignment wrapText="1"/>
    </xf>
    <xf numFmtId="0" fontId="42" fillId="0" borderId="54" xfId="0" applyFont="1" applyBorder="1" applyAlignment="1">
      <alignment wrapText="1"/>
    </xf>
    <xf numFmtId="0" fontId="36" fillId="17" borderId="40" xfId="0" applyFont="1" applyFill="1" applyBorder="1" applyAlignment="1">
      <alignment vertical="center" wrapText="1"/>
    </xf>
    <xf numFmtId="0" fontId="36" fillId="17" borderId="41" xfId="0" applyFont="1" applyFill="1" applyBorder="1" applyAlignment="1">
      <alignment vertical="center" wrapText="1"/>
    </xf>
    <xf numFmtId="0" fontId="36" fillId="17" borderId="33" xfId="0" applyFont="1" applyFill="1" applyBorder="1" applyAlignment="1">
      <alignment vertical="center" wrapText="1"/>
    </xf>
    <xf numFmtId="165" fontId="0" fillId="19" borderId="63" xfId="0" applyNumberFormat="1" applyFill="1" applyBorder="1" applyAlignment="1">
      <alignment vertical="center"/>
    </xf>
    <xf numFmtId="165" fontId="0" fillId="19" borderId="55" xfId="0" applyNumberFormat="1" applyFill="1" applyBorder="1" applyAlignment="1">
      <alignment vertical="center"/>
    </xf>
    <xf numFmtId="165" fontId="0" fillId="19" borderId="65" xfId="0" applyNumberFormat="1" applyFill="1" applyBorder="1" applyAlignment="1">
      <alignment vertical="center"/>
    </xf>
    <xf numFmtId="49" fontId="0" fillId="19" borderId="64" xfId="0" applyNumberFormat="1" applyFill="1" applyBorder="1" applyAlignment="1">
      <alignment vertical="center"/>
    </xf>
    <xf numFmtId="49" fontId="0" fillId="19" borderId="59" xfId="0" applyNumberFormat="1" applyFill="1" applyBorder="1" applyAlignment="1">
      <alignment vertical="center"/>
    </xf>
    <xf numFmtId="49" fontId="0" fillId="19" borderId="66" xfId="0" applyNumberFormat="1" applyFill="1" applyBorder="1" applyAlignment="1">
      <alignment vertical="center"/>
    </xf>
    <xf numFmtId="0" fontId="17" fillId="12" borderId="17" xfId="0" applyFont="1" applyFill="1" applyBorder="1" applyAlignment="1">
      <alignment horizontal="center" vertical="center" wrapText="1"/>
    </xf>
    <xf numFmtId="0" fontId="17" fillId="12" borderId="19" xfId="0" applyFont="1" applyFill="1" applyBorder="1" applyAlignment="1">
      <alignment horizontal="center" vertical="center" wrapText="1"/>
    </xf>
    <xf numFmtId="0" fontId="17" fillId="12" borderId="20" xfId="0" applyFont="1" applyFill="1" applyBorder="1" applyAlignment="1">
      <alignment horizontal="center" vertical="center" wrapText="1"/>
    </xf>
    <xf numFmtId="0" fontId="20" fillId="12" borderId="11" xfId="0" applyFont="1" applyFill="1" applyBorder="1" applyAlignment="1">
      <alignment horizontal="center" vertical="center" wrapText="1"/>
    </xf>
    <xf numFmtId="0" fontId="20" fillId="12" borderId="12" xfId="0" applyFont="1" applyFill="1" applyBorder="1" applyAlignment="1">
      <alignment horizontal="center" vertical="center" wrapText="1"/>
    </xf>
    <xf numFmtId="0" fontId="20" fillId="12" borderId="13" xfId="0" applyFont="1" applyFill="1" applyBorder="1" applyAlignment="1">
      <alignment horizontal="center" vertical="center" wrapText="1"/>
    </xf>
    <xf numFmtId="0" fontId="17" fillId="11" borderId="17" xfId="0" applyFont="1" applyFill="1" applyBorder="1" applyAlignment="1">
      <alignment horizontal="center" vertical="center" wrapText="1"/>
    </xf>
    <xf numFmtId="0" fontId="17" fillId="11" borderId="19" xfId="0" applyFont="1" applyFill="1" applyBorder="1" applyAlignment="1">
      <alignment horizontal="center" vertical="center" wrapText="1"/>
    </xf>
    <xf numFmtId="0" fontId="17" fillId="11" borderId="21" xfId="0" applyFont="1" applyFill="1" applyBorder="1" applyAlignment="1">
      <alignment horizontal="center" vertical="center" wrapText="1"/>
    </xf>
    <xf numFmtId="0" fontId="20" fillId="11" borderId="11" xfId="0" applyFont="1" applyFill="1" applyBorder="1" applyAlignment="1">
      <alignment horizontal="center" vertical="center" wrapText="1"/>
    </xf>
    <xf numFmtId="0" fontId="20" fillId="11" borderId="12" xfId="0" applyFont="1" applyFill="1" applyBorder="1" applyAlignment="1">
      <alignment horizontal="center" vertical="center" wrapText="1"/>
    </xf>
    <xf numFmtId="0" fontId="20" fillId="11" borderId="22" xfId="0" applyFont="1" applyFill="1" applyBorder="1" applyAlignment="1">
      <alignment horizontal="center" vertical="center" wrapText="1"/>
    </xf>
    <xf numFmtId="0" fontId="26" fillId="10" borderId="26" xfId="0" applyFont="1" applyFill="1" applyBorder="1" applyAlignment="1">
      <alignment horizontal="center" vertical="center" wrapText="1"/>
    </xf>
    <xf numFmtId="0" fontId="26" fillId="10" borderId="27" xfId="0" applyFont="1" applyFill="1" applyBorder="1" applyAlignment="1">
      <alignment horizontal="center" vertical="center" wrapText="1"/>
    </xf>
    <xf numFmtId="0" fontId="26" fillId="10" borderId="28" xfId="0" applyFont="1" applyFill="1" applyBorder="1" applyAlignment="1">
      <alignment horizontal="center" vertical="center" wrapText="1"/>
    </xf>
    <xf numFmtId="0" fontId="17" fillId="11" borderId="20" xfId="0" applyFont="1" applyFill="1" applyBorder="1" applyAlignment="1">
      <alignment horizontal="center" vertical="center" wrapText="1"/>
    </xf>
    <xf numFmtId="0" fontId="17" fillId="11" borderId="11" xfId="0" applyFont="1" applyFill="1" applyBorder="1" applyAlignment="1">
      <alignment horizontal="center" vertical="center" wrapText="1"/>
    </xf>
    <xf numFmtId="0" fontId="17" fillId="11" borderId="12" xfId="0" applyFont="1" applyFill="1" applyBorder="1" applyAlignment="1">
      <alignment horizontal="center" vertical="center" wrapText="1"/>
    </xf>
    <xf numFmtId="0" fontId="17" fillId="11" borderId="13" xfId="0" applyFont="1" applyFill="1" applyBorder="1" applyAlignment="1">
      <alignment horizontal="center" vertical="center" wrapText="1"/>
    </xf>
    <xf numFmtId="0" fontId="24" fillId="0" borderId="31" xfId="0" applyFont="1" applyBorder="1" applyAlignment="1">
      <alignment horizontal="left" wrapText="1"/>
    </xf>
    <xf numFmtId="0" fontId="17" fillId="12" borderId="11" xfId="0" applyFont="1" applyFill="1" applyBorder="1" applyAlignment="1">
      <alignment horizontal="center" vertical="center" wrapText="1"/>
    </xf>
    <xf numFmtId="0" fontId="17" fillId="12" borderId="12" xfId="0" applyFont="1" applyFill="1" applyBorder="1" applyAlignment="1">
      <alignment horizontal="center" vertical="center" wrapText="1"/>
    </xf>
    <xf numFmtId="0" fontId="17" fillId="12" borderId="13" xfId="0" applyFont="1" applyFill="1" applyBorder="1" applyAlignment="1">
      <alignment horizontal="center" vertical="center" wrapText="1"/>
    </xf>
    <xf numFmtId="0" fontId="75" fillId="17" borderId="35" xfId="0" applyFont="1" applyFill="1" applyBorder="1" applyAlignment="1">
      <alignment vertical="center" wrapText="1"/>
    </xf>
    <xf numFmtId="0" fontId="75" fillId="17" borderId="36" xfId="0" applyFont="1" applyFill="1" applyBorder="1" applyAlignment="1">
      <alignment vertical="center" wrapText="1"/>
    </xf>
    <xf numFmtId="0" fontId="78" fillId="17" borderId="39" xfId="4" applyFont="1" applyFill="1" applyBorder="1" applyAlignment="1">
      <alignment vertical="center" wrapText="1"/>
    </xf>
    <xf numFmtId="0" fontId="78" fillId="17" borderId="9" xfId="4" applyFont="1" applyFill="1" applyBorder="1" applyAlignment="1">
      <alignment vertical="center" wrapText="1"/>
    </xf>
    <xf numFmtId="0" fontId="79" fillId="19" borderId="9" xfId="4" applyFont="1" applyFill="1" applyBorder="1" applyAlignment="1">
      <alignment vertical="center" wrapText="1"/>
    </xf>
    <xf numFmtId="0" fontId="8" fillId="16" borderId="9" xfId="0" applyFont="1" applyFill="1" applyBorder="1" applyAlignment="1">
      <alignment wrapText="1"/>
    </xf>
    <xf numFmtId="0" fontId="8" fillId="16" borderId="9" xfId="0" applyFont="1" applyFill="1" applyBorder="1"/>
  </cellXfs>
  <cellStyles count="5">
    <cellStyle name="Comma" xfId="1" builtinId="3"/>
    <cellStyle name="Currency" xfId="2" builtinId="4"/>
    <cellStyle name="Hyperlink" xfId="4" builtinId="8"/>
    <cellStyle name="Normal" xfId="0" builtinId="0"/>
    <cellStyle name="Percent" xfId="3" builtinId="5"/>
  </cellStyles>
  <dxfs count="156">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72" formatCode="&quot;$&quot;#,##0.00"/>
    </dxf>
    <dxf>
      <numFmt numFmtId="172" formatCode="&quot;$&quot;#,##0.00"/>
    </dxf>
    <dxf>
      <numFmt numFmtId="170" formatCode="0.000"/>
    </dxf>
    <dxf>
      <numFmt numFmtId="172" formatCode="&quot;$&quot;#,##0.00"/>
    </dxf>
    <dxf>
      <numFmt numFmtId="172" formatCode="&quot;$&quot;#,##0.00"/>
    </dxf>
    <dxf>
      <numFmt numFmtId="0" formatCode="General"/>
    </dxf>
    <dxf>
      <border>
        <bottom style="medium">
          <color indexed="64"/>
        </bottom>
      </border>
    </dxf>
    <dxf>
      <alignment horizontal="general" vertical="bottom" textRotation="0" wrapText="1" indent="0" justifyLastLine="0" shrinkToFit="0" readingOrder="0"/>
      <border diagonalUp="0" diagonalDown="0" outline="0">
        <left/>
        <right/>
        <top/>
        <bottom/>
      </border>
    </dxf>
    <dxf>
      <numFmt numFmtId="2" formatCode="0.00"/>
    </dxf>
    <dxf>
      <numFmt numFmtId="4" formatCode="#,##0.00"/>
    </dxf>
    <dxf>
      <border>
        <bottom style="medium">
          <color rgb="FF000000"/>
        </bottom>
      </border>
    </dxf>
    <dxf>
      <alignment horizontal="general" vertical="bottom" textRotation="0" wrapText="1" indent="0" justifyLastLine="0" shrinkToFit="0" readingOrder="0"/>
      <border diagonalUp="0" diagonalDown="0">
        <left/>
        <right/>
        <top/>
        <bottom/>
        <vertical/>
        <horizontal/>
      </border>
    </dxf>
    <dxf>
      <numFmt numFmtId="170" formatCode="0.000"/>
    </dxf>
    <dxf>
      <numFmt numFmtId="13" formatCode="0%"/>
    </dxf>
    <dxf>
      <border>
        <bottom style="medium">
          <color indexed="64"/>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bottom" textRotation="0" wrapText="1" indent="0" justifyLastLine="0" shrinkToFit="0" readingOrder="0"/>
      <border diagonalUp="0" diagonalDown="0">
        <left/>
        <right/>
        <top/>
        <bottom/>
        <vertical/>
        <horizontal/>
      </border>
    </dxf>
    <dxf>
      <numFmt numFmtId="2" formatCode="0.00"/>
    </dxf>
    <dxf>
      <numFmt numFmtId="2" formatCode="0.00"/>
    </dxf>
    <dxf>
      <numFmt numFmtId="4" formatCode="#,##0.00"/>
    </dxf>
    <dxf>
      <numFmt numFmtId="4" formatCode="#,##0.0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
      <numFmt numFmtId="2" formatCode="0.00"/>
    </dxf>
    <dxf>
      <numFmt numFmtId="2" formatCode="0.00"/>
    </dxf>
    <dxf>
      <numFmt numFmtId="2" formatCode="0.00"/>
    </dxf>
    <dxf>
      <numFmt numFmtId="13" formatCode="0%"/>
    </dxf>
    <dxf>
      <numFmt numFmtId="2" formatCode="0.00"/>
    </dxf>
    <dxf>
      <numFmt numFmtId="1" formatCode="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fill>
        <patternFill patternType="none">
          <fgColor indexed="64"/>
          <bgColor auto="1"/>
        </patternFill>
      </fill>
    </dxf>
    <dxf>
      <numFmt numFmtId="2" formatCode="0.00"/>
    </dxf>
    <dxf>
      <numFmt numFmtId="2" formatCode="0.0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rgb="FF000000"/>
        </bottom>
      </border>
    </dxf>
    <dxf>
      <fill>
        <patternFill>
          <fgColor indexed="64"/>
          <bgColor theme="4"/>
        </patternFill>
      </fill>
      <alignment horizontal="general" vertical="bottom" textRotation="0" wrapText="1" indent="0" justifyLastLine="0" shrinkToFit="0" readingOrder="0"/>
      <border diagonalUp="0" diagonalDown="0" outline="0">
        <left/>
        <right/>
        <top/>
        <bottom/>
      </border>
    </dxf>
    <dxf>
      <numFmt numFmtId="2" formatCode="0.00"/>
    </dxf>
    <dxf>
      <numFmt numFmtId="2" formatCode="0.00"/>
    </dxf>
    <dxf>
      <numFmt numFmtId="2" formatCode="0.00"/>
    </dxf>
    <dxf>
      <numFmt numFmtId="2" formatCode="0.00"/>
    </dxf>
    <dxf>
      <numFmt numFmtId="2" formatCode="0.00"/>
    </dxf>
    <dxf>
      <numFmt numFmtId="2" formatCode="0.00"/>
      <fill>
        <patternFill patternType="none">
          <fgColor indexed="64"/>
          <bgColor auto="1"/>
        </patternFill>
      </fill>
    </dxf>
    <dxf>
      <numFmt numFmtId="2" formatCode="0.00"/>
    </dxf>
    <dxf>
      <numFmt numFmtId="2" formatCode="0.0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
      <font>
        <strike val="0"/>
        <outline val="0"/>
        <shadow val="0"/>
        <u val="none"/>
        <vertAlign val="baseline"/>
        <sz val="11"/>
        <color auto="1"/>
        <name val="Calibri"/>
        <family val="2"/>
        <scheme val="minor"/>
      </font>
      <numFmt numFmtId="170" formatCode="0.00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wrapText="1"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wrapText="1"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wrapText="1"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wrapText="1" indent="0" justifyLastLine="0" shrinkToFit="0" readingOrder="0"/>
    </dxf>
    <dxf>
      <font>
        <strike val="0"/>
        <outline val="0"/>
        <shadow val="0"/>
        <u val="none"/>
        <vertAlign val="baseline"/>
        <sz val="11"/>
        <color auto="1"/>
        <name val="Calibri"/>
        <family val="2"/>
        <scheme val="minor"/>
      </font>
      <numFmt numFmtId="170" formatCode="0.000"/>
      <alignment horizontal="right" vertical="bottom" textRotation="0" wrapText="1" indent="0" justifyLastLine="0" shrinkToFit="0" readingOrder="0"/>
    </dxf>
    <dxf>
      <font>
        <b val="0"/>
        <i val="0"/>
        <strike val="0"/>
        <condense val="0"/>
        <extend val="0"/>
        <outline val="0"/>
        <shadow val="0"/>
        <u val="none"/>
        <vertAlign val="baseline"/>
        <sz val="11"/>
        <color auto="1"/>
        <name val="Calibri"/>
        <family val="2"/>
        <scheme val="minor"/>
      </font>
      <numFmt numFmtId="170" formatCode="0.000"/>
      <alignment horizontal="general" vertical="bottom" textRotation="0" wrapText="1" indent="0" justifyLastLine="0" shrinkToFit="0" readingOrder="0"/>
    </dxf>
    <dxf>
      <font>
        <strike val="0"/>
        <outline val="0"/>
        <shadow val="0"/>
        <u val="none"/>
        <vertAlign val="baseline"/>
        <sz val="11"/>
        <color auto="1"/>
        <name val="Calibri"/>
        <family val="2"/>
        <scheme val="minor"/>
      </font>
      <numFmt numFmtId="170" formatCode="0.000"/>
      <alignment horizontal="general" vertical="bottom" textRotation="0" wrapText="1" indent="0" justifyLastLine="0" shrinkToFit="0" readingOrder="0"/>
    </dxf>
    <dxf>
      <font>
        <strike val="0"/>
        <outline val="0"/>
        <shadow val="0"/>
        <u val="none"/>
        <vertAlign val="baseline"/>
        <sz val="11"/>
        <color auto="1"/>
        <name val="Calibri"/>
        <family val="2"/>
        <scheme val="minor"/>
      </font>
      <alignment horizontal="general" vertical="bottom" textRotation="0" wrapText="1" indent="0" justifyLastLine="0" shrinkToFit="0" readingOrder="0"/>
    </dxf>
    <dxf>
      <font>
        <strike val="0"/>
        <outline val="0"/>
        <shadow val="0"/>
        <u val="none"/>
        <vertAlign val="baseline"/>
        <sz val="11"/>
        <color auto="1"/>
        <name val="Calibri"/>
        <family val="2"/>
        <scheme val="minor"/>
      </font>
    </dxf>
    <dxf>
      <font>
        <strike val="0"/>
        <outline val="0"/>
        <shadow val="0"/>
        <u val="none"/>
        <vertAlign val="baseline"/>
        <sz val="11"/>
        <color auto="1"/>
        <name val="Calibri"/>
        <family val="2"/>
        <scheme val="minor"/>
      </font>
    </dxf>
    <dxf>
      <border>
        <bottom style="thick">
          <color indexed="64"/>
        </bottom>
      </border>
    </dxf>
    <dxf>
      <alignment horizontal="general" vertical="bottom" textRotation="0" wrapText="1" indent="0" justifyLastLine="0" shrinkToFit="0" readingOrder="0"/>
      <border diagonalUp="0" diagonalDown="0">
        <left/>
        <right/>
        <top/>
        <bottom/>
        <vertical/>
        <horizontal/>
      </border>
    </dxf>
    <dxf>
      <numFmt numFmtId="170" formatCode="0.000"/>
      <alignment horizontal="general" vertical="bottom" textRotation="0" wrapText="1" indent="0" justifyLastLine="0" shrinkToFit="0" readingOrder="0"/>
    </dxf>
    <dxf>
      <numFmt numFmtId="166" formatCode="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1" formatCode="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170" formatCode="0.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dxf>
    <dxf>
      <numFmt numFmtId="13" formatCode="0%"/>
      <alignment horizontal="general" vertical="bottom" textRotation="0" wrapText="1" indent="0" justifyLastLine="0" shrinkToFit="0" readingOrder="0"/>
    </dxf>
    <dxf>
      <numFmt numFmtId="0" formatCode="General"/>
    </dxf>
    <dxf>
      <font>
        <b val="0"/>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dxf>
    <dxf>
      <numFmt numFmtId="0" formatCode="General"/>
    </dxf>
    <dxf>
      <font>
        <b val="0"/>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dxf>
    <dxf>
      <numFmt numFmtId="0" formatCode="General"/>
    </dxf>
    <dxf>
      <font>
        <b val="0"/>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dxf>
    <dxf>
      <numFmt numFmtId="0" formatCode="General"/>
    </dxf>
    <dxf>
      <font>
        <b val="0"/>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dxf>
    <dxf>
      <numFmt numFmtId="0" formatCode="General"/>
    </dxf>
    <dxf>
      <alignment horizontal="general" vertical="bottom" textRotation="0" wrapText="1" indent="0" justifyLastLine="0" shrinkToFit="0" readingOrder="0"/>
    </dxf>
    <dxf>
      <alignment horizontal="general" vertical="bottom" textRotation="0" wrapText="1" indent="0" justifyLastLine="0" shrinkToFit="0" readingOrder="0"/>
    </dxf>
    <dxf>
      <numFmt numFmtId="0" formatCode="General"/>
    </dxf>
    <dxf>
      <alignment horizontal="general" vertical="bottom" textRotation="0" wrapText="1" indent="0" justifyLastLine="0" shrinkToFit="0" readingOrder="0"/>
    </dxf>
    <dxf>
      <alignment horizontal="general" vertical="bottom" textRotation="0" wrapText="1" indent="0" justifyLastLine="0" shrinkToFit="0" readingOrder="0"/>
    </dxf>
    <dxf>
      <numFmt numFmtId="0" formatCode="General"/>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numFmt numFmtId="2" formatCode="0.00"/>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border>
        <bottom style="medium">
          <color indexed="64"/>
        </bottom>
      </border>
    </dxf>
    <dxf>
      <alignment horizontal="general" vertical="bottom" textRotation="0" wrapText="1" indent="0" justifyLastLine="0" shrinkToFit="0" readingOrder="0"/>
      <border diagonalUp="0" diagonalDown="0">
        <left/>
        <right/>
        <top/>
        <bottom/>
        <vertical/>
        <horizontal/>
      </border>
    </dxf>
  </dxfs>
  <tableStyles count="0" defaultTableStyle="TableStyleMedium2" defaultPivotStyle="PivotStyleLight16"/>
  <colors>
    <mruColors>
      <color rgb="FFFF6600"/>
      <color rgb="FF008000"/>
      <color rgb="FFFFCCCC"/>
      <color rgb="FFFF798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Madden, Claire" id="{66C3A27B-E5E0-42C0-9A4D-8220ABF6F9A7}" userId="S::Claire.Madden@vermont.gov::62901e2d-4897-411b-a0d0-441844ac597f"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D3A673E0-352F-4C07-8D37-80573B6D9E5D}" name="riparian_buffer" displayName="riparian_buffer" ref="B9:AA10" headerRowDxfId="155" dataDxfId="153" headerRowBorderDxfId="154">
  <autoFilter ref="B9:AA10" xr:uid="{D3A673E0-352F-4C07-8D37-80573B6D9E5D}">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D8092A91-4AFD-4A62-BA07-0045D958E7B2}" name="Project Identifier" totalsRowLabel="Total" dataDxfId="152"/>
    <tableColumn id="2" xr3:uid="{E4DB0473-F802-431D-B628-FF8DD7D66EA9}" name="Project Location TMDL Drainage Area" dataDxfId="151"/>
    <tableColumn id="3" xr3:uid="{F21B57CD-7E33-497C-9304-88E362AEE9B0}" name="Riparian Buffer Area Planted (Acres)" dataDxfId="150"/>
    <tableColumn id="4" xr3:uid="{38D1F3F1-ABE4-4703-92BF-72AE8CCFADF0}" name="Prior Land Use of Buffer Planting Area" dataDxfId="149"/>
    <tableColumn id="5" xr3:uid="{095F677E-CC3F-4F3C-8F44-6676FD764316}" name="Buffer Drainage Area Land Use 1" dataDxfId="148"/>
    <tableColumn id="6" xr3:uid="{2A3B2D0A-B7F0-4BE5-98D3-7FA87347FB9A}" name="Land Use 1 Percent of Drainage Area" dataDxfId="147" totalsRowDxfId="146" dataCellStyle="Percent"/>
    <tableColumn id="7" xr3:uid="{8A9DAE1C-85E4-4EC0-8570-D73B635DD384}" name="Buffer Drainage Area Land Use 2" dataDxfId="145"/>
    <tableColumn id="8" xr3:uid="{4D985008-451A-440D-BAE5-6F7742B38AB9}" name="Land Use 2 Percent of Drainage Area" dataDxfId="144" totalsRowDxfId="143" dataCellStyle="Percent"/>
    <tableColumn id="9" xr3:uid="{A8F8BF36-166F-4466-AD1D-D4E2DA8F967C}" name="Buffer Drainage Area Land Use 3" dataDxfId="142"/>
    <tableColumn id="10" xr3:uid="{7E6539E8-6252-4E99-B1AA-DA84BA4CADF5}" name="Land Use 3 Percent of Drainage Area" dataDxfId="141" totalsRowDxfId="140" dataCellStyle="Percent"/>
    <tableColumn id="24" xr3:uid="{E0069FE8-9005-4950-A63D-8F8181186E8E}" name="Buffer Drainage Area Land Use 4" dataDxfId="139" totalsRowDxfId="138" dataCellStyle="Percent"/>
    <tableColumn id="23" xr3:uid="{27F1F215-53E1-429E-BCB8-CD833C33DAD0}" name="Land Use 4 Percent of Drainage Area" dataDxfId="137" totalsRowDxfId="136" dataCellStyle="Percent"/>
    <tableColumn id="13" xr3:uid="{89225457-E25B-484B-B12F-73C3E5F6D291}" name="Buffer Drainage Area Land Use 5" dataDxfId="135" totalsRowDxfId="134" dataCellStyle="Percent"/>
    <tableColumn id="11" xr3:uid="{E0E41CF6-117F-4C27-AB9B-E1522299958C}" name="Land Use 5 Percent of Drainage Area" dataDxfId="133" totalsRowDxfId="132" dataCellStyle="Percent"/>
    <tableColumn id="21" xr3:uid="{CFC94E30-B318-48C1-A193-A9680BB30D6A}" name="Total Percent Drainage Area (must equal 100%)" dataDxfId="131" totalsRowDxfId="130">
      <calculatedColumnFormula>riparian_buffer[[#This Row],[Land Use 1 Percent of Drainage Area]]+riparian_buffer[[#This Row],[Land Use 2 Percent of Drainage Area]]+riparian_buffer[[#This Row],[Land Use 3 Percent of Drainage Area]]+riparian_buffer[[#This Row],[Land Use 4 Percent of Drainage Area]]+riparian_buffer[[#This Row],[Land Use 5 Percent of Drainage Area]]</calculatedColumnFormula>
    </tableColumn>
    <tableColumn id="12" xr3:uid="{7114D268-9B06-4759-93B5-0912ED56CD74}" name="Total Buffer Drainage Area" dataDxfId="129">
      <calculatedColumnFormula>riparian_buffer[[#This Row],[Riparian Buffer Area Planted (Acres)]]*$C$5</calculatedColumnFormula>
    </tableColumn>
    <tableColumn id="14" xr3:uid="{F7C4D4D9-7C3E-4EFF-A3D8-615D5A1D8668}" name="Land Use 1 Load" dataDxfId="128">
      <calculatedColumnFormula>IF(riparian_buffer[[#This Row],[Buffer Drainage Area Land Use 1]]='Lookup Tables'!$M$3,VLOOKUP(riparian_buffer[[#This Row],[Project Location TMDL Drainage Area]],'Lookup Tables'!$C$35:$H$67,6,FALSE)*riparian_buffer[[#This Row],[Land Use 1 Percent of Drainage Area]]*riparian_buffer[[#This Row],[Total Buffer Drainage Area]], IF(riparian_buffer[[#This Row],[Buffer Drainage Area Land Use 1]]='Lookup Tables'!$M$4,VLOOKUP(riparian_buffer[[#This Row],[Project Location TMDL Drainage Area]],'Lookup Tables'!$C$68:$H$100,6,FALSE)*riparian_buffer[[#This Row],[Land Use 1 Percent of Drainage Area]]*riparian_buffer[[#This Row],[Total Buffer Drainage Area]],IF(riparian_buffer[[#This Row],[Buffer Drainage Area Land Use 1]]='Lookup Tables'!$M$5,VLOOKUP(riparian_buffer[[#This Row],[Project Location TMDL Drainage Area]],'Lookup Tables'!$C$101:$H$133,6,FALSE)*riparian_buffer[[#This Row],[Land Use 1 Percent of Drainage Area]]*riparian_buffer[[#This Row],[Total Buffer Drainage Area]],IF(riparian_buffer[[#This Row],[Buffer Drainage Area Land Use 1]]='Lookup Tables'!$M$6,VLOOKUP(riparian_buffer[[#This Row],[Project Location TMDL Drainage Area]],'Lookup Tables'!$C$3:$H$34,6,FALSE)*riparian_buffer[[#This Row],[Land Use 1 Percent of Drainage Area]]*riparian_buffer[[#This Row],[Total Buffer Drainage Area]],IF(riparian_buffer[[#This Row],[Buffer Drainage Area Land Use 1]]='Lookup Tables'!$M$7,VLOOKUP(riparian_buffer[[#This Row],[Project Location TMDL Drainage Area]],'Lookup Tables'!$C$134:$H$165,6,FALSE)*riparian_buffer[[#This Row],[Land Use 1 Percent of Drainage Area]]*riparian_buffer[[#This Row],[Total Buffer Drainage Area]],0)))))</calculatedColumnFormula>
    </tableColumn>
    <tableColumn id="15" xr3:uid="{86263285-2B5F-433B-BF09-0C273736555F}" name="Land Use 2 Load" dataDxfId="127">
      <calculatedColumnFormula>IF(riparian_buffer[[#This Row],[Buffer Drainage Area Land Use 2]]='Lookup Tables'!$M$3,VLOOKUP(riparian_buffer[[#This Row],[Project Location TMDL Drainage Area]],'Lookup Tables'!$C$35:$H$67,6,FALSE)*riparian_buffer[[#This Row],[Land Use 2 Percent of Drainage Area]]*riparian_buffer[[#This Row],[Total Buffer Drainage Area]], IF(riparian_buffer[[#This Row],[Buffer Drainage Area Land Use 2]]='Lookup Tables'!$M$4,VLOOKUP(riparian_buffer[[#This Row],[Project Location TMDL Drainage Area]],'Lookup Tables'!$C$68:$H$100,6,FALSE)*riparian_buffer[[#This Row],[Land Use 2 Percent of Drainage Area]]*riparian_buffer[[#This Row],[Total Buffer Drainage Area]],IF(riparian_buffer[[#This Row],[Buffer Drainage Area Land Use 2]]='Lookup Tables'!$M$5,VLOOKUP(riparian_buffer[[#This Row],[Project Location TMDL Drainage Area]],'Lookup Tables'!$C$101:$H$133,6,FALSE)*riparian_buffer[[#This Row],[Land Use 2 Percent of Drainage Area]]*riparian_buffer[[#This Row],[Total Buffer Drainage Area]],IF(riparian_buffer[[#This Row],[Buffer Drainage Area Land Use 2]]='Lookup Tables'!$M$6,VLOOKUP(riparian_buffer[[#This Row],[Project Location TMDL Drainage Area]],'Lookup Tables'!$C$3:$H$34,6,FALSE)*riparian_buffer[[#This Row],[Land Use 2 Percent of Drainage Area]]*riparian_buffer[[#This Row],[Total Buffer Drainage Area]],IF(riparian_buffer[[#This Row],[Buffer Drainage Area Land Use 2]]='Lookup Tables'!$M$7,VLOOKUP(riparian_buffer[[#This Row],[Project Location TMDL Drainage Area]],'Lookup Tables'!$C$134:$H$165,6,FALSE)*riparian_buffer[[#This Row],[Land Use 2 Percent of Drainage Area]]*riparian_buffer[[#This Row],[Total Buffer Drainage Area]],0)))))</calculatedColumnFormula>
    </tableColumn>
    <tableColumn id="16" xr3:uid="{AB0F02E1-2ABB-4A43-93C1-E6C0794A93E5}" name="Land Use 3 Load" dataDxfId="126">
      <calculatedColumnFormula>IF(riparian_buffer[[#This Row],[Buffer Drainage Area Land Use 3]]='Lookup Tables'!$M$3,VLOOKUP(riparian_buffer[[#This Row],[Project Location TMDL Drainage Area]],'Lookup Tables'!$C$35:$H$67,6,FALSE)*riparian_buffer[[#This Row],[Land Use 3 Percent of Drainage Area]]*riparian_buffer[[#This Row],[Total Buffer Drainage Area]], IF(riparian_buffer[[#This Row],[Buffer Drainage Area Land Use 3]]='Lookup Tables'!$M$4,VLOOKUP(riparian_buffer[[#This Row],[Project Location TMDL Drainage Area]],'Lookup Tables'!$C$68:$H$100,6,FALSE)*riparian_buffer[[#This Row],[Land Use 3 Percent of Drainage Area]]*riparian_buffer[[#This Row],[Total Buffer Drainage Area]],IF(riparian_buffer[[#This Row],[Buffer Drainage Area Land Use 3]]='Lookup Tables'!$M$5,VLOOKUP(riparian_buffer[[#This Row],[Project Location TMDL Drainage Area]],'Lookup Tables'!$C$101:$H$133,6,FALSE)*riparian_buffer[[#This Row],[Land Use 3 Percent of Drainage Area]]*riparian_buffer[[#This Row],[Total Buffer Drainage Area]],IF(riparian_buffer[[#This Row],[Buffer Drainage Area Land Use 3]]='Lookup Tables'!$M$6,VLOOKUP(riparian_buffer[[#This Row],[Project Location TMDL Drainage Area]],'Lookup Tables'!$C$3:$H$34,6,FALSE)*riparian_buffer[[#This Row],[Land Use 3 Percent of Drainage Area]]*riparian_buffer[[#This Row],[Total Buffer Drainage Area]],IF(riparian_buffer[[#This Row],[Buffer Drainage Area Land Use 3]]='Lookup Tables'!$M$7,VLOOKUP(riparian_buffer[[#This Row],[Project Location TMDL Drainage Area]],'Lookup Tables'!$C$134:$H$165,6,FALSE)*riparian_buffer[[#This Row],[Land Use 3 Percent of Drainage Area]]*riparian_buffer[[#This Row],[Total Buffer Drainage Area]],0)))))</calculatedColumnFormula>
    </tableColumn>
    <tableColumn id="17" xr3:uid="{9C4D160C-FD7D-481D-A159-D1E7F0CCE671}" name="Land Use 4 Load" dataDxfId="125">
      <calculatedColumnFormula>IF(riparian_buffer[[#This Row],[Buffer Drainage Area Land Use 4]]='Lookup Tables'!$M$3,VLOOKUP(riparian_buffer[[#This Row],[Project Location TMDL Drainage Area]],'Lookup Tables'!$C$35:$H$67,6,FALSE)*riparian_buffer[[#This Row],[Land Use 4 Percent of Drainage Area]]*riparian_buffer[[#This Row],[Total Buffer Drainage Area]], IF(riparian_buffer[[#This Row],[Buffer Drainage Area Land Use 4]]='Lookup Tables'!$M$4,VLOOKUP(riparian_buffer[[#This Row],[Project Location TMDL Drainage Area]],'Lookup Tables'!$C$68:$H$100,6,FALSE)*riparian_buffer[[#This Row],[Land Use 4 Percent of Drainage Area]]*riparian_buffer[[#This Row],[Total Buffer Drainage Area]],IF(riparian_buffer[[#This Row],[Buffer Drainage Area Land Use 4]]='Lookup Tables'!$M$5,VLOOKUP(riparian_buffer[[#This Row],[Project Location TMDL Drainage Area]],'Lookup Tables'!$C$101:$H$133,6,FALSE)*riparian_buffer[[#This Row],[Land Use 4 Percent of Drainage Area]]*riparian_buffer[[#This Row],[Total Buffer Drainage Area]],IF(riparian_buffer[[#This Row],[Buffer Drainage Area Land Use 4]]='Lookup Tables'!$M$6,VLOOKUP(riparian_buffer[[#This Row],[Project Location TMDL Drainage Area]],'Lookup Tables'!$C$3:$H$34,6,FALSE)*riparian_buffer[[#This Row],[Land Use 4 Percent of Drainage Area]]*riparian_buffer[[#This Row],[Total Buffer Drainage Area]],IF(riparian_buffer[[#This Row],[Buffer Drainage Area Land Use 4]]='Lookup Tables'!$M$7,VLOOKUP(riparian_buffer[[#This Row],[Project Location TMDL Drainage Area]],'Lookup Tables'!$C$134:$H$165,6,FALSE)*riparian_buffer[[#This Row],[Land Use 4 Percent of Drainage Area]]*riparian_buffer[[#This Row],[Total Buffer Drainage Area]],0)))))</calculatedColumnFormula>
    </tableColumn>
    <tableColumn id="25" xr3:uid="{8212C42C-42B5-4097-9F61-630DA60B09BD}" name="Land Use 5 Load" dataDxfId="124">
      <calculatedColumnFormula>IF(riparian_buffer[[#This Row],[Buffer Drainage Area Land Use 5]]='Lookup Tables'!$M$3,VLOOKUP(riparian_buffer[[#This Row],[Project Location TMDL Drainage Area]],'Lookup Tables'!$C$35:$H$67,6,FALSE)*riparian_buffer[[#This Row],[Land Use 5 Percent of Drainage Area]]*riparian_buffer[[#This Row],[Total Buffer Drainage Area]], IF(riparian_buffer[[#This Row],[Buffer Drainage Area Land Use 5]]='Lookup Tables'!$M$4,VLOOKUP(riparian_buffer[[#This Row],[Project Location TMDL Drainage Area]],'Lookup Tables'!$C$68:$H$100,6,FALSE)*riparian_buffer[[#This Row],[Land Use 5 Percent of Drainage Area]]*riparian_buffer[[#This Row],[Total Buffer Drainage Area]],IF(riparian_buffer[[#This Row],[Buffer Drainage Area Land Use 5]]='Lookup Tables'!$M$5,VLOOKUP(riparian_buffer[[#This Row],[Project Location TMDL Drainage Area]],'Lookup Tables'!$C$101:$H$133,6,FALSE)*riparian_buffer[[#This Row],[Land Use 5 Percent of Drainage Area]]*riparian_buffer[[#This Row],[Total Buffer Drainage Area]],IF(riparian_buffer[[#This Row],[Buffer Drainage Area Land Use 5]]='Lookup Tables'!$M$6,VLOOKUP(riparian_buffer[[#This Row],[Project Location TMDL Drainage Area]],'Lookup Tables'!$C$3:$H$34,6,FALSE)*riparian_buffer[[#This Row],[Land Use 5 Percent of Drainage Area]]*riparian_buffer[[#This Row],[Total Buffer Drainage Area]],IF(riparian_buffer[[#This Row],[Buffer Drainage Area Land Use 5]]='Lookup Tables'!$M$7,VLOOKUP(riparian_buffer[[#This Row],[Project Location TMDL Drainage Area]],'Lookup Tables'!$C$134:$H$165,6,FALSE)*riparian_buffer[[#This Row],[Land Use 5 Percent of Drainage Area]]*riparian_buffer[[#This Row],[Total Buffer Drainage Area]],0)))))</calculatedColumnFormula>
    </tableColumn>
    <tableColumn id="18" xr3:uid="{0AC445AD-9062-4789-B5D3-5782A1FD6C73}" name="Estimated P Reduction from Drainage Area (kg/yr)" dataDxfId="123">
      <calculatedColumnFormula>(riparian_buffer[[#This Row],[Land Use 1 Load]]+riparian_buffer[[#This Row],[Land Use 2 Load]]+riparian_buffer[[#This Row],[Land Use 3 Load]]+riparian_buffer[[#This Row],[Land Use 4 Load]]+riparian_buffer[[#This Row],[Land Use 5 Load]])*$C$6</calculatedColumnFormula>
    </tableColumn>
    <tableColumn id="19" xr3:uid="{4F19E798-7DA0-4F94-8227-4DCB2D7D0CBA}" name="Calculated Phosphorus Load Buffer Area Pre-Treatment" dataDxfId="122">
      <calculatedColumnFormula>IF(riparian_buffer[[#This Row],[Prior Land Use of Buffer Planting Area]]='Lookup Tables'!$M$4, VLOOKUP(riparian_buffer[[#This Row],[Project Location TMDL Drainage Area]],'Lookup Tables'!$C$68:$H$100,6,FALSE)*riparian_buffer[[#This Row],[Riparian Buffer Area Planted (Acres)]],
IF(riparian_buffer[[#This Row],[Prior Land Use of Buffer Planting Area]]='Lookup Tables'!$M$6, VLOOKUP(riparian_buffer[[#This Row],[Project Location TMDL Drainage Area]],'Lookup Tables'!$C$3:$H$34,6,FALSE)*riparian_buffer[[#This Row],[Riparian Buffer Area Planted (Acres)]],
IF(riparian_buffer[[#This Row],[Prior Land Use of Buffer Planting Area]]='Lookup Tables'!$M$7, VLOOKUP(riparian_buffer[[#This Row],[Project Location TMDL Drainage Area]], 'Lookup Tables'!$C$134:$H$165, 6, FALSE)*riparian_buffer[[#This Row],[Riparian Buffer Area Planted (Acres)]],
IF(riparian_buffer[[#This Row],[Prior Land Use of Buffer Planting Area]]='Lookup Tables'!$M$3, VLOOKUP(riparian_buffer[[#This Row],[Project Location TMDL Drainage Area]], 'Lookup Tables'!$C$35:$H$67,6,FALSE)*riparian_buffer[[#This Row],[Riparian Buffer Area Planted (Acres)]],
IF(riparian_buffer[[#This Row],[Prior Land Use of Buffer Planting Area]]='Lookup Tables'!$M$5, VLOOKUP(riparian_buffer[[#This Row],[Project Location TMDL Drainage Area]], 'Lookup Tables'!$C$101:$H$133,6,FALSE)*riparian_buffer[[#This Row],[Riparian Buffer Area Planted (Acres)]])))))</calculatedColumnFormula>
    </tableColumn>
    <tableColumn id="26" xr3:uid="{3B62AC90-7EE1-43F8-A7CE-99433C9DB3ED}" name="Calculated Phosphorus Load Buffer Area Post-Treatment" dataDxfId="121">
      <calculatedColumnFormula>VLOOKUP(riparian_buffer[[#This Row],[Project Location TMDL Drainage Area]], 'Lookup Tables'!$C$101:$H$133,6,FALSE)*riparian_buffer[[#This Row],[Riparian Buffer Area Planted (Acres)]]</calculatedColumnFormula>
    </tableColumn>
    <tableColumn id="22" xr3:uid="{5AA38F75-7E36-4C09-898F-92C9874B6129}" name="Estimated P Reduction from Land Use Change (kg/yr)" dataDxfId="120">
      <calculatedColumnFormula>riparian_buffer[[#This Row],[Calculated Phosphorus Load Buffer Area Pre-Treatment]]-riparian_buffer[[#This Row],[Calculated Phosphorus Load Buffer Area Post-Treatment]]</calculatedColumnFormula>
    </tableColumn>
    <tableColumn id="20" xr3:uid="{060FF128-5F83-48F5-9C8A-E2A2EEEC7DBE}" name="Estimated P Reduction (kg/yr)" totalsRowFunction="count" dataDxfId="119">
      <calculatedColumnFormula>riparian_buffer[[#This Row],[Estimated P Reduction from Drainage Area (kg/yr)]]+riparian_buffer[[#This Row],[Estimated P Reduction from Land Use Change (kg/yr)]]</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752C3B8-4BDB-4DC1-BF53-A578D9C261EF}" name="lake_shoreline" displayName="lake_shoreline" ref="B9:J10" totalsRowShown="0" headerRowDxfId="118" dataDxfId="116" headerRowBorderDxfId="117">
  <tableColumns count="9">
    <tableColumn id="1" xr3:uid="{E22AABF8-C753-412A-842F-BD960F6CB8D7}" name="Project Identifier" dataDxfId="115"/>
    <tableColumn id="2" xr3:uid="{165253E5-F189-44EE-B893-BE6FCEC920A3}" name="Length of eroded shoreline to be restored (ft)" dataDxfId="114"/>
    <tableColumn id="3" xr3:uid="{6467906A-36D2-4BB4-A270-94CF0EDFB8EC}" name="Average Bank Height (ft)" dataDxfId="113"/>
    <tableColumn id="4" xr3:uid="{BB349473-89C1-4E00-8F23-AF5FB6F79314}" name="Average Shoreline Recession Rate (in/yr)" dataDxfId="112"/>
    <tableColumn id="5" xr3:uid="{79F5429C-C59D-47B2-90B8-B09F177E95B8}" name="Average Shoreline Recession Rate (ft/yr)" dataDxfId="111">
      <calculatedColumnFormula>lake_shoreline[[#This Row],[Average Shoreline Recession Rate (in/yr)]]/12</calculatedColumnFormula>
    </tableColumn>
    <tableColumn id="6" xr3:uid="{EF947EFD-5004-496B-8798-5BE55E8028A1}" name="Volume of sediment erosion (ft3/yr)" dataDxfId="110">
      <calculatedColumnFormula>lake_shoreline[[#This Row],[Length of eroded shoreline to be restored (ft)]]*lake_shoreline[[#This Row],[Average Bank Height (ft)]]*lake_shoreline[[#This Row],[Average Shoreline Recession Rate (ft/yr)]]</calculatedColumnFormula>
    </tableColumn>
    <tableColumn id="7" xr3:uid="{EA1B4C4C-BE33-4A18-90ED-32EB38083547}" name="Average P content per ft2 of sedment (kg/ft2)" dataDxfId="109">
      <calculatedColumnFormula>$C$4*$C$5</calculatedColumnFormula>
    </tableColumn>
    <tableColumn id="8" xr3:uid="{B45ADA1D-E093-493E-BF12-6B72FC99015C}" name="Estimated annual TP erosion (kg/yr)" dataDxfId="108">
      <calculatedColumnFormula>lake_shoreline[[#This Row],[Volume of sediment erosion (ft3/yr)]]*$C$4*$C$5</calculatedColumnFormula>
    </tableColumn>
    <tableColumn id="9" xr3:uid="{37E44946-6EAC-4C32-B373-6DFFF97CF20B}" name="Estimated Annual P Reduction (kg/yr)" dataDxfId="107">
      <calculatedColumnFormula>lake_shoreline[[#This Row],[Estimated annual TP erosion (kg/yr)]]*$C$6</calculatedColumnFormula>
    </tableColum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57DAFA73-A7A6-4E09-B593-CB1C78C130FC}" name="native_reveg" displayName="native_reveg" ref="B9:G10" totalsRowShown="0" headerRowDxfId="106" dataDxfId="104" headerRowBorderDxfId="105">
  <tableColumns count="6">
    <tableColumn id="1" xr3:uid="{FB9630CF-D247-4606-BD83-D9329B086C29}" name="Project Identifier" dataDxfId="103"/>
    <tableColumn id="2" xr3:uid="{6B52D96A-0332-4A01-B43E-01386F389184}" name="Project Location TMDL Drainage Area" dataDxfId="102"/>
    <tableColumn id="3" xr3:uid="{98BA9459-178A-4105-A8BE-1290366FFD5B}" name="Area of Revegetation (acres) " dataDxfId="101"/>
    <tableColumn id="4" xr3:uid="{88A6A341-91C9-49C9-B2F3-FB0B85616CFE}" name="Previous Land Use Loading " dataDxfId="100">
      <calculatedColumnFormula>VLOOKUP(native_reveg[[#This Row],[Project Location TMDL Drainage Area]],'Lookup Tables'!$C$68:$H$100,6,FALSE)*native_reveg[[#This Row],[Area of Revegetation (acres) ]]</calculatedColumnFormula>
    </tableColumn>
    <tableColumn id="5" xr3:uid="{C45B6FE4-E98F-4A7B-86DC-E610342A212E}" name="Current Land Use Loading" dataDxfId="99">
      <calculatedColumnFormula>VLOOKUP(native_reveg[[#This Row],[Project Location TMDL Drainage Area]],'Lookup Tables'!C166:H198,6,FALSE)*native_reveg[[#This Row],[Area of Revegetation (acres) ]]</calculatedColumnFormula>
    </tableColumn>
    <tableColumn id="6" xr3:uid="{46202F01-13FA-4530-9A8A-D7BA19FAA9D4}" name="Estimated Annual P Reduction (kg/yr)" dataDxfId="98">
      <calculatedColumnFormula>IF(native_reveg[[#This Row],[Previous Land Use Loading ]]-native_reveg[[#This Row],[Current Land Use Loading]]&gt;=0, native_reveg[[#This Row],[Previous Land Use Loading ]]-native_reveg[[#This Row],[Current Land Use Loading]], 0)</calculatedColumnFormula>
    </tableColumn>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69BDF8DB-1F50-4805-97FE-0A59E854A5A2}" name="tree_canopy" displayName="tree_canopy" ref="B10:H11" totalsRowShown="0" headerRowDxfId="97" dataDxfId="95" headerRowBorderDxfId="96">
  <tableColumns count="7">
    <tableColumn id="1" xr3:uid="{BEA7DB8C-F1F9-4D4A-8FCF-A514CADB021B}" name="Project Identifier" dataDxfId="94"/>
    <tableColumn id="2" xr3:uid="{DB16D0A8-3D61-46DD-A86A-17998390F4FA}" name="Project Location TMDL Drainage Area" dataDxfId="93"/>
    <tableColumn id="3" xr3:uid="{8C8527D8-22F3-451A-82D9-D5577B3A1F37}" name="Land Use" dataDxfId="92"/>
    <tableColumn id="4" xr3:uid="{9C9F8920-928E-4BCA-8337-41AC15083357}" name="Number of Trees Planted" dataDxfId="91"/>
    <tableColumn id="5" xr3:uid="{151934E6-CCDC-4DFF-96DF-192C9A7436B5}" name="Estimated Phosphorus Load (kg/yr)" dataDxfId="90">
      <calculatedColumnFormula>IF(tree_canopy[[#This Row],[Land Use]]="Developed Impervious", VLOOKUP(tree_canopy[[#This Row],[Project Location TMDL Drainage Area]],'Lookup Tables'!$C$35:$H$67,6,FALSE), IF(tree_canopy[[#This Row],[Land Use]]="Developed Pervious", VLOOKUP(tree_canopy[[#This Row],[Project Location TMDL Drainage Area]],'Lookup Tables'!$C$68:$H$100,6,FALSE), ""))*(tree_canopy[[#This Row],[Number of Trees Planted]]*'Tree Canopy Expansion'!$C$4/$C$5)</calculatedColumnFormula>
    </tableColumn>
    <tableColumn id="6" xr3:uid="{B5DAAE6F-79EB-43E0-BE3A-DB4031E211B4}" name="Reduction Efficiency" dataDxfId="89" dataCellStyle="Percent">
      <calculatedColumnFormula>IF(tree_canopy[[#This Row],[Land Use]]="Developed Pervious", $C$7, IF(tree_canopy[[#This Row],[Land Use]]="Developed Impervious", $C$6, ""))</calculatedColumnFormula>
    </tableColumn>
    <tableColumn id="7" xr3:uid="{4D790CE2-95B0-4F20-9B60-54B546A8B3AD}" name="Estimated Annual P Reduction (kg/yr)" dataDxfId="88">
      <calculatedColumnFormula>tree_canopy[[#This Row],[Estimated Phosphorus Load (kg/yr)]]*tree_canopy[[#This Row],[Reduction Efficiency]]</calculatedColumnFormula>
    </tableColumn>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EF82362C-E401-4A78-8D69-6A3264753D1D}" name="SWA" displayName="SWA" ref="B7:Q12" totalsRowShown="0" headerRowDxfId="87" dataDxfId="85" headerRowBorderDxfId="86">
  <autoFilter ref="B7:Q12" xr:uid="{0941EA27-7469-460C-A54B-943B4A4C94C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91E746F7-5BE0-48CD-B705-5F79EB069A87}" name="Project Identifier" dataDxfId="84"/>
    <tableColumn id="2" xr3:uid="{27B6D7E5-AD8B-42A6-A450-12DEF7793841}" name="Project Location HUC12" dataDxfId="83"/>
    <tableColumn id="3" xr3:uid="{EA330EDB-F71B-4D1F-932C-2B5BB8660885}" name="Estimated Reconnected Floodplain Area within the River Corridor (acres)" dataDxfId="82"/>
    <tableColumn id="5" xr3:uid="{7AFF5BD3-A208-4BF0-A142-FCD36C7381D4}" name="Estimated Reconnecte Floodplain Area outside the River Corridor (acres)" dataDxfId="81"/>
    <tableColumn id="14" xr3:uid="{43E3B448-9305-4809-9E7F-919E2A6DFF13}" name="Estimated Bankfull Height (ft)" dataDxfId="80"/>
    <tableColumn id="13" xr3:uid="{54E78A39-9F1F-4ED3-A539-C5D94A807062}" name="Estimated Floodplain Height (ft)" dataDxfId="79"/>
    <tableColumn id="12" xr3:uid="{1E834EDC-57F5-45A8-8F51-BE9C34794464}" name="Existing Incision Ratio" dataDxfId="78">
      <calculatedColumnFormula>IF(OR(SWA[[#This Row],[Estimated Bankfull Height (ft)]]="", SWA[[#This Row],[Estimated Floodplain Height (ft)]]=""),"",ROUND(SWA[[#This Row],[Estimated Floodplain Height (ft)]]/SWA[[#This Row],[Estimated Bankfull Height (ft)]], 1))</calculatedColumnFormula>
    </tableColumn>
    <tableColumn id="11" xr3:uid="{6658B069-39D9-44C7-A504-6C33FDEDCEE9}" name="Proposed Post-Implementation Incision Ratio" dataDxfId="77">
      <calculatedColumnFormula>ROUND(G8/(IF(F8+0.5&gt;G8,G8,F8+0.5)),1)</calculatedColumnFormula>
    </tableColumn>
    <tableColumn id="17" xr3:uid="{635116C4-C2D9-469A-94D1-073DD7E51903}" name="stability credit yes/no" dataDxfId="76">
      <calculatedColumnFormula>IF(AND(SWA[[#This Row],[Existing Incision Ratio]]&lt;=2.5, SWA[[#This Row],[Proposed Post-Implementation Incision Ratio]]&lt;=1.5),1,0)</calculatedColumnFormula>
    </tableColumn>
    <tableColumn id="4" xr3:uid="{B3099165-5A17-4720-8303-020B171DBBCF}" name="Stability Credit Multiplier (kg/acre/year)" dataDxfId="75">
      <calculatedColumnFormula>VLOOKUP(SWA[[#This Row],[Project Location HUC12]],'Lookup Tables'!BX:CD,2,FALSE)</calculatedColumnFormula>
    </tableColumn>
    <tableColumn id="16" xr3:uid="{07AF858F-0558-49DB-BABD-451B3127CCB2}" name="Stability Credit Proration" dataDxfId="74">
      <calculatedColumnFormula>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calculatedColumnFormula>
    </tableColumn>
    <tableColumn id="15" xr3:uid="{356B5B8E-812D-4B48-9CBE-301710D1BDB3}" name="Storage Credit Multiplier (kg/acre/yr)" dataDxfId="73">
      <calculatedColumnFormula>'Lookup Tables'!$BP$7</calculatedColumnFormula>
    </tableColumn>
    <tableColumn id="7" xr3:uid="{83875930-B623-4FD4-AB4B-F0936ED34D90}" name="Annual Stream Stability P Reduction (kg/yr)" dataDxfId="72">
      <calculatedColumnFormula>IF(SWA[[#This Row],[stability credit yes/no]]=0, 0, SWA[[#This Row],[Estimated Reconnected Floodplain Area within the River Corridor (acres)]]*SWA[[#This Row],[Stability Credit Proration]]*SWA[[#This Row],[Stability Credit Multiplier (kg/acre/year)]])</calculatedColumnFormula>
    </tableColumn>
    <tableColumn id="8" xr3:uid="{DF16B580-413A-4853-A650-B77939FFAC46}" name="Annual Storage P Reduction (kg/yr)" dataDxfId="71">
      <calculatedColumnFormula>(SWA[[#This Row],[Estimated Reconnected Floodplain Area within the River Corridor (acres)]]*SWA[[#This Row],[Storage Credit Multiplier (kg/acre/yr)]])+(SWA[[#This Row],[Estimated Reconnecte Floodplain Area outside the River Corridor (acres)]]*SWA[[#This Row],[Storage Credit Multiplier (kg/acre/yr)]]*0.5)</calculatedColumnFormula>
    </tableColumn>
    <tableColumn id="9" xr3:uid="{C21DD86A-C8A7-4141-8B8F-00ACF3D5F6A9}" name="Year 1 Additional Storage P reduction (kg)" dataDxfId="70">
      <calculatedColumnFormula>SWA[[#This Row],[Annual Storage P Reduction (kg/yr)]]</calculatedColumnFormula>
    </tableColumn>
    <tableColumn id="10" xr3:uid="{218FDEAE-E433-404A-B862-8DF0801B95DB}" name="Estimated Annual P Reduction (kg/yr)" dataDxfId="69">
      <calculatedColumnFormula>SWA[[#This Row],[Annual Storage P Reduction (kg/yr)]]+SWA[[#This Row],[Annual Stream Stability P Reduction (kg/yr)]]</calculatedColumnFormula>
    </tableColumn>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15EA520-B353-4934-836E-3423FA0496E4}" name="acres" displayName="acres" ref="B8:N9" totalsRowShown="0" headerRowDxfId="68" headerRowBorderDxfId="67">
  <tableColumns count="13">
    <tableColumn id="1" xr3:uid="{3149B9D7-03AB-4FF2-BD93-B328B533087C}" name="Project Identifier"/>
    <tableColumn id="2" xr3:uid="{CB75C766-E2E3-4FF9-9642-27E04E7DB856}" name="Project Location HUC12" dataDxfId="66"/>
    <tableColumn id="3" xr3:uid="{5301C69A-894F-4689-9B72-A885673891D9}" name="Practice Type" dataDxfId="65"/>
    <tableColumn id="4" xr3:uid="{5478AE44-43AC-4141-A388-9770A3DAA9CC}" name="Practice Area Within the River Corridor (acres) " dataDxfId="64"/>
    <tableColumn id="13" xr3:uid="{7BC86461-09FF-4404-9EA9-AD04A7CDD07D}" name="Practice Area Outside the River Corridor (acres)" dataDxfId="63"/>
    <tableColumn id="5" xr3:uid="{84243538-C376-46E7-B87B-8B28088A89D2}" name="Floodplain Connectivity Pre-Restoration"/>
    <tableColumn id="6" xr3:uid="{FEC2B2DD-8E52-4D55-AF99-D9AF8B94B2A4}" name="Floodplain Connectivity Post-Restoration"/>
    <tableColumn id="7" xr3:uid="{A450BFE4-8F21-47DA-B1A7-0357CFA081BF}" name="Stream Stability P Reduction (kg/unit/year)" dataDxfId="62">
      <calculatedColumnFormula>VLOOKUP(acres[[#This Row],[Project Location HUC12]], 'Lookup Tables'!$BX$4:$CI$133, MATCH(acres[[#This Row],[Practice Type]], 'Lookup Tables'!$BX$3:$CI$3,0),FALSE)</calculatedColumnFormula>
    </tableColumn>
    <tableColumn id="8" xr3:uid="{C78F9E8A-FB96-4EF5-856B-DD5C4AAC884E}" name="Annual Stream Stability P Reduction (kg/year)" dataDxfId="61">
      <calculatedColumnFormula>acres[[#This Row],[Stream Stability P Reduction (kg/unit/year)]]*acres[[#This Row],[Practice Area Within the River Corridor (acres) ]]</calculatedColumnFormula>
    </tableColumn>
    <tableColumn id="9" xr3:uid="{7E8EA522-ED6C-4028-9199-FE06432560A4}" name="Annual Storage P Reduction (kg/acre/year)" dataDxfId="60">
      <calculatedColumnFormula>IF(AND(acres[[#This Row],[Floodplain Connectivity Pre-Restoration]]='Lookup Tables'!$BO$4, acres[[#This Row],[Floodplain Connectivity Post-Restoration]]='Lookup Tables'!$BN$6),'Lookup Tables'!$BO$6,
IF(AND(acres[[#This Row],[Floodplain Connectivity Pre-Restoration]]='Lookup Tables'!$BO$4, acres[[#This Row],[Floodplain Connectivity Post-Restoration]]='Lookup Tables'!$BN$7), 'Lookup Tables'!$BO$7,
IF(AND(acres[[#This Row],[Floodplain Connectivity Pre-Restoration]]='Lookup Tables'!$BP$4, acres[[#This Row],[Floodplain Connectivity Post-Restoration]]='Lookup Tables'!$BN$7), 'Lookup Tables'!$BP$7, 0)))</calculatedColumnFormula>
    </tableColumn>
    <tableColumn id="10" xr3:uid="{8A03EF39-BEAC-4223-995A-4C0018A88B35}" name="Annual Storage P Reduction (kg/year)" dataDxfId="59">
      <calculatedColumnFormula>(acres[[#This Row],[Practice Area Within the River Corridor (acres) ]]*acres[[#This Row],[Annual Storage P Reduction (kg/acre/year)]])+(acres[[#This Row],[Annual Storage P Reduction (kg/acre/year)]]*acres[[#This Row],[Practice Area Outside the River Corridor (acres)]]*0.5)</calculatedColumnFormula>
    </tableColumn>
    <tableColumn id="11" xr3:uid="{09E6DFB6-6083-4DD3-99CE-D4C815C8527B}" name="Year 1 Additional Storage P Reduction (kg)" dataDxfId="58">
      <calculatedColumnFormula>K9*E9</calculatedColumnFormula>
    </tableColumn>
    <tableColumn id="12" xr3:uid="{B821AABF-8282-4E45-AE33-F1CC365CFB29}" name="Total Estimated Annual P Reduction (kg/year)" dataDxfId="57">
      <calculatedColumnFormula>acres[[#This Row],[Annual Storage P Reduction (kg/year)]]+acres[[#This Row],[Annual Stream Stability P Reduction (kg/year)]]</calculatedColumnFormula>
    </tableColumn>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40595B80-C72C-4086-BDF4-E5F7F621B071}" name="structure" displayName="structure" ref="B8:AF9" totalsRowShown="0" headerRowDxfId="56" headerRowBorderDxfId="55">
  <autoFilter ref="B8:AF9" xr:uid="{0941EA27-7469-460C-A54B-943B4A4C94C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autoFilter>
  <tableColumns count="31">
    <tableColumn id="1" xr3:uid="{219C673B-A49A-487D-A83B-A9E5882378D8}" name="Project Identifier"/>
    <tableColumn id="2" xr3:uid="{ED7DD805-F9C2-424C-B3E0-FE867F23B826}" name="Project Location HUC12" dataDxfId="54"/>
    <tableColumn id="3" xr3:uid="{C2C2C4B0-C27A-4232-A755-BA5C7AC36BEC}" name="Practice Type" dataDxfId="53"/>
    <tableColumn id="4" xr3:uid="{BBF7944D-A55C-4282-A3E3-51836F60226F}" name="Bankfull Width(Wbkf) (feet)" dataDxfId="52"/>
    <tableColumn id="15" xr3:uid="{C0E2E59D-7A11-4EDD-A967-B5AA60C830DC}" name="Structure Width (feet)" dataDxfId="51"/>
    <tableColumn id="5" xr3:uid="{687EDA42-8F14-4204-A495-159008202B14}" name="Dam Impoundment Area (acres)"/>
    <tableColumn id="6" xr3:uid="{1B89CD37-5493-44D6-A6CB-B69C5D9E7D97}" name="Number of Large Flood Control Dams"/>
    <tableColumn id="7" xr3:uid="{81C17090-7B25-434B-A1B3-995923055E02}" name="Number of Large Peaking Hydro Dams" dataDxfId="50"/>
    <tableColumn id="8" xr3:uid="{89E3755E-E8A6-4977-94FF-C7F4022BFCD8}" name="Number of Large Run of River (ROR) Dams" dataDxfId="49"/>
    <tableColumn id="9" xr3:uid="{000FE832-C4CB-4053-9D2C-8CA79277DA06}" name="Number of Medium Peaking Hydro Dams" dataDxfId="48"/>
    <tableColumn id="10" xr3:uid="{7CBEE306-8EF6-4DDF-B150-612852063F38}" name="Number of  Medium ROR Dams" dataDxfId="47"/>
    <tableColumn id="11" xr3:uid="{5D87BDD5-45F3-4017-AB9A-16E07E9B5FA7}" name="Number of Medium Breached Dams" dataDxfId="46"/>
    <tableColumn id="12" xr3:uid="{0F1D78A6-33E3-4EF6-87FB-5211876DDD74}" name="Number of Small Intact ROR Dams" dataDxfId="45"/>
    <tableColumn id="13" xr3:uid="{8229BEF5-2676-4372-8DBC-D0F070DD567C}" name="Number of Small Breached Dams" dataDxfId="44"/>
    <tableColumn id="14" xr3:uid="{4DA7316F-29A0-4FF3-B6D2-4C161D65E97A}" name="Number of Bridges (Wbkf &gt; 100%)" dataDxfId="43"/>
    <tableColumn id="16" xr3:uid="{86E25529-8D90-45AF-8661-8B4D9151C0E7}" name="Number of Bridges (50% - 100% or unknown)" dataDxfId="42"/>
    <tableColumn id="17" xr3:uid="{9BEFE0A9-24CA-41A6-A1C5-973FC1125A02}" name="Number of Bridges (Wbkf &lt; 50%), shallow channel (&lt; 2%)" dataDxfId="41"/>
    <tableColumn id="18" xr3:uid="{B8C2DD04-266B-4ECA-B470-2F00C8CF280C}" name="Number of Bridges (Wbkf&lt; 50%), steep channel (&gt; 2%)" dataDxfId="40"/>
    <tableColumn id="19" xr3:uid="{D0907256-C082-47A9-B342-79F65B8ACA11}" name="Number of Culverts (Wbkf&gt; 100%)" dataDxfId="39"/>
    <tableColumn id="20" xr3:uid="{E4B78B5A-79DA-4784-9637-CA39E0FFB369}" name="Number of Culverts (50% - 100% or unknown) shallow" dataDxfId="38"/>
    <tableColumn id="21" xr3:uid="{D3B18ACB-17D5-4616-8A82-ADBA5A5F69B2}" name="Number of Culverts (50% - 100% or unknown), steep" dataDxfId="37"/>
    <tableColumn id="22" xr3:uid="{A559CE86-C7DE-4F9A-AA61-62254721CB87}" name="Number of Culverts (Wbkf &lt; 50%), shallow" dataDxfId="36"/>
    <tableColumn id="23" xr3:uid="{FC34A036-61B8-4B72-AAF5-C6CBF419B254}" name="Number of Culverts (Wbkf &lt; 50%), steep" dataDxfId="35"/>
    <tableColumn id="24" xr3:uid="{AF5C082F-3974-4CE0-923B-B63183EC6F34}" name="Number of Gullies" dataDxfId="34"/>
    <tableColumn id="25" xr3:uid="{AAD8E7DA-41F9-4F83-981D-B85DAA46DE75}" name="Number of Headcuts" dataDxfId="33"/>
    <tableColumn id="26" xr3:uid="{14B659E6-A101-42EC-B72A-336511B8A203}" name="Estimated Longitudinal Deductions" dataDxfId="32">
      <calculatedColumnFormula>(structure[[#This Row],[Number of Large Flood Control Dams]]*VLOOKUP(structure[[#Headers],[Number of Large Flood Control Dams]],'Lookup Tables'!$DR$2:$DS$20,2,FALSE))+
(structure[[#This Row],[Number of Large Peaking Hydro Dams]]*VLOOKUP(structure[[#Headers],[Number of Large Peaking Hydro Dams]],'Lookup Tables'!$DR$2:$DS$20,2,FALSE))+
(structure[[#This Row],[Number of Large Run of River (ROR) Dams]]*VLOOKUP(structure[[#Headers],[Number of Large Run of River (ROR) Dams]],'Lookup Tables'!$DR$2:$DS$20,2,FALSE))+
(structure[[#This Row],[Number of Medium Peaking Hydro Dams]]*VLOOKUP(structure[[#Headers],[Number of Medium Peaking Hydro Dams]],'Lookup Tables'!$DR$2:$DS$20,2,FALSE))+
(structure[[#This Row],[Number of  Medium ROR Dams]]*VLOOKUP(structure[[#Headers],[Number of  Medium ROR Dams]],'Lookup Tables'!$DR$2:$DS$20,2,FALSE))+
(structure[[#This Row],[Number of Medium Breached Dams]]*VLOOKUP(structure[[#Headers],[Number of Medium Breached Dams]],'Lookup Tables'!$DR$2:$DS$20,2,FALSE))+
(structure[[#This Row],[Number of Small Intact ROR Dams]]*VLOOKUP(structure[[#Headers],[Number of Small Intact ROR Dams]],'Lookup Tables'!$DR$2:$DS$20,2,FALSE))+
(structure[[#This Row],[Number of Small Breached Dams]]*VLOOKUP(structure[[#Headers],[Number of Small Breached Dams]],'Lookup Tables'!$DR$2:$DS$20,2,FALSE))+
(structure[[#This Row],[Number of Bridges (Wbkf &gt; 100%)]]*VLOOKUP(structure[[#Headers],[Number of Bridges (Wbkf &gt; 100%)]],'Lookup Tables'!$DR$2:$DS$20,2,FALSE))+
(structure[[#This Row],[Number of Bridges (50% - 100% or unknown)]]*VLOOKUP(structure[[#Headers],[Number of Bridges (50% - 100% or unknown)]],'Lookup Tables'!$DR$2:$DS$20,2,FALSE))+
(structure[[#This Row],[Number of Bridges (Wbkf &lt; 50%), shallow channel (&lt; 2%)]]*VLOOKUP(structure[[#Headers],[Number of Bridges (Wbkf &lt; 50%), shallow channel (&lt; 2%)]],'Lookup Tables'!$DR$2:$DS$20,2,FALSE))+
(structure[[#This Row],[Number of Bridges (Wbkf&lt; 50%), steep channel (&gt; 2%)]]*VLOOKUP(structure[[#Headers],[Number of Bridges (Wbkf&lt; 50%), steep channel (&gt; 2%)]],'Lookup Tables'!$DR$2:$DS$20,2,FALSE))+
(structure[[#This Row],[Number of Culverts (Wbkf&gt; 100%)]]*VLOOKUP(structure[[#Headers],[Number of Culverts (Wbkf&gt; 100%)]],'Lookup Tables'!$DR$2:$DS$20,2,FALSE))+
(structure[[#This Row],[Number of Culverts (50% - 100% or unknown) shallow]]*VLOOKUP(structure[[#Headers],[Number of Culverts (50% - 100% or unknown) shallow]],'Lookup Tables'!$DR$2:$DS$20,2,FALSE))+
(structure[[#This Row],[Number of Culverts (50% - 100% or unknown), steep]]*VLOOKUP(structure[[#Headers],[Number of Culverts (50% - 100% or unknown), steep]],'Lookup Tables'!$DR$2:$DS$20,2,FALSE))+
(structure[[#This Row],[Number of Culverts (Wbkf &lt; 50%), shallow]]*VLOOKUP(structure[[#Headers],[Number of Culverts (Wbkf &lt; 50%), shallow]],'Lookup Tables'!$DR$2:$DS$20,2,FALSE))+
(structure[[#This Row],[Number of Culverts (Wbkf &lt; 50%), steep]]*VLOOKUP(structure[[#Headers],[Number of Culverts (Wbkf &lt; 50%), steep]],'Lookup Tables'!$DR$2:$DS$20,2,FALSE))+
(structure[[#This Row],[Number of Gullies]]*VLOOKUP(structure[[#Headers],[Number of Gullies]],'Lookup Tables'!$DR$2:$DS$20,2,FALSE))+
(structure[[#This Row],[Number of Headcuts]]*VLOOKUP(structure[[#Headers],[Number of Headcuts]],'Lookup Tables'!$DR$2:$DS$20,2,FALSE))</calculatedColumnFormula>
    </tableColumn>
    <tableColumn id="27" xr3:uid="{5F13A8EF-6F42-4E6B-9C03-8CF0D0AEFD3E}" name="Score Eligible for Credit" dataDxfId="31">
      <calculatedColumnFormula>IF(AND(OR(ISNUMBER(SEARCH("Culvert", structure[[#This Row],[Practice Type]])),ISNUMBER(SEARCH("Bridge",structure[[#This Row],[Practice Type]]))), structure[[#This Row],[Estimated Longitudinal Deductions]]&gt;-90), "Yes",
IF(AND(OR(ISNUMBER(SEARCH("Dam",structure[[#This Row],[Practice Type]])),ISNUMBER(SEARCH("Gully", structure[[#This Row],[Practice Type]])), ISNUMBER(SEARCH("Headcut", structure[[#This Row],[Practice Type]]))), structure[[#This Row],[Estimated Longitudinal Deductions]]&gt;-100), "Yes",
IF(AND(ISNUMBER(SEARCH("Dam", structure[[#This Row],[Practice Type]])), structure[[#This Row],[Estimated Longitudinal Deductions]] &lt;=-90), "No - Use Floodplain Stream - Acre tab", "No")))</calculatedColumnFormula>
    </tableColumn>
    <tableColumn id="28" xr3:uid="{C34AD17B-5CB3-4B74-9923-0FBCE72A87F7}" name="Bankfull Width : Structure Width (%)" dataDxfId="30">
      <calculatedColumnFormula>structure[[#This Row],[Structure Width (feet)]]/structure[[#This Row],[Bankfull Width(Wbkf) (feet)]]</calculatedColumnFormula>
    </tableColumn>
    <tableColumn id="29" xr3:uid="{B245B89E-C47F-4F63-8082-A408092C8963}" name="Geomorphic Compatibility Scale Factor" dataDxfId="29">
      <calculatedColumnFormula>IF(structure[[#This Row],[Bankfull Width : Structure Width (%)]]&lt;'Lookup Tables'!$DV$3, 'Lookup Tables'!$DW$3,
IF(AND(structure[[#This Row],[Bankfull Width : Structure Width (%)]]&gt;='Lookup Tables'!$DV$3, structure[[#This Row],[Bankfull Width : Structure Width (%)]]&lt;'Lookup Tables'!$DV$4),'Lookup Tables'!$DW$4,
IF(AND(structure[[#This Row],[Bankfull Width : Structure Width (%)]]&gt;='Lookup Tables'!$DV$4, structure[[#This Row],[Bankfull Width : Structure Width (%)]]&lt;'Lookup Tables'!$DV$5), 'Lookup Tables'!$DW$5,
'Lookup Tables'!$DW$6)))</calculatedColumnFormula>
    </tableColumn>
    <tableColumn id="30" xr3:uid="{1013212B-C73D-4498-841A-B82C79C7F025}" name="Stream Stability P Reduction (kg/unit/year)" dataDxfId="28">
      <calculatedColumnFormula>VLOOKUP(structure[[#This Row],[Project Location HUC12]], 'Lookup Tables'!$CK$3:$DE$133, MATCH(structure[[#This Row],[Practice Type]], 'Lookup Tables'!$CK$3:$DE$3,0),FALSE)</calculatedColumnFormula>
    </tableColumn>
    <tableColumn id="31" xr3:uid="{F252477F-BAAA-4978-B42F-7688F92204D5}" name="Estimated Annual P Reduction (kg/yr)" dataDxfId="27">
      <calculatedColumnFormula>IF(AND(ISNUMBER(SEARCH("Dam", structure[[#This Row],[Practice Type]])), structure[[#This Row],[Score Eligible for Credit]]="Yes"), structure[[#This Row],[Stream Stability P Reduction (kg/unit/year)]]*structure[[#This Row],[Dam Impoundment Area (acres)]], IF(structure[[#This Row],[Score Eligible for Credit]]="Yes", structure[[#This Row],[Stream Stability P Reduction (kg/unit/year)]]*structure[[#This Row],[Geomorphic Compatibility Scale Factor]],0))</calculatedColumnFormula>
    </tableColumn>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81F00430-5AC0-444F-A72D-A3126A555919}" name="gully" displayName="gully" ref="B10:K11" totalsRowShown="0" headerRowDxfId="26" headerRowBorderDxfId="25">
  <autoFilter ref="B10:K11" xr:uid="{81F00430-5AC0-444F-A72D-A3126A55591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C7D2BFD9-50D1-4811-95F5-5DFD80C88E06}" name="Project Identifier"/>
    <tableColumn id="2" xr3:uid="{4A2947B7-9742-4056-AA74-9231FA0FA12A}" name="Average Legnth of Gully (ft)"/>
    <tableColumn id="3" xr3:uid="{6A2E8308-8BAC-4DB7-A382-5BD66F10F15D}" name="Average Width of Gully (ft)"/>
    <tableColumn id="4" xr3:uid="{D7DC4D73-1DA0-471C-BAFB-6F8DD3FE29A0}" name="Average Depth of Gully (ft) "/>
    <tableColumn id="5" xr3:uid="{42837326-ED6F-426A-8776-F5B8E7FAD7E1}" name="Level of Erosion Mitigation"/>
    <tableColumn id="6" xr3:uid="{06AA2CCD-7688-4A68-B249-568DC9AB898D}" name="Estimated Gully Age (years)"/>
    <tableColumn id="7" xr3:uid="{E9DBBF2E-FFD5-4D7A-9982-1D67D7BBB846}" name="Gully Volume (ft3) " dataDxfId="24">
      <calculatedColumnFormula>gully[[#This Row],[Average Legnth of Gully (ft)]]*gully[[#This Row],[Average Width of Gully (ft)]]*gully[[#This Row],[Average Depth of Gully (ft) ]]</calculatedColumnFormula>
    </tableColumn>
    <tableColumn id="10" xr3:uid="{B1DBCA99-17C5-4DE5-8E35-33B2EA309F55}" name="Sediment Erosion Rate (kg/yr)" dataDxfId="23">
      <calculatedColumnFormula>(gully[[#This Row],[Gully Volume (ft3) ]]*$C$5)/gully[[#This Row],[Estimated Gully Age (years)]]</calculatedColumnFormula>
    </tableColumn>
    <tableColumn id="9" xr3:uid="{09EBB734-79CE-4285-A1D6-F886FDDDC9B1}" name="TP Loading Rate (kg/yr)" dataDxfId="22">
      <calculatedColumnFormula>gully[[#This Row],[Sediment Erosion Rate (kg/yr)]]*$C$4</calculatedColumnFormula>
    </tableColumn>
    <tableColumn id="8" xr3:uid="{135CDA7E-0788-4180-BE4C-F5297492980B}" name="Estimated P Load Reduction (kg/yr)" dataDxfId="21">
      <calculatedColumnFormula>IF(gully[[#This Row],[Level of Erosion Mitigation]]='Lookup Tables'!$AP$3, 'Outlet and Gully Stabilization'!C6*gully[[#This Row],[TP Loading Rate (kg/yr)]], IF(gully[[#This Row],[Level of Erosion Mitigation]]='Lookup Tables'!$AP$4, 'Outlet and Gully Stabilization'!$C$7*gully[[#This Row],[TP Loading Rate (kg/yr)]], 0))</calculatedColumnFormula>
    </tableColumn>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9FF3004-5D48-461C-9F85-895D10BE916E}" name="forest_road" displayName="forest_road" ref="B15:H16" totalsRowShown="0" headerRowDxfId="20" headerRowBorderDxfId="19">
  <autoFilter ref="B15:H16" xr:uid="{69FF3004-5D48-461C-9F85-895D10BE916E}">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738978FD-D1DF-4240-A554-3FC80B26FC1B}" name="Forest Road Segment ID or Project ID"/>
    <tableColumn id="2" xr3:uid="{9900D83D-7F2F-4AAA-9E54-749947970756}" name="Road/Trail Type"/>
    <tableColumn id="3" xr3:uid="{3138D45B-597F-48E2-A71B-22D7D22E74B7}" name="Length of Road Segment (ft)"/>
    <tableColumn id="8" xr3:uid="{C61CC162-DD8F-4FCF-955B-97AD58A25F31}" name="Road Erosion Inventory (REI) compliance score before restoration"/>
    <tableColumn id="9" xr3:uid="{E445980E-8481-48A1-B4ED-B1E0B5DF6E64}" name="Road Erosion Inventory (REI) compliance score after restoration"/>
    <tableColumn id="10" xr3:uid="{1B332316-D7C2-4E1B-B310-F58E994F1F0B}" name="P Reduction Efficiency" dataDxfId="18" dataCellStyle="Percent">
      <calculatedColumnFormula>IF(AND(E16='Lookup Tables'!$Q$3,'Forest Road'!F16='Lookup Tables'!$Q$4), 0.4, IF(AND('Forest Road'!E16='Lookup Tables'!$Q$3,'Forest Road'!F16='Lookup Tables'!$Q$5), 0.8, IF(AND('Forest Road'!E16='Lookup Tables'!$Q$4, 'Forest Road'!F16='Lookup Tables'!$Q$5), 0.4, 0)))</calculatedColumnFormula>
    </tableColumn>
    <tableColumn id="11" xr3:uid="{2FCB7CF6-0A6A-432A-82C0-15140A39ED79}" name="Estimated P Load Reduction (kg/year)" dataDxfId="17">
      <calculatedColumnFormula>IF(forest_road[[#This Row],[Road/Trail Type]]='Lookup Tables'!$P$3, ($C$8*forest_road[[#This Row],[Length of Road Segment (ft)]])*forest_road[[#This Row],[P Reduction Efficiency]], IF(forest_road[[#This Row],[Road/Trail Type]]='Lookup Tables'!$P$4, ($C$9*forest_road[[#This Row],[Length of Road Segment (ft)]])*forest_road[[#This Row],[P Reduction Efficiency]], 0))</calculatedColumnFormula>
    </tableColumn>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CBC691A-4A9C-4F67-AE8B-7198FD4D8852}" name="private_road" displayName="private_road" ref="B11:K12" totalsRowShown="0" headerRowDxfId="16" headerRowBorderDxfId="15">
  <autoFilter ref="B11:K12" xr:uid="{81F00430-5AC0-444F-A72D-A3126A55591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242D0E2C-FD05-438F-BBBF-951E4A5C48EA}" name="Project Identifier"/>
    <tableColumn id="2" xr3:uid="{29F7F870-182E-405B-BC91-F01802CA8E19}" name="Project Location TMDL Drainage Area"/>
    <tableColumn id="3" xr3:uid="{8007754F-15E0-48BF-9721-0C5549CA99AC}" name="Road Classification Most Similar to Private Road Remediation Site"/>
    <tableColumn id="4" xr3:uid="{6E0EFB1F-9E91-4A4B-A3FB-C6E581EC1D14}" name="Length of Road Erosion Remediation (meters)"/>
    <tableColumn id="9" xr3:uid="{7956463C-746F-438E-AFBE-73A907C54D95}" name="Volume of Gully Erosion (ft3) _x000a_Class 4 road types only"/>
    <tableColumn id="5" xr3:uid="{F8EF1D17-AAC5-4F4A-8BE1-3371478E5681}" name="Road Condition Pre-Remediation"/>
    <tableColumn id="6" xr3:uid="{811460E7-0E08-4E48-8EE1-95D956D12B2F}" name="Road Condition Post-Remediation">
      <calculatedColumnFormula>$C$8</calculatedColumnFormula>
    </tableColumn>
    <tableColumn id="7" xr3:uid="{0301D40E-5443-43CF-A4D5-731AB3CD4AC0}" name="P Load Reduction Efficiency (%)" dataCellStyle="Percent">
      <calculatedColumnFormula>IF(AND(private_road[[#This Row],[Road Condition Pre-Remediation]]='Lookup Tables'!$Q$3, private_road[[#This Row],[Road Condition Post-Remediation]]='Lookup Tables'!$Q$4, OR(private_road[Road Classification Most Similar to Private Road Remediation Site]='Lookup Tables'!$AR$3,private_road[Road Classification Most Similar to Private Road Remediation Site] = 'Lookup Tables'!$AR$4)), 0.4, IF(AND(private_road[[#This Row],[Road Condition Pre-Remediation]]='Lookup Tables'!$Q$3, private_road[[#This Row],[Road Condition Post-Remediation]]='Lookup Tables'!$Q$5, OR(private_road[Road Classification Most Similar to Private Road Remediation Site]='Lookup Tables'!$AR$3,private_road[Road Classification Most Similar to Private Road Remediation Site] = 'Lookup Tables'!$AR$4)), 0.8, IF(AND(private_road[[#This Row],[Road Condition Pre-Remediation]]='Lookup Tables'!$Q$4, private_road[[#This Row],[Road Condition Post-Remediation]]= 'Lookup Tables'!$Q$5, OR(private_road[Road Classification Most Similar to Private Road Remediation Site]='Lookup Tables'!$AR$3,private_road[Road Classification Most Similar to Private Road Remediation Site] = 'Lookup Tables'!$AR$4)), 0.4, IF(AND(private_road[Road Classification Most Similar to Private Road Remediation Site]='Lookup Tables'!$AR$5, private_road[[#This Row],[Volume of Gully Erosion (ft3) 
Class 4 road types only]]&lt;81), 0.2, IF(AND(private_road[Road Classification Most Similar to Private Road Remediation Site]='Lookup Tables'!$AR$5, private_road[[#This Row],[Volume of Gully Erosion (ft3) 
Class 4 road types only]]&gt;=81), 0.4, 0)))))</calculatedColumnFormula>
    </tableColumn>
    <tableColumn id="10" xr3:uid="{F9FF7D9D-83C6-4F6C-A678-C6CD79F589B6}" name="Annual P Load (kg/yr)" dataDxfId="14">
      <calculatedColumnFormula>IF(private_road[[#This Row],[Road Classification Most Similar to Private Road Remediation Site]]='Lookup Tables'!$AR$3, (VLOOKUP(private_road[[#This Row],[Project Location TMDL Drainage Area]],'Lookup Tables'!$AT$3:$AV$35,2,FALSE)*(private_road[[#This Row],[Length of Road Erosion Remediation (meters)]]/1000)),
IF(private_road[[#This Row],[Road Classification Most Similar to Private Road Remediation Site]]='Lookup Tables'!$AR$4, (VLOOKUP(private_road[[#This Row],[Project Location TMDL Drainage Area]],'Lookup Tables'!$AT$3:$AV$35, 3, FALSE)*(private_road[[#This Row],[Length of Road Erosion Remediation (meters)]]/1000)),
IF(private_road[[#This Row],[Road Classification Most Similar to Private Road Remediation Site]] = 'Lookup Tables'!$AR$5, (VLOOKUP(private_road[[#This Row],[Project Location TMDL Drainage Area]], 'Lookup Tables'!$AT$3:$AV$35, 3,FALSE)*private_road[[#This Row],[Length of Road Erosion Remediation (meters)]]/1000), 0)))*$C$5</calculatedColumnFormula>
    </tableColumn>
    <tableColumn id="8" xr3:uid="{29456F63-6B93-4906-AA3E-D6B894DAF90D}" name="Estimated Annual P Load Reduction (kg/yr)" dataDxfId="13">
      <calculatedColumnFormula>private_road[[#This Row],[Annual P Load (kg/yr)]]*private_road[[#This Row],[P Load Reduction Efficiency (%)]]</calculatedColumnFormula>
    </tableColumn>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8797A1DC-168F-4420-84EB-8DF5DCB2EBFB}" name="cost_effectiveness" displayName="cost_effectiveness" ref="B5:I173" totalsRowShown="0" headerRowDxfId="12" headerRowBorderDxfId="11">
  <autoFilter ref="B5:I173" xr:uid="{8797A1DC-168F-4420-84EB-8DF5DCB2EBFB}"/>
  <tableColumns count="8">
    <tableColumn id="11" xr3:uid="{A8E5AC69-6B2F-4741-9BE3-A529C84A40D3}" name="Project ID"/>
    <tableColumn id="1" xr3:uid="{6A508D3E-A2A3-45B0-8794-3B5B7E5216DD}" name="Project Type"/>
    <tableColumn id="2" xr3:uid="{D376FA77-D304-48BA-82B7-215FA1246882}" name="Estimated Project Type Design Life" dataDxfId="10">
      <calculatedColumnFormula>IF(cost_effectiveness[[#This Row],[Project Type]]="", "", VLOOKUP(cost_effectiveness[[#This Row],[Project Type]],'Lookup Tables'!$BH$3:$BI$26, 2, FALSE))</calculatedColumnFormula>
    </tableColumn>
    <tableColumn id="3" xr3:uid="{8F61D923-12E3-4F07-8221-E90AA66C9209}" name="Total Estimated Project Cost (design and construction)" dataDxfId="9"/>
    <tableColumn id="12" xr3:uid="{DB6ED81C-3270-45AB-AEE2-9F79A8822D7D}" name="Estimated Project Cost to be Covered by Formula Grant Funds (design and construction)" dataDxfId="8"/>
    <tableColumn id="4" xr3:uid="{D1C572F5-74EB-4D60-9A80-932EB0FAAF1D}" name="Calculated Estimated P Load Reduction (kg/yr)" dataDxfId="7">
      <calculatedColumnFormula>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calculatedColumnFormula>
    </tableColumn>
    <tableColumn id="13" xr3:uid="{5055EFAD-B0A7-4DF8-8EE5-7BEC9DF0F9E2}" name="Total Project Estimated Cost Effectiveness ($/kg/yr)" dataDxfId="6">
      <calculatedColumnFormula>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calculatedColumnFormula>
    </tableColumn>
    <tableColumn id="5" xr3:uid="{368AA65E-2909-4117-837A-40EDCE88F839}" name="Formula Grant Estimated Cost Effectiveness ($/kg/yr)" dataDxfId="5">
      <calculatedColumnFormula>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4" dT="2022-06-23T14:00:45.43" personId="{66C3A27B-E5E0-42C0-9A4D-8220ABF6F9A7}" id="{B0DE79AF-6139-41B7-BE72-FEF714E7C012}">
    <text>Ishee et al. (2015) and Ross et al. (2019)</text>
  </threadedComment>
  <threadedComment ref="C5" dT="2022-06-23T14:01:07.00" personId="{66C3A27B-E5E0-42C0-9A4D-8220ABF6F9A7}" id="{C516CB08-3A86-4D20-B34D-A179DA24BC77}">
    <text>Ishee et al. (2015)</text>
  </threadedComment>
</ThreadedComments>
</file>

<file path=xl/threadedComments/threadedComment2.xml><?xml version="1.0" encoding="utf-8"?>
<ThreadedComments xmlns="http://schemas.microsoft.com/office/spreadsheetml/2018/threadedcomments" xmlns:x="http://schemas.openxmlformats.org/spreadsheetml/2006/main">
  <threadedComment ref="C4" dT="2022-06-23T14:01:47.61" personId="{66C3A27B-E5E0-42C0-9A4D-8220ABF6F9A7}" id="{B4F1B727-CDE8-458F-90AF-EA11598A18D2}">
    <text>Wemple et al. (2021)</text>
  </threadedComment>
  <threadedComment ref="C5" dT="2022-06-23T14:01:59.90" personId="{66C3A27B-E5E0-42C0-9A4D-8220ABF6F9A7}" id="{176547CB-998C-48A2-BD26-F69839719442}">
    <text>Wemple et al. (2021)</text>
  </threadedComment>
  <threadedComment ref="B6" dT="2022-07-14T16:51:23.42" personId="{66C3A27B-E5E0-42C0-9A4D-8220ABF6F9A7}" id="{6F48F1F8-0AF7-4082-908E-387F350BA6B2}">
    <text>Outlet and gully stabilization projects that partially mitigate erosion, for instance by stabilizing the area immediately around an outlet and limiting corrections to the area within the right-of-way.</text>
  </threadedComment>
  <threadedComment ref="B7" dT="2022-07-14T16:51:38.52" personId="{66C3A27B-E5E0-42C0-9A4D-8220ABF6F9A7}" id="{9FAC157A-E8EF-4B2D-8C45-550207E408D7}">
    <text>Outlet and gully stabilization projects that address the full extent of gully erosion.</text>
  </threadedComment>
</ThreadedComments>
</file>

<file path=xl/threadedComments/threadedComment3.xml><?xml version="1.0" encoding="utf-8"?>
<ThreadedComments xmlns="http://schemas.microsoft.com/office/spreadsheetml/2018/threadedcomments" xmlns:x="http://schemas.openxmlformats.org/spreadsheetml/2006/main">
  <threadedComment ref="C6" dT="2022-07-07T15:51:56.44" personId="{66C3A27B-E5E0-42C0-9A4D-8220ABF6F9A7}" id="{8CF98E34-53E9-47B8-994B-BA847A9E1A4C}">
    <text>Gucinsky et al. (2001)</text>
  </threadedComment>
  <threadedComment ref="C7" dT="2022-07-07T15:50:04.06" personId="{66C3A27B-E5E0-42C0-9A4D-8220ABF6F9A7}" id="{C269F581-6FAC-4AA0-B862-11C03A66F0C1}">
    <text>Rothwell (1983)</text>
  </threadedComment>
</ThreadedComments>
</file>

<file path=xl/threadedComments/threadedComment4.xml><?xml version="1.0" encoding="utf-8"?>
<ThreadedComments xmlns="http://schemas.microsoft.com/office/spreadsheetml/2018/threadedcomments" xmlns:x="http://schemas.openxmlformats.org/spreadsheetml/2006/main">
  <threadedComment ref="G2" dT="2022-07-13T15:22:53.29" personId="{66C3A27B-E5E0-42C0-9A4D-8220ABF6F9A7}" id="{74404639-DF3B-434B-9B7E-8AA1C0BF2E68}">
    <text>Champlain in source load, Memph in delivered</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anrweb.vt.gov/DEC/cleanWaterDashboard/STPCalculator.aspx" TargetMode="External"/><Relationship Id="rId1" Type="http://schemas.openxmlformats.org/officeDocument/2006/relationships/hyperlink" Target="https://anrweb.vt.gov/DEC/cleanWaterDashboard/STPCalculator.aspx"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dec.vermont.gov/sites/dec/files/wsm/erp/docs/TrackingAccounting/Standard%20Operating%20Procedures%20for%20Tracking%20%26%20Accounting%20of%20Natural%20Resources%20Restoration%20Projects.pdf" TargetMode="External"/><Relationship Id="rId2" Type="http://schemas.openxmlformats.org/officeDocument/2006/relationships/hyperlink" Target="https://dec.vermont.gov/sites/dec/files/wsm/erp/docs/TrackingAccounting/Standard%20Operating%20Procedures%20for%20Tracking%20%26%20Accounting%20of%20Agricultural%20Conservation%20Practices.pdf" TargetMode="External"/><Relationship Id="rId1" Type="http://schemas.openxmlformats.org/officeDocument/2006/relationships/hyperlink" Target="https://anrweb.vt.gov/DEC/cleanWaterDashboard/STPCalculator.aspx" TargetMode="External"/><Relationship Id="rId6" Type="http://schemas.openxmlformats.org/officeDocument/2006/relationships/printerSettings" Target="../printerSettings/printerSettings4.bin"/><Relationship Id="rId5" Type="http://schemas.openxmlformats.org/officeDocument/2006/relationships/hyperlink" Target="https://dec.vermont.gov/document/wid-cwip-guide-phosphorus-accounting-eligibility" TargetMode="External"/><Relationship Id="rId4" Type="http://schemas.openxmlformats.org/officeDocument/2006/relationships/hyperlink" Target="https://dec.vermont.gov/sites/dec/files/wsm/erp/docs/TrackingAccounting/Standard%20Operating%20Procedures%20for%20Tracking%20%26%20Accounting%20of%20Developed%20Lands%20Regulatory%20Projects%20%26%20Non-Regulatory%20Clean%20Water%20Projects.pdf" TargetMode="External"/></Relationships>
</file>

<file path=xl/worksheets/_rels/sheet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5.bin"/><Relationship Id="rId1" Type="http://schemas.openxmlformats.org/officeDocument/2006/relationships/hyperlink" Target="https://maps.vermont.gov/anr/Html5Viewer/?viewer=ANR_ANRAv2.ANRA5&amp;layerTheme=null&amp;scale=144447.638572&amp;basemap=&amp;center=-8140057.021349509%2C5615188.557707628&amp;layers=12GXik2Et%2F7X3lwnb92yjT7k2Hx3G71UWjnc1xvk5y0R67wt06kGDn0pxPbg28ffEu" TargetMode="External"/></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1.vml"/><Relationship Id="rId1" Type="http://schemas.openxmlformats.org/officeDocument/2006/relationships/printerSettings" Target="../printerSettings/printerSettings6.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hyperlink" Target="https://maps.vermont.gov/anr/Html5Viewer/?viewer=ANR_ANRAv2.ANRA5&amp;layerTheme=null&amp;scale=144447.638572&amp;basemap=&amp;center=-8140057.021349509%2C5615188.557707628&amp;layers=12GXik2Et%2F7X3lwnb92yjT7k2Hx3G71UWjnc1xvk5y0R67wt06kGDn0pxPbg28ffEu" TargetMode="External"/></Relationships>
</file>

<file path=xl/worksheets/_rels/sheet8.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7.bin"/><Relationship Id="rId1" Type="http://schemas.openxmlformats.org/officeDocument/2006/relationships/hyperlink" Target="https://maps.vermont.gov/anr/Html5Viewer/?viewer=ANR_ANRAv2.ANRA5&amp;layerTheme=null&amp;scale=144447.638572&amp;basemap=&amp;center=-8140057.021349509%2C5615188.557707628&amp;layers=12GXik2Et%2F7X3lwnb92yjT7k2Hx3G71UWjnc1xvk5y0R67wt06kGDn0pxPbg28ffEu"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dec.vermont.gov/document/vtdec-strategic-wood-addition-crediting-guidance" TargetMode="External"/><Relationship Id="rId2" Type="http://schemas.openxmlformats.org/officeDocument/2006/relationships/hyperlink" Target="https://dec.vermont.gov/water-investment/cwi/state-vermont-clean-water-projects/clean-water-project-tracking-accounting" TargetMode="External"/><Relationship Id="rId1" Type="http://schemas.openxmlformats.org/officeDocument/2006/relationships/hyperlink" Target="https://anrmaps.vermont.gov/websites/anra5/" TargetMode="External"/><Relationship Id="rId5" Type="http://schemas.openxmlformats.org/officeDocument/2006/relationships/table" Target="../tables/table5.xml"/><Relationship Id="rId4"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ffi.stone-env.net/home" TargetMode="External"/><Relationship Id="rId1" Type="http://schemas.openxmlformats.org/officeDocument/2006/relationships/hyperlink" Target="https://anrmaps.vermont.gov/websites/anra5/" TargetMode="External"/><Relationship Id="rId4" Type="http://schemas.openxmlformats.org/officeDocument/2006/relationships/table" Target="../tables/table6.x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ffi.stone-env.net/home" TargetMode="External"/><Relationship Id="rId1" Type="http://schemas.openxmlformats.org/officeDocument/2006/relationships/hyperlink" Target="https://anrmaps.vermont.gov/websites/anra5/" TargetMode="External"/><Relationship Id="rId4" Type="http://schemas.openxmlformats.org/officeDocument/2006/relationships/table" Target="../tables/table7.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2.vml"/><Relationship Id="rId1" Type="http://schemas.openxmlformats.org/officeDocument/2006/relationships/printerSettings" Target="../printerSettings/printerSettings11.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12.bin"/><Relationship Id="rId1" Type="http://schemas.openxmlformats.org/officeDocument/2006/relationships/hyperlink" Target="https://vtanr.maps.arcgis.com/home/item.html?id=c222391cc0124274938fce60912aeabc" TargetMode="External"/><Relationship Id="rId6" Type="http://schemas.microsoft.com/office/2017/10/relationships/threadedComment" Target="../threadedComments/threadedComment3.xml"/><Relationship Id="rId5" Type="http://schemas.openxmlformats.org/officeDocument/2006/relationships/comments" Target="../comments3.xml"/><Relationship Id="rId4" Type="http://schemas.openxmlformats.org/officeDocument/2006/relationships/table" Target="../tables/table9.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printerSettings" Target="../printerSettings/printerSettings14.bin"/><Relationship Id="rId1" Type="http://schemas.openxmlformats.org/officeDocument/2006/relationships/hyperlink" Target="https://maps.vermont.gov/anr/Html5Viewer/?viewer=ANR_ANRAv2.ANRA5&amp;layerTheme=null&amp;scale=144447.638572&amp;basemap=&amp;center=-8140057.021349509%2C5615188.557707628&amp;layers=12GXik2Et%2F7X3lwnb92yjT7k2Hx3G71UWjnc1xvk5y0R67wt06kGDn0pxPbg28ffEu" TargetMode="External"/></Relationships>
</file>

<file path=xl/worksheets/_rels/sheet16.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8" Type="http://schemas.openxmlformats.org/officeDocument/2006/relationships/comments" Target="../comments4.xml"/><Relationship Id="rId3" Type="http://schemas.openxmlformats.org/officeDocument/2006/relationships/hyperlink" Target="https://stone-env-public.s3.amazonaws.com/FFI_User_Guide_2.1.pdf" TargetMode="External"/><Relationship Id="rId7" Type="http://schemas.openxmlformats.org/officeDocument/2006/relationships/vmlDrawing" Target="../drawings/vmlDrawing4.vml"/><Relationship Id="rId2" Type="http://schemas.openxmlformats.org/officeDocument/2006/relationships/hyperlink" Target="http://anrgdb:6262/ReportServer/Pages/ReportViewer.aspx?%2fDEC%2fWSMD%2fTracking%2fCWRFProduction_LandUseLoadingRates&amp;rs:Command=Render" TargetMode="External"/><Relationship Id="rId1" Type="http://schemas.openxmlformats.org/officeDocument/2006/relationships/hyperlink" Target="../../../../../:x:/r/teams/ANR-VTAgriculturalTracking-AccountingTeam-AgriculturalWorkgroup/Shared%20Documents/Agricultural%20Workgroup/Tracking%20%26%20Accounting%20SOP/P%20Land%20Loading%20Rates.xlsx?d=wba16b7faf6744601976195d832c78a9b&amp;csf=1&amp;web=1&amp;e=x4zS1T" TargetMode="External"/><Relationship Id="rId6" Type="http://schemas.openxmlformats.org/officeDocument/2006/relationships/printerSettings" Target="../printerSettings/printerSettings17.bin"/><Relationship Id="rId5" Type="http://schemas.openxmlformats.org/officeDocument/2006/relationships/hyperlink" Target="../../../../../:x:/r/teams/ANR-VTAgriculturalTracking-AccountingTeam-FunctioningFloodplainsInitiativeWorkgroup/Shared%20Documents/Functioning%20Floodplains%20Initiative%20Workgroup/HUC12_Simulation_Results_20250116.xlsx?d=wffc0f321280642aabfabefa533c320f3&amp;csf=1&amp;web=1&amp;e=2nQ5lw" TargetMode="External"/><Relationship Id="rId4" Type="http://schemas.openxmlformats.org/officeDocument/2006/relationships/hyperlink" Target="../../../../../:x:/r/teams/ANR-VTAgriculturalTracking-AccountingTeam-FunctioningFloodplainsInitiativeWorkgroup/Shared%20Documents/Functioning%20Floodplains%20Initiative%20Workgroup/LakeChamplainBasin_Simulation_Results.xlsx?d=wb99ba703ee524186b36a54fb84ef84dd&amp;csf=1&amp;web=1&amp;e=71xmar" TargetMode="External"/><Relationship Id="rId9" Type="http://schemas.microsoft.com/office/2017/10/relationships/threadedComment" Target="../threadedComments/threadedComment4.xm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app.powerbigov.us/view?r=eyJrIjoiMGM0OGI4YWUtYzQyNy00NjhkLTg5NGQtNGFlYzEyODcxZGQ3IiwidCI6IjIwYjQ5MzNiLWJhYWQtNDMzYy05YzAyLTcwZWRjYzc1NTljNiJ9"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A7EB1-F0B8-4E13-90A7-1B49854C0AAD}">
  <sheetPr codeName="Sheet1"/>
  <dimension ref="A1:F20"/>
  <sheetViews>
    <sheetView zoomScale="80" zoomScaleNormal="80" workbookViewId="0">
      <selection activeCell="A36" sqref="A36"/>
    </sheetView>
  </sheetViews>
  <sheetFormatPr defaultRowHeight="14.4" x14ac:dyDescent="0.3"/>
  <cols>
    <col min="1" max="1" width="45.109375" customWidth="1"/>
    <col min="2" max="2" width="13.33203125" customWidth="1"/>
    <col min="3" max="3" width="14.44140625" customWidth="1"/>
    <col min="4" max="4" width="13.5546875" customWidth="1"/>
    <col min="5" max="5" width="12.44140625" customWidth="1"/>
    <col min="6" max="6" width="16" customWidth="1"/>
    <col min="7" max="7" width="11.5546875" bestFit="1" customWidth="1"/>
  </cols>
  <sheetData>
    <row r="1" spans="1:6" ht="28.8" x14ac:dyDescent="0.3">
      <c r="A1" s="24" t="s">
        <v>0</v>
      </c>
      <c r="B1" s="69" t="s">
        <v>1</v>
      </c>
      <c r="C1" s="69" t="s">
        <v>2</v>
      </c>
      <c r="D1" s="69" t="s">
        <v>3</v>
      </c>
      <c r="E1" s="69" t="s">
        <v>4</v>
      </c>
    </row>
    <row r="2" spans="1:6" x14ac:dyDescent="0.3">
      <c r="A2" s="7" t="s">
        <v>5</v>
      </c>
      <c r="B2" s="68">
        <v>78.148298318339172</v>
      </c>
      <c r="C2" s="43">
        <v>831001.91996595403</v>
      </c>
      <c r="D2" s="42">
        <v>146647.39764105075</v>
      </c>
      <c r="E2" s="67">
        <v>977649.31760700478</v>
      </c>
    </row>
    <row r="3" spans="1:6" x14ac:dyDescent="0.3">
      <c r="A3" s="7" t="s">
        <v>6</v>
      </c>
      <c r="B3" s="68">
        <v>83.262485704951246</v>
      </c>
      <c r="C3" s="43">
        <v>930594.71313324315</v>
      </c>
      <c r="D3" s="42">
        <v>164222.59643527819</v>
      </c>
      <c r="E3" s="67">
        <v>1094817.3095685213</v>
      </c>
    </row>
    <row r="4" spans="1:6" x14ac:dyDescent="0.3">
      <c r="A4" s="7" t="s">
        <v>7</v>
      </c>
      <c r="B4" s="68">
        <v>41.856287545975405</v>
      </c>
      <c r="C4" s="43">
        <v>548539.08007907262</v>
      </c>
      <c r="D4" s="42">
        <v>96801.014131601085</v>
      </c>
      <c r="E4" s="67">
        <v>645340.09421067371</v>
      </c>
    </row>
    <row r="5" spans="1:6" x14ac:dyDescent="0.3">
      <c r="A5" s="7" t="s">
        <v>8</v>
      </c>
      <c r="B5" s="68">
        <v>145.29570094873606</v>
      </c>
      <c r="C5" s="43">
        <v>1657731.4165461003</v>
      </c>
      <c r="D5" s="42">
        <v>292540.83821401768</v>
      </c>
      <c r="E5" s="67">
        <v>1950272.254760118</v>
      </c>
    </row>
    <row r="6" spans="1:6" x14ac:dyDescent="0.3">
      <c r="A6" s="7" t="s">
        <v>9</v>
      </c>
      <c r="B6" s="68">
        <v>39.796083676775694</v>
      </c>
      <c r="C6" s="43">
        <v>546830.42204254563</v>
      </c>
      <c r="D6" s="42">
        <v>96499.486242802232</v>
      </c>
      <c r="E6" s="67">
        <v>643329.90828534786</v>
      </c>
    </row>
    <row r="7" spans="1:6" x14ac:dyDescent="0.3">
      <c r="A7" s="7" t="s">
        <v>10</v>
      </c>
      <c r="B7" s="68">
        <v>69.61558493000328</v>
      </c>
      <c r="C7" s="43">
        <v>884804.76583528367</v>
      </c>
      <c r="D7" s="42">
        <v>156142.0175003442</v>
      </c>
      <c r="E7" s="67">
        <v>1040946.7833356279</v>
      </c>
    </row>
    <row r="8" spans="1:6" x14ac:dyDescent="0.3">
      <c r="A8" s="7" t="s">
        <v>11</v>
      </c>
      <c r="B8" s="68">
        <v>44.217860188954752</v>
      </c>
      <c r="C8" s="43">
        <v>550497.68239780143</v>
      </c>
      <c r="D8" s="42">
        <v>97146.6498349061</v>
      </c>
      <c r="E8" s="67">
        <v>647644.33223270753</v>
      </c>
    </row>
    <row r="9" spans="1:6" x14ac:dyDescent="0.3">
      <c r="A9" s="7" t="s">
        <v>12</v>
      </c>
      <c r="B9" s="68">
        <v>502.19230131373558</v>
      </c>
      <c r="C9" s="43">
        <v>5950000.0000000009</v>
      </c>
      <c r="D9" s="42">
        <v>1050000</v>
      </c>
      <c r="E9" s="67">
        <v>7000000.0000000009</v>
      </c>
    </row>
    <row r="12" spans="1:6" ht="15" thickBot="1" x14ac:dyDescent="0.35"/>
    <row r="13" spans="1:6" ht="58.2" thickBot="1" x14ac:dyDescent="0.35">
      <c r="A13" s="121" t="s">
        <v>13</v>
      </c>
      <c r="B13" s="122" t="s">
        <v>14</v>
      </c>
      <c r="C13" s="122" t="s">
        <v>15</v>
      </c>
      <c r="D13" s="122" t="s">
        <v>16</v>
      </c>
      <c r="E13" s="69" t="s">
        <v>1</v>
      </c>
      <c r="F13" s="69" t="s">
        <v>17</v>
      </c>
    </row>
    <row r="14" spans="1:6" ht="15" thickBot="1" x14ac:dyDescent="0.35">
      <c r="A14" s="7" t="s">
        <v>5</v>
      </c>
      <c r="B14" s="123">
        <v>33</v>
      </c>
      <c r="C14" s="123">
        <v>25</v>
      </c>
      <c r="D14" s="123">
        <v>160.5</v>
      </c>
      <c r="E14" s="68">
        <v>78.148298318339172</v>
      </c>
      <c r="F14" s="124">
        <f>E14-D14</f>
        <v>-82.351701681660828</v>
      </c>
    </row>
    <row r="15" spans="1:6" ht="15" thickBot="1" x14ac:dyDescent="0.35">
      <c r="A15" s="7" t="s">
        <v>6</v>
      </c>
      <c r="B15" s="123">
        <v>22</v>
      </c>
      <c r="C15" s="123">
        <v>17</v>
      </c>
      <c r="D15" s="123">
        <v>48.46</v>
      </c>
      <c r="E15" s="68">
        <v>83.262485704951246</v>
      </c>
      <c r="F15" s="124">
        <f>E15-D15</f>
        <v>34.802485704951245</v>
      </c>
    </row>
    <row r="16" spans="1:6" ht="15" thickBot="1" x14ac:dyDescent="0.35">
      <c r="A16" s="7" t="s">
        <v>7</v>
      </c>
      <c r="B16" s="123">
        <v>28</v>
      </c>
      <c r="C16" s="123">
        <v>34</v>
      </c>
      <c r="D16" s="123">
        <v>120.54</v>
      </c>
      <c r="E16" s="68">
        <v>41.856287545975405</v>
      </c>
      <c r="F16" s="124">
        <f t="shared" ref="F16:F20" si="0">E16-D16</f>
        <v>-78.683712454024601</v>
      </c>
    </row>
    <row r="17" spans="1:6" ht="15" thickBot="1" x14ac:dyDescent="0.35">
      <c r="A17" s="7" t="s">
        <v>8</v>
      </c>
      <c r="B17" s="123">
        <v>35</v>
      </c>
      <c r="C17" s="123">
        <v>20</v>
      </c>
      <c r="D17" s="123">
        <v>63.49</v>
      </c>
      <c r="E17" s="68">
        <v>145.29570094873606</v>
      </c>
      <c r="F17" s="124">
        <f t="shared" si="0"/>
        <v>81.805700948736046</v>
      </c>
    </row>
    <row r="18" spans="1:6" ht="15" thickBot="1" x14ac:dyDescent="0.35">
      <c r="A18" s="7" t="s">
        <v>9</v>
      </c>
      <c r="B18" s="123">
        <v>47</v>
      </c>
      <c r="C18" s="123">
        <v>22</v>
      </c>
      <c r="D18" s="123">
        <v>60.81</v>
      </c>
      <c r="E18" s="68">
        <v>39.796083676775694</v>
      </c>
      <c r="F18" s="124">
        <f t="shared" si="0"/>
        <v>-21.013916323224308</v>
      </c>
    </row>
    <row r="19" spans="1:6" ht="15" thickBot="1" x14ac:dyDescent="0.35">
      <c r="A19" s="7" t="s">
        <v>10</v>
      </c>
      <c r="B19" s="123">
        <v>63</v>
      </c>
      <c r="C19" s="123">
        <v>43</v>
      </c>
      <c r="D19" s="123">
        <v>90.28</v>
      </c>
      <c r="E19" s="68">
        <v>69.61558493000328</v>
      </c>
      <c r="F19" s="124">
        <f t="shared" si="0"/>
        <v>-20.664415069996721</v>
      </c>
    </row>
    <row r="20" spans="1:6" ht="15" thickBot="1" x14ac:dyDescent="0.35">
      <c r="A20" s="7" t="s">
        <v>11</v>
      </c>
      <c r="B20" s="123">
        <v>39</v>
      </c>
      <c r="C20" s="123">
        <v>16</v>
      </c>
      <c r="D20" s="123">
        <v>23.51</v>
      </c>
      <c r="E20" s="68">
        <v>44.217860188954752</v>
      </c>
      <c r="F20" s="124">
        <f t="shared" si="0"/>
        <v>20.707860188954751</v>
      </c>
    </row>
  </sheetData>
  <sheetProtection algorithmName="SHA-512" hashValue="kDpby8cmNpIUtrSOrI8VcvJ8WZ9VeDRrO/SeO3Gnra30UoLlChUHFCPQKBw6wZLPQT7gfl1ywbxLDPMz8XdcxA==" saltValue="SpNKTNllC9rL77sKkIK+fA==" spinCount="100000" sheet="1" objects="1" scenario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B44F2-9E29-496E-B8FB-1E986558319E}">
  <sheetPr codeName="Sheet2"/>
  <dimension ref="A1:C19"/>
  <sheetViews>
    <sheetView workbookViewId="0">
      <selection activeCell="C13" sqref="C13"/>
    </sheetView>
  </sheetViews>
  <sheetFormatPr defaultColWidth="8.88671875" defaultRowHeight="14.4" x14ac:dyDescent="0.3"/>
  <cols>
    <col min="1" max="1" width="16.44140625" customWidth="1"/>
    <col min="2" max="2" width="33.88671875" customWidth="1"/>
    <col min="3" max="3" width="30.44140625" customWidth="1"/>
  </cols>
  <sheetData>
    <row r="1" spans="1:3" ht="15.6" thickBot="1" x14ac:dyDescent="0.35">
      <c r="A1" s="53" t="s">
        <v>18</v>
      </c>
    </row>
    <row r="2" spans="1:3" ht="55.2" x14ac:dyDescent="0.3">
      <c r="A2" s="70" t="s">
        <v>19</v>
      </c>
      <c r="B2" s="71" t="s">
        <v>20</v>
      </c>
      <c r="C2" s="71" t="s">
        <v>21</v>
      </c>
    </row>
    <row r="3" spans="1:3" x14ac:dyDescent="0.3">
      <c r="A3" s="386" t="s">
        <v>22</v>
      </c>
      <c r="B3" s="54" t="s">
        <v>23</v>
      </c>
      <c r="C3" s="55">
        <v>16647</v>
      </c>
    </row>
    <row r="4" spans="1:3" x14ac:dyDescent="0.3">
      <c r="A4" s="386"/>
      <c r="B4" s="54" t="s">
        <v>24</v>
      </c>
      <c r="C4" s="55">
        <v>10041</v>
      </c>
    </row>
    <row r="5" spans="1:3" x14ac:dyDescent="0.3">
      <c r="A5" s="386"/>
      <c r="B5" s="54" t="s">
        <v>25</v>
      </c>
      <c r="C5" s="55">
        <v>5116</v>
      </c>
    </row>
    <row r="6" spans="1:3" x14ac:dyDescent="0.3">
      <c r="A6" s="386"/>
      <c r="B6" s="56" t="s">
        <v>26</v>
      </c>
      <c r="C6" s="55">
        <f>AVERAGE(C3:C5)</f>
        <v>10601.333333333334</v>
      </c>
    </row>
    <row r="7" spans="1:3" x14ac:dyDescent="0.3">
      <c r="A7" s="387" t="s">
        <v>27</v>
      </c>
      <c r="B7" s="54" t="s">
        <v>28</v>
      </c>
      <c r="C7" s="55">
        <v>46026</v>
      </c>
    </row>
    <row r="8" spans="1:3" x14ac:dyDescent="0.3">
      <c r="A8" s="388"/>
      <c r="B8" s="54" t="s">
        <v>29</v>
      </c>
      <c r="C8" s="57">
        <v>3153</v>
      </c>
    </row>
    <row r="9" spans="1:3" x14ac:dyDescent="0.3">
      <c r="A9" s="388"/>
      <c r="B9" s="54" t="s">
        <v>25</v>
      </c>
      <c r="C9" s="55">
        <v>5116</v>
      </c>
    </row>
    <row r="10" spans="1:3" x14ac:dyDescent="0.3">
      <c r="A10" s="388"/>
      <c r="B10" s="54" t="s">
        <v>30</v>
      </c>
      <c r="C10" s="55">
        <v>8333</v>
      </c>
    </row>
    <row r="11" spans="1:3" x14ac:dyDescent="0.3">
      <c r="A11" s="388"/>
      <c r="B11" s="54" t="s">
        <v>31</v>
      </c>
      <c r="C11" s="55">
        <v>16482</v>
      </c>
    </row>
    <row r="12" spans="1:3" x14ac:dyDescent="0.3">
      <c r="A12" s="389"/>
      <c r="B12" s="56" t="s">
        <v>32</v>
      </c>
      <c r="C12" s="55">
        <f>AVERAGE(C7:C11)</f>
        <v>15822</v>
      </c>
    </row>
    <row r="13" spans="1:3" x14ac:dyDescent="0.3">
      <c r="A13" s="387" t="s">
        <v>33</v>
      </c>
      <c r="B13" s="54" t="s">
        <v>25</v>
      </c>
      <c r="C13" s="55">
        <v>5116</v>
      </c>
    </row>
    <row r="14" spans="1:3" x14ac:dyDescent="0.3">
      <c r="A14" s="388"/>
      <c r="B14" s="54" t="s">
        <v>30</v>
      </c>
      <c r="C14" s="55">
        <v>8333</v>
      </c>
    </row>
    <row r="15" spans="1:3" x14ac:dyDescent="0.3">
      <c r="A15" s="389"/>
      <c r="B15" s="56" t="s">
        <v>34</v>
      </c>
      <c r="C15" s="55">
        <f>AVERAGE(C13:C14)</f>
        <v>6724.5</v>
      </c>
    </row>
    <row r="16" spans="1:3" x14ac:dyDescent="0.3">
      <c r="A16" s="387" t="s">
        <v>35</v>
      </c>
      <c r="B16" s="54" t="s">
        <v>36</v>
      </c>
      <c r="C16" s="55">
        <v>15245</v>
      </c>
    </row>
    <row r="17" spans="1:3" x14ac:dyDescent="0.3">
      <c r="A17" s="388"/>
      <c r="B17" s="54" t="s">
        <v>25</v>
      </c>
      <c r="C17" s="55">
        <v>5116</v>
      </c>
    </row>
    <row r="18" spans="1:3" x14ac:dyDescent="0.3">
      <c r="A18" s="388"/>
      <c r="B18" s="54" t="s">
        <v>30</v>
      </c>
      <c r="C18" s="55">
        <v>8333</v>
      </c>
    </row>
    <row r="19" spans="1:3" x14ac:dyDescent="0.3">
      <c r="A19" s="389"/>
      <c r="B19" s="56" t="s">
        <v>37</v>
      </c>
      <c r="C19" s="55">
        <f>AVERAGE(C16:C18)</f>
        <v>9564.6666666666661</v>
      </c>
    </row>
  </sheetData>
  <sheetProtection algorithmName="SHA-512" hashValue="t/iNpAQOzoN5z9gwnPtp+5TziGQVCNOoSoskqXj8ZcLg+WRK5g6SjbajaeWyP7JOTLgSD5W0CcqtOqaEGt891A==" saltValue="iWN3G5kojz3DbZHmuXHFNA==" spinCount="100000" sheet="1" objects="1" scenarios="1"/>
  <mergeCells count="4">
    <mergeCell ref="A3:A6"/>
    <mergeCell ref="A7:A12"/>
    <mergeCell ref="A13:A15"/>
    <mergeCell ref="A16:A19"/>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37414-32C5-4D19-9A91-B62DF141BAE8}">
  <sheetPr codeName="Sheet3"/>
  <dimension ref="A1:H13"/>
  <sheetViews>
    <sheetView zoomScale="82" zoomScaleNormal="82" workbookViewId="0">
      <selection activeCell="G5" sqref="G5"/>
    </sheetView>
  </sheetViews>
  <sheetFormatPr defaultRowHeight="14.4" x14ac:dyDescent="0.3"/>
  <cols>
    <col min="1" max="2" width="26.44140625" customWidth="1"/>
    <col min="3" max="6" width="16" customWidth="1"/>
    <col min="7" max="7" width="71.5546875" customWidth="1"/>
    <col min="8" max="8" width="43.33203125" customWidth="1"/>
    <col min="9" max="9" width="20.109375" customWidth="1"/>
  </cols>
  <sheetData>
    <row r="1" spans="1:8" ht="48.6" customHeight="1" x14ac:dyDescent="0.3">
      <c r="C1" s="390" t="s">
        <v>38</v>
      </c>
      <c r="D1" s="390"/>
      <c r="E1" s="390"/>
      <c r="F1" s="390"/>
    </row>
    <row r="2" spans="1:8" s="72" customFormat="1" ht="144" customHeight="1" x14ac:dyDescent="0.3">
      <c r="A2" s="106" t="s">
        <v>39</v>
      </c>
      <c r="B2" s="106" t="s">
        <v>40</v>
      </c>
      <c r="C2" s="106" t="s">
        <v>41</v>
      </c>
      <c r="D2" s="106" t="s">
        <v>42</v>
      </c>
      <c r="E2" s="106" t="s">
        <v>43</v>
      </c>
      <c r="F2" s="106" t="s">
        <v>44</v>
      </c>
      <c r="G2" s="107" t="s">
        <v>45</v>
      </c>
      <c r="H2" s="106" t="s">
        <v>46</v>
      </c>
    </row>
    <row r="3" spans="1:8" ht="140.4" x14ac:dyDescent="0.3">
      <c r="A3" s="112" t="s">
        <v>47</v>
      </c>
      <c r="B3" s="112" t="s">
        <v>48</v>
      </c>
      <c r="C3" s="108">
        <v>165305</v>
      </c>
      <c r="D3" s="109">
        <v>0.2</v>
      </c>
      <c r="E3" s="110">
        <v>9.93</v>
      </c>
      <c r="F3" s="111">
        <v>16647</v>
      </c>
      <c r="G3" s="112" t="s">
        <v>49</v>
      </c>
      <c r="H3" s="112" t="s">
        <v>50</v>
      </c>
    </row>
    <row r="4" spans="1:8" ht="109.2" x14ac:dyDescent="0.3">
      <c r="A4" s="117" t="s">
        <v>24</v>
      </c>
      <c r="B4" s="117" t="s">
        <v>51</v>
      </c>
      <c r="C4" s="114">
        <v>3213</v>
      </c>
      <c r="D4" s="115">
        <v>0.2</v>
      </c>
      <c r="E4" s="113">
        <v>0.32</v>
      </c>
      <c r="F4" s="116">
        <v>10041</v>
      </c>
      <c r="G4" s="117" t="s">
        <v>52</v>
      </c>
      <c r="H4" s="117" t="s">
        <v>53</v>
      </c>
    </row>
    <row r="5" spans="1:8" ht="124.8" x14ac:dyDescent="0.3">
      <c r="A5" s="117" t="s">
        <v>54</v>
      </c>
      <c r="B5" s="117" t="s">
        <v>55</v>
      </c>
      <c r="C5" s="114">
        <v>7214</v>
      </c>
      <c r="D5" s="115">
        <v>0</v>
      </c>
      <c r="E5" s="113">
        <v>1.41</v>
      </c>
      <c r="F5" s="116">
        <v>5116</v>
      </c>
      <c r="G5" s="72" t="s">
        <v>56</v>
      </c>
      <c r="H5" s="117" t="s">
        <v>57</v>
      </c>
    </row>
    <row r="6" spans="1:8" ht="62.4" x14ac:dyDescent="0.3">
      <c r="A6" s="117" t="s">
        <v>58</v>
      </c>
      <c r="B6" s="117" t="s">
        <v>59</v>
      </c>
      <c r="C6" s="114">
        <v>150</v>
      </c>
      <c r="D6" s="115">
        <v>0</v>
      </c>
      <c r="E6" s="113">
        <v>1.7999999999999999E-2</v>
      </c>
      <c r="F6" s="116">
        <v>8333</v>
      </c>
      <c r="G6" s="180" t="s">
        <v>60</v>
      </c>
      <c r="H6" s="117" t="s">
        <v>61</v>
      </c>
    </row>
    <row r="7" spans="1:8" ht="46.8" x14ac:dyDescent="0.3">
      <c r="A7" s="117" t="s">
        <v>28</v>
      </c>
      <c r="B7" s="117" t="s">
        <v>62</v>
      </c>
      <c r="C7" s="114">
        <v>41884</v>
      </c>
      <c r="D7" s="118">
        <v>0.22500000000000001</v>
      </c>
      <c r="E7" s="113">
        <v>0.91</v>
      </c>
      <c r="F7" s="116">
        <v>46026</v>
      </c>
      <c r="G7" s="119" t="s">
        <v>63</v>
      </c>
      <c r="H7" s="117" t="s">
        <v>64</v>
      </c>
    </row>
    <row r="8" spans="1:8" ht="46.8" x14ac:dyDescent="0.3">
      <c r="A8" s="117" t="s">
        <v>31</v>
      </c>
      <c r="B8" s="117" t="s">
        <v>62</v>
      </c>
      <c r="C8" s="114">
        <v>14339</v>
      </c>
      <c r="D8" s="115">
        <v>0.2</v>
      </c>
      <c r="E8" s="113">
        <v>0.87</v>
      </c>
      <c r="F8" s="116">
        <v>16482</v>
      </c>
      <c r="G8" s="119" t="s">
        <v>65</v>
      </c>
      <c r="H8" s="117" t="s">
        <v>64</v>
      </c>
    </row>
    <row r="9" spans="1:8" ht="31.2" x14ac:dyDescent="0.3">
      <c r="A9" s="117" t="s">
        <v>29</v>
      </c>
      <c r="B9" s="117" t="s">
        <v>66</v>
      </c>
      <c r="C9" s="114">
        <v>50767</v>
      </c>
      <c r="D9" s="115">
        <v>0</v>
      </c>
      <c r="E9" s="113">
        <v>16.100000000000001</v>
      </c>
      <c r="F9" s="116">
        <v>3153</v>
      </c>
      <c r="G9" s="117" t="s">
        <v>67</v>
      </c>
      <c r="H9" s="113"/>
    </row>
    <row r="10" spans="1:8" ht="31.2" x14ac:dyDescent="0.3">
      <c r="A10" s="117" t="s">
        <v>36</v>
      </c>
      <c r="B10" s="117" t="s">
        <v>68</v>
      </c>
      <c r="C10" s="114">
        <v>33845</v>
      </c>
      <c r="D10" s="115">
        <v>0</v>
      </c>
      <c r="E10" s="113">
        <v>2.2200000000000002</v>
      </c>
      <c r="F10" s="116">
        <v>15245</v>
      </c>
      <c r="G10" s="117" t="s">
        <v>69</v>
      </c>
      <c r="H10" s="113"/>
    </row>
    <row r="11" spans="1:8" x14ac:dyDescent="0.3">
      <c r="D11" s="44"/>
    </row>
    <row r="12" spans="1:8" x14ac:dyDescent="0.3">
      <c r="D12" s="44"/>
    </row>
    <row r="13" spans="1:8" x14ac:dyDescent="0.3">
      <c r="D13" s="44"/>
    </row>
  </sheetData>
  <sheetProtection algorithmName="SHA-512" hashValue="zmF94YUjqSELA38xT+O8oc8/VHd5SbelFtjdBk8gcGYYkCKrf5DNw3bao1M+cMJTwCRk6T8ffo0qTRn/pEsdZQ==" saltValue="AqSrCjKFowpjaA8gprb0Rw==" spinCount="100000" sheet="1" objects="1" scenarios="1"/>
  <mergeCells count="1">
    <mergeCell ref="C1:F1"/>
  </mergeCells>
  <hyperlinks>
    <hyperlink ref="G7" r:id="rId1" xr:uid="{48FA95E9-C286-4B88-9DAE-243DF7A3CC30}"/>
    <hyperlink ref="G8" r:id="rId2" display="Use STP Calculator tool" xr:uid="{98EC2DDE-A3AA-4602-BC9D-7B41543A0276}"/>
    <hyperlink ref="G6" location="'Lake Shoreline '!A1" display="Develop Lake Shoreline spreadsheet based interim calculator tool to run equation based on volume of erosion reduced" xr:uid="{1487DCDA-2E71-420F-B8DB-52DE754B765F}"/>
  </hyperlinks>
  <pageMargins left="0.7" right="0.7" top="0.75" bottom="0.75" header="0.3" footer="0.3"/>
  <pageSetup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05BA5-A679-4B06-BBFD-6C9D3114B83F}">
  <sheetPr codeName="Sheet4">
    <tabColor theme="9"/>
  </sheetPr>
  <dimension ref="A1:C69"/>
  <sheetViews>
    <sheetView tabSelected="1" zoomScaleNormal="100" workbookViewId="0">
      <pane ySplit="5" topLeftCell="A6" activePane="bottomLeft" state="frozen"/>
      <selection pane="bottomLeft"/>
    </sheetView>
  </sheetViews>
  <sheetFormatPr defaultRowHeight="14.4" x14ac:dyDescent="0.3"/>
  <cols>
    <col min="1" max="1" width="49.109375" style="184" customWidth="1"/>
    <col min="2" max="2" width="132.88671875" style="184" customWidth="1"/>
    <col min="3" max="3" width="59.88671875" style="184" customWidth="1"/>
    <col min="5" max="5" width="16.88671875" customWidth="1"/>
    <col min="6" max="6" width="15.109375" customWidth="1"/>
  </cols>
  <sheetData>
    <row r="1" spans="1:3" ht="22.8" customHeight="1" x14ac:dyDescent="0.3">
      <c r="A1" s="369" t="s">
        <v>70</v>
      </c>
      <c r="B1" s="391" t="s">
        <v>71</v>
      </c>
      <c r="C1" s="365" t="s">
        <v>72</v>
      </c>
    </row>
    <row r="2" spans="1:3" ht="22.8" customHeight="1" x14ac:dyDescent="0.3">
      <c r="A2" s="370" t="s">
        <v>73</v>
      </c>
      <c r="B2" s="391"/>
      <c r="C2" s="366" t="s">
        <v>74</v>
      </c>
    </row>
    <row r="3" spans="1:3" ht="22.8" customHeight="1" x14ac:dyDescent="0.3">
      <c r="A3" s="370" t="s">
        <v>75</v>
      </c>
      <c r="B3" s="391"/>
      <c r="C3" s="367" t="s">
        <v>76</v>
      </c>
    </row>
    <row r="4" spans="1:3" ht="22.8" customHeight="1" thickBot="1" x14ac:dyDescent="0.35">
      <c r="A4" s="508" t="s">
        <v>77</v>
      </c>
      <c r="B4" s="392"/>
      <c r="C4" s="368">
        <f ca="1">TODAY()</f>
        <v>45694</v>
      </c>
    </row>
    <row r="5" spans="1:3" ht="21.6" thickBot="1" x14ac:dyDescent="0.35">
      <c r="A5" s="334" t="s">
        <v>78</v>
      </c>
      <c r="B5" s="334" t="s">
        <v>79</v>
      </c>
      <c r="C5" s="334" t="s">
        <v>80</v>
      </c>
    </row>
    <row r="6" spans="1:3" ht="15" thickTop="1" x14ac:dyDescent="0.3">
      <c r="A6" s="361"/>
      <c r="B6" s="361"/>
      <c r="C6" s="361"/>
    </row>
    <row r="7" spans="1:3" x14ac:dyDescent="0.3">
      <c r="A7" s="362" t="s">
        <v>81</v>
      </c>
      <c r="B7" s="185" t="s">
        <v>82</v>
      </c>
      <c r="C7" s="393" t="s">
        <v>83</v>
      </c>
    </row>
    <row r="8" spans="1:3" x14ac:dyDescent="0.3">
      <c r="A8" s="362" t="s">
        <v>84</v>
      </c>
      <c r="B8" s="185" t="s">
        <v>85</v>
      </c>
      <c r="C8" s="393"/>
    </row>
    <row r="9" spans="1:3" x14ac:dyDescent="0.3">
      <c r="A9" s="362" t="s">
        <v>86</v>
      </c>
      <c r="B9" s="185" t="s">
        <v>87</v>
      </c>
      <c r="C9" s="393"/>
    </row>
    <row r="10" spans="1:3" ht="25.8" customHeight="1" x14ac:dyDescent="0.3">
      <c r="A10" s="362" t="s">
        <v>88</v>
      </c>
      <c r="B10" s="185" t="s">
        <v>89</v>
      </c>
      <c r="C10" s="393"/>
    </row>
    <row r="11" spans="1:3" ht="24" x14ac:dyDescent="0.3">
      <c r="A11" s="362" t="s">
        <v>90</v>
      </c>
      <c r="B11" s="185" t="s">
        <v>91</v>
      </c>
      <c r="C11" s="393"/>
    </row>
    <row r="12" spans="1:3" ht="24" x14ac:dyDescent="0.3">
      <c r="A12" s="362" t="s">
        <v>92</v>
      </c>
      <c r="B12" s="185" t="s">
        <v>93</v>
      </c>
      <c r="C12" s="393"/>
    </row>
    <row r="13" spans="1:3" x14ac:dyDescent="0.3">
      <c r="A13" s="362" t="s">
        <v>94</v>
      </c>
      <c r="B13" s="185" t="s">
        <v>95</v>
      </c>
      <c r="C13" s="393"/>
    </row>
    <row r="14" spans="1:3" x14ac:dyDescent="0.3">
      <c r="A14" s="362" t="s">
        <v>96</v>
      </c>
      <c r="B14" s="185" t="s">
        <v>97</v>
      </c>
      <c r="C14" s="393"/>
    </row>
    <row r="15" spans="1:3" ht="24" x14ac:dyDescent="0.3">
      <c r="A15" s="362" t="s">
        <v>98</v>
      </c>
      <c r="B15" s="185" t="s">
        <v>99</v>
      </c>
      <c r="C15" s="393"/>
    </row>
    <row r="16" spans="1:3" x14ac:dyDescent="0.3">
      <c r="A16" s="362" t="s">
        <v>100</v>
      </c>
      <c r="B16" s="185" t="s">
        <v>101</v>
      </c>
      <c r="C16" s="393"/>
    </row>
    <row r="17" spans="1:3" x14ac:dyDescent="0.3">
      <c r="A17" s="362" t="s">
        <v>102</v>
      </c>
      <c r="B17" s="185" t="s">
        <v>103</v>
      </c>
      <c r="C17" s="393"/>
    </row>
    <row r="18" spans="1:3" x14ac:dyDescent="0.3">
      <c r="A18" s="362" t="s">
        <v>104</v>
      </c>
      <c r="B18" s="185" t="s">
        <v>105</v>
      </c>
      <c r="C18" s="393"/>
    </row>
    <row r="19" spans="1:3" ht="24" x14ac:dyDescent="0.3">
      <c r="A19" s="362" t="s">
        <v>106</v>
      </c>
      <c r="B19" s="185" t="s">
        <v>107</v>
      </c>
      <c r="C19" s="393"/>
    </row>
    <row r="20" spans="1:3" x14ac:dyDescent="0.3">
      <c r="A20" s="361"/>
      <c r="B20" s="186"/>
      <c r="C20" s="361"/>
    </row>
    <row r="21" spans="1:3" ht="36" x14ac:dyDescent="0.3">
      <c r="A21" s="362" t="s">
        <v>108</v>
      </c>
      <c r="B21" s="185" t="s">
        <v>109</v>
      </c>
      <c r="C21" s="363" t="s">
        <v>110</v>
      </c>
    </row>
    <row r="22" spans="1:3" x14ac:dyDescent="0.3">
      <c r="A22" s="361"/>
      <c r="B22" s="186"/>
      <c r="C22" s="361"/>
    </row>
    <row r="23" spans="1:3" ht="48" x14ac:dyDescent="0.3">
      <c r="A23" s="362" t="s">
        <v>111</v>
      </c>
      <c r="B23" s="185" t="s">
        <v>112</v>
      </c>
      <c r="C23" s="363" t="s">
        <v>111</v>
      </c>
    </row>
    <row r="24" spans="1:3" x14ac:dyDescent="0.3">
      <c r="A24" s="361"/>
      <c r="B24" s="186"/>
      <c r="C24" s="361"/>
    </row>
    <row r="25" spans="1:3" ht="48" x14ac:dyDescent="0.3">
      <c r="A25" s="362" t="s">
        <v>113</v>
      </c>
      <c r="B25" s="185" t="s">
        <v>114</v>
      </c>
      <c r="C25" s="363" t="s">
        <v>113</v>
      </c>
    </row>
    <row r="26" spans="1:3" x14ac:dyDescent="0.3">
      <c r="A26" s="361"/>
      <c r="B26" s="186"/>
      <c r="C26" s="186"/>
    </row>
    <row r="27" spans="1:3" ht="36" x14ac:dyDescent="0.3">
      <c r="A27" s="362" t="s">
        <v>115</v>
      </c>
      <c r="B27" s="246" t="s">
        <v>1169</v>
      </c>
      <c r="C27" s="394" t="s">
        <v>116</v>
      </c>
    </row>
    <row r="28" spans="1:3" ht="24" x14ac:dyDescent="0.3">
      <c r="A28" s="362" t="s">
        <v>117</v>
      </c>
      <c r="B28" s="246" t="s">
        <v>118</v>
      </c>
      <c r="C28" s="394"/>
    </row>
    <row r="29" spans="1:3" ht="51.6" customHeight="1" x14ac:dyDescent="0.3">
      <c r="A29" s="362" t="s">
        <v>119</v>
      </c>
      <c r="B29" s="246" t="s">
        <v>1166</v>
      </c>
      <c r="C29" s="394"/>
    </row>
    <row r="30" spans="1:3" ht="36" x14ac:dyDescent="0.3">
      <c r="A30" s="362" t="s">
        <v>120</v>
      </c>
      <c r="B30" s="246" t="s">
        <v>121</v>
      </c>
      <c r="C30" s="394"/>
    </row>
    <row r="31" spans="1:3" ht="31.8" customHeight="1" x14ac:dyDescent="0.3">
      <c r="A31" s="362" t="s">
        <v>122</v>
      </c>
      <c r="B31" s="246" t="s">
        <v>123</v>
      </c>
      <c r="C31" s="394"/>
    </row>
    <row r="32" spans="1:3" ht="65.400000000000006" customHeight="1" x14ac:dyDescent="0.3">
      <c r="A32" s="362" t="s">
        <v>1165</v>
      </c>
      <c r="B32" s="246" t="s">
        <v>1180</v>
      </c>
      <c r="C32" s="394"/>
    </row>
    <row r="33" spans="1:3" ht="24" x14ac:dyDescent="0.3">
      <c r="A33" s="362" t="s">
        <v>124</v>
      </c>
      <c r="B33" s="246" t="s">
        <v>125</v>
      </c>
      <c r="C33" s="394"/>
    </row>
    <row r="34" spans="1:3" ht="24" x14ac:dyDescent="0.3">
      <c r="A34" s="362" t="s">
        <v>126</v>
      </c>
      <c r="B34" s="246" t="s">
        <v>127</v>
      </c>
      <c r="C34" s="394"/>
    </row>
    <row r="35" spans="1:3" ht="24" x14ac:dyDescent="0.3">
      <c r="A35" s="362" t="s">
        <v>128</v>
      </c>
      <c r="B35" s="246" t="s">
        <v>1170</v>
      </c>
      <c r="C35" s="394"/>
    </row>
    <row r="36" spans="1:3" ht="39" customHeight="1" x14ac:dyDescent="0.3">
      <c r="A36" s="362" t="s">
        <v>129</v>
      </c>
      <c r="B36" s="246" t="s">
        <v>130</v>
      </c>
      <c r="C36" s="394"/>
    </row>
    <row r="37" spans="1:3" ht="41.4" customHeight="1" x14ac:dyDescent="0.3">
      <c r="A37" s="362" t="s">
        <v>131</v>
      </c>
      <c r="B37" s="246" t="s">
        <v>132</v>
      </c>
      <c r="C37" s="394"/>
    </row>
    <row r="38" spans="1:3" x14ac:dyDescent="0.3">
      <c r="A38" s="361"/>
      <c r="B38" s="186"/>
      <c r="C38" s="186"/>
    </row>
    <row r="39" spans="1:3" ht="24" x14ac:dyDescent="0.3">
      <c r="A39" s="362" t="s">
        <v>133</v>
      </c>
      <c r="B39" s="246" t="s">
        <v>1171</v>
      </c>
      <c r="C39" s="395" t="s">
        <v>134</v>
      </c>
    </row>
    <row r="40" spans="1:3" ht="36" x14ac:dyDescent="0.3">
      <c r="A40" s="362" t="s">
        <v>135</v>
      </c>
      <c r="B40" s="246" t="s">
        <v>1172</v>
      </c>
      <c r="C40" s="395"/>
    </row>
    <row r="41" spans="1:3" ht="24" x14ac:dyDescent="0.3">
      <c r="A41" s="362" t="s">
        <v>136</v>
      </c>
      <c r="B41" s="246" t="s">
        <v>1173</v>
      </c>
      <c r="C41" s="395"/>
    </row>
    <row r="42" spans="1:3" ht="24" x14ac:dyDescent="0.3">
      <c r="A42" s="362" t="s">
        <v>137</v>
      </c>
      <c r="B42" s="246" t="s">
        <v>1174</v>
      </c>
      <c r="C42" s="395"/>
    </row>
    <row r="43" spans="1:3" ht="25.8" customHeight="1" x14ac:dyDescent="0.3">
      <c r="A43" s="362" t="s">
        <v>138</v>
      </c>
      <c r="B43" s="246" t="s">
        <v>139</v>
      </c>
      <c r="C43" s="395"/>
    </row>
    <row r="44" spans="1:3" ht="36" x14ac:dyDescent="0.3">
      <c r="A44" s="362" t="s">
        <v>140</v>
      </c>
      <c r="B44" s="246" t="s">
        <v>1175</v>
      </c>
      <c r="C44" s="395"/>
    </row>
    <row r="45" spans="1:3" ht="28.2" customHeight="1" x14ac:dyDescent="0.3">
      <c r="A45" s="362" t="s">
        <v>141</v>
      </c>
      <c r="B45" s="246" t="s">
        <v>142</v>
      </c>
      <c r="C45" s="395"/>
    </row>
    <row r="46" spans="1:3" ht="27" customHeight="1" x14ac:dyDescent="0.3">
      <c r="A46" s="362" t="s">
        <v>143</v>
      </c>
      <c r="B46" s="246" t="s">
        <v>1176</v>
      </c>
      <c r="C46" s="395"/>
    </row>
    <row r="47" spans="1:3" ht="24" x14ac:dyDescent="0.3">
      <c r="A47" s="362" t="s">
        <v>144</v>
      </c>
      <c r="B47" s="246" t="s">
        <v>145</v>
      </c>
      <c r="C47" s="395"/>
    </row>
    <row r="48" spans="1:3" ht="29.4" customHeight="1" x14ac:dyDescent="0.3">
      <c r="A48" s="362" t="s">
        <v>146</v>
      </c>
      <c r="B48" s="246" t="s">
        <v>1178</v>
      </c>
      <c r="C48" s="395"/>
    </row>
    <row r="49" spans="1:3" ht="27.6" customHeight="1" x14ac:dyDescent="0.3">
      <c r="A49" s="362" t="s">
        <v>147</v>
      </c>
      <c r="B49" s="246" t="s">
        <v>148</v>
      </c>
      <c r="C49" s="395"/>
    </row>
    <row r="50" spans="1:3" ht="26.4" customHeight="1" x14ac:dyDescent="0.3">
      <c r="A50" s="362" t="s">
        <v>149</v>
      </c>
      <c r="B50" s="246" t="s">
        <v>150</v>
      </c>
      <c r="C50" s="395"/>
    </row>
    <row r="51" spans="1:3" ht="26.4" customHeight="1" x14ac:dyDescent="0.3">
      <c r="A51" s="362" t="s">
        <v>151</v>
      </c>
      <c r="B51" s="246" t="s">
        <v>152</v>
      </c>
      <c r="C51" s="395"/>
    </row>
    <row r="52" spans="1:3" ht="26.4" customHeight="1" x14ac:dyDescent="0.3">
      <c r="A52" s="362" t="s">
        <v>153</v>
      </c>
      <c r="B52" s="246" t="s">
        <v>154</v>
      </c>
      <c r="C52" s="395"/>
    </row>
    <row r="53" spans="1:3" ht="26.4" customHeight="1" x14ac:dyDescent="0.3">
      <c r="A53" s="362" t="s">
        <v>155</v>
      </c>
      <c r="B53" s="246" t="s">
        <v>1167</v>
      </c>
      <c r="C53" s="395"/>
    </row>
    <row r="54" spans="1:3" ht="26.4" customHeight="1" x14ac:dyDescent="0.3">
      <c r="A54" s="362" t="s">
        <v>156</v>
      </c>
      <c r="B54" s="246" t="s">
        <v>1168</v>
      </c>
      <c r="C54" s="395"/>
    </row>
    <row r="55" spans="1:3" ht="26.4" customHeight="1" x14ac:dyDescent="0.3">
      <c r="A55" s="362" t="s">
        <v>157</v>
      </c>
      <c r="B55" s="246" t="s">
        <v>158</v>
      </c>
      <c r="C55" s="395"/>
    </row>
    <row r="56" spans="1:3" ht="26.4" customHeight="1" x14ac:dyDescent="0.3">
      <c r="A56" s="362" t="s">
        <v>159</v>
      </c>
      <c r="B56" s="246" t="s">
        <v>160</v>
      </c>
      <c r="C56" s="395"/>
    </row>
    <row r="57" spans="1:3" ht="26.4" customHeight="1" x14ac:dyDescent="0.3">
      <c r="A57" s="362" t="s">
        <v>161</v>
      </c>
      <c r="B57" s="246" t="s">
        <v>1182</v>
      </c>
      <c r="C57" s="395"/>
    </row>
    <row r="58" spans="1:3" ht="26.4" customHeight="1" x14ac:dyDescent="0.3">
      <c r="A58" s="362" t="s">
        <v>1179</v>
      </c>
      <c r="B58" s="246" t="s">
        <v>163</v>
      </c>
      <c r="C58" s="395"/>
    </row>
    <row r="59" spans="1:3" x14ac:dyDescent="0.3">
      <c r="A59" s="361"/>
      <c r="B59" s="186"/>
      <c r="C59" s="361"/>
    </row>
    <row r="60" spans="1:3" ht="60" x14ac:dyDescent="0.3">
      <c r="A60" s="362" t="s">
        <v>164</v>
      </c>
      <c r="B60" s="246" t="s">
        <v>1177</v>
      </c>
      <c r="C60" s="376" t="s">
        <v>165</v>
      </c>
    </row>
    <row r="61" spans="1:3" x14ac:dyDescent="0.3">
      <c r="A61" s="361"/>
      <c r="B61" s="186"/>
      <c r="C61" s="361"/>
    </row>
    <row r="62" spans="1:3" ht="60" x14ac:dyDescent="0.3">
      <c r="A62" s="362" t="s">
        <v>166</v>
      </c>
      <c r="B62" s="185" t="s">
        <v>167</v>
      </c>
      <c r="C62" s="364" t="s">
        <v>166</v>
      </c>
    </row>
    <row r="63" spans="1:3" x14ac:dyDescent="0.3">
      <c r="A63" s="361"/>
      <c r="B63" s="186"/>
      <c r="C63" s="361"/>
    </row>
    <row r="64" spans="1:3" ht="36" x14ac:dyDescent="0.3">
      <c r="A64" s="185" t="s">
        <v>168</v>
      </c>
      <c r="B64" s="185" t="s">
        <v>169</v>
      </c>
      <c r="C64" s="364" t="s">
        <v>170</v>
      </c>
    </row>
    <row r="65" spans="1:3" x14ac:dyDescent="0.3">
      <c r="A65" s="361"/>
      <c r="B65" s="186"/>
      <c r="C65" s="361"/>
    </row>
    <row r="66" spans="1:3" ht="24" x14ac:dyDescent="0.3">
      <c r="A66" s="362" t="s">
        <v>171</v>
      </c>
      <c r="B66" s="185" t="s">
        <v>172</v>
      </c>
      <c r="C66" s="375" t="s">
        <v>173</v>
      </c>
    </row>
    <row r="67" spans="1:3" x14ac:dyDescent="0.3">
      <c r="A67" s="361"/>
      <c r="B67" s="186"/>
      <c r="C67" s="361"/>
    </row>
    <row r="68" spans="1:3" ht="24" x14ac:dyDescent="0.3">
      <c r="A68" s="362" t="s">
        <v>174</v>
      </c>
      <c r="B68" s="185" t="s">
        <v>175</v>
      </c>
      <c r="C68" s="375" t="s">
        <v>176</v>
      </c>
    </row>
    <row r="69" spans="1:3" x14ac:dyDescent="0.3">
      <c r="A69" s="361"/>
      <c r="B69" s="361"/>
      <c r="C69" s="361"/>
    </row>
  </sheetData>
  <mergeCells count="4">
    <mergeCell ref="B1:B4"/>
    <mergeCell ref="C7:C19"/>
    <mergeCell ref="C27:C37"/>
    <mergeCell ref="C39:C58"/>
  </mergeCells>
  <hyperlinks>
    <hyperlink ref="C66" location="'Forest Road'!A1" display="Forest Road" xr:uid="{47DF95BE-1260-456F-900E-D647D874DA31}"/>
    <hyperlink ref="C21" location="'Lake Shoreline '!A1" display="'Lake Shoreline'" xr:uid="{689BB62F-C812-4815-812B-C800AE2DD1FC}"/>
    <hyperlink ref="C7" r:id="rId1" xr:uid="{DEC1A2EA-3EDA-456A-9F1B-D94081B8150B}"/>
    <hyperlink ref="C64" location="'Riparian Buffer '!A1" display="'Riparian Buffer" xr:uid="{08C0354D-F79A-47A2-BE7D-6BE052192E8B}"/>
    <hyperlink ref="A2" r:id="rId2" xr:uid="{CC221335-8DCF-4922-BCCA-A93489A436C1}"/>
    <hyperlink ref="A3" r:id="rId3" xr:uid="{228A8A12-B885-4070-9C8F-A91D4D8F603C}"/>
    <hyperlink ref="A4" r:id="rId4" xr:uid="{0836AE70-8017-4B2A-BFAA-A22046BC29E6}"/>
    <hyperlink ref="C68" location="'Private Road'!A1" display="Private Road" xr:uid="{DE11328E-5BF1-42A4-95FE-357E9DEAEF90}"/>
    <hyperlink ref="C23" location="'Tree Canopy Expansion'!A1" display="'Tree Canopy Expansion'!A1" xr:uid="{194022F7-56E5-4990-B82E-62267557338F}"/>
    <hyperlink ref="C25" location="'Native Revegetation'!A1" display="'Native Revegetation" xr:uid="{D07E716C-25F1-46B3-9D6B-21F161F4BD57}"/>
    <hyperlink ref="C60" location="'Strategic Wood Addition'!A1" display="'Strategic Wood Addition'!A1" xr:uid="{D26775DF-2D4D-4A0B-A67C-9F6D5F3C603E}"/>
    <hyperlink ref="C27:C37" location="'Floodplain Stream - Acre'!A1" display="Floodplain Stream - Acre" xr:uid="{265107BB-569C-4D0F-8182-0C9B5FF177E4}"/>
    <hyperlink ref="C39:C58" location="'Floodplain Stream - Structure'!A1" display="'Floodplain Stream - Structure (preliminary)" xr:uid="{019FE340-62E3-41BC-9899-F0FDBAA9E3CE}"/>
    <hyperlink ref="C2" r:id="rId5" xr:uid="{43D62596-39FE-4339-A27D-DC2F77E56C16}"/>
    <hyperlink ref="C62" location="'Outlet and Gully Stabilization'!A1" display="Outlet and Gully Stabilization" xr:uid="{1C2676EC-448C-46E5-9922-956D4F974571}"/>
  </hyperlinks>
  <pageMargins left="0.7" right="0.7" top="0.75" bottom="0.75" header="0.3" footer="0.3"/>
  <pageSetup orientation="portrait" r:id="rId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13274-758D-4CE8-95D7-E20107EE53F5}">
  <sheetPr codeName="Sheet6">
    <tabColor theme="4"/>
  </sheetPr>
  <dimension ref="A1:AA64"/>
  <sheetViews>
    <sheetView zoomScaleNormal="100" workbookViewId="0">
      <pane xSplit="1" ySplit="9" topLeftCell="B10" activePane="bottomRight" state="frozen"/>
      <selection pane="topRight" activeCell="B1" sqref="B1"/>
      <selection pane="bottomLeft" activeCell="A9" sqref="A9"/>
      <selection pane="bottomRight" activeCell="P19" sqref="P19"/>
    </sheetView>
  </sheetViews>
  <sheetFormatPr defaultRowHeight="14.4" zeroHeight="1" outlineLevelCol="1" x14ac:dyDescent="0.3"/>
  <cols>
    <col min="1" max="1" width="9.6640625" customWidth="1"/>
    <col min="2" max="2" width="29" style="72" customWidth="1"/>
    <col min="3" max="3" width="35" style="72" customWidth="1"/>
    <col min="4" max="4" width="27.109375" style="72" customWidth="1"/>
    <col min="5" max="7" width="21.44140625" style="72" customWidth="1"/>
    <col min="8" max="10" width="24" style="72" customWidth="1"/>
    <col min="11" max="11" width="19.5546875" style="147" customWidth="1"/>
    <col min="12" max="12" width="26" style="147" hidden="1" customWidth="1" outlineLevel="1"/>
    <col min="13" max="13" width="19.5546875" style="147" hidden="1" customWidth="1" outlineLevel="1"/>
    <col min="14" max="14" width="19.5546875" style="147" hidden="1" customWidth="1" outlineLevel="1" collapsed="1"/>
    <col min="15" max="15" width="19.5546875" style="147" hidden="1" customWidth="1" outlineLevel="1"/>
    <col min="16" max="16" width="19.5546875" style="147" customWidth="1" collapsed="1"/>
    <col min="17" max="17" width="25.33203125" style="72" customWidth="1"/>
    <col min="18" max="22" width="25.33203125" style="72" hidden="1" customWidth="1"/>
    <col min="23" max="26" width="25.33203125" hidden="1" customWidth="1"/>
    <col min="27" max="28" width="25.33203125" customWidth="1"/>
  </cols>
  <sheetData>
    <row r="1" spans="1:27" ht="18.600000000000001" thickBot="1" x14ac:dyDescent="0.4">
      <c r="B1" s="137" t="s">
        <v>177</v>
      </c>
      <c r="C1" s="138"/>
      <c r="D1" s="138"/>
      <c r="E1" s="183"/>
      <c r="F1"/>
      <c r="H1"/>
      <c r="I1"/>
      <c r="J1"/>
      <c r="K1"/>
      <c r="L1"/>
      <c r="M1"/>
      <c r="N1"/>
      <c r="O1"/>
      <c r="P1" t="s">
        <v>178</v>
      </c>
      <c r="Q1"/>
    </row>
    <row r="2" spans="1:27" ht="19.95" customHeight="1" thickTop="1" x14ac:dyDescent="0.3">
      <c r="B2" s="396" t="s">
        <v>179</v>
      </c>
      <c r="C2" s="396"/>
      <c r="D2" s="396"/>
      <c r="E2" s="396"/>
      <c r="F2" s="396"/>
      <c r="G2" s="396"/>
      <c r="H2" s="396"/>
      <c r="I2" s="45"/>
      <c r="J2" s="167"/>
      <c r="K2" s="140"/>
      <c r="L2" s="140"/>
      <c r="M2" s="140"/>
      <c r="N2" s="140"/>
      <c r="O2" s="140"/>
      <c r="P2" s="140"/>
      <c r="Q2" s="140"/>
    </row>
    <row r="3" spans="1:27" ht="19.95" customHeight="1" thickBot="1" x14ac:dyDescent="0.35">
      <c r="B3" s="396"/>
      <c r="C3" s="396"/>
      <c r="D3" s="396"/>
      <c r="E3" s="396"/>
      <c r="F3" s="396"/>
      <c r="G3" s="396"/>
      <c r="H3" s="396"/>
      <c r="I3" s="45"/>
      <c r="J3" s="140"/>
      <c r="K3" s="140"/>
      <c r="L3" s="140"/>
      <c r="M3" s="140"/>
      <c r="N3" s="140"/>
      <c r="O3" s="140"/>
      <c r="P3" s="140"/>
      <c r="Q3" s="140"/>
    </row>
    <row r="4" spans="1:27" ht="15" thickBot="1" x14ac:dyDescent="0.35">
      <c r="B4" s="145" t="s">
        <v>180</v>
      </c>
      <c r="C4" s="146" t="s">
        <v>181</v>
      </c>
      <c r="D4" s="148" t="s">
        <v>182</v>
      </c>
      <c r="E4" s="144" t="s">
        <v>183</v>
      </c>
      <c r="F4" s="149"/>
      <c r="G4" s="149"/>
      <c r="H4" s="144" t="s">
        <v>184</v>
      </c>
      <c r="I4" s="149"/>
      <c r="J4" s="150"/>
      <c r="K4" s="72"/>
      <c r="L4" s="72"/>
      <c r="M4" s="72"/>
      <c r="N4" s="72"/>
      <c r="O4" s="72"/>
      <c r="P4" s="72"/>
      <c r="R4" s="140"/>
      <c r="S4" s="140"/>
      <c r="T4" s="140"/>
      <c r="U4" s="140"/>
      <c r="V4" s="140"/>
    </row>
    <row r="5" spans="1:27" ht="33.6" customHeight="1" x14ac:dyDescent="0.3">
      <c r="B5" s="221" t="s">
        <v>185</v>
      </c>
      <c r="C5" s="222">
        <v>5</v>
      </c>
      <c r="D5" s="223" t="s">
        <v>186</v>
      </c>
      <c r="E5" s="397" t="s">
        <v>187</v>
      </c>
      <c r="F5" s="398"/>
      <c r="G5" s="398"/>
      <c r="H5" s="401" t="s">
        <v>188</v>
      </c>
      <c r="I5" s="402"/>
      <c r="J5" s="403"/>
      <c r="K5" s="72"/>
      <c r="L5" s="72"/>
      <c r="M5" s="72"/>
      <c r="N5" s="72"/>
      <c r="O5" s="72"/>
      <c r="P5" s="72"/>
      <c r="R5" s="140"/>
      <c r="S5" s="140"/>
      <c r="T5" s="140"/>
      <c r="U5" s="140"/>
      <c r="V5" s="140"/>
    </row>
    <row r="6" spans="1:27" ht="33.6" customHeight="1" thickBot="1" x14ac:dyDescent="0.35">
      <c r="B6" s="157" t="s">
        <v>189</v>
      </c>
      <c r="C6" s="224">
        <v>0.4</v>
      </c>
      <c r="D6" s="225" t="s">
        <v>190</v>
      </c>
      <c r="E6" s="399"/>
      <c r="F6" s="400"/>
      <c r="G6" s="400"/>
      <c r="H6" s="404"/>
      <c r="I6" s="405"/>
      <c r="J6" s="406"/>
      <c r="K6" s="72"/>
      <c r="L6" s="72"/>
      <c r="M6" s="72"/>
      <c r="N6" s="72"/>
      <c r="O6" s="72"/>
      <c r="P6" s="72"/>
      <c r="R6" s="140"/>
      <c r="S6" s="140"/>
      <c r="T6" s="140"/>
      <c r="U6" s="140"/>
      <c r="V6" s="140"/>
    </row>
    <row r="7" spans="1:27" s="251" customFormat="1" ht="67.2" customHeight="1" x14ac:dyDescent="0.2">
      <c r="A7" s="350"/>
      <c r="B7" s="351" t="s">
        <v>191</v>
      </c>
      <c r="C7" s="255" t="s">
        <v>192</v>
      </c>
      <c r="D7" s="351" t="s">
        <v>193</v>
      </c>
      <c r="E7" s="351" t="s">
        <v>194</v>
      </c>
      <c r="F7" s="407" t="s">
        <v>195</v>
      </c>
      <c r="G7" s="407"/>
      <c r="H7" s="407"/>
      <c r="I7" s="407"/>
      <c r="J7" s="407"/>
      <c r="K7" s="407"/>
      <c r="L7" s="407"/>
      <c r="M7" s="407"/>
      <c r="N7" s="407"/>
      <c r="O7" s="407"/>
      <c r="P7" s="377" t="s">
        <v>196</v>
      </c>
      <c r="Q7" s="377" t="s">
        <v>197</v>
      </c>
      <c r="R7" s="217"/>
      <c r="S7" s="217"/>
      <c r="T7" s="217"/>
      <c r="U7" s="217"/>
      <c r="V7" s="217"/>
      <c r="W7" s="217"/>
      <c r="X7" s="217"/>
      <c r="Y7" s="217"/>
      <c r="Z7" s="217"/>
      <c r="AA7" s="217"/>
    </row>
    <row r="8" spans="1:27" s="73" customFormat="1" ht="15" thickBot="1" x14ac:dyDescent="0.35">
      <c r="B8" s="202" t="s">
        <v>198</v>
      </c>
      <c r="C8" s="202" t="s">
        <v>199</v>
      </c>
      <c r="D8" s="202" t="s">
        <v>200</v>
      </c>
      <c r="E8" s="202" t="s">
        <v>199</v>
      </c>
      <c r="F8" s="202" t="s">
        <v>199</v>
      </c>
      <c r="G8" s="202" t="s">
        <v>201</v>
      </c>
      <c r="H8" s="202" t="s">
        <v>202</v>
      </c>
      <c r="I8" s="202" t="s">
        <v>203</v>
      </c>
      <c r="J8" s="202" t="s">
        <v>202</v>
      </c>
      <c r="K8" s="202" t="s">
        <v>203</v>
      </c>
      <c r="L8" s="202" t="s">
        <v>202</v>
      </c>
      <c r="M8" s="202" t="s">
        <v>203</v>
      </c>
      <c r="N8" s="202" t="s">
        <v>202</v>
      </c>
      <c r="O8" s="202" t="s">
        <v>203</v>
      </c>
      <c r="P8" s="120" t="s">
        <v>204</v>
      </c>
      <c r="Q8" s="125" t="s">
        <v>205</v>
      </c>
      <c r="R8" s="125" t="s">
        <v>205</v>
      </c>
      <c r="S8" s="125" t="s">
        <v>205</v>
      </c>
      <c r="T8" s="125" t="s">
        <v>205</v>
      </c>
      <c r="U8" s="125" t="s">
        <v>205</v>
      </c>
      <c r="V8" s="125" t="s">
        <v>205</v>
      </c>
      <c r="W8" s="125" t="s">
        <v>205</v>
      </c>
      <c r="X8" s="125" t="s">
        <v>205</v>
      </c>
      <c r="Y8" s="125" t="s">
        <v>205</v>
      </c>
      <c r="Z8" s="125" t="s">
        <v>205</v>
      </c>
      <c r="AA8" s="168" t="s">
        <v>205</v>
      </c>
    </row>
    <row r="9" spans="1:27" ht="43.8" thickBot="1" x14ac:dyDescent="0.35">
      <c r="B9" s="135" t="s">
        <v>206</v>
      </c>
      <c r="C9" s="136" t="s">
        <v>207</v>
      </c>
      <c r="D9" s="136" t="s">
        <v>208</v>
      </c>
      <c r="E9" s="136" t="s">
        <v>209</v>
      </c>
      <c r="F9" s="136" t="s">
        <v>210</v>
      </c>
      <c r="G9" s="136" t="s">
        <v>211</v>
      </c>
      <c r="H9" s="136" t="s">
        <v>212</v>
      </c>
      <c r="I9" s="136" t="s">
        <v>213</v>
      </c>
      <c r="J9" s="136" t="s">
        <v>214</v>
      </c>
      <c r="K9" s="136" t="s">
        <v>215</v>
      </c>
      <c r="L9" s="136" t="s">
        <v>216</v>
      </c>
      <c r="M9" s="136" t="s">
        <v>217</v>
      </c>
      <c r="N9" s="136" t="s">
        <v>218</v>
      </c>
      <c r="O9" s="136" t="s">
        <v>219</v>
      </c>
      <c r="P9" s="317" t="s">
        <v>220</v>
      </c>
      <c r="Q9" s="317" t="s">
        <v>221</v>
      </c>
      <c r="R9" s="317" t="s">
        <v>222</v>
      </c>
      <c r="S9" s="317" t="s">
        <v>223</v>
      </c>
      <c r="T9" s="317" t="s">
        <v>224</v>
      </c>
      <c r="U9" s="317" t="s">
        <v>225</v>
      </c>
      <c r="V9" s="317" t="s">
        <v>226</v>
      </c>
      <c r="W9" s="317" t="s">
        <v>227</v>
      </c>
      <c r="X9" s="317" t="s">
        <v>228</v>
      </c>
      <c r="Y9" s="317" t="s">
        <v>1187</v>
      </c>
      <c r="Z9" s="317" t="s">
        <v>229</v>
      </c>
      <c r="AA9" s="319" t="s">
        <v>230</v>
      </c>
    </row>
    <row r="10" spans="1:27" ht="28.8" x14ac:dyDescent="0.3">
      <c r="B10" s="72" t="s">
        <v>231</v>
      </c>
      <c r="C10" s="72" t="s">
        <v>232</v>
      </c>
      <c r="D10" s="154">
        <v>2</v>
      </c>
      <c r="E10" s="72" t="s">
        <v>233</v>
      </c>
      <c r="F10" s="72" t="s">
        <v>234</v>
      </c>
      <c r="G10" s="147">
        <v>0.1</v>
      </c>
      <c r="H10" s="72" t="s">
        <v>233</v>
      </c>
      <c r="I10" s="147">
        <v>0.4</v>
      </c>
      <c r="J10" s="72" t="s">
        <v>235</v>
      </c>
      <c r="K10" s="147">
        <v>0.5</v>
      </c>
      <c r="L10" s="72"/>
      <c r="N10" s="72"/>
      <c r="P10" s="147">
        <f>riparian_buffer[[#This Row],[Land Use 1 Percent of Drainage Area]]+riparian_buffer[[#This Row],[Land Use 2 Percent of Drainage Area]]+riparian_buffer[[#This Row],[Land Use 3 Percent of Drainage Area]]+riparian_buffer[[#This Row],[Land Use 4 Percent of Drainage Area]]+riparian_buffer[[#This Row],[Land Use 5 Percent of Drainage Area]]</f>
        <v>1</v>
      </c>
      <c r="Q10" s="72">
        <f>riparian_buffer[[#This Row],[Riparian Buffer Area Planted (Acres)]]*$C$5</f>
        <v>10</v>
      </c>
      <c r="R10" s="72">
        <f>IF(riparian_buffer[[#This Row],[Buffer Drainage Area Land Use 1]]='Lookup Tables'!$M$3,VLOOKUP(riparian_buffer[[#This Row],[Project Location TMDL Drainage Area]],'Lookup Tables'!$C$35:$H$67,6,FALSE)*riparian_buffer[[#This Row],[Land Use 1 Percent of Drainage Area]]*riparian_buffer[[#This Row],[Total Buffer Drainage Area]], IF(riparian_buffer[[#This Row],[Buffer Drainage Area Land Use 1]]='Lookup Tables'!$M$4,VLOOKUP(riparian_buffer[[#This Row],[Project Location TMDL Drainage Area]],'Lookup Tables'!$C$68:$H$100,6,FALSE)*riparian_buffer[[#This Row],[Land Use 1 Percent of Drainage Area]]*riparian_buffer[[#This Row],[Total Buffer Drainage Area]],IF(riparian_buffer[[#This Row],[Buffer Drainage Area Land Use 1]]='Lookup Tables'!$M$5,VLOOKUP(riparian_buffer[[#This Row],[Project Location TMDL Drainage Area]],'Lookup Tables'!$C$101:$H$133,6,FALSE)*riparian_buffer[[#This Row],[Land Use 1 Percent of Drainage Area]]*riparian_buffer[[#This Row],[Total Buffer Drainage Area]],IF(riparian_buffer[[#This Row],[Buffer Drainage Area Land Use 1]]='Lookup Tables'!$M$6,VLOOKUP(riparian_buffer[[#This Row],[Project Location TMDL Drainage Area]],'Lookup Tables'!$C$3:$H$34,6,FALSE)*riparian_buffer[[#This Row],[Land Use 1 Percent of Drainage Area]]*riparian_buffer[[#This Row],[Total Buffer Drainage Area]],IF(riparian_buffer[[#This Row],[Buffer Drainage Area Land Use 1]]='Lookup Tables'!$M$7,VLOOKUP(riparian_buffer[[#This Row],[Project Location TMDL Drainage Area]],'Lookup Tables'!$C$134:$H$165,6,FALSE)*riparian_buffer[[#This Row],[Land Use 1 Percent of Drainage Area]]*riparian_buffer[[#This Row],[Total Buffer Drainage Area]],0)))))</f>
        <v>0.85850000000000004</v>
      </c>
      <c r="S10" s="72">
        <f>IF(riparian_buffer[[#This Row],[Buffer Drainage Area Land Use 2]]='Lookup Tables'!$M$3,VLOOKUP(riparian_buffer[[#This Row],[Project Location TMDL Drainage Area]],'Lookup Tables'!$C$35:$H$67,6,FALSE)*riparian_buffer[[#This Row],[Land Use 2 Percent of Drainage Area]]*riparian_buffer[[#This Row],[Total Buffer Drainage Area]], IF(riparian_buffer[[#This Row],[Buffer Drainage Area Land Use 2]]='Lookup Tables'!$M$4,VLOOKUP(riparian_buffer[[#This Row],[Project Location TMDL Drainage Area]],'Lookup Tables'!$C$68:$H$100,6,FALSE)*riparian_buffer[[#This Row],[Land Use 2 Percent of Drainage Area]]*riparian_buffer[[#This Row],[Total Buffer Drainage Area]],IF(riparian_buffer[[#This Row],[Buffer Drainage Area Land Use 2]]='Lookup Tables'!$M$5,VLOOKUP(riparian_buffer[[#This Row],[Project Location TMDL Drainage Area]],'Lookup Tables'!$C$101:$H$133,6,FALSE)*riparian_buffer[[#This Row],[Land Use 2 Percent of Drainage Area]]*riparian_buffer[[#This Row],[Total Buffer Drainage Area]],IF(riparian_buffer[[#This Row],[Buffer Drainage Area Land Use 2]]='Lookup Tables'!$M$6,VLOOKUP(riparian_buffer[[#This Row],[Project Location TMDL Drainage Area]],'Lookup Tables'!$C$3:$H$34,6,FALSE)*riparian_buffer[[#This Row],[Land Use 2 Percent of Drainage Area]]*riparian_buffer[[#This Row],[Total Buffer Drainage Area]],IF(riparian_buffer[[#This Row],[Buffer Drainage Area Land Use 2]]='Lookup Tables'!$M$7,VLOOKUP(riparian_buffer[[#This Row],[Project Location TMDL Drainage Area]],'Lookup Tables'!$C$134:$H$165,6,FALSE)*riparian_buffer[[#This Row],[Land Use 2 Percent of Drainage Area]]*riparian_buffer[[#This Row],[Total Buffer Drainage Area]],0)))))</f>
        <v>0.97880000000000011</v>
      </c>
      <c r="T10" s="72">
        <f>IF(riparian_buffer[[#This Row],[Buffer Drainage Area Land Use 3]]='Lookup Tables'!$M$3,VLOOKUP(riparian_buffer[[#This Row],[Project Location TMDL Drainage Area]],'Lookup Tables'!$C$35:$H$67,6,FALSE)*riparian_buffer[[#This Row],[Land Use 3 Percent of Drainage Area]]*riparian_buffer[[#This Row],[Total Buffer Drainage Area]], IF(riparian_buffer[[#This Row],[Buffer Drainage Area Land Use 3]]='Lookup Tables'!$M$4,VLOOKUP(riparian_buffer[[#This Row],[Project Location TMDL Drainage Area]],'Lookup Tables'!$C$68:$H$100,6,FALSE)*riparian_buffer[[#This Row],[Land Use 3 Percent of Drainage Area]]*riparian_buffer[[#This Row],[Total Buffer Drainage Area]],IF(riparian_buffer[[#This Row],[Buffer Drainage Area Land Use 3]]='Lookup Tables'!$M$5,VLOOKUP(riparian_buffer[[#This Row],[Project Location TMDL Drainage Area]],'Lookup Tables'!$C$101:$H$133,6,FALSE)*riparian_buffer[[#This Row],[Land Use 3 Percent of Drainage Area]]*riparian_buffer[[#This Row],[Total Buffer Drainage Area]],IF(riparian_buffer[[#This Row],[Buffer Drainage Area Land Use 3]]='Lookup Tables'!$M$6,VLOOKUP(riparian_buffer[[#This Row],[Project Location TMDL Drainage Area]],'Lookup Tables'!$C$3:$H$34,6,FALSE)*riparian_buffer[[#This Row],[Land Use 3 Percent of Drainage Area]]*riparian_buffer[[#This Row],[Total Buffer Drainage Area]],IF(riparian_buffer[[#This Row],[Buffer Drainage Area Land Use 3]]='Lookup Tables'!$M$7,VLOOKUP(riparian_buffer[[#This Row],[Project Location TMDL Drainage Area]],'Lookup Tables'!$C$134:$H$165,6,FALSE)*riparian_buffer[[#This Row],[Land Use 3 Percent of Drainage Area]]*riparian_buffer[[#This Row],[Total Buffer Drainage Area]],0)))))</f>
        <v>0.14949999999999999</v>
      </c>
      <c r="U10" s="72">
        <f>IF(riparian_buffer[[#This Row],[Buffer Drainage Area Land Use 4]]='Lookup Tables'!$M$3,VLOOKUP(riparian_buffer[[#This Row],[Project Location TMDL Drainage Area]],'Lookup Tables'!$C$35:$H$67,6,FALSE)*riparian_buffer[[#This Row],[Land Use 4 Percent of Drainage Area]]*riparian_buffer[[#This Row],[Total Buffer Drainage Area]], IF(riparian_buffer[[#This Row],[Buffer Drainage Area Land Use 4]]='Lookup Tables'!$M$4,VLOOKUP(riparian_buffer[[#This Row],[Project Location TMDL Drainage Area]],'Lookup Tables'!$C$68:$H$100,6,FALSE)*riparian_buffer[[#This Row],[Land Use 4 Percent of Drainage Area]]*riparian_buffer[[#This Row],[Total Buffer Drainage Area]],IF(riparian_buffer[[#This Row],[Buffer Drainage Area Land Use 4]]='Lookup Tables'!$M$5,VLOOKUP(riparian_buffer[[#This Row],[Project Location TMDL Drainage Area]],'Lookup Tables'!$C$101:$H$133,6,FALSE)*riparian_buffer[[#This Row],[Land Use 4 Percent of Drainage Area]]*riparian_buffer[[#This Row],[Total Buffer Drainage Area]],IF(riparian_buffer[[#This Row],[Buffer Drainage Area Land Use 4]]='Lookup Tables'!$M$6,VLOOKUP(riparian_buffer[[#This Row],[Project Location TMDL Drainage Area]],'Lookup Tables'!$C$3:$H$34,6,FALSE)*riparian_buffer[[#This Row],[Land Use 4 Percent of Drainage Area]]*riparian_buffer[[#This Row],[Total Buffer Drainage Area]],IF(riparian_buffer[[#This Row],[Buffer Drainage Area Land Use 4]]='Lookup Tables'!$M$7,VLOOKUP(riparian_buffer[[#This Row],[Project Location TMDL Drainage Area]],'Lookup Tables'!$C$134:$H$165,6,FALSE)*riparian_buffer[[#This Row],[Land Use 4 Percent of Drainage Area]]*riparian_buffer[[#This Row],[Total Buffer Drainage Area]],0)))))</f>
        <v>0</v>
      </c>
      <c r="V10" s="72">
        <f>IF(riparian_buffer[[#This Row],[Buffer Drainage Area Land Use 5]]='Lookup Tables'!$M$3,VLOOKUP(riparian_buffer[[#This Row],[Project Location TMDL Drainage Area]],'Lookup Tables'!$C$35:$H$67,6,FALSE)*riparian_buffer[[#This Row],[Land Use 5 Percent of Drainage Area]]*riparian_buffer[[#This Row],[Total Buffer Drainage Area]], IF(riparian_buffer[[#This Row],[Buffer Drainage Area Land Use 5]]='Lookup Tables'!$M$4,VLOOKUP(riparian_buffer[[#This Row],[Project Location TMDL Drainage Area]],'Lookup Tables'!$C$68:$H$100,6,FALSE)*riparian_buffer[[#This Row],[Land Use 5 Percent of Drainage Area]]*riparian_buffer[[#This Row],[Total Buffer Drainage Area]],IF(riparian_buffer[[#This Row],[Buffer Drainage Area Land Use 5]]='Lookup Tables'!$M$5,VLOOKUP(riparian_buffer[[#This Row],[Project Location TMDL Drainage Area]],'Lookup Tables'!$C$101:$H$133,6,FALSE)*riparian_buffer[[#This Row],[Land Use 5 Percent of Drainage Area]]*riparian_buffer[[#This Row],[Total Buffer Drainage Area]],IF(riparian_buffer[[#This Row],[Buffer Drainage Area Land Use 5]]='Lookup Tables'!$M$6,VLOOKUP(riparian_buffer[[#This Row],[Project Location TMDL Drainage Area]],'Lookup Tables'!$C$3:$H$34,6,FALSE)*riparian_buffer[[#This Row],[Land Use 5 Percent of Drainage Area]]*riparian_buffer[[#This Row],[Total Buffer Drainage Area]],IF(riparian_buffer[[#This Row],[Buffer Drainage Area Land Use 5]]='Lookup Tables'!$M$7,VLOOKUP(riparian_buffer[[#This Row],[Project Location TMDL Drainage Area]],'Lookup Tables'!$C$134:$H$165,6,FALSE)*riparian_buffer[[#This Row],[Land Use 5 Percent of Drainage Area]]*riparian_buffer[[#This Row],[Total Buffer Drainage Area]],0)))))</f>
        <v>0</v>
      </c>
      <c r="W10" s="154">
        <f>(riparian_buffer[[#This Row],[Land Use 1 Load]]+riparian_buffer[[#This Row],[Land Use 2 Load]]+riparian_buffer[[#This Row],[Land Use 3 Load]]+riparian_buffer[[#This Row],[Land Use 4 Load]]+riparian_buffer[[#This Row],[Land Use 5 Load]])*$C$6</f>
        <v>0.79472000000000009</v>
      </c>
      <c r="X10" s="154">
        <f>IF(riparian_buffer[[#This Row],[Prior Land Use of Buffer Planting Area]]='Lookup Tables'!$M$4, VLOOKUP(riparian_buffer[[#This Row],[Project Location TMDL Drainage Area]],'Lookup Tables'!$C$68:$H$100,6,FALSE)*riparian_buffer[[#This Row],[Riparian Buffer Area Planted (Acres)]],
IF(riparian_buffer[[#This Row],[Prior Land Use of Buffer Planting Area]]='Lookup Tables'!$M$6, VLOOKUP(riparian_buffer[[#This Row],[Project Location TMDL Drainage Area]],'Lookup Tables'!$C$3:$H$34,6,FALSE)*riparian_buffer[[#This Row],[Riparian Buffer Area Planted (Acres)]],
IF(riparian_buffer[[#This Row],[Prior Land Use of Buffer Planting Area]]='Lookup Tables'!$M$7, VLOOKUP(riparian_buffer[[#This Row],[Project Location TMDL Drainage Area]], 'Lookup Tables'!$C$134:$H$165, 6, FALSE)*riparian_buffer[[#This Row],[Riparian Buffer Area Planted (Acres)]],
IF(riparian_buffer[[#This Row],[Prior Land Use of Buffer Planting Area]]='Lookup Tables'!$M$3, VLOOKUP(riparian_buffer[[#This Row],[Project Location TMDL Drainage Area]], 'Lookup Tables'!$C$35:$H$67,6,FALSE)*riparian_buffer[[#This Row],[Riparian Buffer Area Planted (Acres)]],
IF(riparian_buffer[[#This Row],[Prior Land Use of Buffer Planting Area]]='Lookup Tables'!$M$5, VLOOKUP(riparian_buffer[[#This Row],[Project Location TMDL Drainage Area]], 'Lookup Tables'!$C$101:$H$133,6,FALSE)*riparian_buffer[[#This Row],[Riparian Buffer Area Planted (Acres)]])))))</f>
        <v>0.4894</v>
      </c>
      <c r="Y10" s="154">
        <f>VLOOKUP(riparian_buffer[[#This Row],[Project Location TMDL Drainage Area]], 'Lookup Tables'!$C$101:$H$133,6,FALSE)*riparian_buffer[[#This Row],[Riparian Buffer Area Planted (Acres)]]</f>
        <v>5.9799999999999999E-2</v>
      </c>
      <c r="Z10" s="154">
        <f>riparian_buffer[[#This Row],[Calculated Phosphorus Load Buffer Area Pre-Treatment]]-riparian_buffer[[#This Row],[Calculated Phosphorus Load Buffer Area Post-Treatment]]</f>
        <v>0.42959999999999998</v>
      </c>
      <c r="AA10" s="154">
        <f>riparian_buffer[[#This Row],[Estimated P Reduction from Drainage Area (kg/yr)]]+riparian_buffer[[#This Row],[Estimated P Reduction from Land Use Change (kg/yr)]]</f>
        <v>1.2243200000000001</v>
      </c>
    </row>
    <row r="11" spans="1:27" x14ac:dyDescent="0.3">
      <c r="B11"/>
      <c r="C11"/>
      <c r="D11"/>
      <c r="E11"/>
      <c r="F11"/>
      <c r="G11"/>
      <c r="H11"/>
      <c r="I11"/>
      <c r="J11"/>
      <c r="K11"/>
      <c r="L11"/>
      <c r="M11"/>
      <c r="N11"/>
      <c r="O11"/>
      <c r="P11"/>
      <c r="Q11"/>
      <c r="R11"/>
      <c r="S11"/>
      <c r="T11"/>
      <c r="U11"/>
      <c r="V11"/>
    </row>
    <row r="12" spans="1:27" x14ac:dyDescent="0.3">
      <c r="B12"/>
      <c r="C12"/>
      <c r="D12"/>
      <c r="E12"/>
      <c r="F12"/>
      <c r="G12"/>
      <c r="H12"/>
      <c r="I12"/>
      <c r="J12"/>
      <c r="K12"/>
      <c r="L12"/>
      <c r="M12"/>
      <c r="N12"/>
      <c r="O12"/>
      <c r="P12"/>
      <c r="Q12"/>
      <c r="R12"/>
      <c r="S12"/>
      <c r="T12"/>
      <c r="U12"/>
      <c r="V12"/>
    </row>
    <row r="13" spans="1:27" x14ac:dyDescent="0.3">
      <c r="B13"/>
      <c r="C13"/>
      <c r="D13"/>
      <c r="E13"/>
      <c r="F13"/>
      <c r="G13"/>
      <c r="H13"/>
      <c r="I13"/>
      <c r="J13"/>
      <c r="K13"/>
      <c r="L13"/>
      <c r="M13"/>
      <c r="N13"/>
      <c r="O13"/>
      <c r="P13"/>
      <c r="Q13"/>
      <c r="R13"/>
      <c r="S13"/>
      <c r="T13"/>
      <c r="U13"/>
      <c r="V13"/>
    </row>
    <row r="14" spans="1:27" x14ac:dyDescent="0.3">
      <c r="B14"/>
      <c r="C14"/>
      <c r="D14"/>
      <c r="E14"/>
      <c r="F14"/>
      <c r="G14"/>
      <c r="H14"/>
      <c r="I14"/>
      <c r="J14"/>
      <c r="K14"/>
      <c r="L14"/>
      <c r="M14"/>
      <c r="N14"/>
      <c r="O14"/>
      <c r="P14"/>
      <c r="Q14"/>
      <c r="R14"/>
      <c r="S14"/>
      <c r="T14"/>
      <c r="U14"/>
      <c r="V14"/>
    </row>
    <row r="15" spans="1:27" x14ac:dyDescent="0.3">
      <c r="B15"/>
      <c r="C15"/>
      <c r="D15"/>
      <c r="E15"/>
      <c r="F15"/>
      <c r="G15"/>
      <c r="H15"/>
      <c r="I15"/>
      <c r="J15"/>
      <c r="K15"/>
      <c r="L15"/>
      <c r="M15"/>
      <c r="N15"/>
      <c r="O15"/>
      <c r="P15"/>
      <c r="Q15"/>
      <c r="R15"/>
      <c r="S15"/>
      <c r="T15"/>
      <c r="U15"/>
      <c r="V15"/>
    </row>
    <row r="16" spans="1:27" x14ac:dyDescent="0.3">
      <c r="B16"/>
      <c r="C16"/>
      <c r="D16"/>
      <c r="E16"/>
      <c r="F16"/>
      <c r="G16"/>
      <c r="H16"/>
      <c r="I16"/>
      <c r="J16"/>
      <c r="K16"/>
      <c r="L16"/>
      <c r="M16"/>
      <c r="N16"/>
      <c r="O16"/>
      <c r="P16"/>
      <c r="Q16"/>
      <c r="R16"/>
      <c r="S16"/>
      <c r="T16"/>
      <c r="U16"/>
      <c r="V16"/>
    </row>
    <row r="17" customFormat="1" x14ac:dyDescent="0.3"/>
    <row r="18" customFormat="1" x14ac:dyDescent="0.3"/>
    <row r="19" customFormat="1" x14ac:dyDescent="0.3"/>
    <row r="20" customFormat="1" x14ac:dyDescent="0.3"/>
    <row r="21" customFormat="1" x14ac:dyDescent="0.3"/>
    <row r="22" customFormat="1" x14ac:dyDescent="0.3"/>
    <row r="23" customFormat="1" x14ac:dyDescent="0.3"/>
    <row r="24" customFormat="1" x14ac:dyDescent="0.3"/>
    <row r="25" customFormat="1" x14ac:dyDescent="0.3"/>
    <row r="26" customFormat="1" x14ac:dyDescent="0.3"/>
    <row r="27" customFormat="1" x14ac:dyDescent="0.3"/>
    <row r="28" customFormat="1" x14ac:dyDescent="0.3"/>
    <row r="29" customFormat="1" x14ac:dyDescent="0.3"/>
    <row r="30" customFormat="1" x14ac:dyDescent="0.3"/>
    <row r="31" customFormat="1" x14ac:dyDescent="0.3"/>
    <row r="32" customFormat="1" x14ac:dyDescent="0.3"/>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sheetData>
  <protectedRanges>
    <protectedRange sqref="B10:AA59" name="User Input"/>
  </protectedRanges>
  <mergeCells count="4">
    <mergeCell ref="B2:H3"/>
    <mergeCell ref="E5:G6"/>
    <mergeCell ref="H5:J6"/>
    <mergeCell ref="F7:O7"/>
  </mergeCells>
  <hyperlinks>
    <hyperlink ref="C7" r:id="rId1" display="ANR Natural Resources Atlas" xr:uid="{EE2DC6DE-B6F6-4C85-9918-AAFBD4B74B45}"/>
  </hyperlinks>
  <pageMargins left="0.7" right="0.7" top="0.75" bottom="0.75" header="0.3" footer="0.3"/>
  <pageSetup orientation="portrait" r:id="rId2"/>
  <tableParts count="1">
    <tablePart r:id="rId3"/>
  </tableParts>
  <extLst>
    <ext xmlns:x14="http://schemas.microsoft.com/office/spreadsheetml/2009/9/main" uri="{CCE6A557-97BC-4b89-ADB6-D9C93CAAB3DF}">
      <x14:dataValidations xmlns:xm="http://schemas.microsoft.com/office/excel/2006/main" count="3">
        <x14:dataValidation type="list" allowBlank="1" showInputMessage="1" showErrorMessage="1" xr:uid="{DB18162D-C68D-4ABE-B1AB-A46662D95529}">
          <x14:formula1>
            <xm:f>'Lookup Tables'!$M$3:$M$7</xm:f>
          </x14:formula1>
          <xm:sqref>F10 N10 L10 H10 J10 E65:E1048576</xm:sqref>
        </x14:dataValidation>
        <x14:dataValidation type="list" allowBlank="1" showInputMessage="1" showErrorMessage="1" xr:uid="{2F44B28B-37BA-4DFB-84A8-0922B3CB686F}">
          <x14:formula1>
            <xm:f>'Lookup Tables'!$J$3:$J$35</xm:f>
          </x14:formula1>
          <xm:sqref>C10</xm:sqref>
        </x14:dataValidation>
        <x14:dataValidation type="list" allowBlank="1" showInputMessage="1" showErrorMessage="1" xr:uid="{536E66FE-50CA-4370-8269-B8C5063B100D}">
          <x14:formula1>
            <xm:f>'Lookup Tables'!$O$3:$O$6</xm:f>
          </x14:formula1>
          <xm:sqref>E10</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1CB35-982F-490A-9331-90BE0424C133}">
  <sheetPr codeName="Sheet5">
    <tabColor theme="4"/>
  </sheetPr>
  <dimension ref="B1:L60"/>
  <sheetViews>
    <sheetView zoomScaleNormal="100" workbookViewId="0">
      <pane xSplit="1" ySplit="9" topLeftCell="B10" activePane="bottomRight" state="frozen"/>
      <selection pane="topRight" activeCell="B1" sqref="B1"/>
      <selection pane="bottomLeft" activeCell="A9" sqref="A9"/>
      <selection pane="bottomRight" activeCell="J8" sqref="J8"/>
    </sheetView>
  </sheetViews>
  <sheetFormatPr defaultRowHeight="14.4" zeroHeight="1" x14ac:dyDescent="0.3"/>
  <cols>
    <col min="1" max="1" width="6.6640625" customWidth="1"/>
    <col min="2" max="2" width="29.5546875" customWidth="1"/>
    <col min="3" max="4" width="20.33203125" customWidth="1"/>
    <col min="5" max="5" width="25.6640625" customWidth="1"/>
    <col min="6" max="7" width="23.44140625" customWidth="1"/>
    <col min="8" max="8" width="30.109375" customWidth="1"/>
    <col min="9" max="9" width="23.44140625" customWidth="1"/>
    <col min="10" max="10" width="30.44140625" customWidth="1"/>
    <col min="11" max="11" width="33.88671875" customWidth="1"/>
    <col min="12" max="12" width="41.33203125" customWidth="1"/>
  </cols>
  <sheetData>
    <row r="1" spans="2:12" ht="36.6" customHeight="1" thickBot="1" x14ac:dyDescent="0.4">
      <c r="B1" s="137" t="s">
        <v>236</v>
      </c>
      <c r="C1" s="138"/>
      <c r="D1" s="138"/>
      <c r="E1" s="138"/>
      <c r="F1" s="138"/>
      <c r="J1" s="105"/>
      <c r="K1" s="105"/>
      <c r="L1" s="105"/>
    </row>
    <row r="2" spans="2:12" ht="42.6" customHeight="1" thickTop="1" thickBot="1" x14ac:dyDescent="0.35">
      <c r="B2" s="408" t="s">
        <v>237</v>
      </c>
      <c r="C2" s="408"/>
      <c r="D2" s="408"/>
      <c r="E2" s="408"/>
      <c r="F2" s="408"/>
      <c r="G2" s="408"/>
      <c r="H2" s="408"/>
      <c r="I2" s="408"/>
      <c r="J2" s="408"/>
      <c r="K2" s="105"/>
      <c r="L2" s="105"/>
    </row>
    <row r="3" spans="2:12" ht="18" customHeight="1" thickBot="1" x14ac:dyDescent="0.35">
      <c r="B3" s="141" t="s">
        <v>180</v>
      </c>
      <c r="C3" s="142" t="s">
        <v>181</v>
      </c>
      <c r="D3" s="143" t="s">
        <v>182</v>
      </c>
      <c r="E3" s="144" t="s">
        <v>238</v>
      </c>
      <c r="F3" s="149"/>
      <c r="G3" s="409"/>
      <c r="H3" s="409"/>
      <c r="I3" s="409"/>
      <c r="J3" s="410"/>
      <c r="K3" s="105"/>
      <c r="L3" s="105"/>
    </row>
    <row r="4" spans="2:12" ht="24.6" customHeight="1" x14ac:dyDescent="0.3">
      <c r="B4" s="129" t="s">
        <v>239</v>
      </c>
      <c r="C4" s="132">
        <v>34</v>
      </c>
      <c r="D4" s="126" t="s">
        <v>240</v>
      </c>
      <c r="E4" s="411" t="s">
        <v>241</v>
      </c>
      <c r="F4" s="412"/>
      <c r="G4" s="412"/>
      <c r="H4" s="412"/>
      <c r="I4" s="412"/>
      <c r="J4" s="413"/>
      <c r="K4" s="105"/>
      <c r="L4" s="105"/>
    </row>
    <row r="5" spans="2:12" ht="24.6" customHeight="1" x14ac:dyDescent="0.3">
      <c r="B5" s="130" t="s">
        <v>242</v>
      </c>
      <c r="C5" s="133">
        <v>6.2100000000000002E-4</v>
      </c>
      <c r="D5" s="127" t="s">
        <v>243</v>
      </c>
      <c r="E5" s="414"/>
      <c r="F5" s="415"/>
      <c r="G5" s="415"/>
      <c r="H5" s="415"/>
      <c r="I5" s="415"/>
      <c r="J5" s="416"/>
      <c r="K5" s="105"/>
      <c r="L5" s="105"/>
    </row>
    <row r="6" spans="2:12" ht="24.6" customHeight="1" thickBot="1" x14ac:dyDescent="0.35">
      <c r="B6" s="131" t="s">
        <v>189</v>
      </c>
      <c r="C6" s="134">
        <v>0.85</v>
      </c>
      <c r="D6" s="128" t="s">
        <v>190</v>
      </c>
      <c r="E6" s="417"/>
      <c r="F6" s="418"/>
      <c r="G6" s="418"/>
      <c r="H6" s="418"/>
      <c r="I6" s="418"/>
      <c r="J6" s="419"/>
      <c r="K6" s="105"/>
      <c r="L6" s="105"/>
    </row>
    <row r="7" spans="2:12" s="251" customFormat="1" ht="54" customHeight="1" x14ac:dyDescent="0.2">
      <c r="B7" s="351" t="s">
        <v>191</v>
      </c>
      <c r="C7" s="377"/>
      <c r="D7" s="377" t="s">
        <v>244</v>
      </c>
      <c r="E7" s="377" t="s">
        <v>245</v>
      </c>
      <c r="F7" s="217"/>
      <c r="G7" s="217"/>
      <c r="H7" s="377" t="s">
        <v>246</v>
      </c>
      <c r="I7" s="217"/>
      <c r="J7" s="217"/>
    </row>
    <row r="8" spans="2:12" ht="15" thickBot="1" x14ac:dyDescent="0.35">
      <c r="B8" s="202" t="s">
        <v>198</v>
      </c>
      <c r="C8" s="202" t="s">
        <v>247</v>
      </c>
      <c r="D8" s="202" t="s">
        <v>247</v>
      </c>
      <c r="E8" s="202" t="s">
        <v>247</v>
      </c>
      <c r="F8" s="125" t="s">
        <v>205</v>
      </c>
      <c r="G8" s="125" t="s">
        <v>205</v>
      </c>
      <c r="H8" s="151">
        <f t="shared" ref="H8" si="0">$C$4*$C$5</f>
        <v>2.1114000000000001E-2</v>
      </c>
      <c r="I8" s="125" t="s">
        <v>205</v>
      </c>
      <c r="J8" s="168" t="s">
        <v>205</v>
      </c>
    </row>
    <row r="9" spans="2:12" s="72" customFormat="1" ht="43.8" thickBot="1" x14ac:dyDescent="0.35">
      <c r="B9" s="135" t="s">
        <v>206</v>
      </c>
      <c r="C9" s="136" t="s">
        <v>248</v>
      </c>
      <c r="D9" s="136" t="s">
        <v>249</v>
      </c>
      <c r="E9" s="136" t="s">
        <v>250</v>
      </c>
      <c r="F9" s="317" t="s">
        <v>251</v>
      </c>
      <c r="G9" s="317" t="s">
        <v>252</v>
      </c>
      <c r="H9" s="317" t="s">
        <v>253</v>
      </c>
      <c r="I9" s="317" t="s">
        <v>254</v>
      </c>
      <c r="J9" s="319" t="s">
        <v>255</v>
      </c>
      <c r="L9" s="105"/>
    </row>
    <row r="10" spans="2:12" x14ac:dyDescent="0.3">
      <c r="B10" s="72" t="s">
        <v>256</v>
      </c>
      <c r="C10" s="154">
        <v>25</v>
      </c>
      <c r="D10" s="154">
        <v>3</v>
      </c>
      <c r="E10" s="154">
        <v>2.65</v>
      </c>
      <c r="F10" s="154">
        <f>lake_shoreline[[#This Row],[Average Shoreline Recession Rate (in/yr)]]/12</f>
        <v>0.22083333333333333</v>
      </c>
      <c r="G10" s="154">
        <f>lake_shoreline[[#This Row],[Length of eroded shoreline to be restored (ft)]]*lake_shoreline[[#This Row],[Average Bank Height (ft)]]*lake_shoreline[[#This Row],[Average Shoreline Recession Rate (ft/yr)]]</f>
        <v>16.5625</v>
      </c>
      <c r="H10" s="239">
        <f>$C$4*$C$5</f>
        <v>2.1114000000000001E-2</v>
      </c>
      <c r="I10" s="154">
        <f>lake_shoreline[[#This Row],[Volume of sediment erosion (ft3/yr)]]*$C$4*$C$5</f>
        <v>0.34970062499999999</v>
      </c>
      <c r="J10" s="154">
        <f>lake_shoreline[[#This Row],[Estimated annual TP erosion (kg/yr)]]*$C$6</f>
        <v>0.29724553124999997</v>
      </c>
    </row>
    <row r="11" spans="2:12" x14ac:dyDescent="0.3"/>
    <row r="12" spans="2:12" x14ac:dyDescent="0.3"/>
    <row r="13" spans="2:12" x14ac:dyDescent="0.3"/>
    <row r="14" spans="2:12" x14ac:dyDescent="0.3"/>
    <row r="15" spans="2:12" x14ac:dyDescent="0.3"/>
    <row r="16" spans="2:12"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x14ac:dyDescent="0.3"/>
    <row r="30" x14ac:dyDescent="0.3"/>
    <row r="31" x14ac:dyDescent="0.3"/>
    <row r="32" x14ac:dyDescent="0.3"/>
    <row r="33" x14ac:dyDescent="0.3"/>
    <row r="34" x14ac:dyDescent="0.3"/>
    <row r="35" x14ac:dyDescent="0.3"/>
    <row r="36" x14ac:dyDescent="0.3"/>
    <row r="37" x14ac:dyDescent="0.3"/>
    <row r="38" x14ac:dyDescent="0.3"/>
    <row r="39" x14ac:dyDescent="0.3"/>
    <row r="40" x14ac:dyDescent="0.3"/>
    <row r="41" x14ac:dyDescent="0.3"/>
    <row r="42" x14ac:dyDescent="0.3"/>
    <row r="43" x14ac:dyDescent="0.3"/>
    <row r="44" x14ac:dyDescent="0.3"/>
    <row r="45" x14ac:dyDescent="0.3"/>
    <row r="46" x14ac:dyDescent="0.3"/>
    <row r="47" x14ac:dyDescent="0.3"/>
    <row r="48"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sheetData>
  <protectedRanges>
    <protectedRange sqref="B10:E57" name="User Input"/>
  </protectedRanges>
  <mergeCells count="3">
    <mergeCell ref="B2:J2"/>
    <mergeCell ref="G3:J3"/>
    <mergeCell ref="E4:J6"/>
  </mergeCells>
  <phoneticPr fontId="40" type="noConversion"/>
  <dataValidations count="1">
    <dataValidation type="decimal" allowBlank="1" showInputMessage="1" showErrorMessage="1" sqref="E10" xr:uid="{E587ADAA-8A97-40AE-BCA2-617CDA897D86}">
      <formula1>0</formula1>
      <formula2>6</formula2>
    </dataValidation>
  </dataValidations>
  <pageMargins left="0.7" right="0.7" top="0.75" bottom="0.75" header="0.3" footer="0.3"/>
  <pageSetup orientation="portrait" r:id="rId1"/>
  <legacy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CEA34-79FB-44B1-9210-747AC9A32D7B}">
  <sheetPr>
    <tabColor theme="4"/>
  </sheetPr>
  <dimension ref="B1:K10"/>
  <sheetViews>
    <sheetView workbookViewId="0">
      <selection activeCell="G8" sqref="G8"/>
    </sheetView>
  </sheetViews>
  <sheetFormatPr defaultRowHeight="14.4" x14ac:dyDescent="0.3"/>
  <cols>
    <col min="1" max="1" width="6.6640625" customWidth="1"/>
    <col min="2" max="2" width="29.5546875" customWidth="1"/>
    <col min="3" max="3" width="48.88671875" customWidth="1"/>
    <col min="4" max="5" width="20.33203125" customWidth="1"/>
    <col min="6" max="7" width="23.44140625" customWidth="1"/>
    <col min="8" max="8" width="33.88671875" customWidth="1"/>
    <col min="9" max="9" width="41.33203125" customWidth="1"/>
  </cols>
  <sheetData>
    <row r="1" spans="2:11" ht="36.6" customHeight="1" thickBot="1" x14ac:dyDescent="0.4">
      <c r="B1" s="137" t="s">
        <v>257</v>
      </c>
      <c r="C1" s="138"/>
      <c r="D1" s="138"/>
      <c r="E1" s="138"/>
      <c r="F1" s="138"/>
      <c r="G1" s="138"/>
      <c r="H1" s="105"/>
      <c r="I1" s="105"/>
    </row>
    <row r="2" spans="2:11" ht="42.6" customHeight="1" thickTop="1" thickBot="1" x14ac:dyDescent="0.35">
      <c r="B2" s="408" t="s">
        <v>258</v>
      </c>
      <c r="C2" s="408"/>
      <c r="D2" s="408"/>
      <c r="E2" s="408"/>
      <c r="F2" s="408"/>
      <c r="G2" s="408"/>
      <c r="H2" s="105"/>
      <c r="I2" s="105"/>
    </row>
    <row r="3" spans="2:11" ht="18" customHeight="1" thickBot="1" x14ac:dyDescent="0.35">
      <c r="B3" s="144" t="s">
        <v>238</v>
      </c>
      <c r="C3" s="149"/>
      <c r="D3" s="149"/>
      <c r="E3" s="149"/>
      <c r="F3" s="149"/>
      <c r="G3" s="378"/>
      <c r="H3" s="105"/>
      <c r="I3" s="105"/>
    </row>
    <row r="4" spans="2:11" ht="35.4" customHeight="1" x14ac:dyDescent="0.3">
      <c r="B4" s="411" t="s">
        <v>259</v>
      </c>
      <c r="C4" s="412"/>
      <c r="D4" s="412"/>
      <c r="E4" s="412"/>
      <c r="F4" s="412"/>
      <c r="G4" s="413"/>
    </row>
    <row r="5" spans="2:11" ht="35.4" customHeight="1" x14ac:dyDescent="0.3">
      <c r="B5" s="414"/>
      <c r="C5" s="415"/>
      <c r="D5" s="415"/>
      <c r="E5" s="415"/>
      <c r="F5" s="415"/>
      <c r="G5" s="416"/>
    </row>
    <row r="6" spans="2:11" ht="35.4" customHeight="1" thickBot="1" x14ac:dyDescent="0.35">
      <c r="B6" s="417"/>
      <c r="C6" s="418"/>
      <c r="D6" s="418"/>
      <c r="E6" s="418"/>
      <c r="F6" s="418"/>
      <c r="G6" s="419"/>
    </row>
    <row r="7" spans="2:11" s="251" customFormat="1" ht="49.2" customHeight="1" x14ac:dyDescent="0.2">
      <c r="B7" s="351" t="s">
        <v>191</v>
      </c>
      <c r="C7" s="255" t="s">
        <v>192</v>
      </c>
      <c r="D7" s="256"/>
      <c r="E7" s="217"/>
      <c r="F7" s="217"/>
      <c r="G7" s="217"/>
    </row>
    <row r="8" spans="2:11" x14ac:dyDescent="0.3">
      <c r="B8" s="202" t="s">
        <v>198</v>
      </c>
      <c r="C8" s="202" t="s">
        <v>247</v>
      </c>
      <c r="D8" s="202" t="s">
        <v>247</v>
      </c>
      <c r="E8" s="125" t="s">
        <v>205</v>
      </c>
      <c r="F8" s="125" t="s">
        <v>205</v>
      </c>
      <c r="G8" s="168" t="s">
        <v>205</v>
      </c>
    </row>
    <row r="9" spans="2:11" s="72" customFormat="1" ht="29.4" thickBot="1" x14ac:dyDescent="0.35">
      <c r="B9" s="249" t="s">
        <v>206</v>
      </c>
      <c r="C9" s="325" t="s">
        <v>207</v>
      </c>
      <c r="D9" s="325" t="s">
        <v>260</v>
      </c>
      <c r="E9" s="316" t="s">
        <v>261</v>
      </c>
      <c r="F9" s="316" t="s">
        <v>262</v>
      </c>
      <c r="G9" s="320" t="s">
        <v>255</v>
      </c>
      <c r="H9"/>
      <c r="I9"/>
      <c r="J9"/>
      <c r="K9"/>
    </row>
    <row r="10" spans="2:11" x14ac:dyDescent="0.3">
      <c r="B10" s="72" t="s">
        <v>263</v>
      </c>
      <c r="C10" s="154" t="s">
        <v>264</v>
      </c>
      <c r="D10" s="154">
        <v>3</v>
      </c>
      <c r="E10" s="154">
        <f>VLOOKUP(native_reveg[[#This Row],[Project Location TMDL Drainage Area]],'Lookup Tables'!$C$68:$H$100,6,FALSE)*native_reveg[[#This Row],[Area of Revegetation (acres) ]]</f>
        <v>0.6915</v>
      </c>
      <c r="F10" s="154">
        <f>VLOOKUP(native_reveg[[#This Row],[Project Location TMDL Drainage Area]],'Lookup Tables'!C166:H198,6,FALSE)*native_reveg[[#This Row],[Area of Revegetation (acres) ]]</f>
        <v>0.1959072</v>
      </c>
      <c r="G10" s="154">
        <f>IF(native_reveg[[#This Row],[Previous Land Use Loading ]]-native_reveg[[#This Row],[Current Land Use Loading]]&gt;=0, native_reveg[[#This Row],[Previous Land Use Loading ]]-native_reveg[[#This Row],[Current Land Use Loading]], 0)</f>
        <v>0.4955928</v>
      </c>
    </row>
  </sheetData>
  <protectedRanges>
    <protectedRange sqref="B10:E56" name="User Input"/>
  </protectedRanges>
  <mergeCells count="2">
    <mergeCell ref="B2:G2"/>
    <mergeCell ref="B4:G6"/>
  </mergeCells>
  <dataValidations count="1">
    <dataValidation type="decimal" allowBlank="1" showInputMessage="1" showErrorMessage="1" sqref="E10" xr:uid="{B6056CEC-C562-4E6A-8E40-CD9C53B05A75}">
      <formula1>0</formula1>
      <formula2>6</formula2>
    </dataValidation>
  </dataValidations>
  <hyperlinks>
    <hyperlink ref="C7" r:id="rId1" display="ANR Natural Resources Atlas" xr:uid="{0ECE60A9-335C-46E7-A388-F1E3EF2B286D}"/>
  </hyperlinks>
  <pageMargins left="0.7" right="0.7" top="0.75" bottom="0.75" header="0.3" footer="0.3"/>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6FA7F548-FB44-453A-9156-95ABD23C44AC}">
          <x14:formula1>
            <xm:f>'Lookup Tables'!$J$3:$J$35</xm:f>
          </x14:formula1>
          <xm:sqref>C10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A4E14-51D8-497D-98C1-CFE12E46D15D}">
  <sheetPr>
    <tabColor theme="4"/>
  </sheetPr>
  <dimension ref="B1:H11"/>
  <sheetViews>
    <sheetView workbookViewId="0">
      <selection activeCell="H9" sqref="H9"/>
    </sheetView>
  </sheetViews>
  <sheetFormatPr defaultRowHeight="14.4" x14ac:dyDescent="0.3"/>
  <cols>
    <col min="1" max="1" width="6.6640625" customWidth="1"/>
    <col min="2" max="2" width="29.5546875" customWidth="1"/>
    <col min="3" max="3" width="38.6640625" customWidth="1"/>
    <col min="4" max="4" width="29.6640625" customWidth="1"/>
    <col min="5" max="5" width="20.33203125" customWidth="1"/>
    <col min="6" max="8" width="23.44140625" customWidth="1"/>
  </cols>
  <sheetData>
    <row r="1" spans="2:8" ht="36.6" customHeight="1" thickBot="1" x14ac:dyDescent="0.4">
      <c r="B1" s="137" t="s">
        <v>265</v>
      </c>
      <c r="C1" s="138"/>
      <c r="D1" s="138"/>
      <c r="E1" s="138"/>
      <c r="F1" s="138"/>
    </row>
    <row r="2" spans="2:8" ht="42.6" customHeight="1" thickTop="1" thickBot="1" x14ac:dyDescent="0.35">
      <c r="B2" s="408" t="s">
        <v>266</v>
      </c>
      <c r="C2" s="408"/>
      <c r="D2" s="408"/>
      <c r="E2" s="408"/>
      <c r="F2" s="408"/>
      <c r="G2" s="408"/>
      <c r="H2" s="408"/>
    </row>
    <row r="3" spans="2:8" ht="18" customHeight="1" thickBot="1" x14ac:dyDescent="0.35">
      <c r="B3" s="141" t="s">
        <v>180</v>
      </c>
      <c r="C3" s="142" t="s">
        <v>181</v>
      </c>
      <c r="D3" s="143" t="s">
        <v>182</v>
      </c>
      <c r="E3" s="144" t="s">
        <v>238</v>
      </c>
      <c r="F3" s="149"/>
      <c r="G3" s="236"/>
      <c r="H3" s="237"/>
    </row>
    <row r="4" spans="2:8" ht="35.4" customHeight="1" x14ac:dyDescent="0.3">
      <c r="B4" s="129" t="s">
        <v>267</v>
      </c>
      <c r="C4" s="132">
        <v>94</v>
      </c>
      <c r="D4" s="126" t="s">
        <v>268</v>
      </c>
      <c r="E4" s="420" t="s">
        <v>269</v>
      </c>
      <c r="F4" s="421"/>
      <c r="G4" s="421"/>
      <c r="H4" s="422"/>
    </row>
    <row r="5" spans="2:8" ht="35.4" customHeight="1" x14ac:dyDescent="0.3">
      <c r="B5" s="130" t="s">
        <v>270</v>
      </c>
      <c r="C5" s="232">
        <v>43560</v>
      </c>
      <c r="D5" s="127" t="s">
        <v>271</v>
      </c>
      <c r="E5" s="423"/>
      <c r="F5" s="424"/>
      <c r="G5" s="424"/>
      <c r="H5" s="425"/>
    </row>
    <row r="6" spans="2:8" ht="35.4" customHeight="1" x14ac:dyDescent="0.3">
      <c r="B6" s="233" t="s">
        <v>272</v>
      </c>
      <c r="C6" s="238">
        <v>0.11</v>
      </c>
      <c r="D6" s="127" t="s">
        <v>190</v>
      </c>
      <c r="E6" s="423"/>
      <c r="F6" s="424"/>
      <c r="G6" s="424"/>
      <c r="H6" s="425"/>
    </row>
    <row r="7" spans="2:8" ht="35.4" customHeight="1" thickBot="1" x14ac:dyDescent="0.35">
      <c r="B7" s="234" t="s">
        <v>273</v>
      </c>
      <c r="C7" s="235">
        <v>0.23799999999999999</v>
      </c>
      <c r="D7" s="128" t="s">
        <v>190</v>
      </c>
      <c r="E7" s="426"/>
      <c r="F7" s="427"/>
      <c r="G7" s="427"/>
      <c r="H7" s="428"/>
    </row>
    <row r="8" spans="2:8" ht="60" customHeight="1" x14ac:dyDescent="0.3">
      <c r="B8" s="351" t="s">
        <v>191</v>
      </c>
      <c r="C8" s="255" t="s">
        <v>192</v>
      </c>
      <c r="D8" s="351" t="s">
        <v>274</v>
      </c>
      <c r="E8" s="217"/>
      <c r="F8" s="217"/>
      <c r="G8" s="217"/>
      <c r="H8" s="217"/>
    </row>
    <row r="9" spans="2:8" ht="15" thickBot="1" x14ac:dyDescent="0.35">
      <c r="B9" s="202" t="s">
        <v>198</v>
      </c>
      <c r="C9" s="202" t="s">
        <v>247</v>
      </c>
      <c r="D9" s="202" t="s">
        <v>247</v>
      </c>
      <c r="E9" s="202" t="s">
        <v>247</v>
      </c>
      <c r="F9" s="125" t="s">
        <v>205</v>
      </c>
      <c r="G9" s="125" t="s">
        <v>205</v>
      </c>
      <c r="H9" s="168" t="s">
        <v>205</v>
      </c>
    </row>
    <row r="10" spans="2:8" s="72" customFormat="1" ht="29.4" thickBot="1" x14ac:dyDescent="0.35">
      <c r="B10" s="135" t="s">
        <v>206</v>
      </c>
      <c r="C10" s="136" t="s">
        <v>207</v>
      </c>
      <c r="D10" s="136" t="s">
        <v>275</v>
      </c>
      <c r="E10" s="136" t="s">
        <v>276</v>
      </c>
      <c r="F10" s="317" t="s">
        <v>277</v>
      </c>
      <c r="G10" s="317" t="s">
        <v>278</v>
      </c>
      <c r="H10" s="319" t="s">
        <v>255</v>
      </c>
    </row>
    <row r="11" spans="2:8" x14ac:dyDescent="0.3">
      <c r="B11" s="72" t="s">
        <v>279</v>
      </c>
      <c r="C11" s="154" t="s">
        <v>280</v>
      </c>
      <c r="D11" s="154" t="s">
        <v>233</v>
      </c>
      <c r="E11" s="240">
        <v>100</v>
      </c>
      <c r="F11" s="154">
        <f>IF(tree_canopy[[#This Row],[Land Use]]="Developed Impervious", VLOOKUP(tree_canopy[[#This Row],[Project Location TMDL Drainage Area]],'Lookup Tables'!$C$35:$H$67,6,FALSE), IF(tree_canopy[[#This Row],[Land Use]]="Developed Pervious", VLOOKUP(tree_canopy[[#This Row],[Project Location TMDL Drainage Area]],'Lookup Tables'!$C$68:$H$100,6,FALSE), ""))*(tree_canopy[[#This Row],[Number of Trees Planted]]*'Tree Canopy Expansion'!$C$4/$C$5)</f>
        <v>6.232139577594123E-2</v>
      </c>
      <c r="G11" s="241">
        <f>IF(tree_canopy[[#This Row],[Land Use]]="Developed Pervious", $C$7, IF(tree_canopy[[#This Row],[Land Use]]="Developed Impervious", $C$6, ""))</f>
        <v>0.23799999999999999</v>
      </c>
      <c r="H11" s="239">
        <f>tree_canopy[[#This Row],[Estimated Phosphorus Load (kg/yr)]]*tree_canopy[[#This Row],[Reduction Efficiency]]</f>
        <v>1.4832492194674012E-2</v>
      </c>
    </row>
  </sheetData>
  <protectedRanges>
    <protectedRange sqref="B11:E39" name="User Input"/>
  </protectedRanges>
  <mergeCells count="2">
    <mergeCell ref="B2:H2"/>
    <mergeCell ref="E4:H7"/>
  </mergeCells>
  <phoneticPr fontId="40" type="noConversion"/>
  <dataValidations count="1">
    <dataValidation type="whole" operator="greaterThan" allowBlank="1" showInputMessage="1" showErrorMessage="1" sqref="E11" xr:uid="{4D4C9A23-7E96-443D-8091-18C35D5083B2}">
      <formula1>0</formula1>
    </dataValidation>
  </dataValidations>
  <hyperlinks>
    <hyperlink ref="C8" r:id="rId1" display="ANR Natural Resources Atlas" xr:uid="{F54FD19C-969D-45A6-8703-4996E989E926}"/>
  </hyperlinks>
  <pageMargins left="0.7" right="0.7" top="0.75" bottom="0.75" header="0.3" footer="0.3"/>
  <pageSetup orientation="portrait" r:id="rId2"/>
  <tableParts count="1">
    <tablePart r:id="rId3"/>
  </tableParts>
  <extLst>
    <ext xmlns:x14="http://schemas.microsoft.com/office/spreadsheetml/2009/9/main" uri="{CCE6A557-97BC-4b89-ADB6-D9C93CAAB3DF}">
      <x14:dataValidations xmlns:xm="http://schemas.microsoft.com/office/excel/2006/main" count="2">
        <x14:dataValidation type="list" allowBlank="1" showInputMessage="1" showErrorMessage="1" xr:uid="{87CE1AD7-FFBE-43D2-9CCA-43FA24D5C2B4}">
          <x14:formula1>
            <xm:f>'Lookup Tables'!$O$3:$O$4</xm:f>
          </x14:formula1>
          <xm:sqref>D11</xm:sqref>
        </x14:dataValidation>
        <x14:dataValidation type="list" allowBlank="1" showInputMessage="1" showErrorMessage="1" xr:uid="{878489D1-B70F-42A7-B345-3C96A6E0DAAE}">
          <x14:formula1>
            <xm:f>'Lookup Tables'!$K$3:$K$35</xm:f>
          </x14:formula1>
          <xm:sqref>C11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0EEFD-116D-4EF1-A38D-4BC3C07979ED}">
  <sheetPr>
    <tabColor theme="4"/>
  </sheetPr>
  <dimension ref="A1:Q67"/>
  <sheetViews>
    <sheetView workbookViewId="0">
      <pane xSplit="1" ySplit="7" topLeftCell="B8" activePane="bottomRight" state="frozen"/>
      <selection pane="topRight" activeCell="B1" sqref="B1"/>
      <selection pane="bottomLeft" activeCell="A9" sqref="A9"/>
      <selection pane="bottomRight" activeCell="Q6" sqref="Q6"/>
    </sheetView>
  </sheetViews>
  <sheetFormatPr defaultRowHeight="14.4" zeroHeight="1" x14ac:dyDescent="0.3"/>
  <cols>
    <col min="1" max="1" width="11.33203125" customWidth="1"/>
    <col min="2" max="2" width="49.33203125" customWidth="1"/>
    <col min="3" max="3" width="37.6640625" customWidth="1"/>
    <col min="4" max="6" width="25.6640625" customWidth="1"/>
    <col min="7" max="7" width="27.44140625" customWidth="1"/>
    <col min="8" max="8" width="25.6640625" customWidth="1"/>
    <col min="9" max="9" width="26.6640625" customWidth="1"/>
    <col min="10" max="10" width="31.88671875" hidden="1" customWidth="1"/>
    <col min="11" max="11" width="23" customWidth="1"/>
    <col min="12" max="12" width="23" hidden="1" customWidth="1"/>
    <col min="13" max="13" width="26.6640625" customWidth="1"/>
    <col min="14" max="14" width="20.6640625" customWidth="1"/>
    <col min="15" max="15" width="17.88671875" customWidth="1"/>
    <col min="16" max="16" width="22.44140625" customWidth="1"/>
    <col min="17" max="17" width="17.88671875" customWidth="1"/>
    <col min="19" max="24" width="17.33203125" customWidth="1"/>
  </cols>
  <sheetData>
    <row r="1" spans="1:17" ht="34.950000000000003" customHeight="1" thickBot="1" x14ac:dyDescent="0.4">
      <c r="B1" s="137" t="s">
        <v>281</v>
      </c>
      <c r="C1" s="137"/>
      <c r="D1" s="137"/>
      <c r="E1" s="137"/>
      <c r="F1" s="137"/>
      <c r="G1" s="137"/>
      <c r="H1" s="137"/>
      <c r="I1" s="139"/>
      <c r="J1" s="371"/>
      <c r="K1" s="371"/>
      <c r="L1" s="139"/>
      <c r="M1" s="139"/>
      <c r="N1" s="139"/>
      <c r="O1" s="139"/>
      <c r="P1" s="139"/>
      <c r="Q1" s="105"/>
    </row>
    <row r="2" spans="1:17" ht="12.6" customHeight="1" thickTop="1" thickBot="1" x14ac:dyDescent="0.35">
      <c r="B2" s="429"/>
      <c r="C2" s="430"/>
      <c r="D2" s="431"/>
      <c r="E2" s="352"/>
      <c r="F2" s="352"/>
      <c r="G2" s="352"/>
      <c r="H2" s="352"/>
      <c r="I2" s="352"/>
      <c r="J2" s="329"/>
      <c r="K2" s="325"/>
      <c r="L2" s="325"/>
      <c r="M2" s="325"/>
      <c r="N2" s="325"/>
      <c r="O2" s="325"/>
      <c r="P2" s="325"/>
      <c r="Q2" s="325"/>
    </row>
    <row r="3" spans="1:17" ht="42" customHeight="1" thickBot="1" x14ac:dyDescent="0.35">
      <c r="B3" s="438" t="s">
        <v>282</v>
      </c>
      <c r="C3" s="432" t="s">
        <v>283</v>
      </c>
      <c r="D3" s="433"/>
      <c r="E3" s="433"/>
      <c r="F3" s="433"/>
      <c r="G3" s="433"/>
      <c r="H3" s="434"/>
      <c r="I3" s="356"/>
      <c r="J3" s="349"/>
      <c r="K3" s="281" t="s">
        <v>206</v>
      </c>
      <c r="L3" s="282"/>
      <c r="M3" s="282" t="s">
        <v>284</v>
      </c>
      <c r="N3" s="283" t="s">
        <v>285</v>
      </c>
      <c r="O3" s="283" t="s">
        <v>286</v>
      </c>
      <c r="P3" s="283" t="s">
        <v>287</v>
      </c>
      <c r="Q3" s="284" t="s">
        <v>288</v>
      </c>
    </row>
    <row r="4" spans="1:17" ht="47.4" customHeight="1" thickBot="1" x14ac:dyDescent="0.35">
      <c r="B4" s="439"/>
      <c r="C4" s="435"/>
      <c r="D4" s="436"/>
      <c r="E4" s="436"/>
      <c r="F4" s="436"/>
      <c r="G4" s="436"/>
      <c r="H4" s="437"/>
      <c r="I4" s="356" t="s">
        <v>289</v>
      </c>
      <c r="K4" s="286" t="s">
        <v>290</v>
      </c>
      <c r="L4" s="330"/>
      <c r="M4" s="341">
        <f>SUMIFS(SWA[[#All],[Estimated Reconnected Floodplain Area within the River Corridor (acres)]],SWA[[#All],[Project Identifier]],K4)</f>
        <v>0.29100000000000004</v>
      </c>
      <c r="N4" s="341">
        <f>SUMIFS(SWA[[#All],[Annual Stream Stability P Reduction (kg/yr)]],SWA[[#All],[Project Identifier]],K4)</f>
        <v>0.36124425036809993</v>
      </c>
      <c r="O4" s="341">
        <f>SUMIFS(SWA[[#All],[Annual Storage P Reduction (kg/yr)]],SWA[[#All],[Project Identifier]],K4)</f>
        <v>3.0842999999999994</v>
      </c>
      <c r="P4" s="342">
        <f>O4</f>
        <v>3.0842999999999994</v>
      </c>
      <c r="Q4" s="343">
        <f>N4+O4</f>
        <v>3.4455442503680995</v>
      </c>
    </row>
    <row r="5" spans="1:17" s="251" customFormat="1" ht="77.400000000000006" customHeight="1" x14ac:dyDescent="0.3">
      <c r="A5"/>
      <c r="B5" s="285" t="s">
        <v>291</v>
      </c>
      <c r="C5" s="255" t="s">
        <v>292</v>
      </c>
      <c r="D5" s="285" t="s">
        <v>293</v>
      </c>
      <c r="E5" s="377" t="s">
        <v>294</v>
      </c>
      <c r="F5" s="285" t="s">
        <v>295</v>
      </c>
      <c r="G5" s="285" t="s">
        <v>295</v>
      </c>
      <c r="H5" s="285" t="s">
        <v>296</v>
      </c>
      <c r="I5" s="353" t="s">
        <v>297</v>
      </c>
      <c r="J5" s="331" t="s">
        <v>298</v>
      </c>
      <c r="K5" s="285" t="s">
        <v>299</v>
      </c>
      <c r="L5" s="331" t="s">
        <v>298</v>
      </c>
      <c r="M5" s="285" t="s">
        <v>300</v>
      </c>
      <c r="N5" s="285" t="s">
        <v>301</v>
      </c>
      <c r="O5" s="250"/>
      <c r="P5" s="285" t="s">
        <v>302</v>
      </c>
      <c r="Q5" s="250"/>
    </row>
    <row r="6" spans="1:17" ht="18" customHeight="1" thickBot="1" x14ac:dyDescent="0.35">
      <c r="B6" s="219" t="s">
        <v>198</v>
      </c>
      <c r="C6" s="219" t="s">
        <v>199</v>
      </c>
      <c r="D6" s="219" t="s">
        <v>200</v>
      </c>
      <c r="E6" s="219" t="s">
        <v>200</v>
      </c>
      <c r="F6" s="219" t="s">
        <v>200</v>
      </c>
      <c r="G6" s="219" t="s">
        <v>200</v>
      </c>
      <c r="H6" s="181" t="s">
        <v>205</v>
      </c>
      <c r="I6" s="181" t="s">
        <v>205</v>
      </c>
      <c r="J6" s="181" t="s">
        <v>205</v>
      </c>
      <c r="K6" s="181" t="s">
        <v>205</v>
      </c>
      <c r="L6" s="181"/>
      <c r="M6" s="181" t="s">
        <v>205</v>
      </c>
      <c r="N6" s="181" t="s">
        <v>205</v>
      </c>
      <c r="O6" s="181" t="s">
        <v>205</v>
      </c>
      <c r="P6" s="181" t="s">
        <v>205</v>
      </c>
      <c r="Q6" s="510" t="s">
        <v>205</v>
      </c>
    </row>
    <row r="7" spans="1:17" s="72" customFormat="1" ht="45.6" customHeight="1" thickBot="1" x14ac:dyDescent="0.35">
      <c r="B7" s="253" t="s">
        <v>206</v>
      </c>
      <c r="C7" s="254" t="s">
        <v>303</v>
      </c>
      <c r="D7" s="254" t="s">
        <v>304</v>
      </c>
      <c r="E7" s="254" t="s">
        <v>305</v>
      </c>
      <c r="F7" s="254" t="s">
        <v>306</v>
      </c>
      <c r="G7" s="254" t="s">
        <v>307</v>
      </c>
      <c r="H7" s="321" t="s">
        <v>308</v>
      </c>
      <c r="I7" s="321" t="s">
        <v>309</v>
      </c>
      <c r="J7" s="321" t="s">
        <v>310</v>
      </c>
      <c r="K7" s="321" t="s">
        <v>311</v>
      </c>
      <c r="L7" s="321" t="s">
        <v>312</v>
      </c>
      <c r="M7" s="321" t="s">
        <v>313</v>
      </c>
      <c r="N7" s="321" t="s">
        <v>285</v>
      </c>
      <c r="O7" s="321" t="s">
        <v>286</v>
      </c>
      <c r="P7" s="321" t="s">
        <v>287</v>
      </c>
      <c r="Q7" s="321" t="s">
        <v>255</v>
      </c>
    </row>
    <row r="8" spans="1:17" s="335" customFormat="1" ht="38.4" customHeight="1" x14ac:dyDescent="0.3">
      <c r="A8" s="348" t="s">
        <v>314</v>
      </c>
      <c r="B8" s="335" t="s">
        <v>290</v>
      </c>
      <c r="C8" s="336" t="s">
        <v>315</v>
      </c>
      <c r="D8" s="344">
        <v>5.2999999999999999E-2</v>
      </c>
      <c r="E8" s="344">
        <v>2</v>
      </c>
      <c r="F8" s="346">
        <v>0.8</v>
      </c>
      <c r="G8" s="346">
        <v>1.3</v>
      </c>
      <c r="H8" s="346">
        <f>IF(OR(SWA[[#This Row],[Estimated Bankfull Height (ft)]]="", SWA[[#This Row],[Estimated Floodplain Height (ft)]]=""),"",ROUND(SWA[[#This Row],[Estimated Floodplain Height (ft)]]/SWA[[#This Row],[Estimated Bankfull Height (ft)]], 1))</f>
        <v>1.6</v>
      </c>
      <c r="I8" s="346">
        <f>ROUND(G8/(IF(F8+0.5&gt;G8,G8,F8+0.5)),1)</f>
        <v>1</v>
      </c>
      <c r="J8" s="346">
        <f>IF(AND(SWA[[#This Row],[Existing Incision Ratio]]&lt;=2.5, SWA[[#This Row],[Proposed Post-Implementation Incision Ratio]]&lt;=1.5),1,0)</f>
        <v>1</v>
      </c>
      <c r="K8" s="347">
        <f>VLOOKUP(SWA[[#This Row],[Project Location HUC12]],'Lookup Tables'!BX:CD,2,FALSE)</f>
        <v>2.3610735318176461</v>
      </c>
      <c r="L8" s="347">
        <f>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f>
        <v>1</v>
      </c>
      <c r="M8" s="347">
        <f>'Lookup Tables'!$BP$7</f>
        <v>2.2999999999999998</v>
      </c>
      <c r="N8" s="347">
        <f>IF(SWA[[#This Row],[stability credit yes/no]]=0, 0, SWA[[#This Row],[Estimated Reconnected Floodplain Area within the River Corridor (acres)]]*SWA[[#This Row],[Stability Credit Proration]]*SWA[[#This Row],[Stability Credit Multiplier (kg/acre/year)]])</f>
        <v>0.12513689718633525</v>
      </c>
      <c r="O8" s="347">
        <f>(SWA[[#This Row],[Estimated Reconnected Floodplain Area within the River Corridor (acres)]]*SWA[[#This Row],[Storage Credit Multiplier (kg/acre/yr)]])+(SWA[[#This Row],[Estimated Reconnecte Floodplain Area outside the River Corridor (acres)]]*SWA[[#This Row],[Storage Credit Multiplier (kg/acre/yr)]]*0.5)</f>
        <v>2.4218999999999999</v>
      </c>
      <c r="P8" s="347">
        <f>SWA[[#This Row],[Annual Storage P Reduction (kg/yr)]]</f>
        <v>2.4218999999999999</v>
      </c>
      <c r="Q8" s="344">
        <f>SWA[[#This Row],[Annual Storage P Reduction (kg/yr)]]+SWA[[#This Row],[Annual Stream Stability P Reduction (kg/yr)]]</f>
        <v>2.5470368971863353</v>
      </c>
    </row>
    <row r="9" spans="1:17" s="335" customFormat="1" ht="28.8" x14ac:dyDescent="0.3">
      <c r="B9" s="335" t="s">
        <v>290</v>
      </c>
      <c r="C9" s="336" t="s">
        <v>315</v>
      </c>
      <c r="D9" s="344">
        <v>4.8000000000000001E-2</v>
      </c>
      <c r="E9" s="344">
        <v>0</v>
      </c>
      <c r="F9" s="346">
        <v>1.5</v>
      </c>
      <c r="G9" s="346">
        <v>2.75</v>
      </c>
      <c r="H9" s="346">
        <f>IF(OR(SWA[[#This Row],[Estimated Bankfull Height (ft)]]="", SWA[[#This Row],[Estimated Floodplain Height (ft)]]=""),"",ROUND(SWA[[#This Row],[Estimated Floodplain Height (ft)]]/SWA[[#This Row],[Estimated Bankfull Height (ft)]], 1))</f>
        <v>1.8</v>
      </c>
      <c r="I9" s="346">
        <f t="shared" ref="I9" si="0">ROUND(G9/(IF(F9+0.5&gt;G9,G9,F9+0.5)),1)</f>
        <v>1.4</v>
      </c>
      <c r="J9" s="346">
        <f>IF(AND(SWA[[#This Row],[Existing Incision Ratio]]&lt;=2.5, SWA[[#This Row],[Proposed Post-Implementation Incision Ratio]]&lt;=1.5),1,0)</f>
        <v>1</v>
      </c>
      <c r="K9" s="347">
        <f>VLOOKUP(SWA[[#This Row],[Project Location HUC12]],'Lookup Tables'!BX:CD,2,FALSE)</f>
        <v>2.3610735318176461</v>
      </c>
      <c r="L9" s="347">
        <f>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f>
        <v>0.50000000000000011</v>
      </c>
      <c r="M9" s="347">
        <f>'Lookup Tables'!$BP$7</f>
        <v>2.2999999999999998</v>
      </c>
      <c r="N9" s="347">
        <f>IF(SWA[[#This Row],[stability credit yes/no]]=0, 0, SWA[[#This Row],[Estimated Reconnected Floodplain Area within the River Corridor (acres)]]*SWA[[#This Row],[Stability Credit Proration]]*SWA[[#This Row],[Stability Credit Multiplier (kg/acre/year)]])</f>
        <v>5.6665764763623526E-2</v>
      </c>
      <c r="O9" s="347">
        <f>(SWA[[#This Row],[Estimated Reconnected Floodplain Area within the River Corridor (acres)]]*SWA[[#This Row],[Storage Credit Multiplier (kg/acre/yr)]])+(SWA[[#This Row],[Estimated Reconnecte Floodplain Area outside the River Corridor (acres)]]*SWA[[#This Row],[Storage Credit Multiplier (kg/acre/yr)]]*0.5)</f>
        <v>0.1104</v>
      </c>
      <c r="P9" s="347">
        <f>SWA[[#This Row],[Annual Storage P Reduction (kg/yr)]]</f>
        <v>0.1104</v>
      </c>
      <c r="Q9" s="344">
        <f>SWA[[#This Row],[Annual Storage P Reduction (kg/yr)]]+SWA[[#This Row],[Annual Stream Stability P Reduction (kg/yr)]]</f>
        <v>0.16706576476362353</v>
      </c>
    </row>
    <row r="10" spans="1:17" ht="28.8" x14ac:dyDescent="0.3">
      <c r="B10" s="335" t="s">
        <v>290</v>
      </c>
      <c r="C10" s="336" t="s">
        <v>315</v>
      </c>
      <c r="D10" s="345">
        <v>0.114</v>
      </c>
      <c r="E10" s="345">
        <v>0.1</v>
      </c>
      <c r="F10" s="346">
        <v>1</v>
      </c>
      <c r="G10" s="346">
        <v>2.5</v>
      </c>
      <c r="H10" s="346">
        <f>IF(OR(SWA[[#This Row],[Estimated Bankfull Height (ft)]]="", SWA[[#This Row],[Estimated Floodplain Height (ft)]]=""),"",ROUND(SWA[[#This Row],[Estimated Floodplain Height (ft)]]/SWA[[#This Row],[Estimated Bankfull Height (ft)]], 1))</f>
        <v>2.5</v>
      </c>
      <c r="I10" s="346">
        <f>ROUND(G10/(IF(F10+0.5&gt;G10,G10,F10+0.5)),1)</f>
        <v>1.7</v>
      </c>
      <c r="J10" s="346">
        <f>IF(AND(SWA[[#This Row],[Existing Incision Ratio]]&lt;=2.5, SWA[[#This Row],[Proposed Post-Implementation Incision Ratio]]&lt;=1.5),1,0)</f>
        <v>0</v>
      </c>
      <c r="K10" s="347">
        <f>VLOOKUP(SWA[[#This Row],[Project Location HUC12]],'Lookup Tables'!BX:CD,2,FALSE)</f>
        <v>2.3610735318176461</v>
      </c>
      <c r="L10" s="347">
        <f>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f>
        <v>0.53333333333333333</v>
      </c>
      <c r="M10" s="347">
        <f>'Lookup Tables'!$BP$7</f>
        <v>2.2999999999999998</v>
      </c>
      <c r="N10" s="347">
        <f>IF(SWA[[#This Row],[stability credit yes/no]]=0, 0, SWA[[#This Row],[Estimated Reconnected Floodplain Area within the River Corridor (acres)]]*SWA[[#This Row],[Stability Credit Proration]]*SWA[[#This Row],[Stability Credit Multiplier (kg/acre/year)]])</f>
        <v>0</v>
      </c>
      <c r="O10" s="347">
        <f>(SWA[[#This Row],[Estimated Reconnected Floodplain Area within the River Corridor (acres)]]*SWA[[#This Row],[Storage Credit Multiplier (kg/acre/yr)]])+(SWA[[#This Row],[Estimated Reconnecte Floodplain Area outside the River Corridor (acres)]]*SWA[[#This Row],[Storage Credit Multiplier (kg/acre/yr)]]*0.5)</f>
        <v>0.37719999999999998</v>
      </c>
      <c r="P10" s="347">
        <f>SWA[[#This Row],[Annual Storage P Reduction (kg/yr)]]</f>
        <v>0.37719999999999998</v>
      </c>
      <c r="Q10" s="344">
        <f>SWA[[#This Row],[Annual Storage P Reduction (kg/yr)]]+SWA[[#This Row],[Annual Stream Stability P Reduction (kg/yr)]]</f>
        <v>0.37719999999999998</v>
      </c>
    </row>
    <row r="11" spans="1:17" ht="28.8" x14ac:dyDescent="0.3">
      <c r="B11" s="335" t="s">
        <v>290</v>
      </c>
      <c r="C11" s="336" t="s">
        <v>315</v>
      </c>
      <c r="D11" s="345">
        <v>4.3999999999999997E-2</v>
      </c>
      <c r="E11" s="345">
        <v>0</v>
      </c>
      <c r="F11" s="346">
        <v>0.5</v>
      </c>
      <c r="G11" s="346">
        <v>0.75</v>
      </c>
      <c r="H11" s="346">
        <f>IF(OR(SWA[[#This Row],[Estimated Bankfull Height (ft)]]="", SWA[[#This Row],[Estimated Floodplain Height (ft)]]=""),"",ROUND(SWA[[#This Row],[Estimated Floodplain Height (ft)]]/SWA[[#This Row],[Estimated Bankfull Height (ft)]], 1))</f>
        <v>1.5</v>
      </c>
      <c r="I11" s="346">
        <f>ROUND(G11/(IF(F11+0.5&gt;G11,G11,F11+0.5)),1)</f>
        <v>1</v>
      </c>
      <c r="J11" s="346">
        <f>IF(AND(SWA[[#This Row],[Existing Incision Ratio]]&lt;=2.5, SWA[[#This Row],[Proposed Post-Implementation Incision Ratio]]&lt;=1.5),1,0)</f>
        <v>1</v>
      </c>
      <c r="K11" s="347">
        <f>VLOOKUP(SWA[[#This Row],[Project Location HUC12]],'Lookup Tables'!BX:CD,2,FALSE)</f>
        <v>2.3610735318176461</v>
      </c>
      <c r="L11" s="347">
        <f>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f>
        <v>1</v>
      </c>
      <c r="M11" s="347">
        <f>'Lookup Tables'!$BP$7</f>
        <v>2.2999999999999998</v>
      </c>
      <c r="N11" s="347">
        <f>IF(SWA[[#This Row],[stability credit yes/no]]=0, 0, SWA[[#This Row],[Estimated Reconnected Floodplain Area within the River Corridor (acres)]]*SWA[[#This Row],[Stability Credit Proration]]*SWA[[#This Row],[Stability Credit Multiplier (kg/acre/year)]])</f>
        <v>0.10388723539997642</v>
      </c>
      <c r="O11" s="347">
        <f>(SWA[[#This Row],[Estimated Reconnected Floodplain Area within the River Corridor (acres)]]*SWA[[#This Row],[Storage Credit Multiplier (kg/acre/yr)]])+(SWA[[#This Row],[Estimated Reconnecte Floodplain Area outside the River Corridor (acres)]]*SWA[[#This Row],[Storage Credit Multiplier (kg/acre/yr)]]*0.5)</f>
        <v>0.10119999999999998</v>
      </c>
      <c r="P11" s="347">
        <f>SWA[[#This Row],[Annual Storage P Reduction (kg/yr)]]</f>
        <v>0.10119999999999998</v>
      </c>
      <c r="Q11" s="344">
        <f>SWA[[#This Row],[Annual Storage P Reduction (kg/yr)]]+SWA[[#This Row],[Annual Stream Stability P Reduction (kg/yr)]]</f>
        <v>0.20508723539997642</v>
      </c>
    </row>
    <row r="12" spans="1:17" ht="28.8" x14ac:dyDescent="0.3">
      <c r="B12" s="335" t="s">
        <v>290</v>
      </c>
      <c r="C12" s="336" t="s">
        <v>315</v>
      </c>
      <c r="D12" s="345">
        <v>3.2000000000000001E-2</v>
      </c>
      <c r="E12" s="345">
        <v>0</v>
      </c>
      <c r="F12" s="346">
        <v>0.8</v>
      </c>
      <c r="G12" s="346">
        <v>1.25</v>
      </c>
      <c r="H12" s="346">
        <f>IF(OR(SWA[[#This Row],[Estimated Bankfull Height (ft)]]="", SWA[[#This Row],[Estimated Floodplain Height (ft)]]=""),"",ROUND(SWA[[#This Row],[Estimated Floodplain Height (ft)]]/SWA[[#This Row],[Estimated Bankfull Height (ft)]], 1))</f>
        <v>1.6</v>
      </c>
      <c r="I12" s="346">
        <f>ROUND(G12/(IF(F12+0.5&gt;G12,G12,F12+0.5)),1)</f>
        <v>1</v>
      </c>
      <c r="J12" s="346">
        <f>IF(AND(SWA[[#This Row],[Existing Incision Ratio]]&lt;=2.5, SWA[[#This Row],[Proposed Post-Implementation Incision Ratio]]&lt;=1.5),1,0)</f>
        <v>1</v>
      </c>
      <c r="K12" s="347">
        <f>VLOOKUP(SWA[[#This Row],[Project Location HUC12]],'Lookup Tables'!BX:CD,2,FALSE)</f>
        <v>2.3610735318176461</v>
      </c>
      <c r="L12" s="347">
        <f>IF(AND(SWA[[#This Row],[Existing Incision Ratio]]="", SWA[[#This Row],[Proposed Post-Implementation Incision Ratio]]=""), "", IF(SWA[[#This Row],[Existing Incision Ratio]]-SWA[[#This Row],[Proposed Post-Implementation Incision Ratio]]=0,0, ((SWA[[#This Row],[Existing Incision Ratio]]-1)-(SWA[[#This Row],[Proposed Post-Implementation Incision Ratio]]-1))/(SWA[[#This Row],[Existing Incision Ratio]]-1)))</f>
        <v>1</v>
      </c>
      <c r="M12" s="347">
        <f>'Lookup Tables'!$BP$7</f>
        <v>2.2999999999999998</v>
      </c>
      <c r="N12" s="347">
        <f>IF(SWA[[#This Row],[stability credit yes/no]]=0, 0, SWA[[#This Row],[Estimated Reconnected Floodplain Area within the River Corridor (acres)]]*SWA[[#This Row],[Stability Credit Proration]]*SWA[[#This Row],[Stability Credit Multiplier (kg/acre/year)]])</f>
        <v>7.5554353018164683E-2</v>
      </c>
      <c r="O12" s="347">
        <f>(SWA[[#This Row],[Estimated Reconnected Floodplain Area within the River Corridor (acres)]]*SWA[[#This Row],[Storage Credit Multiplier (kg/acre/yr)]])+(SWA[[#This Row],[Estimated Reconnecte Floodplain Area outside the River Corridor (acres)]]*SWA[[#This Row],[Storage Credit Multiplier (kg/acre/yr)]]*0.5)</f>
        <v>7.3599999999999999E-2</v>
      </c>
      <c r="P12" s="347">
        <f>SWA[[#This Row],[Annual Storage P Reduction (kg/yr)]]</f>
        <v>7.3599999999999999E-2</v>
      </c>
      <c r="Q12" s="344">
        <f>SWA[[#This Row],[Annual Storage P Reduction (kg/yr)]]+SWA[[#This Row],[Annual Stream Stability P Reduction (kg/yr)]]</f>
        <v>0.14915435301816468</v>
      </c>
    </row>
    <row r="13" spans="1:17" x14ac:dyDescent="0.3"/>
    <row r="14" spans="1:17" x14ac:dyDescent="0.3"/>
    <row r="15" spans="1:17" x14ac:dyDescent="0.3"/>
    <row r="16" spans="1:17"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ht="25.2" customHeight="1" x14ac:dyDescent="0.3"/>
    <row r="47" x14ac:dyDescent="0.3"/>
    <row r="48"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row r="61" x14ac:dyDescent="0.3"/>
    <row r="62" x14ac:dyDescent="0.3"/>
    <row r="63" x14ac:dyDescent="0.3"/>
    <row r="64" x14ac:dyDescent="0.3"/>
    <row r="65" x14ac:dyDescent="0.3"/>
    <row r="66" x14ac:dyDescent="0.3"/>
    <row r="67" x14ac:dyDescent="0.3"/>
  </sheetData>
  <mergeCells count="3">
    <mergeCell ref="B2:D2"/>
    <mergeCell ref="C3:H4"/>
    <mergeCell ref="B3:B4"/>
  </mergeCells>
  <phoneticPr fontId="40" type="noConversion"/>
  <dataValidations count="1">
    <dataValidation type="decimal" allowBlank="1" showInputMessage="1" showErrorMessage="1" sqref="D8:G12 I8:J12" xr:uid="{F35884D7-A968-4A1C-AF1A-41CD4E890C46}">
      <formula1>0</formula1>
      <formula2>10000</formula2>
    </dataValidation>
  </dataValidations>
  <hyperlinks>
    <hyperlink ref="C5" r:id="rId1" display="To determine HUC12 - visit the ANR Atlas, turn on 'ANR Basemap Data', 'Watershed Boundary Dataset (WBD)', and 'Subwatershed (HUC12)' layers, enter the project lat/lon in the search bar, and click on the search result to zoom to the project location. HUC12 name and number will display in green outlined text. " xr:uid="{61DE8706-57FA-42F9-9D34-335F1D3B04F2}"/>
    <hyperlink ref="B3" r:id="rId2" display="Please consult SWA crediting guidance" xr:uid="{4C436393-5294-437E-A9D2-7BC7FF5D2470}"/>
    <hyperlink ref="B3:B4" r:id="rId3" display="Please consult SWA Crediting Guidance" xr:uid="{B922D66E-5ED1-4285-817F-4A8FFDF96693}"/>
  </hyperlinks>
  <pageMargins left="0.7" right="0.7" top="0.75" bottom="0.75" header="0.3" footer="0.3"/>
  <pageSetup orientation="portrait" r:id="rId4"/>
  <tableParts count="1">
    <tablePart r:id="rId5"/>
  </tableParts>
  <extLst>
    <ext xmlns:x14="http://schemas.microsoft.com/office/spreadsheetml/2009/9/main" uri="{CCE6A557-97BC-4b89-ADB6-D9C93CAAB3DF}">
      <x14:dataValidations xmlns:xm="http://schemas.microsoft.com/office/excel/2006/main" count="1">
        <x14:dataValidation type="list" allowBlank="1" showInputMessage="1" showErrorMessage="1" xr:uid="{8CDA950D-68C5-4F62-9199-FC4A6EC9DA96}">
          <x14:formula1>
            <xm:f>'Lookup Tables'!$BX$4:$BX$133</xm:f>
          </x14:formula1>
          <xm:sqref>C8:C12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06085-6A34-4B42-84FD-FC9F536E9022}">
  <sheetPr>
    <tabColor theme="4"/>
  </sheetPr>
  <dimension ref="B1:N52"/>
  <sheetViews>
    <sheetView workbookViewId="0">
      <pane xSplit="1" ySplit="8" topLeftCell="C9" activePane="bottomRight" state="frozen"/>
      <selection pane="topRight" activeCell="B1" sqref="B1"/>
      <selection pane="bottomLeft" activeCell="A9" sqref="A9"/>
      <selection pane="bottomRight" activeCell="M16" sqref="M16"/>
    </sheetView>
  </sheetViews>
  <sheetFormatPr defaultRowHeight="14.4" zeroHeight="1" x14ac:dyDescent="0.3"/>
  <cols>
    <col min="2" max="2" width="24" customWidth="1"/>
    <col min="3" max="3" width="38" customWidth="1"/>
    <col min="4" max="4" width="27.88671875" customWidth="1"/>
    <col min="5" max="5" width="29" customWidth="1"/>
    <col min="6" max="6" width="25" customWidth="1"/>
    <col min="7" max="8" width="34.33203125" customWidth="1"/>
    <col min="9" max="9" width="17.88671875" style="248" hidden="1" customWidth="1"/>
    <col min="10" max="10" width="17.88671875" customWidth="1"/>
    <col min="11" max="11" width="17.88671875" hidden="1" customWidth="1"/>
    <col min="12" max="14" width="17.88671875" customWidth="1"/>
  </cols>
  <sheetData>
    <row r="1" spans="2:14" ht="18" customHeight="1" thickBot="1" x14ac:dyDescent="0.4">
      <c r="B1" s="137" t="s">
        <v>316</v>
      </c>
      <c r="C1" s="137"/>
      <c r="D1" s="137"/>
      <c r="E1" s="137"/>
      <c r="F1" s="137"/>
      <c r="G1" s="137"/>
      <c r="H1" s="137"/>
      <c r="I1"/>
      <c r="L1" s="105"/>
    </row>
    <row r="2" spans="2:14" ht="15" customHeight="1" thickTop="1" thickBot="1" x14ac:dyDescent="0.35">
      <c r="B2" s="326"/>
      <c r="C2" s="326"/>
      <c r="D2" s="327"/>
      <c r="E2" s="327"/>
      <c r="F2" s="327"/>
      <c r="G2" s="328"/>
      <c r="H2" s="328"/>
      <c r="I2"/>
      <c r="L2" s="105"/>
    </row>
    <row r="3" spans="2:14" ht="15" thickBot="1" x14ac:dyDescent="0.35">
      <c r="B3" s="323" t="s">
        <v>238</v>
      </c>
      <c r="C3" s="324"/>
      <c r="D3" s="324"/>
      <c r="E3" s="324"/>
      <c r="F3" s="324"/>
      <c r="G3" s="324"/>
      <c r="H3" s="324"/>
      <c r="I3"/>
    </row>
    <row r="4" spans="2:14" ht="84.6" customHeight="1" x14ac:dyDescent="0.3">
      <c r="B4" s="504" t="s">
        <v>1185</v>
      </c>
      <c r="C4" s="505"/>
      <c r="D4" s="505"/>
      <c r="E4" s="505"/>
      <c r="F4" s="505"/>
      <c r="G4" s="505"/>
      <c r="H4" s="505"/>
      <c r="I4"/>
    </row>
    <row r="5" spans="2:14" ht="23.4" customHeight="1" thickBot="1" x14ac:dyDescent="0.35">
      <c r="B5" s="506" t="s">
        <v>317</v>
      </c>
      <c r="C5" s="507"/>
      <c r="D5" s="507"/>
      <c r="E5" s="507"/>
      <c r="F5" s="507"/>
      <c r="G5" s="507"/>
      <c r="H5" s="507"/>
      <c r="I5"/>
    </row>
    <row r="6" spans="2:14" s="257" customFormat="1" ht="76.2" customHeight="1" x14ac:dyDescent="0.2">
      <c r="B6" s="351" t="s">
        <v>191</v>
      </c>
      <c r="C6" s="255" t="s">
        <v>292</v>
      </c>
      <c r="D6" s="252" t="s">
        <v>1183</v>
      </c>
      <c r="E6" s="377" t="s">
        <v>318</v>
      </c>
      <c r="F6" s="377" t="s">
        <v>294</v>
      </c>
      <c r="G6" s="407" t="s">
        <v>319</v>
      </c>
      <c r="H6" s="407"/>
      <c r="I6" s="377"/>
      <c r="J6" s="377"/>
      <c r="K6" s="377"/>
      <c r="L6" s="377" t="s">
        <v>320</v>
      </c>
      <c r="M6" s="377"/>
      <c r="N6" s="377"/>
    </row>
    <row r="7" spans="2:14" ht="15" thickBot="1" x14ac:dyDescent="0.35">
      <c r="B7" s="166" t="s">
        <v>198</v>
      </c>
      <c r="C7" s="166" t="s">
        <v>199</v>
      </c>
      <c r="D7" s="166" t="s">
        <v>199</v>
      </c>
      <c r="E7" s="166" t="s">
        <v>200</v>
      </c>
      <c r="F7" s="166"/>
      <c r="G7" s="166" t="s">
        <v>199</v>
      </c>
      <c r="H7" s="166" t="s">
        <v>199</v>
      </c>
      <c r="I7" s="125" t="s">
        <v>205</v>
      </c>
      <c r="J7" s="125" t="s">
        <v>205</v>
      </c>
      <c r="K7" s="125" t="s">
        <v>205</v>
      </c>
      <c r="L7" s="125" t="s">
        <v>205</v>
      </c>
      <c r="M7" s="125" t="s">
        <v>205</v>
      </c>
      <c r="N7" s="168" t="s">
        <v>205</v>
      </c>
    </row>
    <row r="8" spans="2:14" s="325" customFormat="1" ht="57.6" customHeight="1" thickBot="1" x14ac:dyDescent="0.35">
      <c r="B8" s="135" t="s">
        <v>206</v>
      </c>
      <c r="C8" s="136" t="s">
        <v>303</v>
      </c>
      <c r="D8" s="136" t="s">
        <v>321</v>
      </c>
      <c r="E8" s="136" t="s">
        <v>1163</v>
      </c>
      <c r="F8" s="136" t="s">
        <v>1164</v>
      </c>
      <c r="G8" s="136" t="s">
        <v>322</v>
      </c>
      <c r="H8" s="136" t="s">
        <v>323</v>
      </c>
      <c r="I8" s="317" t="s">
        <v>324</v>
      </c>
      <c r="J8" s="317" t="s">
        <v>325</v>
      </c>
      <c r="K8" s="317" t="s">
        <v>326</v>
      </c>
      <c r="L8" s="317" t="s">
        <v>327</v>
      </c>
      <c r="M8" s="317" t="s">
        <v>328</v>
      </c>
      <c r="N8" s="317" t="s">
        <v>329</v>
      </c>
    </row>
    <row r="9" spans="2:14" x14ac:dyDescent="0.3">
      <c r="B9" t="s">
        <v>330</v>
      </c>
      <c r="C9" s="72" t="s">
        <v>870</v>
      </c>
      <c r="D9" s="72" t="s">
        <v>129</v>
      </c>
      <c r="E9" s="153">
        <v>2</v>
      </c>
      <c r="F9" s="153">
        <v>1</v>
      </c>
      <c r="G9" t="s">
        <v>331</v>
      </c>
      <c r="H9" t="s">
        <v>332</v>
      </c>
      <c r="I9" s="153">
        <f>VLOOKUP(acres[[#This Row],[Project Location HUC12]], 'Lookup Tables'!$BX$4:$CI$133, MATCH(acres[[#This Row],[Practice Type]], 'Lookup Tables'!$BX$3:$CI$3,0),FALSE)</f>
        <v>0.77153781766047513</v>
      </c>
      <c r="J9" s="153">
        <f>acres[[#This Row],[Stream Stability P Reduction (kg/unit/year)]]*acres[[#This Row],[Practice Area Within the River Corridor (acres) ]]</f>
        <v>1.5430756353209503</v>
      </c>
      <c r="K9" s="153">
        <f>IF(AND(acres[[#This Row],[Floodplain Connectivity Pre-Restoration]]='Lookup Tables'!$BO$4, acres[[#This Row],[Floodplain Connectivity Post-Restoration]]='Lookup Tables'!$BN$6),'Lookup Tables'!$BO$6,
IF(AND(acres[[#This Row],[Floodplain Connectivity Pre-Restoration]]='Lookup Tables'!$BO$4, acres[[#This Row],[Floodplain Connectivity Post-Restoration]]='Lookup Tables'!$BN$7), 'Lookup Tables'!$BO$7,
IF(AND(acres[[#This Row],[Floodplain Connectivity Pre-Restoration]]='Lookup Tables'!$BP$4, acres[[#This Row],[Floodplain Connectivity Post-Restoration]]='Lookup Tables'!$BN$7), 'Lookup Tables'!$BP$7, 0)))</f>
        <v>4.5</v>
      </c>
      <c r="L9" s="153">
        <f>(acres[[#This Row],[Practice Area Within the River Corridor (acres) ]]*acres[[#This Row],[Annual Storage P Reduction (kg/acre/year)]])+(acres[[#This Row],[Annual Storage P Reduction (kg/acre/year)]]*acres[[#This Row],[Practice Area Outside the River Corridor (acres)]]*0.5)</f>
        <v>11.25</v>
      </c>
      <c r="M9" s="153">
        <f>K9*E9</f>
        <v>9</v>
      </c>
      <c r="N9" s="153">
        <f>acres[[#This Row],[Annual Storage P Reduction (kg/year)]]+acres[[#This Row],[Annual Stream Stability P Reduction (kg/year)]]</f>
        <v>12.79307563532095</v>
      </c>
    </row>
    <row r="10" spans="2:14" x14ac:dyDescent="0.3">
      <c r="I10"/>
    </row>
    <row r="11" spans="2:14" x14ac:dyDescent="0.3">
      <c r="I11"/>
    </row>
    <row r="12" spans="2:14" x14ac:dyDescent="0.3">
      <c r="I12"/>
    </row>
    <row r="13" spans="2:14" x14ac:dyDescent="0.3">
      <c r="I13"/>
    </row>
    <row r="14" spans="2:14" x14ac:dyDescent="0.3">
      <c r="I14"/>
    </row>
    <row r="15" spans="2:14" x14ac:dyDescent="0.3">
      <c r="I15"/>
    </row>
    <row r="16" spans="2:14" x14ac:dyDescent="0.3">
      <c r="I16"/>
    </row>
    <row r="17" spans="9:9" x14ac:dyDescent="0.3">
      <c r="I17"/>
    </row>
    <row r="18" spans="9:9" x14ac:dyDescent="0.3">
      <c r="I18"/>
    </row>
    <row r="19" spans="9:9" x14ac:dyDescent="0.3">
      <c r="I19"/>
    </row>
    <row r="20" spans="9:9" x14ac:dyDescent="0.3">
      <c r="I20"/>
    </row>
    <row r="21" spans="9:9" x14ac:dyDescent="0.3">
      <c r="I21"/>
    </row>
    <row r="22" spans="9:9" x14ac:dyDescent="0.3">
      <c r="I22"/>
    </row>
    <row r="23" spans="9:9" x14ac:dyDescent="0.3">
      <c r="I23"/>
    </row>
    <row r="24" spans="9:9" x14ac:dyDescent="0.3">
      <c r="I24"/>
    </row>
    <row r="25" spans="9:9" x14ac:dyDescent="0.3">
      <c r="I25"/>
    </row>
    <row r="26" spans="9:9" x14ac:dyDescent="0.3">
      <c r="I26"/>
    </row>
    <row r="27" spans="9:9" x14ac:dyDescent="0.3">
      <c r="I27"/>
    </row>
    <row r="28" spans="9:9" x14ac:dyDescent="0.3">
      <c r="I28"/>
    </row>
    <row r="29" spans="9:9" x14ac:dyDescent="0.3">
      <c r="I29"/>
    </row>
    <row r="30" spans="9:9" x14ac:dyDescent="0.3">
      <c r="I30"/>
    </row>
    <row r="31" spans="9:9" x14ac:dyDescent="0.3">
      <c r="I31"/>
    </row>
    <row r="32" spans="9:9" x14ac:dyDescent="0.3">
      <c r="I32"/>
    </row>
    <row r="33" spans="9:9" x14ac:dyDescent="0.3">
      <c r="I33"/>
    </row>
    <row r="34" spans="9:9" x14ac:dyDescent="0.3">
      <c r="I34"/>
    </row>
    <row r="35" spans="9:9" x14ac:dyDescent="0.3">
      <c r="I35"/>
    </row>
    <row r="36" spans="9:9" x14ac:dyDescent="0.3">
      <c r="I36"/>
    </row>
    <row r="37" spans="9:9" x14ac:dyDescent="0.3">
      <c r="I37"/>
    </row>
    <row r="38" spans="9:9" x14ac:dyDescent="0.3">
      <c r="I38"/>
    </row>
    <row r="39" spans="9:9" x14ac:dyDescent="0.3">
      <c r="I39"/>
    </row>
    <row r="40" spans="9:9" x14ac:dyDescent="0.3">
      <c r="I40"/>
    </row>
    <row r="41" spans="9:9" x14ac:dyDescent="0.3">
      <c r="I41"/>
    </row>
    <row r="42" spans="9:9" x14ac:dyDescent="0.3">
      <c r="I42"/>
    </row>
    <row r="43" spans="9:9" x14ac:dyDescent="0.3">
      <c r="I43"/>
    </row>
    <row r="44" spans="9:9" x14ac:dyDescent="0.3">
      <c r="I44"/>
    </row>
    <row r="45" spans="9:9" x14ac:dyDescent="0.3">
      <c r="I45"/>
    </row>
    <row r="46" spans="9:9" x14ac:dyDescent="0.3">
      <c r="I46"/>
    </row>
    <row r="47" spans="9:9" x14ac:dyDescent="0.3">
      <c r="I47"/>
    </row>
    <row r="48" spans="9:9" x14ac:dyDescent="0.3">
      <c r="I48"/>
    </row>
    <row r="49" spans="3:9" x14ac:dyDescent="0.3">
      <c r="I49"/>
    </row>
    <row r="50" spans="3:9" ht="25.2" customHeight="1" x14ac:dyDescent="0.3">
      <c r="I50"/>
    </row>
    <row r="51" spans="3:9" hidden="1" x14ac:dyDescent="0.3">
      <c r="C51" s="72"/>
    </row>
    <row r="52" spans="3:9" hidden="1" x14ac:dyDescent="0.3">
      <c r="C52" s="72"/>
    </row>
  </sheetData>
  <mergeCells count="3">
    <mergeCell ref="G6:H6"/>
    <mergeCell ref="B4:H4"/>
    <mergeCell ref="B5:H5"/>
  </mergeCells>
  <hyperlinks>
    <hyperlink ref="C6" r:id="rId1" display="To determine HUC12 - visit the ANR Atlas, turn on 'ANR Basemap Data', 'Watershed Boundary Dataset (WBD)', and 'Subwatershed (HUC12)' layers, enter the project lat/lon in the search bar, and click on the search result to zoom to the project location. HUC12 name and number will display in green outlined text. " xr:uid="{6B36E131-D3BB-4458-9FA9-E115C705B4CB}"/>
    <hyperlink ref="B5" r:id="rId2" xr:uid="{8A51D833-B51D-4F9E-8F73-543697E1841B}"/>
  </hyperlinks>
  <pageMargins left="0.7" right="0.7" top="0.75" bottom="0.75" header="0.3" footer="0.3"/>
  <pageSetup orientation="portrait" r:id="rId3"/>
  <tableParts count="1">
    <tablePart r:id="rId4"/>
  </tableParts>
  <extLst>
    <ext xmlns:x14="http://schemas.microsoft.com/office/spreadsheetml/2009/9/main" uri="{CCE6A557-97BC-4b89-ADB6-D9C93CAAB3DF}">
      <x14:dataValidations xmlns:xm="http://schemas.microsoft.com/office/excel/2006/main" count="3">
        <x14:dataValidation type="list" allowBlank="1" showInputMessage="1" showErrorMessage="1" xr:uid="{98A87311-B0BF-45E9-B8E4-32C88F817823}">
          <x14:formula1>
            <xm:f>'Lookup Tables'!$Z$3:$Z$5</xm:f>
          </x14:formula1>
          <xm:sqref>G9:H9</xm:sqref>
        </x14:dataValidation>
        <x14:dataValidation type="list" allowBlank="1" showInputMessage="1" showErrorMessage="1" xr:uid="{92D38CBA-8EFB-4BCD-AAAF-2DC8F619B28C}">
          <x14:formula1>
            <xm:f>'Lookup Tables'!$BY$3:$CI$3</xm:f>
          </x14:formula1>
          <xm:sqref>D9</xm:sqref>
        </x14:dataValidation>
        <x14:dataValidation type="list" allowBlank="1" showInputMessage="1" showErrorMessage="1" xr:uid="{13791A93-6BAF-4442-83FE-8E3713991B0E}">
          <x14:formula1>
            <xm:f>'Lookup Tables'!$BX$4:$BX$133</xm:f>
          </x14:formula1>
          <xm:sqref>C9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5066C-D4CD-49E9-A58A-3F9F6182D103}">
  <sheetPr>
    <tabColor theme="4"/>
  </sheetPr>
  <dimension ref="B1:AF61"/>
  <sheetViews>
    <sheetView workbookViewId="0">
      <pane xSplit="1" ySplit="8" topLeftCell="B9" activePane="bottomRight" state="frozen"/>
      <selection pane="topRight" activeCell="B1" sqref="B1"/>
      <selection pane="bottomLeft" activeCell="A9" sqref="A9"/>
      <selection pane="bottomRight" activeCell="AF16" sqref="AF16"/>
    </sheetView>
  </sheetViews>
  <sheetFormatPr defaultRowHeight="14.4" zeroHeight="1" x14ac:dyDescent="0.3"/>
  <cols>
    <col min="2" max="2" width="29" customWidth="1"/>
    <col min="3" max="3" width="51.5546875" bestFit="1" customWidth="1"/>
    <col min="4" max="4" width="28.33203125" customWidth="1"/>
    <col min="5" max="5" width="23.6640625" customWidth="1"/>
    <col min="6" max="6" width="20.6640625" customWidth="1"/>
    <col min="7" max="7" width="15.5546875" customWidth="1"/>
    <col min="8" max="8" width="15.33203125" customWidth="1"/>
    <col min="9" max="14" width="17.88671875" customWidth="1"/>
    <col min="15" max="26" width="12.44140625" customWidth="1"/>
    <col min="27" max="27" width="25.6640625" customWidth="1"/>
    <col min="28" max="28" width="20.33203125" customWidth="1"/>
    <col min="29" max="29" width="16.44140625" customWidth="1"/>
    <col min="30" max="30" width="13.6640625" customWidth="1"/>
    <col min="31" max="31" width="13.88671875" hidden="1" customWidth="1"/>
    <col min="32" max="32" width="12.44140625" customWidth="1"/>
  </cols>
  <sheetData>
    <row r="1" spans="2:32" ht="36.6" customHeight="1" thickBot="1" x14ac:dyDescent="0.4">
      <c r="B1" s="137" t="s">
        <v>333</v>
      </c>
      <c r="C1" s="137"/>
      <c r="D1" s="137"/>
      <c r="E1" s="137"/>
      <c r="F1" s="137"/>
      <c r="G1" s="137"/>
      <c r="H1" s="137"/>
      <c r="I1" s="137"/>
      <c r="J1" s="137"/>
      <c r="K1" s="139"/>
      <c r="L1" s="105"/>
      <c r="M1" s="105"/>
    </row>
    <row r="2" spans="2:32" ht="18.75" customHeight="1" thickTop="1" thickBot="1" x14ac:dyDescent="0.35">
      <c r="B2" s="379"/>
      <c r="C2" s="326"/>
      <c r="D2" s="326"/>
      <c r="E2" s="327"/>
      <c r="F2" s="328"/>
      <c r="G2" s="328"/>
      <c r="H2" s="328"/>
      <c r="I2" s="328"/>
      <c r="J2" s="328"/>
      <c r="K2" s="328"/>
      <c r="L2" s="105"/>
      <c r="M2" s="105"/>
    </row>
    <row r="3" spans="2:32" ht="15" thickBot="1" x14ac:dyDescent="0.35">
      <c r="B3" s="354" t="s">
        <v>238</v>
      </c>
      <c r="C3" s="355"/>
      <c r="D3" s="355"/>
      <c r="E3" s="355"/>
      <c r="F3" s="355"/>
      <c r="G3" s="355"/>
      <c r="H3" s="355"/>
      <c r="I3" s="355"/>
      <c r="J3" s="355"/>
    </row>
    <row r="4" spans="2:32" ht="90" customHeight="1" x14ac:dyDescent="0.3">
      <c r="B4" s="441" t="s">
        <v>1184</v>
      </c>
      <c r="C4" s="440"/>
      <c r="D4" s="440"/>
      <c r="E4" s="440"/>
      <c r="F4" s="440"/>
      <c r="G4" s="440"/>
      <c r="H4" s="440"/>
      <c r="I4" s="440"/>
      <c r="J4" s="440"/>
    </row>
    <row r="5" spans="2:32" ht="23.4" customHeight="1" x14ac:dyDescent="0.3">
      <c r="B5" s="442" t="s">
        <v>317</v>
      </c>
      <c r="C5" s="443"/>
      <c r="D5" s="443"/>
      <c r="E5" s="443"/>
      <c r="F5" s="443"/>
      <c r="G5" s="443"/>
      <c r="H5" s="443"/>
      <c r="I5" s="443"/>
      <c r="J5" s="443"/>
    </row>
    <row r="6" spans="2:32" s="257" customFormat="1" ht="58.2" customHeight="1" x14ac:dyDescent="0.2">
      <c r="B6" s="351" t="s">
        <v>191</v>
      </c>
      <c r="C6" s="255" t="s">
        <v>292</v>
      </c>
      <c r="D6" s="285" t="s">
        <v>334</v>
      </c>
      <c r="E6" s="377" t="s">
        <v>335</v>
      </c>
      <c r="F6" s="285" t="s">
        <v>336</v>
      </c>
      <c r="G6" s="285" t="s">
        <v>337</v>
      </c>
      <c r="H6" s="407" t="s">
        <v>338</v>
      </c>
      <c r="I6" s="407"/>
      <c r="J6" s="407"/>
      <c r="K6" s="407"/>
      <c r="L6" s="407"/>
      <c r="M6" s="407"/>
      <c r="N6" s="407"/>
      <c r="O6" s="407"/>
      <c r="P6" s="407"/>
      <c r="Q6" s="407"/>
      <c r="R6" s="407"/>
      <c r="S6" s="407"/>
      <c r="T6" s="407"/>
      <c r="U6" s="407"/>
      <c r="V6" s="407"/>
      <c r="W6" s="407"/>
      <c r="X6" s="407"/>
      <c r="Y6" s="407"/>
      <c r="Z6" s="407"/>
      <c r="AA6" s="377" t="s">
        <v>339</v>
      </c>
      <c r="AB6" s="377" t="s">
        <v>340</v>
      </c>
      <c r="AC6" s="377"/>
      <c r="AD6" s="377"/>
      <c r="AE6" s="377"/>
      <c r="AF6" s="377"/>
    </row>
    <row r="7" spans="2:32" ht="16.5" customHeight="1" thickBot="1" x14ac:dyDescent="0.35">
      <c r="B7" s="166" t="s">
        <v>198</v>
      </c>
      <c r="C7" s="166" t="s">
        <v>199</v>
      </c>
      <c r="D7" s="166" t="s">
        <v>199</v>
      </c>
      <c r="E7" s="166" t="s">
        <v>200</v>
      </c>
      <c r="F7" s="166" t="s">
        <v>341</v>
      </c>
      <c r="G7" s="166" t="s">
        <v>199</v>
      </c>
      <c r="H7" s="289" t="s">
        <v>247</v>
      </c>
      <c r="I7" s="289" t="s">
        <v>247</v>
      </c>
      <c r="J7" s="289" t="s">
        <v>247</v>
      </c>
      <c r="K7" s="289" t="s">
        <v>247</v>
      </c>
      <c r="L7" s="289" t="s">
        <v>247</v>
      </c>
      <c r="M7" s="289" t="s">
        <v>247</v>
      </c>
      <c r="N7" s="289" t="s">
        <v>247</v>
      </c>
      <c r="O7" s="289" t="s">
        <v>247</v>
      </c>
      <c r="P7" s="289" t="s">
        <v>247</v>
      </c>
      <c r="Q7" s="289" t="s">
        <v>247</v>
      </c>
      <c r="R7" s="289" t="s">
        <v>247</v>
      </c>
      <c r="S7" s="289" t="s">
        <v>247</v>
      </c>
      <c r="T7" s="289" t="s">
        <v>247</v>
      </c>
      <c r="U7" s="289" t="s">
        <v>247</v>
      </c>
      <c r="V7" s="289" t="s">
        <v>247</v>
      </c>
      <c r="W7" s="289" t="s">
        <v>247</v>
      </c>
      <c r="X7" s="289" t="s">
        <v>247</v>
      </c>
      <c r="Y7" s="289" t="s">
        <v>247</v>
      </c>
      <c r="Z7" s="289" t="s">
        <v>247</v>
      </c>
      <c r="AA7" s="290" t="s">
        <v>205</v>
      </c>
      <c r="AB7" s="290" t="s">
        <v>205</v>
      </c>
      <c r="AC7" s="290" t="s">
        <v>205</v>
      </c>
      <c r="AD7" s="290" t="s">
        <v>205</v>
      </c>
      <c r="AE7" s="290" t="s">
        <v>205</v>
      </c>
      <c r="AF7" s="509" t="s">
        <v>205</v>
      </c>
    </row>
    <row r="8" spans="2:32" s="72" customFormat="1" ht="61.2" customHeight="1" x14ac:dyDescent="0.3">
      <c r="B8" s="312" t="s">
        <v>206</v>
      </c>
      <c r="C8" s="313" t="s">
        <v>303</v>
      </c>
      <c r="D8" s="313" t="s">
        <v>321</v>
      </c>
      <c r="E8" s="313" t="s">
        <v>342</v>
      </c>
      <c r="F8" s="313" t="s">
        <v>343</v>
      </c>
      <c r="G8" s="313" t="s">
        <v>344</v>
      </c>
      <c r="H8" s="314" t="s">
        <v>345</v>
      </c>
      <c r="I8" s="314" t="s">
        <v>346</v>
      </c>
      <c r="J8" s="314" t="s">
        <v>347</v>
      </c>
      <c r="K8" s="314" t="s">
        <v>348</v>
      </c>
      <c r="L8" s="314" t="s">
        <v>349</v>
      </c>
      <c r="M8" s="314" t="s">
        <v>350</v>
      </c>
      <c r="N8" s="314" t="s">
        <v>351</v>
      </c>
      <c r="O8" s="315" t="s">
        <v>352</v>
      </c>
      <c r="P8" s="315" t="s">
        <v>353</v>
      </c>
      <c r="Q8" s="315" t="s">
        <v>354</v>
      </c>
      <c r="R8" s="315" t="s">
        <v>355</v>
      </c>
      <c r="S8" s="315" t="s">
        <v>356</v>
      </c>
      <c r="T8" s="315" t="s">
        <v>357</v>
      </c>
      <c r="U8" s="315" t="s">
        <v>358</v>
      </c>
      <c r="V8" s="315" t="s">
        <v>359</v>
      </c>
      <c r="W8" s="315" t="s">
        <v>360</v>
      </c>
      <c r="X8" s="315" t="s">
        <v>361</v>
      </c>
      <c r="Y8" s="315" t="s">
        <v>362</v>
      </c>
      <c r="Z8" s="315" t="s">
        <v>363</v>
      </c>
      <c r="AA8" s="316" t="s">
        <v>364</v>
      </c>
      <c r="AB8" s="316" t="s">
        <v>365</v>
      </c>
      <c r="AC8" s="316" t="s">
        <v>366</v>
      </c>
      <c r="AD8" s="316" t="s">
        <v>367</v>
      </c>
      <c r="AE8" s="317" t="s">
        <v>324</v>
      </c>
      <c r="AF8" s="318" t="s">
        <v>255</v>
      </c>
    </row>
    <row r="9" spans="2:32" x14ac:dyDescent="0.3">
      <c r="B9" t="s">
        <v>330</v>
      </c>
      <c r="C9" s="72" t="s">
        <v>368</v>
      </c>
      <c r="D9" s="72" t="s">
        <v>138</v>
      </c>
      <c r="E9" s="153">
        <v>20</v>
      </c>
      <c r="F9" s="153">
        <v>0</v>
      </c>
      <c r="G9">
        <v>5</v>
      </c>
      <c r="I9" s="153"/>
      <c r="J9" s="153"/>
      <c r="K9" s="153"/>
      <c r="L9" s="153"/>
      <c r="M9" s="153"/>
      <c r="N9" s="153"/>
      <c r="O9" s="153">
        <v>1</v>
      </c>
      <c r="P9" s="153"/>
      <c r="Q9" s="153"/>
      <c r="R9" s="153"/>
      <c r="S9" s="153"/>
      <c r="T9" s="153"/>
      <c r="U9" s="153">
        <v>1</v>
      </c>
      <c r="V9" s="153"/>
      <c r="W9" s="153"/>
      <c r="X9" s="153"/>
      <c r="Y9" s="153"/>
      <c r="Z9" s="153"/>
      <c r="AA9" s="23">
        <f>(structure[[#This Row],[Number of Large Flood Control Dams]]*VLOOKUP(structure[[#Headers],[Number of Large Flood Control Dams]],'Lookup Tables'!$DR$2:$DS$20,2,FALSE))+
(structure[[#This Row],[Number of Large Peaking Hydro Dams]]*VLOOKUP(structure[[#Headers],[Number of Large Peaking Hydro Dams]],'Lookup Tables'!$DR$2:$DS$20,2,FALSE))+
(structure[[#This Row],[Number of Large Run of River (ROR) Dams]]*VLOOKUP(structure[[#Headers],[Number of Large Run of River (ROR) Dams]],'Lookup Tables'!$DR$2:$DS$20,2,FALSE))+
(structure[[#This Row],[Number of Medium Peaking Hydro Dams]]*VLOOKUP(structure[[#Headers],[Number of Medium Peaking Hydro Dams]],'Lookup Tables'!$DR$2:$DS$20,2,FALSE))+
(structure[[#This Row],[Number of  Medium ROR Dams]]*VLOOKUP(structure[[#Headers],[Number of  Medium ROR Dams]],'Lookup Tables'!$DR$2:$DS$20,2,FALSE))+
(structure[[#This Row],[Number of Medium Breached Dams]]*VLOOKUP(structure[[#Headers],[Number of Medium Breached Dams]],'Lookup Tables'!$DR$2:$DS$20,2,FALSE))+
(structure[[#This Row],[Number of Small Intact ROR Dams]]*VLOOKUP(structure[[#Headers],[Number of Small Intact ROR Dams]],'Lookup Tables'!$DR$2:$DS$20,2,FALSE))+
(structure[[#This Row],[Number of Small Breached Dams]]*VLOOKUP(structure[[#Headers],[Number of Small Breached Dams]],'Lookup Tables'!$DR$2:$DS$20,2,FALSE))+
(structure[[#This Row],[Number of Bridges (Wbkf &gt; 100%)]]*VLOOKUP(structure[[#Headers],[Number of Bridges (Wbkf &gt; 100%)]],'Lookup Tables'!$DR$2:$DS$20,2,FALSE))+
(structure[[#This Row],[Number of Bridges (50% - 100% or unknown)]]*VLOOKUP(structure[[#Headers],[Number of Bridges (50% - 100% or unknown)]],'Lookup Tables'!$DR$2:$DS$20,2,FALSE))+
(structure[[#This Row],[Number of Bridges (Wbkf &lt; 50%), shallow channel (&lt; 2%)]]*VLOOKUP(structure[[#Headers],[Number of Bridges (Wbkf &lt; 50%), shallow channel (&lt; 2%)]],'Lookup Tables'!$DR$2:$DS$20,2,FALSE))+
(structure[[#This Row],[Number of Bridges (Wbkf&lt; 50%), steep channel (&gt; 2%)]]*VLOOKUP(structure[[#Headers],[Number of Bridges (Wbkf&lt; 50%), steep channel (&gt; 2%)]],'Lookup Tables'!$DR$2:$DS$20,2,FALSE))+
(structure[[#This Row],[Number of Culverts (Wbkf&gt; 100%)]]*VLOOKUP(structure[[#Headers],[Number of Culverts (Wbkf&gt; 100%)]],'Lookup Tables'!$DR$2:$DS$20,2,FALSE))+
(structure[[#This Row],[Number of Culverts (50% - 100% or unknown) shallow]]*VLOOKUP(structure[[#Headers],[Number of Culverts (50% - 100% or unknown) shallow]],'Lookup Tables'!$DR$2:$DS$20,2,FALSE))+
(structure[[#This Row],[Number of Culverts (50% - 100% or unknown), steep]]*VLOOKUP(structure[[#Headers],[Number of Culverts (50% - 100% or unknown), steep]],'Lookup Tables'!$DR$2:$DS$20,2,FALSE))+
(structure[[#This Row],[Number of Culverts (Wbkf &lt; 50%), shallow]]*VLOOKUP(structure[[#Headers],[Number of Culverts (Wbkf &lt; 50%), shallow]],'Lookup Tables'!$DR$2:$DS$20,2,FALSE))+
(structure[[#This Row],[Number of Culverts (Wbkf &lt; 50%), steep]]*VLOOKUP(structure[[#Headers],[Number of Culverts (Wbkf &lt; 50%), steep]],'Lookup Tables'!$DR$2:$DS$20,2,FALSE))+
(structure[[#This Row],[Number of Gullies]]*VLOOKUP(structure[[#Headers],[Number of Gullies]],'Lookup Tables'!$DR$2:$DS$20,2,FALSE))+
(structure[[#This Row],[Number of Headcuts]]*VLOOKUP(structure[[#Headers],[Number of Headcuts]],'Lookup Tables'!$DR$2:$DS$20,2,FALSE))</f>
        <v>-70</v>
      </c>
      <c r="AB9" s="153" t="str">
        <f>IF(AND(OR(ISNUMBER(SEARCH("Culvert", structure[[#This Row],[Practice Type]])),ISNUMBER(SEARCH("Bridge",structure[[#This Row],[Practice Type]]))), structure[[#This Row],[Estimated Longitudinal Deductions]]&gt;-90), "Yes",
IF(AND(OR(ISNUMBER(SEARCH("Dam",structure[[#This Row],[Practice Type]])),ISNUMBER(SEARCH("Gully", structure[[#This Row],[Practice Type]])), ISNUMBER(SEARCH("Headcut", structure[[#This Row],[Practice Type]]))), structure[[#This Row],[Estimated Longitudinal Deductions]]&gt;-100), "Yes",
IF(AND(ISNUMBER(SEARCH("Dam", structure[[#This Row],[Practice Type]])), structure[[#This Row],[Estimated Longitudinal Deductions]] &lt;=-90), "No - Use Floodplain Stream - Acre tab", "No")))</f>
        <v>Yes</v>
      </c>
      <c r="AC9" s="45">
        <f>structure[[#This Row],[Structure Width (feet)]]/structure[[#This Row],[Bankfull Width(Wbkf) (feet)]]</f>
        <v>0</v>
      </c>
      <c r="AD9" s="153">
        <f>IF(structure[[#This Row],[Bankfull Width : Structure Width (%)]]&lt;'Lookup Tables'!$DV$3, 'Lookup Tables'!$DW$3,
IF(AND(structure[[#This Row],[Bankfull Width : Structure Width (%)]]&gt;='Lookup Tables'!$DV$3, structure[[#This Row],[Bankfull Width : Structure Width (%)]]&lt;'Lookup Tables'!$DV$4),'Lookup Tables'!$DW$4,
IF(AND(structure[[#This Row],[Bankfull Width : Structure Width (%)]]&gt;='Lookup Tables'!$DV$4, structure[[#This Row],[Bankfull Width : Structure Width (%)]]&lt;'Lookup Tables'!$DV$5), 'Lookup Tables'!$DW$5,
'Lookup Tables'!$DW$6)))</f>
        <v>1</v>
      </c>
      <c r="AE9" s="153">
        <f>VLOOKUP(structure[[#This Row],[Project Location HUC12]], 'Lookup Tables'!$CK$3:$DE$133, MATCH(structure[[#This Row],[Practice Type]], 'Lookup Tables'!$CK$3:$DE$3,0),FALSE)</f>
        <v>0.38766242604145468</v>
      </c>
      <c r="AF9" s="153">
        <f>IF(AND(ISNUMBER(SEARCH("Dam", structure[[#This Row],[Practice Type]])), structure[[#This Row],[Score Eligible for Credit]]="Yes"), structure[[#This Row],[Stream Stability P Reduction (kg/unit/year)]]*structure[[#This Row],[Dam Impoundment Area (acres)]], IF(structure[[#This Row],[Score Eligible for Credit]]="Yes", structure[[#This Row],[Stream Stability P Reduction (kg/unit/year)]]*structure[[#This Row],[Geomorphic Compatibility Scale Factor]],0))</f>
        <v>1.9383121302072734</v>
      </c>
    </row>
    <row r="10" spans="2:32" x14ac:dyDescent="0.3"/>
    <row r="11" spans="2:32" x14ac:dyDescent="0.3"/>
    <row r="12" spans="2:32" x14ac:dyDescent="0.3"/>
    <row r="13" spans="2:32" x14ac:dyDescent="0.3"/>
    <row r="14" spans="2:32" x14ac:dyDescent="0.3"/>
    <row r="15" spans="2:32" x14ac:dyDescent="0.3"/>
    <row r="16" spans="2:32"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x14ac:dyDescent="0.3"/>
    <row r="30" x14ac:dyDescent="0.3"/>
    <row r="31" x14ac:dyDescent="0.3"/>
    <row r="32" x14ac:dyDescent="0.3"/>
    <row r="33" x14ac:dyDescent="0.3"/>
    <row r="34" x14ac:dyDescent="0.3"/>
    <row r="35" x14ac:dyDescent="0.3"/>
    <row r="36" x14ac:dyDescent="0.3"/>
    <row r="37" x14ac:dyDescent="0.3"/>
    <row r="38" x14ac:dyDescent="0.3"/>
    <row r="39" x14ac:dyDescent="0.3"/>
    <row r="40" x14ac:dyDescent="0.3"/>
    <row r="41" x14ac:dyDescent="0.3"/>
    <row r="42" x14ac:dyDescent="0.3"/>
    <row r="43" x14ac:dyDescent="0.3"/>
    <row r="44" x14ac:dyDescent="0.3"/>
    <row r="45" x14ac:dyDescent="0.3"/>
    <row r="46" x14ac:dyDescent="0.3"/>
    <row r="47" x14ac:dyDescent="0.3"/>
    <row r="48" x14ac:dyDescent="0.3"/>
    <row r="49" ht="25.2" customHeight="1"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row r="61" x14ac:dyDescent="0.3"/>
  </sheetData>
  <mergeCells count="3">
    <mergeCell ref="H6:Z6"/>
    <mergeCell ref="B4:J4"/>
    <mergeCell ref="B5:J5"/>
  </mergeCells>
  <phoneticPr fontId="40" type="noConversion"/>
  <dataValidations count="1">
    <dataValidation type="decimal" operator="greaterThanOrEqual" allowBlank="1" showInputMessage="1" showErrorMessage="1" sqref="H9:Z9" xr:uid="{4247506C-E789-4257-9961-1F8D8E7CF062}">
      <formula1>0</formula1>
    </dataValidation>
  </dataValidations>
  <hyperlinks>
    <hyperlink ref="C6" r:id="rId1" display="To determine HUC12 - visit the ANR Atlas, turn on 'ANR Basemap Data', 'Watershed Boundary Dataset (WBD)', and 'Subwatershed (HUC12)' layers, enter the project lat/lon in the search bar, and click on the search result to zoom to the project location. HUC12 name and number will display in green outlined text. " xr:uid="{5FE6D6C5-BA6A-4488-91B5-60FF0493B92B}"/>
    <hyperlink ref="B5" r:id="rId2" xr:uid="{D94164AE-C26C-4003-B85D-11D6AE2638F9}"/>
  </hyperlinks>
  <pageMargins left="0.7" right="0.7" top="0.75" bottom="0.75" header="0.3" footer="0.3"/>
  <pageSetup orientation="portrait" r:id="rId3"/>
  <tableParts count="1">
    <tablePart r:id="rId4"/>
  </tableParts>
  <extLst>
    <ext xmlns:x14="http://schemas.microsoft.com/office/spreadsheetml/2009/9/main" uri="{CCE6A557-97BC-4b89-ADB6-D9C93CAAB3DF}">
      <x14:dataValidations xmlns:xm="http://schemas.microsoft.com/office/excel/2006/main" count="2">
        <x14:dataValidation type="list" allowBlank="1" showInputMessage="1" showErrorMessage="1" xr:uid="{C4C440E0-876D-43EA-A856-C48A2DF4ED2D}">
          <x14:formula1>
            <xm:f>'Lookup Tables'!$CL$3:$DE$3</xm:f>
          </x14:formula1>
          <xm:sqref>D9</xm:sqref>
        </x14:dataValidation>
        <x14:dataValidation type="list" allowBlank="1" showInputMessage="1" showErrorMessage="1" xr:uid="{8142AB72-BE7C-4987-AC59-AA532710C3DA}">
          <x14:formula1>
            <xm:f>'Lookup Tables'!$BX$4:$BX$133</xm:f>
          </x14:formula1>
          <xm:sqref>C9</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76A47-0D02-4ADA-B5F0-CA12E0B43FDF}">
  <sheetPr codeName="Sheet8">
    <tabColor theme="4"/>
  </sheetPr>
  <dimension ref="B1:K60"/>
  <sheetViews>
    <sheetView zoomScaleNormal="100" workbookViewId="0">
      <pane xSplit="1" ySplit="10" topLeftCell="B11" activePane="bottomRight" state="frozen"/>
      <selection pane="topRight" activeCell="B1" sqref="B1"/>
      <selection pane="bottomLeft" activeCell="A10" sqref="A10"/>
      <selection pane="bottomRight" activeCell="G18" sqref="G18"/>
    </sheetView>
  </sheetViews>
  <sheetFormatPr defaultRowHeight="14.4" zeroHeight="1" x14ac:dyDescent="0.3"/>
  <cols>
    <col min="2" max="2" width="31.109375" customWidth="1"/>
    <col min="3" max="3" width="26.6640625" customWidth="1"/>
    <col min="4" max="4" width="28.6640625" customWidth="1"/>
    <col min="5" max="5" width="26.5546875" customWidth="1"/>
    <col min="6" max="6" width="38.88671875" customWidth="1"/>
    <col min="7" max="7" width="22.33203125" customWidth="1"/>
    <col min="8" max="8" width="20.33203125" customWidth="1"/>
    <col min="9" max="10" width="20.33203125" hidden="1" customWidth="1"/>
    <col min="11" max="11" width="28.44140625" customWidth="1"/>
  </cols>
  <sheetData>
    <row r="1" spans="2:11" ht="18.600000000000001" thickBot="1" x14ac:dyDescent="0.4">
      <c r="B1" s="137" t="s">
        <v>369</v>
      </c>
      <c r="C1" s="138"/>
      <c r="D1" s="138"/>
      <c r="E1" s="138"/>
      <c r="F1" s="138"/>
      <c r="G1" s="138"/>
      <c r="H1" s="138"/>
      <c r="I1" s="138"/>
      <c r="J1" s="138"/>
      <c r="K1" s="138"/>
    </row>
    <row r="2" spans="2:11" ht="41.4" customHeight="1" thickTop="1" thickBot="1" x14ac:dyDescent="0.35">
      <c r="B2" s="450" t="s">
        <v>370</v>
      </c>
      <c r="C2" s="450"/>
      <c r="D2" s="450"/>
      <c r="E2" s="450"/>
      <c r="F2" s="450"/>
      <c r="G2" s="450"/>
      <c r="H2" s="169"/>
      <c r="I2" s="170"/>
      <c r="J2" s="170"/>
      <c r="K2" s="170"/>
    </row>
    <row r="3" spans="2:11" ht="15" thickBot="1" x14ac:dyDescent="0.35">
      <c r="B3" s="172" t="s">
        <v>180</v>
      </c>
      <c r="C3" s="155" t="s">
        <v>181</v>
      </c>
      <c r="D3" s="156" t="s">
        <v>182</v>
      </c>
      <c r="E3" s="144" t="s">
        <v>238</v>
      </c>
      <c r="F3" s="149"/>
      <c r="G3" s="149"/>
      <c r="H3" s="149"/>
      <c r="I3" s="149"/>
      <c r="J3" s="149"/>
      <c r="K3" s="150"/>
    </row>
    <row r="4" spans="2:11" ht="30" customHeight="1" x14ac:dyDescent="0.3">
      <c r="B4" s="173" t="s">
        <v>242</v>
      </c>
      <c r="C4" s="174">
        <v>6.9399999999999996E-4</v>
      </c>
      <c r="D4" s="175" t="s">
        <v>243</v>
      </c>
      <c r="E4" s="444" t="s">
        <v>371</v>
      </c>
      <c r="F4" s="445"/>
      <c r="G4" s="445"/>
      <c r="H4" s="445"/>
      <c r="I4" s="445"/>
      <c r="J4" s="445"/>
      <c r="K4" s="446"/>
    </row>
    <row r="5" spans="2:11" ht="30" customHeight="1" x14ac:dyDescent="0.3">
      <c r="B5" s="173" t="s">
        <v>372</v>
      </c>
      <c r="C5" s="174">
        <v>35.08</v>
      </c>
      <c r="D5" s="175" t="s">
        <v>373</v>
      </c>
      <c r="E5" s="444"/>
      <c r="F5" s="445"/>
      <c r="G5" s="445"/>
      <c r="H5" s="445"/>
      <c r="I5" s="445"/>
      <c r="J5" s="445"/>
      <c r="K5" s="446"/>
    </row>
    <row r="6" spans="2:11" ht="30" customHeight="1" x14ac:dyDescent="0.3">
      <c r="B6" s="173" t="s">
        <v>374</v>
      </c>
      <c r="C6" s="176">
        <v>0.4</v>
      </c>
      <c r="D6" s="175" t="s">
        <v>190</v>
      </c>
      <c r="E6" s="444"/>
      <c r="F6" s="445"/>
      <c r="G6" s="445"/>
      <c r="H6" s="445"/>
      <c r="I6" s="445"/>
      <c r="J6" s="445"/>
      <c r="K6" s="446"/>
    </row>
    <row r="7" spans="2:11" ht="30" customHeight="1" thickBot="1" x14ac:dyDescent="0.35">
      <c r="B7" s="177" t="s">
        <v>375</v>
      </c>
      <c r="C7" s="178">
        <v>0.8</v>
      </c>
      <c r="D7" s="179" t="s">
        <v>190</v>
      </c>
      <c r="E7" s="447"/>
      <c r="F7" s="448"/>
      <c r="G7" s="448"/>
      <c r="H7" s="448"/>
      <c r="I7" s="448"/>
      <c r="J7" s="448"/>
      <c r="K7" s="449"/>
    </row>
    <row r="8" spans="2:11" ht="64.2" customHeight="1" x14ac:dyDescent="0.3">
      <c r="B8" s="351" t="s">
        <v>191</v>
      </c>
      <c r="C8" s="215"/>
      <c r="D8" s="216"/>
      <c r="E8" s="217"/>
      <c r="F8" s="377" t="s">
        <v>376</v>
      </c>
      <c r="G8" s="217"/>
      <c r="H8" s="217"/>
      <c r="I8" s="217"/>
      <c r="J8" s="217"/>
      <c r="K8" s="217"/>
    </row>
    <row r="9" spans="2:11" ht="15" thickBot="1" x14ac:dyDescent="0.35">
      <c r="B9" s="166" t="s">
        <v>377</v>
      </c>
      <c r="C9" s="166" t="s">
        <v>198</v>
      </c>
      <c r="D9" s="166" t="s">
        <v>198</v>
      </c>
      <c r="E9" s="166" t="s">
        <v>198</v>
      </c>
      <c r="F9" s="166" t="s">
        <v>199</v>
      </c>
      <c r="G9" s="166" t="s">
        <v>198</v>
      </c>
      <c r="H9" s="125" t="s">
        <v>205</v>
      </c>
      <c r="I9" s="125" t="s">
        <v>205</v>
      </c>
      <c r="J9" s="125" t="s">
        <v>205</v>
      </c>
      <c r="K9" s="168" t="s">
        <v>205</v>
      </c>
    </row>
    <row r="10" spans="2:11" ht="36.6" customHeight="1" thickBot="1" x14ac:dyDescent="0.35">
      <c r="B10" s="135" t="s">
        <v>206</v>
      </c>
      <c r="C10" s="136" t="s">
        <v>378</v>
      </c>
      <c r="D10" s="136" t="s">
        <v>379</v>
      </c>
      <c r="E10" s="136" t="s">
        <v>380</v>
      </c>
      <c r="F10" s="136" t="s">
        <v>381</v>
      </c>
      <c r="G10" s="136" t="s">
        <v>382</v>
      </c>
      <c r="H10" s="317" t="s">
        <v>383</v>
      </c>
      <c r="I10" s="317" t="s">
        <v>384</v>
      </c>
      <c r="J10" s="317" t="s">
        <v>385</v>
      </c>
      <c r="K10" s="322" t="s">
        <v>386</v>
      </c>
    </row>
    <row r="11" spans="2:11" x14ac:dyDescent="0.3">
      <c r="B11" t="s">
        <v>387</v>
      </c>
      <c r="C11">
        <v>50</v>
      </c>
      <c r="D11">
        <v>10</v>
      </c>
      <c r="E11">
        <v>8</v>
      </c>
      <c r="F11" t="s">
        <v>388</v>
      </c>
      <c r="G11">
        <v>15</v>
      </c>
      <c r="H11" s="171">
        <f>gully[[#This Row],[Average Legnth of Gully (ft)]]*gully[[#This Row],[Average Width of Gully (ft)]]*gully[[#This Row],[Average Depth of Gully (ft) ]]</f>
        <v>4000</v>
      </c>
      <c r="I11" s="171">
        <f>(gully[[#This Row],[Gully Volume (ft3) ]]*$C$5)/gully[[#This Row],[Estimated Gully Age (years)]]</f>
        <v>9354.6666666666661</v>
      </c>
      <c r="J11" s="153">
        <f>gully[[#This Row],[Sediment Erosion Rate (kg/yr)]]*$C$4</f>
        <v>6.4921386666666656</v>
      </c>
      <c r="K11" s="153">
        <f>IF(gully[[#This Row],[Level of Erosion Mitigation]]='Lookup Tables'!$AP$3, 'Outlet and Gully Stabilization'!C6*gully[[#This Row],[TP Loading Rate (kg/yr)]], IF(gully[[#This Row],[Level of Erosion Mitigation]]='Lookup Tables'!$AP$4, 'Outlet and Gully Stabilization'!$C$7*gully[[#This Row],[TP Loading Rate (kg/yr)]], 0))</f>
        <v>5.1937109333333327</v>
      </c>
    </row>
    <row r="12" spans="2:11" x14ac:dyDescent="0.3"/>
    <row r="13" spans="2:11" x14ac:dyDescent="0.3"/>
    <row r="14" spans="2:11" x14ac:dyDescent="0.3"/>
    <row r="15" spans="2:11" x14ac:dyDescent="0.3"/>
    <row r="16" spans="2:11"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x14ac:dyDescent="0.3"/>
    <row r="30" x14ac:dyDescent="0.3"/>
    <row r="31" x14ac:dyDescent="0.3"/>
    <row r="32" x14ac:dyDescent="0.3"/>
    <row r="33" x14ac:dyDescent="0.3"/>
    <row r="34" x14ac:dyDescent="0.3"/>
    <row r="35" x14ac:dyDescent="0.3"/>
    <row r="36" x14ac:dyDescent="0.3"/>
    <row r="37" x14ac:dyDescent="0.3"/>
    <row r="38" x14ac:dyDescent="0.3"/>
    <row r="39" x14ac:dyDescent="0.3"/>
    <row r="40" x14ac:dyDescent="0.3"/>
    <row r="41" x14ac:dyDescent="0.3"/>
    <row r="42" x14ac:dyDescent="0.3"/>
    <row r="43" x14ac:dyDescent="0.3"/>
    <row r="44" x14ac:dyDescent="0.3"/>
    <row r="45" x14ac:dyDescent="0.3"/>
    <row r="46" x14ac:dyDescent="0.3"/>
    <row r="47" x14ac:dyDescent="0.3"/>
    <row r="48"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sheetData>
  <mergeCells count="2">
    <mergeCell ref="E4:K7"/>
    <mergeCell ref="B2:G2"/>
  </mergeCells>
  <pageMargins left="0.7" right="0.7" top="0.75" bottom="0.75" header="0.3" footer="0.3"/>
  <pageSetup orientation="portrait" r:id="rId1"/>
  <legacyDrawing r:id="rId2"/>
  <tableParts count="1">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F20D717C-173F-4278-AAD4-5A6F2909AEEE}">
          <x14:formula1>
            <xm:f>'Lookup Tables'!$AP$3:$AP$4</xm:f>
          </x14:formula1>
          <xm:sqref>F11</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0553D-E372-4022-927B-5A38B5C3B9F2}">
  <sheetPr codeName="Sheet9">
    <tabColor theme="4"/>
  </sheetPr>
  <dimension ref="B1:H66"/>
  <sheetViews>
    <sheetView workbookViewId="0">
      <pane xSplit="1" ySplit="15" topLeftCell="B16" activePane="bottomRight" state="frozen"/>
      <selection pane="topRight" activeCell="B1" sqref="B1"/>
      <selection pane="bottomLeft" activeCell="A15" sqref="A15"/>
      <selection pane="bottomRight" activeCell="C17" sqref="C17"/>
    </sheetView>
  </sheetViews>
  <sheetFormatPr defaultRowHeight="14.4" zeroHeight="1" x14ac:dyDescent="0.3"/>
  <cols>
    <col min="2" max="2" width="36.88671875" customWidth="1"/>
    <col min="3" max="3" width="20.6640625" customWidth="1"/>
    <col min="4" max="4" width="21.44140625" customWidth="1"/>
    <col min="5" max="8" width="27.6640625" customWidth="1"/>
    <col min="9" max="11" width="21.109375" customWidth="1"/>
    <col min="12" max="12" width="16.109375" customWidth="1"/>
    <col min="13" max="13" width="17" customWidth="1"/>
    <col min="15" max="15" width="11.109375" customWidth="1"/>
  </cols>
  <sheetData>
    <row r="1" spans="2:8" ht="18.600000000000001" thickBot="1" x14ac:dyDescent="0.4">
      <c r="B1" s="137" t="s">
        <v>389</v>
      </c>
      <c r="C1" s="137"/>
      <c r="D1" s="137"/>
      <c r="E1" s="137"/>
      <c r="F1" s="137"/>
      <c r="G1" s="137"/>
      <c r="H1" s="137"/>
    </row>
    <row r="2" spans="2:8" ht="31.95" customHeight="1" thickTop="1" thickBot="1" x14ac:dyDescent="0.35">
      <c r="B2" s="450" t="s">
        <v>390</v>
      </c>
      <c r="C2" s="450"/>
      <c r="D2" s="450"/>
      <c r="E2" s="450"/>
      <c r="F2" s="450"/>
      <c r="G2" s="450"/>
      <c r="H2" s="450"/>
    </row>
    <row r="3" spans="2:8" ht="15" thickBot="1" x14ac:dyDescent="0.35">
      <c r="B3" s="164" t="s">
        <v>391</v>
      </c>
      <c r="C3" s="146" t="s">
        <v>181</v>
      </c>
      <c r="D3" s="165" t="s">
        <v>182</v>
      </c>
      <c r="E3" s="323" t="s">
        <v>184</v>
      </c>
      <c r="F3" s="324"/>
      <c r="G3" s="324"/>
      <c r="H3" s="291"/>
    </row>
    <row r="4" spans="2:8" s="357" customFormat="1" ht="16.2" customHeight="1" x14ac:dyDescent="0.3">
      <c r="B4" s="187" t="s">
        <v>392</v>
      </c>
      <c r="C4" s="188">
        <v>4.63</v>
      </c>
      <c r="D4" s="189" t="s">
        <v>393</v>
      </c>
      <c r="E4" s="452" t="s">
        <v>394</v>
      </c>
      <c r="F4" s="453"/>
      <c r="G4" s="453"/>
      <c r="H4" s="454"/>
    </row>
    <row r="5" spans="2:8" s="357" customFormat="1" ht="13.8" x14ac:dyDescent="0.3">
      <c r="B5" s="190" t="s">
        <v>395</v>
      </c>
      <c r="C5" s="191">
        <v>3.26</v>
      </c>
      <c r="D5" s="192" t="s">
        <v>393</v>
      </c>
      <c r="E5" s="455"/>
      <c r="F5" s="456"/>
      <c r="G5" s="456"/>
      <c r="H5" s="457"/>
    </row>
    <row r="6" spans="2:8" s="357" customFormat="1" ht="13.8" x14ac:dyDescent="0.3">
      <c r="B6" s="190" t="s">
        <v>396</v>
      </c>
      <c r="C6" s="193">
        <v>4.4999999999999998E-2</v>
      </c>
      <c r="D6" s="192"/>
      <c r="E6" s="455"/>
      <c r="F6" s="456"/>
      <c r="G6" s="456"/>
      <c r="H6" s="457"/>
    </row>
    <row r="7" spans="2:8" s="357" customFormat="1" ht="27.6" x14ac:dyDescent="0.3">
      <c r="B7" s="190" t="s">
        <v>397</v>
      </c>
      <c r="C7" s="197">
        <v>0.9</v>
      </c>
      <c r="D7" s="192"/>
      <c r="E7" s="455"/>
      <c r="F7" s="456"/>
      <c r="G7" s="456"/>
      <c r="H7" s="457"/>
    </row>
    <row r="8" spans="2:8" s="357" customFormat="1" ht="13.8" x14ac:dyDescent="0.3">
      <c r="B8" s="190" t="s">
        <v>398</v>
      </c>
      <c r="C8" s="199">
        <f>C4*C7/(C11/C12)</f>
        <v>1.0323395795204339E-2</v>
      </c>
      <c r="D8" s="192" t="s">
        <v>399</v>
      </c>
      <c r="E8" s="455"/>
      <c r="F8" s="456"/>
      <c r="G8" s="456"/>
      <c r="H8" s="457"/>
    </row>
    <row r="9" spans="2:8" s="357" customFormat="1" ht="13.8" x14ac:dyDescent="0.3">
      <c r="B9" s="190" t="s">
        <v>400</v>
      </c>
      <c r="C9" s="199">
        <f>C5*C7/(C11/C12)</f>
        <v>7.268740883880377E-3</v>
      </c>
      <c r="D9" s="192" t="s">
        <v>399</v>
      </c>
      <c r="E9" s="455"/>
      <c r="F9" s="456"/>
      <c r="G9" s="456"/>
      <c r="H9" s="457"/>
    </row>
    <row r="10" spans="2:8" s="357" customFormat="1" ht="15" x14ac:dyDescent="0.3">
      <c r="B10" s="190" t="s">
        <v>401</v>
      </c>
      <c r="C10" s="198">
        <v>107639</v>
      </c>
      <c r="D10" s="194" t="s">
        <v>402</v>
      </c>
      <c r="E10" s="455"/>
      <c r="F10" s="456"/>
      <c r="G10" s="456"/>
      <c r="H10" s="457"/>
    </row>
    <row r="11" spans="2:8" s="357" customFormat="1" ht="15" x14ac:dyDescent="0.3">
      <c r="B11" s="190" t="s">
        <v>403</v>
      </c>
      <c r="C11" s="198">
        <f>C10*C6</f>
        <v>4843.7550000000001</v>
      </c>
      <c r="D11" s="194" t="s">
        <v>402</v>
      </c>
      <c r="E11" s="455"/>
      <c r="F11" s="456"/>
      <c r="G11" s="456"/>
      <c r="H11" s="457"/>
    </row>
    <row r="12" spans="2:8" s="357" customFormat="1" thickBot="1" x14ac:dyDescent="0.35">
      <c r="B12" s="195" t="s">
        <v>404</v>
      </c>
      <c r="C12" s="200">
        <v>12</v>
      </c>
      <c r="D12" s="196" t="s">
        <v>405</v>
      </c>
      <c r="E12" s="458" t="s">
        <v>406</v>
      </c>
      <c r="F12" s="459"/>
      <c r="G12" s="459"/>
      <c r="H12" s="460"/>
    </row>
    <row r="13" spans="2:8" ht="64.2" customHeight="1" x14ac:dyDescent="0.3">
      <c r="B13" s="351" t="s">
        <v>407</v>
      </c>
      <c r="C13" s="385" t="s">
        <v>1181</v>
      </c>
      <c r="D13" s="216"/>
      <c r="E13" s="451" t="s">
        <v>408</v>
      </c>
      <c r="F13" s="451"/>
      <c r="G13" s="217"/>
      <c r="H13" s="217"/>
    </row>
    <row r="14" spans="2:8" ht="18" customHeight="1" thickBot="1" x14ac:dyDescent="0.35">
      <c r="B14" s="218" t="s">
        <v>377</v>
      </c>
      <c r="C14" s="219" t="s">
        <v>199</v>
      </c>
      <c r="D14" s="219" t="s">
        <v>198</v>
      </c>
      <c r="E14" s="219" t="s">
        <v>199</v>
      </c>
      <c r="F14" s="219" t="s">
        <v>199</v>
      </c>
      <c r="G14" s="181" t="s">
        <v>205</v>
      </c>
      <c r="H14" s="182" t="s">
        <v>205</v>
      </c>
    </row>
    <row r="15" spans="2:8" ht="43.8" thickBot="1" x14ac:dyDescent="0.35">
      <c r="B15" s="135" t="s">
        <v>409</v>
      </c>
      <c r="C15" s="136" t="s">
        <v>410</v>
      </c>
      <c r="D15" s="136" t="s">
        <v>411</v>
      </c>
      <c r="E15" s="136" t="s">
        <v>412</v>
      </c>
      <c r="F15" s="136" t="s">
        <v>413</v>
      </c>
      <c r="G15" s="317" t="s">
        <v>414</v>
      </c>
      <c r="H15" s="322" t="s">
        <v>415</v>
      </c>
    </row>
    <row r="16" spans="2:8" x14ac:dyDescent="0.3">
      <c r="B16" t="s">
        <v>416</v>
      </c>
      <c r="C16" t="s">
        <v>417</v>
      </c>
      <c r="D16">
        <v>250</v>
      </c>
      <c r="E16" t="s">
        <v>418</v>
      </c>
      <c r="F16" t="s">
        <v>419</v>
      </c>
      <c r="G16" s="44">
        <f>IF(AND(E16='Lookup Tables'!$Q$3,'Forest Road'!F16='Lookup Tables'!$Q$4), 0.4, IF(AND('Forest Road'!E16='Lookup Tables'!$Q$3,'Forest Road'!F16='Lookup Tables'!$Q$5), 0.8, IF(AND('Forest Road'!E16='Lookup Tables'!$Q$4, 'Forest Road'!F16='Lookup Tables'!$Q$5), 0.4, 0)))</f>
        <v>0.8</v>
      </c>
      <c r="H16" s="152">
        <f>IF(forest_road[[#This Row],[Road/Trail Type]]='Lookup Tables'!$P$3, ($C$8*forest_road[[#This Row],[Length of Road Segment (ft)]])*forest_road[[#This Row],[P Reduction Efficiency]], IF(forest_road[[#This Row],[Road/Trail Type]]='Lookup Tables'!$P$4, ($C$9*forest_road[[#This Row],[Length of Road Segment (ft)]])*forest_road[[#This Row],[P Reduction Efficiency]], 0))</f>
        <v>2.064679159040868</v>
      </c>
    </row>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x14ac:dyDescent="0.3"/>
    <row r="30" x14ac:dyDescent="0.3"/>
    <row r="31" x14ac:dyDescent="0.3"/>
    <row r="32" x14ac:dyDescent="0.3"/>
    <row r="33" x14ac:dyDescent="0.3"/>
    <row r="34" x14ac:dyDescent="0.3"/>
    <row r="35" x14ac:dyDescent="0.3"/>
    <row r="36" x14ac:dyDescent="0.3"/>
    <row r="37" x14ac:dyDescent="0.3"/>
    <row r="38" x14ac:dyDescent="0.3"/>
    <row r="39" x14ac:dyDescent="0.3"/>
    <row r="40" x14ac:dyDescent="0.3"/>
    <row r="41" x14ac:dyDescent="0.3"/>
    <row r="42" x14ac:dyDescent="0.3"/>
    <row r="43" x14ac:dyDescent="0.3"/>
    <row r="44" x14ac:dyDescent="0.3"/>
    <row r="45" x14ac:dyDescent="0.3"/>
    <row r="46" x14ac:dyDescent="0.3"/>
    <row r="47" x14ac:dyDescent="0.3"/>
    <row r="48"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row r="61" x14ac:dyDescent="0.3"/>
    <row r="62" x14ac:dyDescent="0.3"/>
    <row r="63" x14ac:dyDescent="0.3"/>
    <row r="64" x14ac:dyDescent="0.3"/>
    <row r="65" x14ac:dyDescent="0.3"/>
    <row r="66" x14ac:dyDescent="0.3"/>
  </sheetData>
  <mergeCells count="4">
    <mergeCell ref="B2:H2"/>
    <mergeCell ref="E13:F13"/>
    <mergeCell ref="E4:H11"/>
    <mergeCell ref="E12:H12"/>
  </mergeCells>
  <hyperlinks>
    <hyperlink ref="E12:F12" r:id="rId1" display="Forest Road and Trail Erosion Inventory Survey123" xr:uid="{BFF55EF0-B70E-4D0B-9C9B-103F62D066FC}"/>
  </hyperlinks>
  <pageMargins left="0.7" right="0.7" top="0.75" bottom="0.75" header="0.3" footer="0.3"/>
  <pageSetup orientation="portrait" r:id="rId2"/>
  <legacyDrawing r:id="rId3"/>
  <tableParts count="1">
    <tablePart r:id="rId4"/>
  </tableParts>
  <extLst>
    <ext xmlns:x14="http://schemas.microsoft.com/office/spreadsheetml/2009/9/main" uri="{CCE6A557-97BC-4b89-ADB6-D9C93CAAB3DF}">
      <x14:dataValidations xmlns:xm="http://schemas.microsoft.com/office/excel/2006/main" count="3">
        <x14:dataValidation type="list" allowBlank="1" showInputMessage="1" showErrorMessage="1" xr:uid="{449AD6F3-1FF4-47E7-BBE8-09B676126ECD}">
          <x14:formula1>
            <xm:f>'Lookup Tables'!$P$3:$P$4</xm:f>
          </x14:formula1>
          <xm:sqref>C16</xm:sqref>
        </x14:dataValidation>
        <x14:dataValidation type="list" allowBlank="1" showInputMessage="1" showErrorMessage="1" xr:uid="{9D5F552A-7A51-46BC-899A-8373A4EEB5DC}">
          <x14:formula1>
            <xm:f>'Lookup Tables'!$Q$3:$Q$4</xm:f>
          </x14:formula1>
          <xm:sqref>E16</xm:sqref>
        </x14:dataValidation>
        <x14:dataValidation type="list" allowBlank="1" showInputMessage="1" showErrorMessage="1" xr:uid="{FFE1BAD2-ACF8-47EC-B6B9-3CD267AA32FC}">
          <x14:formula1>
            <xm:f>'Lookup Tables'!$Q$4:$Q$5</xm:f>
          </x14:formula1>
          <xm:sqref>F16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9B61B-0D1E-42F8-A0E8-C1821FAA214F}">
  <sheetPr codeName="Sheet10"/>
  <dimension ref="A1:AB42"/>
  <sheetViews>
    <sheetView topLeftCell="A13" workbookViewId="0">
      <selection activeCell="K40" sqref="K40"/>
    </sheetView>
  </sheetViews>
  <sheetFormatPr defaultRowHeight="14.4" x14ac:dyDescent="0.3"/>
  <cols>
    <col min="3" max="3" width="8.88671875" style="159"/>
    <col min="6" max="6" width="3.33203125" style="158" customWidth="1"/>
    <col min="10" max="10" width="8.88671875" style="159"/>
    <col min="14" max="14" width="3.33203125" style="158" customWidth="1"/>
    <col min="17" max="17" width="8.88671875" style="159"/>
    <col min="20" max="20" width="3.33203125" style="158" customWidth="1"/>
    <col min="24" max="24" width="8.88671875" style="159"/>
  </cols>
  <sheetData>
    <row r="1" spans="1:28" x14ac:dyDescent="0.3">
      <c r="A1" t="s">
        <v>417</v>
      </c>
    </row>
    <row r="3" spans="1:28" x14ac:dyDescent="0.3">
      <c r="A3" t="s">
        <v>420</v>
      </c>
      <c r="B3" t="str">
        <f>A3&amp;", "&amp;A4&amp;", "&amp;A5&amp;", or "&amp;A6</f>
        <v>Grand Isle, Franklin, Chittenden, or Addison</v>
      </c>
      <c r="O3" t="s">
        <v>421</v>
      </c>
      <c r="P3" t="str">
        <f>O3&amp;", "&amp;O4&amp;", or "&amp;O5</f>
        <v>Lamoille, Washington, or Orange</v>
      </c>
      <c r="AB3" t="s">
        <v>422</v>
      </c>
    </row>
    <row r="4" spans="1:28" x14ac:dyDescent="0.3">
      <c r="A4" t="s">
        <v>423</v>
      </c>
      <c r="O4" t="s">
        <v>424</v>
      </c>
      <c r="AB4" t="s">
        <v>425</v>
      </c>
    </row>
    <row r="5" spans="1:28" x14ac:dyDescent="0.3">
      <c r="A5" t="s">
        <v>426</v>
      </c>
      <c r="O5" t="s">
        <v>427</v>
      </c>
    </row>
    <row r="6" spans="1:28" x14ac:dyDescent="0.3">
      <c r="A6" t="s">
        <v>428</v>
      </c>
    </row>
    <row r="8" spans="1:28" x14ac:dyDescent="0.3">
      <c r="A8" t="s">
        <v>429</v>
      </c>
      <c r="H8" t="s">
        <v>430</v>
      </c>
    </row>
    <row r="10" spans="1:28" x14ac:dyDescent="0.3">
      <c r="A10" t="s">
        <v>431</v>
      </c>
      <c r="O10" t="s">
        <v>431</v>
      </c>
    </row>
    <row r="11" spans="1:28" x14ac:dyDescent="0.3">
      <c r="B11" t="s">
        <v>432</v>
      </c>
      <c r="C11" s="159" t="s">
        <v>433</v>
      </c>
      <c r="D11" t="s">
        <v>434</v>
      </c>
      <c r="E11" t="s">
        <v>435</v>
      </c>
      <c r="H11" t="s">
        <v>436</v>
      </c>
      <c r="I11" t="s">
        <v>437</v>
      </c>
      <c r="J11" s="159" t="s">
        <v>438</v>
      </c>
      <c r="K11" t="s">
        <v>439</v>
      </c>
      <c r="L11" t="s">
        <v>440</v>
      </c>
      <c r="M11" t="s">
        <v>441</v>
      </c>
      <c r="P11" t="s">
        <v>432</v>
      </c>
      <c r="Q11" s="159" t="s">
        <v>433</v>
      </c>
      <c r="R11" t="s">
        <v>434</v>
      </c>
      <c r="S11" t="s">
        <v>435</v>
      </c>
      <c r="V11" t="s">
        <v>436</v>
      </c>
      <c r="W11" t="s">
        <v>437</v>
      </c>
      <c r="X11" s="159" t="s">
        <v>438</v>
      </c>
      <c r="Y11" t="s">
        <v>439</v>
      </c>
      <c r="Z11" t="s">
        <v>440</v>
      </c>
      <c r="AA11" t="s">
        <v>441</v>
      </c>
    </row>
    <row r="12" spans="1:28" x14ac:dyDescent="0.3">
      <c r="A12" t="s">
        <v>442</v>
      </c>
      <c r="B12">
        <v>0.13300000000000001</v>
      </c>
      <c r="C12" s="159">
        <v>0.33900000000000002</v>
      </c>
      <c r="D12">
        <v>0.94399999999999995</v>
      </c>
      <c r="G12" t="s">
        <v>443</v>
      </c>
      <c r="H12" s="44">
        <v>1</v>
      </c>
      <c r="I12" s="44">
        <v>0.55000000000000004</v>
      </c>
      <c r="J12" s="160">
        <v>0.34</v>
      </c>
      <c r="K12" s="44">
        <v>0.28999999999999998</v>
      </c>
      <c r="L12" s="44">
        <v>0.27</v>
      </c>
      <c r="M12" s="44">
        <v>0</v>
      </c>
      <c r="O12" t="s">
        <v>442</v>
      </c>
      <c r="P12">
        <v>0.17699999999999999</v>
      </c>
      <c r="Q12" s="159">
        <v>0.42</v>
      </c>
      <c r="R12">
        <v>1.026</v>
      </c>
      <c r="U12" t="s">
        <v>443</v>
      </c>
      <c r="V12" s="45">
        <v>1</v>
      </c>
      <c r="W12" s="45">
        <v>0.69</v>
      </c>
      <c r="X12" s="161">
        <v>0.46</v>
      </c>
      <c r="Y12" s="45">
        <v>0.37</v>
      </c>
      <c r="Z12" s="45">
        <v>0.33</v>
      </c>
      <c r="AA12" s="45">
        <v>0</v>
      </c>
    </row>
    <row r="13" spans="1:28" x14ac:dyDescent="0.3">
      <c r="A13" t="s">
        <v>332</v>
      </c>
      <c r="B13">
        <v>7.0999999999999994E-2</v>
      </c>
      <c r="C13" s="159">
        <v>0.16700000000000001</v>
      </c>
      <c r="D13">
        <v>0.42299999999999999</v>
      </c>
      <c r="G13" t="s">
        <v>444</v>
      </c>
      <c r="H13" s="44">
        <v>1</v>
      </c>
      <c r="I13" s="44">
        <v>0.67</v>
      </c>
      <c r="J13" s="160">
        <v>0.42</v>
      </c>
      <c r="K13" s="44">
        <v>0.32</v>
      </c>
      <c r="L13" s="44">
        <v>0.28000000000000003</v>
      </c>
      <c r="M13" s="44">
        <v>0</v>
      </c>
      <c r="O13" t="s">
        <v>332</v>
      </c>
      <c r="P13">
        <v>9.2999999999999999E-2</v>
      </c>
      <c r="Q13" s="159">
        <v>0.20300000000000001</v>
      </c>
      <c r="R13">
        <v>0.433</v>
      </c>
      <c r="U13" t="s">
        <v>444</v>
      </c>
      <c r="V13" s="45">
        <v>1</v>
      </c>
      <c r="W13" s="45">
        <v>0.76</v>
      </c>
      <c r="X13" s="161">
        <v>0.56000000000000005</v>
      </c>
      <c r="Y13" s="45">
        <v>0.44</v>
      </c>
      <c r="Z13" s="45">
        <v>0.38</v>
      </c>
      <c r="AA13" s="45">
        <v>0</v>
      </c>
    </row>
    <row r="14" spans="1:28" s="159" customFormat="1" x14ac:dyDescent="0.3">
      <c r="A14" s="159" t="s">
        <v>445</v>
      </c>
      <c r="B14" s="159">
        <v>3.9E-2</v>
      </c>
      <c r="C14" s="159">
        <v>9.1999999999999998E-2</v>
      </c>
      <c r="D14" s="159">
        <v>0.246</v>
      </c>
      <c r="G14" s="159" t="s">
        <v>446</v>
      </c>
      <c r="H14" s="160">
        <v>1</v>
      </c>
      <c r="I14" s="160">
        <v>0.71</v>
      </c>
      <c r="J14" s="160">
        <v>0.56999999999999995</v>
      </c>
      <c r="K14" s="160">
        <v>0.4</v>
      </c>
      <c r="L14" s="160">
        <v>0.36</v>
      </c>
      <c r="M14" s="160">
        <v>0</v>
      </c>
      <c r="O14" s="159" t="s">
        <v>445</v>
      </c>
      <c r="P14" s="159">
        <v>0.05</v>
      </c>
      <c r="Q14" s="159">
        <v>0.114</v>
      </c>
      <c r="R14" s="159">
        <v>0.28499999999999998</v>
      </c>
      <c r="U14" s="159" t="s">
        <v>446</v>
      </c>
      <c r="V14" s="161">
        <v>1</v>
      </c>
      <c r="W14" s="161">
        <v>0.79</v>
      </c>
      <c r="X14" s="161">
        <v>0.66</v>
      </c>
      <c r="Y14" s="161">
        <v>0.56999999999999995</v>
      </c>
      <c r="Z14" s="161">
        <v>0.5</v>
      </c>
      <c r="AA14" s="161">
        <v>0</v>
      </c>
    </row>
    <row r="15" spans="1:28" x14ac:dyDescent="0.3">
      <c r="A15" t="s">
        <v>331</v>
      </c>
      <c r="B15">
        <v>2.5999999999999999E-2</v>
      </c>
      <c r="C15" s="159">
        <v>4.1000000000000002E-2</v>
      </c>
      <c r="D15">
        <v>0.11</v>
      </c>
      <c r="G15" t="s">
        <v>447</v>
      </c>
      <c r="H15" s="44">
        <v>1</v>
      </c>
      <c r="I15" s="44">
        <v>0.74</v>
      </c>
      <c r="J15" s="160">
        <v>0.62</v>
      </c>
      <c r="K15" s="44">
        <v>0.52</v>
      </c>
      <c r="L15" s="44">
        <v>0.47</v>
      </c>
      <c r="M15" s="44">
        <v>0</v>
      </c>
      <c r="O15" t="s">
        <v>331</v>
      </c>
      <c r="P15">
        <v>3.3000000000000002E-2</v>
      </c>
      <c r="Q15" s="159">
        <v>5.1999999999999998E-2</v>
      </c>
      <c r="R15">
        <v>0.13700000000000001</v>
      </c>
      <c r="U15" t="s">
        <v>447</v>
      </c>
      <c r="V15" s="45">
        <v>1</v>
      </c>
      <c r="W15" s="45">
        <v>0.83</v>
      </c>
      <c r="X15" s="161">
        <v>0.71</v>
      </c>
      <c r="Y15" s="45">
        <v>0.65</v>
      </c>
      <c r="Z15" s="45">
        <v>0.59</v>
      </c>
      <c r="AA15" s="45">
        <v>0</v>
      </c>
    </row>
    <row r="17" spans="1:27" x14ac:dyDescent="0.3">
      <c r="A17" t="s">
        <v>448</v>
      </c>
      <c r="O17" t="s">
        <v>448</v>
      </c>
    </row>
    <row r="18" spans="1:27" x14ac:dyDescent="0.3">
      <c r="B18" t="s">
        <v>432</v>
      </c>
      <c r="C18" s="159" t="s">
        <v>433</v>
      </c>
      <c r="D18" t="s">
        <v>434</v>
      </c>
      <c r="E18" t="s">
        <v>435</v>
      </c>
      <c r="H18" t="s">
        <v>436</v>
      </c>
      <c r="I18" t="s">
        <v>437</v>
      </c>
      <c r="J18" s="159" t="s">
        <v>438</v>
      </c>
      <c r="K18" t="s">
        <v>439</v>
      </c>
      <c r="L18" t="s">
        <v>440</v>
      </c>
      <c r="M18" t="s">
        <v>441</v>
      </c>
      <c r="P18" t="s">
        <v>432</v>
      </c>
      <c r="Q18" s="159" t="s">
        <v>433</v>
      </c>
      <c r="R18" t="s">
        <v>434</v>
      </c>
      <c r="S18" t="s">
        <v>435</v>
      </c>
      <c r="V18" t="s">
        <v>436</v>
      </c>
      <c r="W18" t="s">
        <v>437</v>
      </c>
      <c r="X18" s="159" t="s">
        <v>438</v>
      </c>
      <c r="Y18" t="s">
        <v>439</v>
      </c>
      <c r="Z18" t="s">
        <v>440</v>
      </c>
      <c r="AA18" t="s">
        <v>441</v>
      </c>
    </row>
    <row r="19" spans="1:27" x14ac:dyDescent="0.3">
      <c r="A19" t="s">
        <v>442</v>
      </c>
      <c r="B19">
        <v>5.3999999999999999E-2</v>
      </c>
      <c r="C19" s="159">
        <v>0.13600000000000001</v>
      </c>
      <c r="D19">
        <v>0.41</v>
      </c>
      <c r="G19" t="s">
        <v>443</v>
      </c>
      <c r="H19" s="45">
        <v>1</v>
      </c>
      <c r="I19" s="45">
        <v>0.48</v>
      </c>
      <c r="J19" s="161">
        <v>0.4</v>
      </c>
      <c r="K19" s="45">
        <v>0.35</v>
      </c>
      <c r="L19" s="45">
        <v>0.3</v>
      </c>
      <c r="M19" s="45">
        <v>0</v>
      </c>
      <c r="O19" t="s">
        <v>442</v>
      </c>
      <c r="P19">
        <v>0.109</v>
      </c>
      <c r="Q19" s="159">
        <v>0.248</v>
      </c>
      <c r="R19">
        <v>0.61899999999999999</v>
      </c>
      <c r="U19" t="s">
        <v>443</v>
      </c>
      <c r="V19" s="45">
        <v>1</v>
      </c>
      <c r="W19" s="45">
        <v>0.52</v>
      </c>
      <c r="X19" s="161">
        <v>0.4</v>
      </c>
      <c r="Y19" s="45">
        <v>0.32</v>
      </c>
      <c r="Z19" s="45">
        <v>0.28000000000000003</v>
      </c>
      <c r="AA19" s="45">
        <v>0</v>
      </c>
    </row>
    <row r="20" spans="1:27" x14ac:dyDescent="0.3">
      <c r="A20" t="s">
        <v>332</v>
      </c>
      <c r="B20">
        <v>3.2000000000000001E-2</v>
      </c>
      <c r="C20" s="159">
        <v>7.3999999999999996E-2</v>
      </c>
      <c r="D20">
        <v>0.192</v>
      </c>
      <c r="G20" t="s">
        <v>444</v>
      </c>
      <c r="H20" s="45">
        <v>1</v>
      </c>
      <c r="I20" s="45">
        <v>0.61</v>
      </c>
      <c r="J20" s="161">
        <v>0.49</v>
      </c>
      <c r="K20" s="45">
        <v>0.45</v>
      </c>
      <c r="L20" s="45">
        <v>0.44</v>
      </c>
      <c r="M20" s="45">
        <v>0</v>
      </c>
      <c r="O20" t="s">
        <v>332</v>
      </c>
      <c r="P20">
        <v>7.0000000000000007E-2</v>
      </c>
      <c r="Q20" s="159">
        <v>0.13800000000000001</v>
      </c>
      <c r="R20">
        <v>0.28399999999999997</v>
      </c>
      <c r="U20" t="s">
        <v>444</v>
      </c>
      <c r="V20" s="45">
        <v>1</v>
      </c>
      <c r="W20" s="45">
        <v>0.68</v>
      </c>
      <c r="X20" s="161">
        <v>0.54</v>
      </c>
      <c r="Y20" s="45">
        <v>0.47</v>
      </c>
      <c r="Z20" s="45">
        <v>0.4</v>
      </c>
      <c r="AA20" s="45">
        <v>0</v>
      </c>
    </row>
    <row r="21" spans="1:27" s="159" customFormat="1" x14ac:dyDescent="0.3">
      <c r="A21" s="159" t="s">
        <v>445</v>
      </c>
      <c r="B21" s="159">
        <v>2.5000000000000001E-2</v>
      </c>
      <c r="C21" s="159">
        <v>0.05</v>
      </c>
      <c r="D21" s="159">
        <v>0.13500000000000001</v>
      </c>
      <c r="G21" s="159" t="s">
        <v>446</v>
      </c>
      <c r="H21" s="161">
        <v>1</v>
      </c>
      <c r="I21" s="161">
        <v>0.73</v>
      </c>
      <c r="J21" s="161">
        <v>0.64</v>
      </c>
      <c r="K21" s="161">
        <v>0.57999999999999996</v>
      </c>
      <c r="L21" s="161">
        <v>0.54</v>
      </c>
      <c r="M21" s="161">
        <v>0</v>
      </c>
      <c r="O21" s="159" t="s">
        <v>445</v>
      </c>
      <c r="P21" s="159">
        <v>4.2000000000000003E-2</v>
      </c>
      <c r="Q21" s="159">
        <v>8.7999999999999995E-2</v>
      </c>
      <c r="R21" s="159">
        <v>0.20799999999999999</v>
      </c>
      <c r="U21" s="159" t="s">
        <v>446</v>
      </c>
      <c r="V21" s="161">
        <v>1</v>
      </c>
      <c r="W21" s="161">
        <v>0.76</v>
      </c>
      <c r="X21" s="161">
        <v>0.66</v>
      </c>
      <c r="Y21" s="161">
        <v>0.66</v>
      </c>
      <c r="Z21" s="161">
        <v>0.63</v>
      </c>
      <c r="AA21" s="161">
        <v>0</v>
      </c>
    </row>
    <row r="22" spans="1:27" x14ac:dyDescent="0.3">
      <c r="A22" t="s">
        <v>331</v>
      </c>
      <c r="B22">
        <v>2.1000000000000001E-2</v>
      </c>
      <c r="C22" s="159">
        <v>3.3000000000000002E-2</v>
      </c>
      <c r="D22">
        <v>7.6999999999999999E-2</v>
      </c>
      <c r="G22" t="s">
        <v>447</v>
      </c>
      <c r="H22" s="45">
        <v>1</v>
      </c>
      <c r="I22" s="45">
        <v>0.79</v>
      </c>
      <c r="J22" s="161">
        <v>0.71</v>
      </c>
      <c r="K22" s="45">
        <v>0.68</v>
      </c>
      <c r="L22" s="45">
        <v>0.7</v>
      </c>
      <c r="M22" s="45">
        <v>0</v>
      </c>
      <c r="O22" t="s">
        <v>331</v>
      </c>
      <c r="P22">
        <v>3.1E-2</v>
      </c>
      <c r="Q22" s="159">
        <v>4.9000000000000002E-2</v>
      </c>
      <c r="R22">
        <v>0.113</v>
      </c>
      <c r="U22" t="s">
        <v>447</v>
      </c>
      <c r="V22" s="45">
        <v>1</v>
      </c>
      <c r="W22" s="45">
        <v>0.8</v>
      </c>
      <c r="X22" s="161">
        <v>0.72</v>
      </c>
      <c r="Y22" s="45">
        <v>0.69</v>
      </c>
      <c r="Z22" s="45">
        <v>0.67</v>
      </c>
      <c r="AA22" s="45">
        <v>0</v>
      </c>
    </row>
    <row r="23" spans="1:27" x14ac:dyDescent="0.3">
      <c r="H23" s="45"/>
      <c r="I23" s="45"/>
      <c r="J23" s="161"/>
      <c r="K23" s="45"/>
      <c r="L23" s="45"/>
      <c r="M23" s="45"/>
    </row>
    <row r="24" spans="1:27" x14ac:dyDescent="0.3">
      <c r="A24" t="s">
        <v>449</v>
      </c>
      <c r="O24" t="s">
        <v>449</v>
      </c>
    </row>
    <row r="25" spans="1:27" x14ac:dyDescent="0.3">
      <c r="B25" t="s">
        <v>432</v>
      </c>
      <c r="C25" s="159" t="s">
        <v>433</v>
      </c>
      <c r="D25" t="s">
        <v>434</v>
      </c>
      <c r="E25" t="s">
        <v>435</v>
      </c>
      <c r="H25" t="s">
        <v>436</v>
      </c>
      <c r="I25" t="s">
        <v>437</v>
      </c>
      <c r="J25" s="159" t="s">
        <v>438</v>
      </c>
      <c r="K25" t="s">
        <v>439</v>
      </c>
      <c r="L25" t="s">
        <v>440</v>
      </c>
      <c r="M25" t="s">
        <v>441</v>
      </c>
      <c r="P25" t="s">
        <v>432</v>
      </c>
      <c r="Q25" s="159" t="s">
        <v>433</v>
      </c>
      <c r="R25" t="s">
        <v>434</v>
      </c>
      <c r="S25" t="s">
        <v>435</v>
      </c>
      <c r="V25" t="s">
        <v>436</v>
      </c>
      <c r="W25" t="s">
        <v>437</v>
      </c>
      <c r="X25" s="159" t="s">
        <v>438</v>
      </c>
      <c r="Y25" t="s">
        <v>439</v>
      </c>
      <c r="Z25" t="s">
        <v>440</v>
      </c>
      <c r="AA25" t="s">
        <v>441</v>
      </c>
    </row>
    <row r="26" spans="1:27" x14ac:dyDescent="0.3">
      <c r="A26" t="s">
        <v>442</v>
      </c>
      <c r="B26">
        <v>0.128</v>
      </c>
      <c r="C26" s="159">
        <v>0.32100000000000001</v>
      </c>
      <c r="D26">
        <v>0.81899999999999995</v>
      </c>
      <c r="G26" t="s">
        <v>443</v>
      </c>
      <c r="H26" s="45">
        <v>1</v>
      </c>
      <c r="I26" s="45">
        <v>0.63</v>
      </c>
      <c r="J26" s="161">
        <v>0.41</v>
      </c>
      <c r="K26" s="45">
        <v>0.36</v>
      </c>
      <c r="L26" s="45">
        <v>0.34</v>
      </c>
      <c r="M26" s="45">
        <v>0</v>
      </c>
      <c r="O26" t="s">
        <v>442</v>
      </c>
      <c r="P26">
        <v>0.187</v>
      </c>
      <c r="Q26" s="159">
        <v>0.41699999999999998</v>
      </c>
      <c r="R26">
        <v>1.0629999999999999</v>
      </c>
      <c r="U26" t="s">
        <v>443</v>
      </c>
      <c r="V26" s="45">
        <v>1</v>
      </c>
      <c r="W26" s="45">
        <v>0.72</v>
      </c>
      <c r="X26" s="161">
        <v>0.54</v>
      </c>
      <c r="Y26" s="45">
        <v>0.44</v>
      </c>
      <c r="Z26" s="45">
        <v>0.38</v>
      </c>
      <c r="AA26" s="45">
        <v>0</v>
      </c>
    </row>
    <row r="27" spans="1:27" x14ac:dyDescent="0.3">
      <c r="A27" t="s">
        <v>332</v>
      </c>
      <c r="B27">
        <v>6.2E-2</v>
      </c>
      <c r="C27" s="159">
        <v>0.14299999999999999</v>
      </c>
      <c r="D27">
        <v>0.32200000000000001</v>
      </c>
      <c r="G27" t="s">
        <v>444</v>
      </c>
      <c r="H27" s="45">
        <v>1</v>
      </c>
      <c r="I27" s="45">
        <v>0.71</v>
      </c>
      <c r="J27" s="161">
        <v>0.48</v>
      </c>
      <c r="K27" s="45">
        <v>0.39</v>
      </c>
      <c r="L27" s="45">
        <v>0.37</v>
      </c>
      <c r="M27" s="45">
        <v>0</v>
      </c>
      <c r="O27" t="s">
        <v>332</v>
      </c>
      <c r="P27">
        <v>8.8999999999999996E-2</v>
      </c>
      <c r="Q27" s="159">
        <v>0.182</v>
      </c>
      <c r="R27">
        <v>0.41299999999999998</v>
      </c>
      <c r="U27" t="s">
        <v>444</v>
      </c>
      <c r="V27" s="45">
        <v>1</v>
      </c>
      <c r="W27" s="45">
        <v>0.8</v>
      </c>
      <c r="X27" s="161">
        <v>0.6</v>
      </c>
      <c r="Y27" s="45">
        <v>0.5</v>
      </c>
      <c r="Z27" s="45">
        <v>0.43</v>
      </c>
      <c r="AA27" s="45">
        <v>0</v>
      </c>
    </row>
    <row r="28" spans="1:27" s="159" customFormat="1" x14ac:dyDescent="0.3">
      <c r="A28" s="159" t="s">
        <v>445</v>
      </c>
      <c r="B28" s="159">
        <v>3.5000000000000003E-2</v>
      </c>
      <c r="C28" s="159">
        <v>7.8E-2</v>
      </c>
      <c r="D28" s="159">
        <v>0.20300000000000001</v>
      </c>
      <c r="G28" s="159" t="s">
        <v>446</v>
      </c>
      <c r="H28" s="161">
        <v>1</v>
      </c>
      <c r="I28" s="161">
        <v>0.78</v>
      </c>
      <c r="J28" s="161">
        <v>0.54</v>
      </c>
      <c r="K28" s="161">
        <v>0.45</v>
      </c>
      <c r="L28" s="161">
        <v>0.37</v>
      </c>
      <c r="M28" s="161">
        <v>0</v>
      </c>
      <c r="O28" s="159" t="s">
        <v>445</v>
      </c>
      <c r="P28" s="159">
        <v>4.7E-2</v>
      </c>
      <c r="Q28" s="159">
        <v>0.10100000000000001</v>
      </c>
      <c r="R28" s="159">
        <v>0.254</v>
      </c>
      <c r="U28" s="159" t="s">
        <v>446</v>
      </c>
      <c r="V28" s="161">
        <v>1</v>
      </c>
      <c r="W28" s="161">
        <v>0.83</v>
      </c>
      <c r="X28" s="161">
        <v>0.71</v>
      </c>
      <c r="Y28" s="161">
        <v>0.62</v>
      </c>
      <c r="Z28" s="161">
        <v>0.51</v>
      </c>
      <c r="AA28" s="161">
        <v>0</v>
      </c>
    </row>
    <row r="29" spans="1:27" x14ac:dyDescent="0.3">
      <c r="A29" t="s">
        <v>331</v>
      </c>
      <c r="B29">
        <v>2.5000000000000001E-2</v>
      </c>
      <c r="C29" s="159">
        <v>3.9E-2</v>
      </c>
      <c r="D29">
        <v>9.9000000000000005E-2</v>
      </c>
      <c r="G29" t="s">
        <v>447</v>
      </c>
      <c r="H29" s="45">
        <v>1</v>
      </c>
      <c r="I29" s="45">
        <v>0.8</v>
      </c>
      <c r="J29" s="161">
        <v>0.67</v>
      </c>
      <c r="K29" s="45">
        <v>0.59</v>
      </c>
      <c r="L29" s="45">
        <v>0.53</v>
      </c>
      <c r="M29" s="45">
        <v>0</v>
      </c>
      <c r="O29" t="s">
        <v>331</v>
      </c>
      <c r="P29">
        <v>3.2000000000000001E-2</v>
      </c>
      <c r="Q29" s="159">
        <v>4.9000000000000002E-2</v>
      </c>
      <c r="R29">
        <v>0.125</v>
      </c>
      <c r="U29" t="s">
        <v>447</v>
      </c>
      <c r="V29" s="45">
        <v>1</v>
      </c>
      <c r="W29" s="45">
        <v>0.85</v>
      </c>
      <c r="X29" s="161">
        <v>0.76</v>
      </c>
      <c r="Y29" s="45">
        <v>0.7</v>
      </c>
      <c r="Z29" s="45">
        <v>0.63</v>
      </c>
      <c r="AA29" s="45">
        <v>0</v>
      </c>
    </row>
    <row r="31" spans="1:27" x14ac:dyDescent="0.3">
      <c r="A31" t="s">
        <v>450</v>
      </c>
      <c r="O31" t="s">
        <v>450</v>
      </c>
    </row>
    <row r="32" spans="1:27" x14ac:dyDescent="0.3">
      <c r="B32" t="s">
        <v>432</v>
      </c>
      <c r="C32" s="159" t="s">
        <v>433</v>
      </c>
      <c r="D32" t="s">
        <v>434</v>
      </c>
      <c r="E32" t="s">
        <v>435</v>
      </c>
      <c r="H32" t="s">
        <v>436</v>
      </c>
      <c r="I32" t="s">
        <v>437</v>
      </c>
      <c r="J32" s="159" t="s">
        <v>438</v>
      </c>
      <c r="K32" t="s">
        <v>439</v>
      </c>
      <c r="L32" t="s">
        <v>440</v>
      </c>
      <c r="M32" t="s">
        <v>441</v>
      </c>
      <c r="P32" t="s">
        <v>432</v>
      </c>
      <c r="Q32" s="159" t="s">
        <v>433</v>
      </c>
      <c r="R32" t="s">
        <v>434</v>
      </c>
      <c r="S32" t="s">
        <v>435</v>
      </c>
      <c r="V32" t="s">
        <v>436</v>
      </c>
      <c r="W32" t="s">
        <v>437</v>
      </c>
      <c r="X32" s="159" t="s">
        <v>438</v>
      </c>
      <c r="Y32" t="s">
        <v>439</v>
      </c>
      <c r="Z32" t="s">
        <v>440</v>
      </c>
      <c r="AA32" t="s">
        <v>441</v>
      </c>
    </row>
    <row r="33" spans="1:27" x14ac:dyDescent="0.3">
      <c r="A33" t="s">
        <v>442</v>
      </c>
      <c r="B33">
        <v>0.12</v>
      </c>
      <c r="C33" s="159">
        <v>0.29099999999999998</v>
      </c>
      <c r="D33">
        <v>0.77700000000000002</v>
      </c>
      <c r="G33" t="s">
        <v>443</v>
      </c>
      <c r="H33" s="45">
        <v>1</v>
      </c>
      <c r="I33" s="45">
        <v>0.67</v>
      </c>
      <c r="J33" s="161">
        <v>0.46</v>
      </c>
      <c r="K33" s="45">
        <v>0.35</v>
      </c>
      <c r="L33" s="45">
        <v>0.3</v>
      </c>
      <c r="M33" s="45">
        <v>0</v>
      </c>
      <c r="O33" t="s">
        <v>442</v>
      </c>
      <c r="P33">
        <v>0.158</v>
      </c>
      <c r="Q33" s="159">
        <v>0.35</v>
      </c>
      <c r="R33">
        <v>0.81399999999999995</v>
      </c>
      <c r="U33" t="s">
        <v>443</v>
      </c>
      <c r="V33" s="45">
        <v>1</v>
      </c>
      <c r="W33" s="45">
        <v>0.78</v>
      </c>
      <c r="X33" s="161">
        <v>0.62</v>
      </c>
      <c r="Y33" s="45">
        <v>0.51</v>
      </c>
      <c r="Z33" s="45">
        <v>0.46</v>
      </c>
      <c r="AA33" s="45">
        <v>0</v>
      </c>
    </row>
    <row r="34" spans="1:27" x14ac:dyDescent="0.3">
      <c r="A34" t="s">
        <v>332</v>
      </c>
      <c r="B34">
        <v>5.7000000000000002E-2</v>
      </c>
      <c r="C34" s="159">
        <v>0.13400000000000001</v>
      </c>
      <c r="D34">
        <v>0.34300000000000003</v>
      </c>
      <c r="G34" t="s">
        <v>444</v>
      </c>
      <c r="H34" s="45">
        <v>1</v>
      </c>
      <c r="I34" s="45">
        <v>0.74</v>
      </c>
      <c r="J34" s="161">
        <v>0.52</v>
      </c>
      <c r="K34" s="45">
        <v>0.4</v>
      </c>
      <c r="L34" s="45">
        <v>0.33</v>
      </c>
      <c r="M34" s="45">
        <v>0</v>
      </c>
      <c r="O34" t="s">
        <v>332</v>
      </c>
      <c r="P34">
        <v>7.0000000000000007E-2</v>
      </c>
      <c r="Q34" s="159">
        <v>0.152</v>
      </c>
      <c r="R34">
        <v>0.33400000000000002</v>
      </c>
      <c r="U34" t="s">
        <v>444</v>
      </c>
      <c r="V34" s="45">
        <v>1</v>
      </c>
      <c r="W34" s="45">
        <v>0.82</v>
      </c>
      <c r="X34" s="161">
        <v>0.7</v>
      </c>
      <c r="Y34" s="45">
        <v>0.59</v>
      </c>
      <c r="Z34" s="45">
        <v>0.52</v>
      </c>
      <c r="AA34" s="45">
        <v>0</v>
      </c>
    </row>
    <row r="35" spans="1:27" s="159" customFormat="1" x14ac:dyDescent="0.3">
      <c r="A35" s="159" t="s">
        <v>445</v>
      </c>
      <c r="B35" s="159">
        <v>3.1E-2</v>
      </c>
      <c r="C35" s="159">
        <v>6.8000000000000005E-2</v>
      </c>
      <c r="D35" s="159">
        <v>0.185</v>
      </c>
      <c r="G35" s="159" t="s">
        <v>446</v>
      </c>
      <c r="H35" s="161">
        <v>1</v>
      </c>
      <c r="I35" s="161">
        <v>0.76</v>
      </c>
      <c r="J35" s="161">
        <v>0.62</v>
      </c>
      <c r="K35" s="161">
        <v>0.5</v>
      </c>
      <c r="L35" s="161">
        <v>0.44</v>
      </c>
      <c r="M35" s="161">
        <v>0</v>
      </c>
      <c r="O35" s="159" t="s">
        <v>445</v>
      </c>
      <c r="P35" s="159">
        <v>3.7999999999999999E-2</v>
      </c>
      <c r="Q35" s="159">
        <v>8.3000000000000004E-2</v>
      </c>
      <c r="R35" s="159">
        <v>0.20799999999999999</v>
      </c>
      <c r="U35" s="159" t="s">
        <v>446</v>
      </c>
      <c r="V35" s="161">
        <v>1</v>
      </c>
      <c r="W35" s="161">
        <v>0.83</v>
      </c>
      <c r="X35" s="161">
        <v>0.73</v>
      </c>
      <c r="Y35" s="161">
        <v>0.66</v>
      </c>
      <c r="Z35" s="161">
        <v>0.62</v>
      </c>
      <c r="AA35" s="161">
        <v>0</v>
      </c>
    </row>
    <row r="36" spans="1:27" x14ac:dyDescent="0.3">
      <c r="A36" t="s">
        <v>331</v>
      </c>
      <c r="B36">
        <v>2.1000000000000001E-2</v>
      </c>
      <c r="C36" s="159">
        <v>3.3000000000000002E-2</v>
      </c>
      <c r="D36">
        <v>0.08</v>
      </c>
      <c r="G36" t="s">
        <v>447</v>
      </c>
      <c r="H36" s="45">
        <v>1</v>
      </c>
      <c r="I36" s="45">
        <v>0.79</v>
      </c>
      <c r="J36" s="161">
        <v>0.67</v>
      </c>
      <c r="K36" s="45">
        <v>0.56999999999999995</v>
      </c>
      <c r="L36" s="45">
        <v>0.5</v>
      </c>
      <c r="M36" s="45">
        <v>0</v>
      </c>
      <c r="O36" t="s">
        <v>331</v>
      </c>
      <c r="P36">
        <v>2.7E-2</v>
      </c>
      <c r="Q36" s="159">
        <v>4.1000000000000002E-2</v>
      </c>
      <c r="R36">
        <v>9.8000000000000004E-2</v>
      </c>
      <c r="U36" t="s">
        <v>447</v>
      </c>
      <c r="V36" s="45">
        <v>1</v>
      </c>
      <c r="W36" s="45">
        <v>0.86</v>
      </c>
      <c r="X36" s="161">
        <v>0.78</v>
      </c>
      <c r="Y36" s="45">
        <v>0.7</v>
      </c>
      <c r="Z36" s="45">
        <v>0.67</v>
      </c>
      <c r="AA36" s="45">
        <v>0</v>
      </c>
    </row>
    <row r="39" spans="1:27" x14ac:dyDescent="0.3">
      <c r="B39">
        <f>AVERAGE(B12,B19,B26,B33)</f>
        <v>0.10875</v>
      </c>
      <c r="C39">
        <f t="shared" ref="C39:D39" si="0">AVERAGE(C12,C19,C26,C33)</f>
        <v>0.27174999999999999</v>
      </c>
      <c r="D39">
        <f t="shared" si="0"/>
        <v>0.73750000000000004</v>
      </c>
      <c r="P39">
        <f>AVERAGE(P12,P19,P26,P33)</f>
        <v>0.15775</v>
      </c>
      <c r="Q39">
        <f t="shared" ref="Q39:R39" si="1">AVERAGE(Q12,Q19,Q26,Q33)</f>
        <v>0.35875000000000001</v>
      </c>
      <c r="R39">
        <f t="shared" si="1"/>
        <v>0.88050000000000006</v>
      </c>
    </row>
    <row r="40" spans="1:27" x14ac:dyDescent="0.3">
      <c r="B40">
        <f t="shared" ref="B40:D40" si="2">AVERAGE(B13,B20,B27,B34)</f>
        <v>5.5499999999999994E-2</v>
      </c>
      <c r="C40">
        <f t="shared" si="2"/>
        <v>0.1295</v>
      </c>
      <c r="D40">
        <f t="shared" si="2"/>
        <v>0.32</v>
      </c>
      <c r="P40">
        <f t="shared" ref="P40:R40" si="3">AVERAGE(P13,P20,P27,P34)</f>
        <v>8.0500000000000002E-2</v>
      </c>
      <c r="Q40">
        <f t="shared" si="3"/>
        <v>0.16875000000000001</v>
      </c>
      <c r="R40">
        <f t="shared" si="3"/>
        <v>0.36599999999999999</v>
      </c>
    </row>
    <row r="41" spans="1:27" x14ac:dyDescent="0.3">
      <c r="B41">
        <f t="shared" ref="B41:D41" si="4">AVERAGE(B14,B21,B28,B35)</f>
        <v>3.2500000000000001E-2</v>
      </c>
      <c r="C41" s="162">
        <f t="shared" si="4"/>
        <v>7.2000000000000008E-2</v>
      </c>
      <c r="D41">
        <f t="shared" si="4"/>
        <v>0.19225000000000003</v>
      </c>
      <c r="J41" s="163">
        <f>AVERAGE(J35,J28,J21,J14)</f>
        <v>0.59250000000000003</v>
      </c>
      <c r="P41">
        <f t="shared" ref="P41:R41" si="5">AVERAGE(P14,P21,P28,P35)</f>
        <v>4.4250000000000005E-2</v>
      </c>
      <c r="Q41" s="162">
        <f t="shared" si="5"/>
        <v>9.6500000000000016E-2</v>
      </c>
      <c r="R41">
        <f t="shared" si="5"/>
        <v>0.23874999999999999</v>
      </c>
      <c r="X41" s="163">
        <f>AVERAGE(X35,X28,X21,X14)</f>
        <v>0.69000000000000006</v>
      </c>
    </row>
    <row r="42" spans="1:27" x14ac:dyDescent="0.3">
      <c r="B42">
        <f t="shared" ref="B42:D42" si="6">AVERAGE(B15,B22,B29,B36)</f>
        <v>2.3250000000000003E-2</v>
      </c>
      <c r="C42">
        <f t="shared" si="6"/>
        <v>3.6500000000000005E-2</v>
      </c>
      <c r="D42">
        <f t="shared" si="6"/>
        <v>9.1500000000000012E-2</v>
      </c>
      <c r="P42">
        <f t="shared" ref="P42:R42" si="7">AVERAGE(P15,P22,P29,P36)</f>
        <v>3.075E-2</v>
      </c>
      <c r="Q42">
        <f t="shared" si="7"/>
        <v>4.7750000000000008E-2</v>
      </c>
      <c r="R42">
        <f t="shared" si="7"/>
        <v>0.11824999999999999</v>
      </c>
    </row>
  </sheetData>
  <sheetProtection algorithmName="SHA-512" hashValue="Excq17QH09ZunwqZOwp2g+zJfDYKLsE5dk5GGrODiN1RyI68wFqbSSs4jSUyni+F3FRk6MYJgtsQBNCfhKHrhA==" saltValue="r4n9cHuMYW/PZa6qeuVlHg==" spinCount="100000" sheet="1" objects="1" scenarios="1"/>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790E8A-71D9-4199-8E07-CFF86CD02B40}">
  <sheetPr codeName="Sheet11">
    <tabColor theme="4"/>
  </sheetPr>
  <dimension ref="B1:K61"/>
  <sheetViews>
    <sheetView zoomScaleNormal="100" workbookViewId="0">
      <pane xSplit="1" ySplit="11" topLeftCell="B12" activePane="bottomRight" state="frozen"/>
      <selection pane="topRight" activeCell="B1" sqref="B1"/>
      <selection pane="bottomLeft" activeCell="A10" sqref="A10"/>
      <selection pane="bottomRight" activeCell="H11" sqref="H11"/>
    </sheetView>
  </sheetViews>
  <sheetFormatPr defaultRowHeight="14.4" zeroHeight="1" x14ac:dyDescent="0.3"/>
  <cols>
    <col min="2" max="2" width="33.109375" customWidth="1"/>
    <col min="3" max="3" width="34.44140625" customWidth="1"/>
    <col min="4" max="4" width="40.44140625" customWidth="1"/>
    <col min="5" max="5" width="23.109375" customWidth="1"/>
    <col min="6" max="6" width="25.6640625" customWidth="1"/>
    <col min="7" max="9" width="18" customWidth="1"/>
    <col min="10" max="10" width="18" hidden="1" customWidth="1"/>
    <col min="11" max="11" width="18" customWidth="1"/>
  </cols>
  <sheetData>
    <row r="1" spans="2:11" ht="18.600000000000001" thickBot="1" x14ac:dyDescent="0.4">
      <c r="B1" s="137" t="s">
        <v>451</v>
      </c>
      <c r="C1" s="138"/>
      <c r="D1" s="138"/>
      <c r="E1" s="138"/>
      <c r="F1" s="138"/>
      <c r="G1" s="138"/>
      <c r="H1" s="138"/>
      <c r="I1" s="138"/>
      <c r="J1" s="138"/>
      <c r="K1" s="138"/>
    </row>
    <row r="2" spans="2:11" ht="27.6" customHeight="1" thickTop="1" thickBot="1" x14ac:dyDescent="0.35">
      <c r="B2" s="470" t="s">
        <v>452</v>
      </c>
      <c r="C2" s="470"/>
      <c r="D2" s="470"/>
      <c r="E2" s="470"/>
      <c r="F2" s="470"/>
      <c r="G2" s="470"/>
      <c r="H2" s="470"/>
      <c r="I2" s="470"/>
      <c r="J2" s="384"/>
      <c r="K2" s="384"/>
    </row>
    <row r="3" spans="2:11" ht="15" thickBot="1" x14ac:dyDescent="0.35">
      <c r="B3" s="164" t="s">
        <v>391</v>
      </c>
      <c r="C3" s="146" t="s">
        <v>181</v>
      </c>
      <c r="D3" s="165" t="s">
        <v>182</v>
      </c>
      <c r="E3" s="144" t="s">
        <v>238</v>
      </c>
      <c r="F3" s="149"/>
      <c r="G3" s="149"/>
      <c r="H3" s="149"/>
      <c r="I3" s="149"/>
      <c r="J3" s="149"/>
      <c r="K3" s="150"/>
    </row>
    <row r="4" spans="2:11" s="328" customFormat="1" ht="30" customHeight="1" x14ac:dyDescent="0.25">
      <c r="B4" s="380" t="s">
        <v>453</v>
      </c>
      <c r="C4" s="203" t="s">
        <v>454</v>
      </c>
      <c r="D4" s="381" t="s">
        <v>455</v>
      </c>
      <c r="E4" s="461" t="s">
        <v>456</v>
      </c>
      <c r="F4" s="462"/>
      <c r="G4" s="462"/>
      <c r="H4" s="462"/>
      <c r="I4" s="462"/>
      <c r="J4" s="462"/>
      <c r="K4" s="463"/>
    </row>
    <row r="5" spans="2:11" s="328" customFormat="1" ht="30" customHeight="1" x14ac:dyDescent="0.25">
      <c r="B5" s="380" t="s">
        <v>457</v>
      </c>
      <c r="C5" s="205">
        <v>0.75</v>
      </c>
      <c r="D5" s="381"/>
      <c r="E5" s="464"/>
      <c r="F5" s="465"/>
      <c r="G5" s="465"/>
      <c r="H5" s="465"/>
      <c r="I5" s="465"/>
      <c r="J5" s="465"/>
      <c r="K5" s="466"/>
    </row>
    <row r="6" spans="2:11" s="328" customFormat="1" ht="30" customHeight="1" x14ac:dyDescent="0.25">
      <c r="B6" s="380" t="s">
        <v>189</v>
      </c>
      <c r="C6" s="205">
        <v>0.4</v>
      </c>
      <c r="D6" s="381" t="s">
        <v>458</v>
      </c>
      <c r="E6" s="464"/>
      <c r="F6" s="465"/>
      <c r="G6" s="465"/>
      <c r="H6" s="465"/>
      <c r="I6" s="465"/>
      <c r="J6" s="465"/>
      <c r="K6" s="466"/>
    </row>
    <row r="7" spans="2:11" s="328" customFormat="1" ht="30" customHeight="1" x14ac:dyDescent="0.25">
      <c r="B7" s="380" t="s">
        <v>189</v>
      </c>
      <c r="C7" s="205">
        <v>0.8</v>
      </c>
      <c r="D7" s="381" t="s">
        <v>459</v>
      </c>
      <c r="E7" s="464"/>
      <c r="F7" s="465"/>
      <c r="G7" s="465"/>
      <c r="H7" s="465"/>
      <c r="I7" s="465"/>
      <c r="J7" s="465"/>
      <c r="K7" s="466"/>
    </row>
    <row r="8" spans="2:11" s="328" customFormat="1" ht="30" customHeight="1" thickBot="1" x14ac:dyDescent="0.3">
      <c r="B8" s="382" t="s">
        <v>460</v>
      </c>
      <c r="C8" s="204" t="s">
        <v>419</v>
      </c>
      <c r="D8" s="383" t="s">
        <v>461</v>
      </c>
      <c r="E8" s="467"/>
      <c r="F8" s="468"/>
      <c r="G8" s="468"/>
      <c r="H8" s="468"/>
      <c r="I8" s="468"/>
      <c r="J8" s="468"/>
      <c r="K8" s="469"/>
    </row>
    <row r="9" spans="2:11" ht="67.95" customHeight="1" x14ac:dyDescent="0.3">
      <c r="B9" s="351" t="s">
        <v>191</v>
      </c>
      <c r="C9" s="255" t="s">
        <v>462</v>
      </c>
      <c r="D9" s="216"/>
      <c r="E9" s="217"/>
      <c r="F9" s="217"/>
      <c r="G9" s="217"/>
      <c r="H9" s="217"/>
      <c r="I9" s="217"/>
      <c r="J9" s="217"/>
      <c r="K9" s="217"/>
    </row>
    <row r="10" spans="2:11" ht="15" thickBot="1" x14ac:dyDescent="0.35">
      <c r="B10" s="166" t="s">
        <v>377</v>
      </c>
      <c r="C10" s="166" t="s">
        <v>198</v>
      </c>
      <c r="D10" s="166" t="s">
        <v>198</v>
      </c>
      <c r="E10" s="166" t="s">
        <v>198</v>
      </c>
      <c r="F10" s="166" t="s">
        <v>377</v>
      </c>
      <c r="G10" s="166" t="s">
        <v>199</v>
      </c>
      <c r="H10" s="220" t="s">
        <v>463</v>
      </c>
      <c r="I10" s="125" t="s">
        <v>205</v>
      </c>
      <c r="J10" s="125" t="s">
        <v>205</v>
      </c>
      <c r="K10" s="168" t="s">
        <v>205</v>
      </c>
    </row>
    <row r="11" spans="2:11" ht="43.8" thickBot="1" x14ac:dyDescent="0.35">
      <c r="B11" s="135" t="s">
        <v>206</v>
      </c>
      <c r="C11" s="136" t="s">
        <v>207</v>
      </c>
      <c r="D11" s="136" t="s">
        <v>464</v>
      </c>
      <c r="E11" s="136" t="s">
        <v>465</v>
      </c>
      <c r="F11" s="136" t="s">
        <v>466</v>
      </c>
      <c r="G11" s="136" t="s">
        <v>467</v>
      </c>
      <c r="H11" s="317" t="s">
        <v>468</v>
      </c>
      <c r="I11" s="317" t="s">
        <v>469</v>
      </c>
      <c r="J11" s="317" t="s">
        <v>470</v>
      </c>
      <c r="K11" s="322" t="s">
        <v>471</v>
      </c>
    </row>
    <row r="12" spans="2:11" x14ac:dyDescent="0.3">
      <c r="B12" t="s">
        <v>472</v>
      </c>
      <c r="C12" t="s">
        <v>473</v>
      </c>
      <c r="D12" t="s">
        <v>474</v>
      </c>
      <c r="E12">
        <v>100</v>
      </c>
      <c r="G12" t="s">
        <v>418</v>
      </c>
      <c r="H12" t="str">
        <f>$C$8</f>
        <v>Fully Meets</v>
      </c>
      <c r="I12" s="44">
        <f>IF(AND(private_road[[#This Row],[Road Condition Pre-Remediation]]='Lookup Tables'!$Q$3, private_road[[#This Row],[Road Condition Post-Remediation]]='Lookup Tables'!$Q$4, OR(private_road[Road Classification Most Similar to Private Road Remediation Site]='Lookup Tables'!$AR$3,private_road[Road Classification Most Similar to Private Road Remediation Site] = 'Lookup Tables'!$AR$4)), 0.4, IF(AND(private_road[[#This Row],[Road Condition Pre-Remediation]]='Lookup Tables'!$Q$3, private_road[[#This Row],[Road Condition Post-Remediation]]='Lookup Tables'!$Q$5, OR(private_road[Road Classification Most Similar to Private Road Remediation Site]='Lookup Tables'!$AR$3,private_road[Road Classification Most Similar to Private Road Remediation Site] = 'Lookup Tables'!$AR$4)), 0.8, IF(AND(private_road[[#This Row],[Road Condition Pre-Remediation]]='Lookup Tables'!$Q$4, private_road[[#This Row],[Road Condition Post-Remediation]]= 'Lookup Tables'!$Q$5, OR(private_road[Road Classification Most Similar to Private Road Remediation Site]='Lookup Tables'!$AR$3,private_road[Road Classification Most Similar to Private Road Remediation Site] = 'Lookup Tables'!$AR$4)), 0.4, IF(AND(private_road[Road Classification Most Similar to Private Road Remediation Site]='Lookup Tables'!$AR$5, private_road[[#This Row],[Volume of Gully Erosion (ft3) 
Class 4 road types only]]&lt;81), 0.2, IF(AND(private_road[Road Classification Most Similar to Private Road Remediation Site]='Lookup Tables'!$AR$5, private_road[[#This Row],[Volume of Gully Erosion (ft3) 
Class 4 road types only]]&gt;=81), 0.4, 0)))))</f>
        <v>0.8</v>
      </c>
      <c r="J12" s="171">
        <f>IF(private_road[[#This Row],[Road Classification Most Similar to Private Road Remediation Site]]='Lookup Tables'!$AR$3, (VLOOKUP(private_road[[#This Row],[Project Location TMDL Drainage Area]],'Lookup Tables'!$AT$3:$AV$35,2,FALSE)*(private_road[[#This Row],[Length of Road Erosion Remediation (meters)]]/1000)),
IF(private_road[[#This Row],[Road Classification Most Similar to Private Road Remediation Site]]='Lookup Tables'!$AR$4, (VLOOKUP(private_road[[#This Row],[Project Location TMDL Drainage Area]],'Lookup Tables'!$AT$3:$AV$35, 3, FALSE)*(private_road[[#This Row],[Length of Road Erosion Remediation (meters)]]/1000)),
IF(private_road[[#This Row],[Road Classification Most Similar to Private Road Remediation Site]] = 'Lookup Tables'!$AR$5, (VLOOKUP(private_road[[#This Row],[Project Location TMDL Drainage Area]], 'Lookup Tables'!$AT$3:$AV$35, 3,FALSE)*private_road[[#This Row],[Length of Road Erosion Remediation (meters)]]/1000), 0)))*$C$5</f>
        <v>0.50880000000000003</v>
      </c>
      <c r="K12" s="153">
        <f>private_road[[#This Row],[Annual P Load (kg/yr)]]*private_road[[#This Row],[P Load Reduction Efficiency (%)]]</f>
        <v>0.40704000000000007</v>
      </c>
    </row>
    <row r="13" spans="2:11" x14ac:dyDescent="0.3"/>
    <row r="14" spans="2:11" x14ac:dyDescent="0.3"/>
    <row r="15" spans="2:11" x14ac:dyDescent="0.3"/>
    <row r="16" spans="2:11"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29" x14ac:dyDescent="0.3"/>
    <row r="30" x14ac:dyDescent="0.3"/>
    <row r="31" x14ac:dyDescent="0.3"/>
    <row r="32" x14ac:dyDescent="0.3"/>
    <row r="33" x14ac:dyDescent="0.3"/>
    <row r="34" x14ac:dyDescent="0.3"/>
    <row r="35" x14ac:dyDescent="0.3"/>
    <row r="36" x14ac:dyDescent="0.3"/>
    <row r="37" x14ac:dyDescent="0.3"/>
    <row r="38" x14ac:dyDescent="0.3"/>
    <row r="39" x14ac:dyDescent="0.3"/>
    <row r="40" x14ac:dyDescent="0.3"/>
    <row r="41" x14ac:dyDescent="0.3"/>
    <row r="42" x14ac:dyDescent="0.3"/>
    <row r="43" x14ac:dyDescent="0.3"/>
    <row r="44" x14ac:dyDescent="0.3"/>
    <row r="45" x14ac:dyDescent="0.3"/>
    <row r="46" x14ac:dyDescent="0.3"/>
    <row r="47" x14ac:dyDescent="0.3"/>
    <row r="48"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row r="61" x14ac:dyDescent="0.3"/>
  </sheetData>
  <protectedRanges>
    <protectedRange sqref="B12:G12" name="Inputs"/>
  </protectedRanges>
  <mergeCells count="2">
    <mergeCell ref="E4:K8"/>
    <mergeCell ref="B2:I2"/>
  </mergeCells>
  <hyperlinks>
    <hyperlink ref="C9" r:id="rId1" display="ANR Natural Resources Atlas" xr:uid="{48E1BB02-1706-4A33-98D4-36A58F59049A}"/>
  </hyperlinks>
  <pageMargins left="0.7" right="0.7" top="0.75" bottom="0.75" header="0.3" footer="0.3"/>
  <pageSetup orientation="portrait" r:id="rId2"/>
  <tableParts count="1">
    <tablePart r:id="rId3"/>
  </tableParts>
  <extLst>
    <ext xmlns:x14="http://schemas.microsoft.com/office/spreadsheetml/2009/9/main" uri="{CCE6A557-97BC-4b89-ADB6-D9C93CAAB3DF}">
      <x14:dataValidations xmlns:xm="http://schemas.microsoft.com/office/excel/2006/main" count="3">
        <x14:dataValidation type="list" allowBlank="1" showInputMessage="1" showErrorMessage="1" xr:uid="{62A4E28E-C504-4DB9-8F6C-7867AB065D15}">
          <x14:formula1>
            <xm:f>'Lookup Tables'!$AT$3:$AT$35</xm:f>
          </x14:formula1>
          <xm:sqref>C12</xm:sqref>
        </x14:dataValidation>
        <x14:dataValidation type="list" allowBlank="1" showInputMessage="1" showErrorMessage="1" xr:uid="{71B1159E-13D8-4C80-BB67-6F1CE414578D}">
          <x14:formula1>
            <xm:f>'Lookup Tables'!$AR$3:$AR$5</xm:f>
          </x14:formula1>
          <xm:sqref>D12</xm:sqref>
        </x14:dataValidation>
        <x14:dataValidation type="list" allowBlank="1" showInputMessage="1" showErrorMessage="1" xr:uid="{131FB1C8-3040-498C-8A91-7733F8C4787F}">
          <x14:formula1>
            <xm:f>'Lookup Tables'!$Q$3:$Q$5</xm:f>
          </x14:formula1>
          <xm:sqref>G12</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C9173-A58A-4E2F-B851-B1CE9172C91A}">
  <sheetPr codeName="Sheet13">
    <tabColor theme="3"/>
  </sheetPr>
  <dimension ref="B1:I173"/>
  <sheetViews>
    <sheetView showGridLines="0" zoomScaleNormal="100" workbookViewId="0">
      <pane ySplit="5" topLeftCell="A6" activePane="bottomLeft" state="frozen"/>
      <selection pane="bottomLeft" activeCell="D17" sqref="D17"/>
    </sheetView>
  </sheetViews>
  <sheetFormatPr defaultRowHeight="14.4" x14ac:dyDescent="0.3"/>
  <cols>
    <col min="1" max="1" width="3.6640625" customWidth="1"/>
    <col min="2" max="2" width="42.109375" customWidth="1"/>
    <col min="3" max="3" width="36.88671875" customWidth="1"/>
    <col min="4" max="4" width="32.88671875" customWidth="1"/>
    <col min="5" max="5" width="25.109375" customWidth="1"/>
    <col min="6" max="6" width="28.6640625" customWidth="1"/>
    <col min="7" max="7" width="27.33203125" customWidth="1"/>
    <col min="8" max="9" width="25.109375" customWidth="1"/>
  </cols>
  <sheetData>
    <row r="1" spans="2:9" ht="18.600000000000001" thickBot="1" x14ac:dyDescent="0.4">
      <c r="B1" s="210" t="s">
        <v>475</v>
      </c>
      <c r="C1" s="211"/>
      <c r="D1" s="211"/>
      <c r="E1" s="144" t="s">
        <v>238</v>
      </c>
      <c r="F1" s="149"/>
      <c r="G1" s="149"/>
      <c r="H1" s="149"/>
      <c r="I1" s="150"/>
    </row>
    <row r="2" spans="2:9" ht="69" customHeight="1" thickTop="1" thickBot="1" x14ac:dyDescent="0.35">
      <c r="B2" s="471" t="s">
        <v>476</v>
      </c>
      <c r="C2" s="429"/>
      <c r="D2" s="429"/>
      <c r="E2" s="472" t="s">
        <v>477</v>
      </c>
      <c r="F2" s="473"/>
      <c r="G2" s="473"/>
      <c r="H2" s="473"/>
      <c r="I2" s="474"/>
    </row>
    <row r="3" spans="2:9" s="251" customFormat="1" ht="60.6" customHeight="1" thickBot="1" x14ac:dyDescent="0.25">
      <c r="B3" s="338" t="s">
        <v>478</v>
      </c>
      <c r="C3" s="339"/>
      <c r="D3" s="339"/>
      <c r="E3" s="340" t="s">
        <v>479</v>
      </c>
      <c r="F3" s="340" t="s">
        <v>480</v>
      </c>
      <c r="G3" s="337" t="s">
        <v>481</v>
      </c>
      <c r="H3" s="212"/>
      <c r="I3" s="213"/>
    </row>
    <row r="4" spans="2:9" ht="15" thickBot="1" x14ac:dyDescent="0.35">
      <c r="B4" s="207" t="s">
        <v>377</v>
      </c>
      <c r="C4" s="208" t="s">
        <v>377</v>
      </c>
      <c r="D4" s="209" t="s">
        <v>482</v>
      </c>
      <c r="E4" s="208" t="s">
        <v>377</v>
      </c>
      <c r="F4" s="208" t="s">
        <v>377</v>
      </c>
      <c r="G4" s="208" t="s">
        <v>377</v>
      </c>
      <c r="H4" s="209" t="s">
        <v>483</v>
      </c>
      <c r="I4" s="214" t="s">
        <v>483</v>
      </c>
    </row>
    <row r="5" spans="2:9" ht="49.95" customHeight="1" thickBot="1" x14ac:dyDescent="0.35">
      <c r="B5" s="135" t="s">
        <v>484</v>
      </c>
      <c r="C5" s="136" t="s">
        <v>485</v>
      </c>
      <c r="D5" s="317" t="s">
        <v>486</v>
      </c>
      <c r="E5" s="136" t="s">
        <v>487</v>
      </c>
      <c r="F5" s="136" t="s">
        <v>488</v>
      </c>
      <c r="G5" s="136" t="s">
        <v>489</v>
      </c>
      <c r="H5" s="317" t="s">
        <v>490</v>
      </c>
      <c r="I5" s="322" t="s">
        <v>491</v>
      </c>
    </row>
    <row r="6" spans="2:9" x14ac:dyDescent="0.3">
      <c r="B6" t="s">
        <v>263</v>
      </c>
      <c r="C6" t="s">
        <v>113</v>
      </c>
      <c r="D6">
        <f>IF(cost_effectiveness[[#This Row],[Project Type]]="", "", VLOOKUP(cost_effectiveness[[#This Row],[Project Type]],'Lookup Tables'!$BH$3:$BI$26, 2, FALSE))</f>
        <v>10</v>
      </c>
      <c r="E6" s="201">
        <v>1000</v>
      </c>
      <c r="F6" s="201">
        <v>500</v>
      </c>
      <c r="G6"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0.4955928</v>
      </c>
      <c r="H6" s="201">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3026.6783536806834</v>
      </c>
      <c r="I6" s="201">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1513.3391768403417</v>
      </c>
    </row>
    <row r="7" spans="2:9" x14ac:dyDescent="0.3">
      <c r="B7" t="s">
        <v>279</v>
      </c>
      <c r="C7" t="s">
        <v>111</v>
      </c>
      <c r="D7">
        <f>IF(cost_effectiveness[[#This Row],[Project Type]]="", "", VLOOKUP(cost_effectiveness[[#This Row],[Project Type]],'Lookup Tables'!$BH$3:$BI$26, 2, FALSE))</f>
        <v>20</v>
      </c>
      <c r="E7" s="201"/>
      <c r="F7" s="201"/>
      <c r="G7"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1.4832492194674012E-2</v>
      </c>
      <c r="H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 spans="2:9" x14ac:dyDescent="0.3">
      <c r="B8" t="s">
        <v>256</v>
      </c>
      <c r="C8" t="s">
        <v>108</v>
      </c>
      <c r="D8">
        <f>IF(cost_effectiveness[[#This Row],[Project Type]]="", "", VLOOKUP(cost_effectiveness[[#This Row],[Project Type]],'Lookup Tables'!$BH$3:$BI$26, 2, FALSE))</f>
        <v>10</v>
      </c>
      <c r="E8" s="201"/>
      <c r="F8" s="201"/>
      <c r="G8"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0.29724553124999997</v>
      </c>
      <c r="H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 spans="2:9" x14ac:dyDescent="0.3">
      <c r="B9" t="s">
        <v>416</v>
      </c>
      <c r="C9" t="s">
        <v>492</v>
      </c>
      <c r="D9">
        <f>IF(cost_effectiveness[[#This Row],[Project Type]]="", "", VLOOKUP(cost_effectiveness[[#This Row],[Project Type]],'Lookup Tables'!$BH$3:$BI$26, 2, FALSE))</f>
        <v>5</v>
      </c>
      <c r="E9" s="201">
        <v>20000</v>
      </c>
      <c r="F9" s="201">
        <v>12000</v>
      </c>
      <c r="G9"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2.064679159040868</v>
      </c>
      <c r="H9" s="201">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29060.205183585313</v>
      </c>
      <c r="I9" s="201">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17436.123110151191</v>
      </c>
    </row>
    <row r="10" spans="2:9" x14ac:dyDescent="0.3">
      <c r="B10" t="s">
        <v>231</v>
      </c>
      <c r="C10" t="s">
        <v>493</v>
      </c>
      <c r="D10">
        <f>IF(cost_effectiveness[[#This Row],[Project Type]]="", "", VLOOKUP(cost_effectiveness[[#This Row],[Project Type]],'Lookup Tables'!$BH$3:$BI$26, 2, FALSE))</f>
        <v>20</v>
      </c>
      <c r="E10" s="201"/>
      <c r="F10" s="201"/>
      <c r="G10"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1.2243200000000001</v>
      </c>
      <c r="H1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 spans="2:9" x14ac:dyDescent="0.3">
      <c r="B11" t="s">
        <v>494</v>
      </c>
      <c r="C11" t="s">
        <v>495</v>
      </c>
      <c r="D11">
        <f>IF(cost_effectiveness[[#This Row],[Project Type]]="", "", VLOOKUP(cost_effectiveness[[#This Row],[Project Type]],'Lookup Tables'!$BH$3:$BI$26, 2, FALSE))</f>
        <v>10</v>
      </c>
      <c r="E11" s="201"/>
      <c r="F11" s="201"/>
      <c r="G11" s="153"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fill in from STP calculator</v>
      </c>
      <c r="H1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 spans="2:9" x14ac:dyDescent="0.3">
      <c r="B12" t="s">
        <v>472</v>
      </c>
      <c r="C12" t="s">
        <v>174</v>
      </c>
      <c r="D12">
        <f>IF(cost_effectiveness[[#This Row],[Project Type]]="", "", VLOOKUP(cost_effectiveness[[#This Row],[Project Type]],'Lookup Tables'!$BH$3:$BI$26, 2, FALSE))</f>
        <v>8</v>
      </c>
      <c r="E12" s="201"/>
      <c r="F12" s="201"/>
      <c r="G12"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0.40704000000000007</v>
      </c>
      <c r="H1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 spans="2:9" x14ac:dyDescent="0.3">
      <c r="B13" t="s">
        <v>330</v>
      </c>
      <c r="C13" t="s">
        <v>496</v>
      </c>
      <c r="D13">
        <f>IF(cost_effectiveness[[#This Row],[Project Type]]="", "", VLOOKUP(cost_effectiveness[[#This Row],[Project Type]],'Lookup Tables'!$BH$3:$BI$26, 2, FALSE))</f>
        <v>10</v>
      </c>
      <c r="E13" s="201"/>
      <c r="F13" s="201"/>
      <c r="G13"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12.79307563532095</v>
      </c>
      <c r="H1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 spans="2:9" x14ac:dyDescent="0.3">
      <c r="B14" t="s">
        <v>290</v>
      </c>
      <c r="C14" t="s">
        <v>497</v>
      </c>
      <c r="D14">
        <f>IF(cost_effectiveness[[#This Row],[Project Type]]="", "", VLOOKUP(cost_effectiveness[[#This Row],[Project Type]],'Lookup Tables'!$BH$3:$BI$26, 2, FALSE))</f>
        <v>10</v>
      </c>
      <c r="E14" s="201"/>
      <c r="F14" s="201"/>
      <c r="G14" s="153">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3.4455442503680995</v>
      </c>
      <c r="H1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 spans="2:9" x14ac:dyDescent="0.3">
      <c r="D15" t="str">
        <f>IF(cost_effectiveness[[#This Row],[Project Type]]="", "", VLOOKUP(cost_effectiveness[[#This Row],[Project Type]],'Lookup Tables'!$BH$3:$BI$26, 2, FALSE))</f>
        <v/>
      </c>
      <c r="E15" s="201"/>
      <c r="F15" s="201"/>
      <c r="G1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 spans="2:9" x14ac:dyDescent="0.3">
      <c r="D16" t="str">
        <f>IF(cost_effectiveness[[#This Row],[Project Type]]="", "", VLOOKUP(cost_effectiveness[[#This Row],[Project Type]],'Lookup Tables'!$BH$3:$BI$26, 2, FALSE))</f>
        <v/>
      </c>
      <c r="E16" s="201"/>
      <c r="F16" s="201"/>
      <c r="G1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7" spans="4:9" x14ac:dyDescent="0.3">
      <c r="D17" t="str">
        <f>IF(cost_effectiveness[[#This Row],[Project Type]]="", "", VLOOKUP(cost_effectiveness[[#This Row],[Project Type]],'Lookup Tables'!$BH$3:$BI$26, 2, FALSE))</f>
        <v/>
      </c>
      <c r="E17" s="201"/>
      <c r="F17" s="201"/>
      <c r="G1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8" spans="4:9" x14ac:dyDescent="0.3">
      <c r="D18" t="str">
        <f>IF(cost_effectiveness[[#This Row],[Project Type]]="", "", VLOOKUP(cost_effectiveness[[#This Row],[Project Type]],'Lookup Tables'!$BH$3:$BI$26, 2, FALSE))</f>
        <v/>
      </c>
      <c r="E18" s="201"/>
      <c r="F18" s="201"/>
      <c r="G1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9" spans="4:9" x14ac:dyDescent="0.3">
      <c r="D19" t="str">
        <f>IF(cost_effectiveness[[#This Row],[Project Type]]="", "", VLOOKUP(cost_effectiveness[[#This Row],[Project Type]],'Lookup Tables'!$BH$3:$BI$26, 2, FALSE))</f>
        <v/>
      </c>
      <c r="E19" s="201"/>
      <c r="F19" s="201"/>
      <c r="G1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0" spans="4:9" x14ac:dyDescent="0.3">
      <c r="D20" t="str">
        <f>IF(cost_effectiveness[[#This Row],[Project Type]]="", "", VLOOKUP(cost_effectiveness[[#This Row],[Project Type]],'Lookup Tables'!$BH$3:$BI$26, 2, FALSE))</f>
        <v/>
      </c>
      <c r="E20" s="201"/>
      <c r="F20" s="201"/>
      <c r="G2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1" spans="4:9" x14ac:dyDescent="0.3">
      <c r="D21" t="str">
        <f>IF(cost_effectiveness[[#This Row],[Project Type]]="", "", VLOOKUP(cost_effectiveness[[#This Row],[Project Type]],'Lookup Tables'!$BH$3:$BI$26, 2, FALSE))</f>
        <v/>
      </c>
      <c r="E21" s="201"/>
      <c r="F21" s="201"/>
      <c r="G2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2" spans="4:9" x14ac:dyDescent="0.3">
      <c r="D22" t="str">
        <f>IF(cost_effectiveness[[#This Row],[Project Type]]="", "", VLOOKUP(cost_effectiveness[[#This Row],[Project Type]],'Lookup Tables'!$BH$3:$BI$26, 2, FALSE))</f>
        <v/>
      </c>
      <c r="E22" s="201"/>
      <c r="F22" s="201"/>
      <c r="G2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3" spans="4:9" x14ac:dyDescent="0.3">
      <c r="D23" t="str">
        <f>IF(cost_effectiveness[[#This Row],[Project Type]]="", "", VLOOKUP(cost_effectiveness[[#This Row],[Project Type]],'Lookup Tables'!$BH$3:$BI$26, 2, FALSE))</f>
        <v/>
      </c>
      <c r="E23" s="201"/>
      <c r="F23" s="201"/>
      <c r="G2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4" spans="4:9" x14ac:dyDescent="0.3">
      <c r="D24" t="str">
        <f>IF(cost_effectiveness[[#This Row],[Project Type]]="", "", VLOOKUP(cost_effectiveness[[#This Row],[Project Type]],'Lookup Tables'!$BH$3:$BI$26, 2, FALSE))</f>
        <v/>
      </c>
      <c r="E24" s="201"/>
      <c r="F24" s="201"/>
      <c r="G2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5" spans="4:9" x14ac:dyDescent="0.3">
      <c r="D25" t="str">
        <f>IF(cost_effectiveness[[#This Row],[Project Type]]="", "", VLOOKUP(cost_effectiveness[[#This Row],[Project Type]],'Lookup Tables'!$BH$3:$BI$26, 2, FALSE))</f>
        <v/>
      </c>
      <c r="E25" s="201"/>
      <c r="F25" s="201"/>
      <c r="G2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6" spans="4:9" x14ac:dyDescent="0.3">
      <c r="D26" t="str">
        <f>IF(cost_effectiveness[[#This Row],[Project Type]]="", "", VLOOKUP(cost_effectiveness[[#This Row],[Project Type]],'Lookup Tables'!$BH$3:$BI$26, 2, FALSE))</f>
        <v/>
      </c>
      <c r="E26" s="201"/>
      <c r="F26" s="201"/>
      <c r="G2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7" spans="4:9" x14ac:dyDescent="0.3">
      <c r="D27" t="str">
        <f>IF(cost_effectiveness[[#This Row],[Project Type]]="", "", VLOOKUP(cost_effectiveness[[#This Row],[Project Type]],'Lookup Tables'!$BH$3:$BI$26, 2, FALSE))</f>
        <v/>
      </c>
      <c r="E27" s="201"/>
      <c r="F27" s="201"/>
      <c r="G2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8" spans="4:9" x14ac:dyDescent="0.3">
      <c r="D28" t="str">
        <f>IF(cost_effectiveness[[#This Row],[Project Type]]="", "", VLOOKUP(cost_effectiveness[[#This Row],[Project Type]],'Lookup Tables'!$BH$3:$BI$26, 2, FALSE))</f>
        <v/>
      </c>
      <c r="E28" s="201"/>
      <c r="F28" s="201"/>
      <c r="G2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29" spans="4:9" x14ac:dyDescent="0.3">
      <c r="D29" t="str">
        <f>IF(cost_effectiveness[[#This Row],[Project Type]]="", "", VLOOKUP(cost_effectiveness[[#This Row],[Project Type]],'Lookup Tables'!$BH$3:$BI$26, 2, FALSE))</f>
        <v/>
      </c>
      <c r="E29" s="201"/>
      <c r="F29" s="201"/>
      <c r="G2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2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2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0" spans="4:9" x14ac:dyDescent="0.3">
      <c r="D30" t="str">
        <f>IF(cost_effectiveness[[#This Row],[Project Type]]="", "", VLOOKUP(cost_effectiveness[[#This Row],[Project Type]],'Lookup Tables'!$BH$3:$BI$26, 2, FALSE))</f>
        <v/>
      </c>
      <c r="E30" s="201"/>
      <c r="F30" s="201"/>
      <c r="G3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1" spans="4:9" x14ac:dyDescent="0.3">
      <c r="D31" t="str">
        <f>IF(cost_effectiveness[[#This Row],[Project Type]]="", "", VLOOKUP(cost_effectiveness[[#This Row],[Project Type]],'Lookup Tables'!$BH$3:$BI$26, 2, FALSE))</f>
        <v/>
      </c>
      <c r="E31" s="201"/>
      <c r="F31" s="201"/>
      <c r="G3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2" spans="4:9" x14ac:dyDescent="0.3">
      <c r="D32" t="str">
        <f>IF(cost_effectiveness[[#This Row],[Project Type]]="", "", VLOOKUP(cost_effectiveness[[#This Row],[Project Type]],'Lookup Tables'!$BH$3:$BI$26, 2, FALSE))</f>
        <v/>
      </c>
      <c r="E32" s="201"/>
      <c r="F32" s="201"/>
      <c r="G3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3" spans="4:9" x14ac:dyDescent="0.3">
      <c r="D33" t="str">
        <f>IF(cost_effectiveness[[#This Row],[Project Type]]="", "", VLOOKUP(cost_effectiveness[[#This Row],[Project Type]],'Lookup Tables'!$BH$3:$BI$26, 2, FALSE))</f>
        <v/>
      </c>
      <c r="E33" s="201"/>
      <c r="F33" s="201"/>
      <c r="G3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4" spans="4:9" x14ac:dyDescent="0.3">
      <c r="D34" t="str">
        <f>IF(cost_effectiveness[[#This Row],[Project Type]]="", "", VLOOKUP(cost_effectiveness[[#This Row],[Project Type]],'Lookup Tables'!$BH$3:$BI$26, 2, FALSE))</f>
        <v/>
      </c>
      <c r="E34" s="201"/>
      <c r="F34" s="201"/>
      <c r="G3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5" spans="4:9" x14ac:dyDescent="0.3">
      <c r="D35" t="str">
        <f>IF(cost_effectiveness[[#This Row],[Project Type]]="", "", VLOOKUP(cost_effectiveness[[#This Row],[Project Type]],'Lookup Tables'!$BH$3:$BI$26, 2, FALSE))</f>
        <v/>
      </c>
      <c r="E35" s="201"/>
      <c r="F35" s="201"/>
      <c r="G3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6" spans="4:9" x14ac:dyDescent="0.3">
      <c r="D36" t="str">
        <f>IF(cost_effectiveness[[#This Row],[Project Type]]="", "", VLOOKUP(cost_effectiveness[[#This Row],[Project Type]],'Lookup Tables'!$BH$3:$BI$26, 2, FALSE))</f>
        <v/>
      </c>
      <c r="E36" s="201"/>
      <c r="F36" s="201"/>
      <c r="G3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7" spans="4:9" x14ac:dyDescent="0.3">
      <c r="D37" t="str">
        <f>IF(cost_effectiveness[[#This Row],[Project Type]]="", "", VLOOKUP(cost_effectiveness[[#This Row],[Project Type]],'Lookup Tables'!$BH$3:$BI$26, 2, FALSE))</f>
        <v/>
      </c>
      <c r="E37" s="201"/>
      <c r="F37" s="201"/>
      <c r="G3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8" spans="4:9" x14ac:dyDescent="0.3">
      <c r="D38" t="str">
        <f>IF(cost_effectiveness[[#This Row],[Project Type]]="", "", VLOOKUP(cost_effectiveness[[#This Row],[Project Type]],'Lookup Tables'!$BH$3:$BI$26, 2, FALSE))</f>
        <v/>
      </c>
      <c r="E38" s="201"/>
      <c r="F38" s="201"/>
      <c r="G3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39" spans="4:9" x14ac:dyDescent="0.3">
      <c r="D39" t="str">
        <f>IF(cost_effectiveness[[#This Row],[Project Type]]="", "", VLOOKUP(cost_effectiveness[[#This Row],[Project Type]],'Lookup Tables'!$BH$3:$BI$26, 2, FALSE))</f>
        <v/>
      </c>
      <c r="E39" s="201"/>
      <c r="F39" s="201"/>
      <c r="G3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3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3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0" spans="4:9" x14ac:dyDescent="0.3">
      <c r="D40" t="str">
        <f>IF(cost_effectiveness[[#This Row],[Project Type]]="", "", VLOOKUP(cost_effectiveness[[#This Row],[Project Type]],'Lookup Tables'!$BH$3:$BI$26, 2, FALSE))</f>
        <v/>
      </c>
      <c r="E40" s="201"/>
      <c r="F40" s="201"/>
      <c r="G4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1" spans="4:9" x14ac:dyDescent="0.3">
      <c r="D41" t="str">
        <f>IF(cost_effectiveness[[#This Row],[Project Type]]="", "", VLOOKUP(cost_effectiveness[[#This Row],[Project Type]],'Lookup Tables'!$BH$3:$BI$26, 2, FALSE))</f>
        <v/>
      </c>
      <c r="E41" s="201"/>
      <c r="F41" s="201"/>
      <c r="G4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2" spans="4:9" x14ac:dyDescent="0.3">
      <c r="D42" t="str">
        <f>IF(cost_effectiveness[[#This Row],[Project Type]]="", "", VLOOKUP(cost_effectiveness[[#This Row],[Project Type]],'Lookup Tables'!$BH$3:$BI$26, 2, FALSE))</f>
        <v/>
      </c>
      <c r="E42" s="201"/>
      <c r="F42" s="201"/>
      <c r="G4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3" spans="4:9" x14ac:dyDescent="0.3">
      <c r="D43" t="str">
        <f>IF(cost_effectiveness[[#This Row],[Project Type]]="", "", VLOOKUP(cost_effectiveness[[#This Row],[Project Type]],'Lookup Tables'!$BH$3:$BI$26, 2, FALSE))</f>
        <v/>
      </c>
      <c r="E43" s="201"/>
      <c r="F43" s="201"/>
      <c r="G4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4" spans="4:9" x14ac:dyDescent="0.3">
      <c r="D44" t="str">
        <f>IF(cost_effectiveness[[#This Row],[Project Type]]="", "", VLOOKUP(cost_effectiveness[[#This Row],[Project Type]],'Lookup Tables'!$BH$3:$BI$26, 2, FALSE))</f>
        <v/>
      </c>
      <c r="E44" s="201"/>
      <c r="F44" s="201"/>
      <c r="G4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5" spans="4:9" x14ac:dyDescent="0.3">
      <c r="D45" t="str">
        <f>IF(cost_effectiveness[[#This Row],[Project Type]]="", "", VLOOKUP(cost_effectiveness[[#This Row],[Project Type]],'Lookup Tables'!$BH$3:$BI$26, 2, FALSE))</f>
        <v/>
      </c>
      <c r="E45" s="201"/>
      <c r="F45" s="201"/>
      <c r="G4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6" spans="4:9" x14ac:dyDescent="0.3">
      <c r="D46" t="str">
        <f>IF(cost_effectiveness[[#This Row],[Project Type]]="", "", VLOOKUP(cost_effectiveness[[#This Row],[Project Type]],'Lookup Tables'!$BH$3:$BI$26, 2, FALSE))</f>
        <v/>
      </c>
      <c r="E46" s="201"/>
      <c r="F46" s="201"/>
      <c r="G4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7" spans="4:9" x14ac:dyDescent="0.3">
      <c r="D47" t="str">
        <f>IF(cost_effectiveness[[#This Row],[Project Type]]="", "", VLOOKUP(cost_effectiveness[[#This Row],[Project Type]],'Lookup Tables'!$BH$3:$BI$26, 2, FALSE))</f>
        <v/>
      </c>
      <c r="E47" s="201"/>
      <c r="F47" s="201"/>
      <c r="G4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8" spans="4:9" x14ac:dyDescent="0.3">
      <c r="D48" t="str">
        <f>IF(cost_effectiveness[[#This Row],[Project Type]]="", "", VLOOKUP(cost_effectiveness[[#This Row],[Project Type]],'Lookup Tables'!$BH$3:$BI$26, 2, FALSE))</f>
        <v/>
      </c>
      <c r="E48" s="201"/>
      <c r="F48" s="201"/>
      <c r="G4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49" spans="4:9" x14ac:dyDescent="0.3">
      <c r="D49" t="str">
        <f>IF(cost_effectiveness[[#This Row],[Project Type]]="", "", VLOOKUP(cost_effectiveness[[#This Row],[Project Type]],'Lookup Tables'!$BH$3:$BI$26, 2, FALSE))</f>
        <v/>
      </c>
      <c r="E49" s="201"/>
      <c r="F49" s="201"/>
      <c r="G4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4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4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0" spans="4:9" x14ac:dyDescent="0.3">
      <c r="D50" t="str">
        <f>IF(cost_effectiveness[[#This Row],[Project Type]]="", "", VLOOKUP(cost_effectiveness[[#This Row],[Project Type]],'Lookup Tables'!$BH$3:$BI$26, 2, FALSE))</f>
        <v/>
      </c>
      <c r="E50" s="201"/>
      <c r="F50" s="201"/>
      <c r="G5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1" spans="4:9" x14ac:dyDescent="0.3">
      <c r="D51" t="str">
        <f>IF(cost_effectiveness[[#This Row],[Project Type]]="", "", VLOOKUP(cost_effectiveness[[#This Row],[Project Type]],'Lookup Tables'!$BH$3:$BI$26, 2, FALSE))</f>
        <v/>
      </c>
      <c r="E51" s="201"/>
      <c r="F51" s="201"/>
      <c r="G5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2" spans="4:9" x14ac:dyDescent="0.3">
      <c r="D52" t="str">
        <f>IF(cost_effectiveness[[#This Row],[Project Type]]="", "", VLOOKUP(cost_effectiveness[[#This Row],[Project Type]],'Lookup Tables'!$BH$3:$BI$26, 2, FALSE))</f>
        <v/>
      </c>
      <c r="E52" s="201"/>
      <c r="F52" s="201"/>
      <c r="G5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3" spans="4:9" x14ac:dyDescent="0.3">
      <c r="D53" t="str">
        <f>IF(cost_effectiveness[[#This Row],[Project Type]]="", "", VLOOKUP(cost_effectiveness[[#This Row],[Project Type]],'Lookup Tables'!$BH$3:$BI$26, 2, FALSE))</f>
        <v/>
      </c>
      <c r="E53" s="201"/>
      <c r="F53" s="201"/>
      <c r="G5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4" spans="4:9" x14ac:dyDescent="0.3">
      <c r="D54" t="str">
        <f>IF(cost_effectiveness[[#This Row],[Project Type]]="", "", VLOOKUP(cost_effectiveness[[#This Row],[Project Type]],'Lookup Tables'!$BH$3:$BI$26, 2, FALSE))</f>
        <v/>
      </c>
      <c r="E54" s="201"/>
      <c r="F54" s="201"/>
      <c r="G5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5" spans="4:9" x14ac:dyDescent="0.3">
      <c r="D55" t="str">
        <f>IF(cost_effectiveness[[#This Row],[Project Type]]="", "", VLOOKUP(cost_effectiveness[[#This Row],[Project Type]],'Lookup Tables'!$BH$3:$BI$26, 2, FALSE))</f>
        <v/>
      </c>
      <c r="E55" s="201"/>
      <c r="F55" s="201"/>
      <c r="G5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6" spans="4:9" x14ac:dyDescent="0.3">
      <c r="D56" t="str">
        <f>IF(cost_effectiveness[[#This Row],[Project Type]]="", "", VLOOKUP(cost_effectiveness[[#This Row],[Project Type]],'Lookup Tables'!$BH$3:$BI$26, 2, FALSE))</f>
        <v/>
      </c>
      <c r="E56" s="201"/>
      <c r="F56" s="201"/>
      <c r="G5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7" spans="4:9" x14ac:dyDescent="0.3">
      <c r="D57" t="str">
        <f>IF(cost_effectiveness[[#This Row],[Project Type]]="", "", VLOOKUP(cost_effectiveness[[#This Row],[Project Type]],'Lookup Tables'!$BH$3:$BI$26, 2, FALSE))</f>
        <v/>
      </c>
      <c r="E57" s="201"/>
      <c r="F57" s="201"/>
      <c r="G5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8" spans="4:9" x14ac:dyDescent="0.3">
      <c r="D58" t="str">
        <f>IF(cost_effectiveness[[#This Row],[Project Type]]="", "", VLOOKUP(cost_effectiveness[[#This Row],[Project Type]],'Lookup Tables'!$BH$3:$BI$26, 2, FALSE))</f>
        <v/>
      </c>
      <c r="E58" s="201"/>
      <c r="F58" s="201"/>
      <c r="G5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59" spans="4:9" x14ac:dyDescent="0.3">
      <c r="D59" t="str">
        <f>IF(cost_effectiveness[[#This Row],[Project Type]]="", "", VLOOKUP(cost_effectiveness[[#This Row],[Project Type]],'Lookup Tables'!$BH$3:$BI$26, 2, FALSE))</f>
        <v/>
      </c>
      <c r="E59" s="201"/>
      <c r="F59" s="201"/>
      <c r="G5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5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5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0" spans="4:9" x14ac:dyDescent="0.3">
      <c r="D60" t="str">
        <f>IF(cost_effectiveness[[#This Row],[Project Type]]="", "", VLOOKUP(cost_effectiveness[[#This Row],[Project Type]],'Lookup Tables'!$BH$3:$BI$26, 2, FALSE))</f>
        <v/>
      </c>
      <c r="E60" s="201"/>
      <c r="F60" s="201"/>
      <c r="G6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1" spans="4:9" x14ac:dyDescent="0.3">
      <c r="D61" t="str">
        <f>IF(cost_effectiveness[[#This Row],[Project Type]]="", "", VLOOKUP(cost_effectiveness[[#This Row],[Project Type]],'Lookup Tables'!$BH$3:$BI$26, 2, FALSE))</f>
        <v/>
      </c>
      <c r="E61" s="201"/>
      <c r="F61" s="201"/>
      <c r="G6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2" spans="4:9" x14ac:dyDescent="0.3">
      <c r="D62" t="str">
        <f>IF(cost_effectiveness[[#This Row],[Project Type]]="", "", VLOOKUP(cost_effectiveness[[#This Row],[Project Type]],'Lookup Tables'!$BH$3:$BI$26, 2, FALSE))</f>
        <v/>
      </c>
      <c r="E62" s="201"/>
      <c r="F62" s="201"/>
      <c r="G6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3" spans="4:9" x14ac:dyDescent="0.3">
      <c r="D63" t="str">
        <f>IF(cost_effectiveness[[#This Row],[Project Type]]="", "", VLOOKUP(cost_effectiveness[[#This Row],[Project Type]],'Lookup Tables'!$BH$3:$BI$26, 2, FALSE))</f>
        <v/>
      </c>
      <c r="E63" s="201"/>
      <c r="F63" s="201"/>
      <c r="G6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4" spans="4:9" x14ac:dyDescent="0.3">
      <c r="D64" t="str">
        <f>IF(cost_effectiveness[[#This Row],[Project Type]]="", "", VLOOKUP(cost_effectiveness[[#This Row],[Project Type]],'Lookup Tables'!$BH$3:$BI$26, 2, FALSE))</f>
        <v/>
      </c>
      <c r="E64" s="201"/>
      <c r="F64" s="201"/>
      <c r="G6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5" spans="4:9" x14ac:dyDescent="0.3">
      <c r="D65" t="str">
        <f>IF(cost_effectiveness[[#This Row],[Project Type]]="", "", VLOOKUP(cost_effectiveness[[#This Row],[Project Type]],'Lookup Tables'!$BH$3:$BI$26, 2, FALSE))</f>
        <v/>
      </c>
      <c r="E65" s="201"/>
      <c r="F65" s="201"/>
      <c r="G6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6" spans="4:9" x14ac:dyDescent="0.3">
      <c r="D66" t="str">
        <f>IF(cost_effectiveness[[#This Row],[Project Type]]="", "", VLOOKUP(cost_effectiveness[[#This Row],[Project Type]],'Lookup Tables'!$BH$3:$BI$26, 2, FALSE))</f>
        <v/>
      </c>
      <c r="E66" s="201"/>
      <c r="F66" s="201"/>
      <c r="G6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7" spans="4:9" x14ac:dyDescent="0.3">
      <c r="D67" t="str">
        <f>IF(cost_effectiveness[[#This Row],[Project Type]]="", "", VLOOKUP(cost_effectiveness[[#This Row],[Project Type]],'Lookup Tables'!$BH$3:$BI$26, 2, FALSE))</f>
        <v/>
      </c>
      <c r="E67" s="201"/>
      <c r="F67" s="201"/>
      <c r="G6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8" spans="4:9" x14ac:dyDescent="0.3">
      <c r="D68" t="str">
        <f>IF(cost_effectiveness[[#This Row],[Project Type]]="", "", VLOOKUP(cost_effectiveness[[#This Row],[Project Type]],'Lookup Tables'!$BH$3:$BI$26, 2, FALSE))</f>
        <v/>
      </c>
      <c r="E68" s="201"/>
      <c r="F68" s="201"/>
      <c r="G6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69" spans="4:9" x14ac:dyDescent="0.3">
      <c r="D69" t="str">
        <f>IF(cost_effectiveness[[#This Row],[Project Type]]="", "", VLOOKUP(cost_effectiveness[[#This Row],[Project Type]],'Lookup Tables'!$BH$3:$BI$26, 2, FALSE))</f>
        <v/>
      </c>
      <c r="E69" s="201"/>
      <c r="F69" s="201"/>
      <c r="G6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6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6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0" spans="4:9" x14ac:dyDescent="0.3">
      <c r="D70" t="str">
        <f>IF(cost_effectiveness[[#This Row],[Project Type]]="", "", VLOOKUP(cost_effectiveness[[#This Row],[Project Type]],'Lookup Tables'!$BH$3:$BI$26, 2, FALSE))</f>
        <v/>
      </c>
      <c r="E70" s="201"/>
      <c r="F70" s="201"/>
      <c r="G7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1" spans="4:9" x14ac:dyDescent="0.3">
      <c r="D71" t="str">
        <f>IF(cost_effectiveness[[#This Row],[Project Type]]="", "", VLOOKUP(cost_effectiveness[[#This Row],[Project Type]],'Lookup Tables'!$BH$3:$BI$26, 2, FALSE))</f>
        <v/>
      </c>
      <c r="E71" s="201"/>
      <c r="F71" s="201"/>
      <c r="G7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2" spans="4:9" x14ac:dyDescent="0.3">
      <c r="D72" t="str">
        <f>IF(cost_effectiveness[[#This Row],[Project Type]]="", "", VLOOKUP(cost_effectiveness[[#This Row],[Project Type]],'Lookup Tables'!$BH$3:$BI$26, 2, FALSE))</f>
        <v/>
      </c>
      <c r="E72" s="201"/>
      <c r="F72" s="201"/>
      <c r="G7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3" spans="4:9" x14ac:dyDescent="0.3">
      <c r="D73" t="str">
        <f>IF(cost_effectiveness[[#This Row],[Project Type]]="", "", VLOOKUP(cost_effectiveness[[#This Row],[Project Type]],'Lookup Tables'!$BH$3:$BI$26, 2, FALSE))</f>
        <v/>
      </c>
      <c r="E73" s="201"/>
      <c r="F73" s="201"/>
      <c r="G7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4" spans="4:9" x14ac:dyDescent="0.3">
      <c r="D74" t="str">
        <f>IF(cost_effectiveness[[#This Row],[Project Type]]="", "", VLOOKUP(cost_effectiveness[[#This Row],[Project Type]],'Lookup Tables'!$BH$3:$BI$26, 2, FALSE))</f>
        <v/>
      </c>
      <c r="E74" s="201"/>
      <c r="F74" s="201"/>
      <c r="G7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5" spans="4:9" x14ac:dyDescent="0.3">
      <c r="D75" t="str">
        <f>IF(cost_effectiveness[[#This Row],[Project Type]]="", "", VLOOKUP(cost_effectiveness[[#This Row],[Project Type]],'Lookup Tables'!$BH$3:$BI$26, 2, FALSE))</f>
        <v/>
      </c>
      <c r="E75" s="201"/>
      <c r="F75" s="201"/>
      <c r="G7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6" spans="4:9" x14ac:dyDescent="0.3">
      <c r="D76" t="str">
        <f>IF(cost_effectiveness[[#This Row],[Project Type]]="", "", VLOOKUP(cost_effectiveness[[#This Row],[Project Type]],'Lookup Tables'!$BH$3:$BI$26, 2, FALSE))</f>
        <v/>
      </c>
      <c r="E76" s="201"/>
      <c r="F76" s="201"/>
      <c r="G7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7" spans="4:9" x14ac:dyDescent="0.3">
      <c r="D77" t="str">
        <f>IF(cost_effectiveness[[#This Row],[Project Type]]="", "", VLOOKUP(cost_effectiveness[[#This Row],[Project Type]],'Lookup Tables'!$BH$3:$BI$26, 2, FALSE))</f>
        <v/>
      </c>
      <c r="E77" s="201"/>
      <c r="F77" s="201"/>
      <c r="G7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8" spans="4:9" x14ac:dyDescent="0.3">
      <c r="D78" t="str">
        <f>IF(cost_effectiveness[[#This Row],[Project Type]]="", "", VLOOKUP(cost_effectiveness[[#This Row],[Project Type]],'Lookup Tables'!$BH$3:$BI$26, 2, FALSE))</f>
        <v/>
      </c>
      <c r="E78" s="201"/>
      <c r="F78" s="201"/>
      <c r="G7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79" spans="4:9" x14ac:dyDescent="0.3">
      <c r="D79" t="str">
        <f>IF(cost_effectiveness[[#This Row],[Project Type]]="", "", VLOOKUP(cost_effectiveness[[#This Row],[Project Type]],'Lookup Tables'!$BH$3:$BI$26, 2, FALSE))</f>
        <v/>
      </c>
      <c r="E79" s="201"/>
      <c r="F79" s="201"/>
      <c r="G7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7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7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0" spans="4:9" x14ac:dyDescent="0.3">
      <c r="D80" t="str">
        <f>IF(cost_effectiveness[[#This Row],[Project Type]]="", "", VLOOKUP(cost_effectiveness[[#This Row],[Project Type]],'Lookup Tables'!$BH$3:$BI$26, 2, FALSE))</f>
        <v/>
      </c>
      <c r="E80" s="201"/>
      <c r="F80" s="201"/>
      <c r="G8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1" spans="4:9" x14ac:dyDescent="0.3">
      <c r="D81" t="str">
        <f>IF(cost_effectiveness[[#This Row],[Project Type]]="", "", VLOOKUP(cost_effectiveness[[#This Row],[Project Type]],'Lookup Tables'!$BH$3:$BI$26, 2, FALSE))</f>
        <v/>
      </c>
      <c r="E81" s="201"/>
      <c r="F81" s="201"/>
      <c r="G8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2" spans="4:9" x14ac:dyDescent="0.3">
      <c r="D82" t="str">
        <f>IF(cost_effectiveness[[#This Row],[Project Type]]="", "", VLOOKUP(cost_effectiveness[[#This Row],[Project Type]],'Lookup Tables'!$BH$3:$BI$26, 2, FALSE))</f>
        <v/>
      </c>
      <c r="E82" s="201"/>
      <c r="F82" s="201"/>
      <c r="G8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3" spans="4:9" x14ac:dyDescent="0.3">
      <c r="D83" t="str">
        <f>IF(cost_effectiveness[[#This Row],[Project Type]]="", "", VLOOKUP(cost_effectiveness[[#This Row],[Project Type]],'Lookup Tables'!$BH$3:$BI$26, 2, FALSE))</f>
        <v/>
      </c>
      <c r="E83" s="201"/>
      <c r="F83" s="201"/>
      <c r="G8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4" spans="4:9" x14ac:dyDescent="0.3">
      <c r="D84" t="str">
        <f>IF(cost_effectiveness[[#This Row],[Project Type]]="", "", VLOOKUP(cost_effectiveness[[#This Row],[Project Type]],'Lookup Tables'!$BH$3:$BI$26, 2, FALSE))</f>
        <v/>
      </c>
      <c r="E84" s="201"/>
      <c r="F84" s="201"/>
      <c r="G8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5" spans="4:9" x14ac:dyDescent="0.3">
      <c r="D85" t="str">
        <f>IF(cost_effectiveness[[#This Row],[Project Type]]="", "", VLOOKUP(cost_effectiveness[[#This Row],[Project Type]],'Lookup Tables'!$BH$3:$BI$26, 2, FALSE))</f>
        <v/>
      </c>
      <c r="E85" s="201"/>
      <c r="F85" s="201"/>
      <c r="G8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6" spans="4:9" x14ac:dyDescent="0.3">
      <c r="D86" t="str">
        <f>IF(cost_effectiveness[[#This Row],[Project Type]]="", "", VLOOKUP(cost_effectiveness[[#This Row],[Project Type]],'Lookup Tables'!$BH$3:$BI$26, 2, FALSE))</f>
        <v/>
      </c>
      <c r="E86" s="201"/>
      <c r="F86" s="201"/>
      <c r="G8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7" spans="4:9" x14ac:dyDescent="0.3">
      <c r="D87" t="str">
        <f>IF(cost_effectiveness[[#This Row],[Project Type]]="", "", VLOOKUP(cost_effectiveness[[#This Row],[Project Type]],'Lookup Tables'!$BH$3:$BI$26, 2, FALSE))</f>
        <v/>
      </c>
      <c r="E87" s="201"/>
      <c r="F87" s="201"/>
      <c r="G8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8" spans="4:9" x14ac:dyDescent="0.3">
      <c r="D88" t="str">
        <f>IF(cost_effectiveness[[#This Row],[Project Type]]="", "", VLOOKUP(cost_effectiveness[[#This Row],[Project Type]],'Lookup Tables'!$BH$3:$BI$26, 2, FALSE))</f>
        <v/>
      </c>
      <c r="E88" s="201"/>
      <c r="F88" s="201"/>
      <c r="G8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89" spans="4:9" x14ac:dyDescent="0.3">
      <c r="D89" t="str">
        <f>IF(cost_effectiveness[[#This Row],[Project Type]]="", "", VLOOKUP(cost_effectiveness[[#This Row],[Project Type]],'Lookup Tables'!$BH$3:$BI$26, 2, FALSE))</f>
        <v/>
      </c>
      <c r="E89" s="201"/>
      <c r="F89" s="201"/>
      <c r="G8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8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8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0" spans="4:9" x14ac:dyDescent="0.3">
      <c r="D90" t="str">
        <f>IF(cost_effectiveness[[#This Row],[Project Type]]="", "", VLOOKUP(cost_effectiveness[[#This Row],[Project Type]],'Lookup Tables'!$BH$3:$BI$26, 2, FALSE))</f>
        <v/>
      </c>
      <c r="E90" s="201"/>
      <c r="F90" s="201"/>
      <c r="G9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1" spans="4:9" x14ac:dyDescent="0.3">
      <c r="D91" t="str">
        <f>IF(cost_effectiveness[[#This Row],[Project Type]]="", "", VLOOKUP(cost_effectiveness[[#This Row],[Project Type]],'Lookup Tables'!$BH$3:$BI$26, 2, FALSE))</f>
        <v/>
      </c>
      <c r="E91" s="201"/>
      <c r="F91" s="201"/>
      <c r="G9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2" spans="4:9" x14ac:dyDescent="0.3">
      <c r="D92" t="str">
        <f>IF(cost_effectiveness[[#This Row],[Project Type]]="", "", VLOOKUP(cost_effectiveness[[#This Row],[Project Type]],'Lookup Tables'!$BH$3:$BI$26, 2, FALSE))</f>
        <v/>
      </c>
      <c r="E92" s="201"/>
      <c r="F92" s="201"/>
      <c r="G9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3" spans="4:9" x14ac:dyDescent="0.3">
      <c r="D93" t="str">
        <f>IF(cost_effectiveness[[#This Row],[Project Type]]="", "", VLOOKUP(cost_effectiveness[[#This Row],[Project Type]],'Lookup Tables'!$BH$3:$BI$26, 2, FALSE))</f>
        <v/>
      </c>
      <c r="E93" s="201"/>
      <c r="F93" s="201"/>
      <c r="G9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4" spans="4:9" x14ac:dyDescent="0.3">
      <c r="D94" t="str">
        <f>IF(cost_effectiveness[[#This Row],[Project Type]]="", "", VLOOKUP(cost_effectiveness[[#This Row],[Project Type]],'Lookup Tables'!$BH$3:$BI$26, 2, FALSE))</f>
        <v/>
      </c>
      <c r="E94" s="201"/>
      <c r="F94" s="201"/>
      <c r="G9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5" spans="4:9" x14ac:dyDescent="0.3">
      <c r="D95" t="str">
        <f>IF(cost_effectiveness[[#This Row],[Project Type]]="", "", VLOOKUP(cost_effectiveness[[#This Row],[Project Type]],'Lookup Tables'!$BH$3:$BI$26, 2, FALSE))</f>
        <v/>
      </c>
      <c r="E95" s="201"/>
      <c r="F95" s="201"/>
      <c r="G9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6" spans="4:9" x14ac:dyDescent="0.3">
      <c r="D96" t="str">
        <f>IF(cost_effectiveness[[#This Row],[Project Type]]="", "", VLOOKUP(cost_effectiveness[[#This Row],[Project Type]],'Lookup Tables'!$BH$3:$BI$26, 2, FALSE))</f>
        <v/>
      </c>
      <c r="E96" s="201"/>
      <c r="F96" s="201"/>
      <c r="G9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7" spans="4:9" x14ac:dyDescent="0.3">
      <c r="D97" t="str">
        <f>IF(cost_effectiveness[[#This Row],[Project Type]]="", "", VLOOKUP(cost_effectiveness[[#This Row],[Project Type]],'Lookup Tables'!$BH$3:$BI$26, 2, FALSE))</f>
        <v/>
      </c>
      <c r="E97" s="201"/>
      <c r="F97" s="201"/>
      <c r="G9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8" spans="4:9" x14ac:dyDescent="0.3">
      <c r="D98" t="str">
        <f>IF(cost_effectiveness[[#This Row],[Project Type]]="", "", VLOOKUP(cost_effectiveness[[#This Row],[Project Type]],'Lookup Tables'!$BH$3:$BI$26, 2, FALSE))</f>
        <v/>
      </c>
      <c r="E98" s="201"/>
      <c r="F98" s="201"/>
      <c r="G9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99" spans="4:9" x14ac:dyDescent="0.3">
      <c r="D99" t="str">
        <f>IF(cost_effectiveness[[#This Row],[Project Type]]="", "", VLOOKUP(cost_effectiveness[[#This Row],[Project Type]],'Lookup Tables'!$BH$3:$BI$26, 2, FALSE))</f>
        <v/>
      </c>
      <c r="E99" s="201"/>
      <c r="F99" s="201"/>
      <c r="G9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9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9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0" spans="4:9" x14ac:dyDescent="0.3">
      <c r="D100" t="str">
        <f>IF(cost_effectiveness[[#This Row],[Project Type]]="", "", VLOOKUP(cost_effectiveness[[#This Row],[Project Type]],'Lookup Tables'!$BH$3:$BI$26, 2, FALSE))</f>
        <v/>
      </c>
      <c r="E100" s="201"/>
      <c r="F100" s="201"/>
      <c r="G10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1" spans="4:9" x14ac:dyDescent="0.3">
      <c r="D101" t="str">
        <f>IF(cost_effectiveness[[#This Row],[Project Type]]="", "", VLOOKUP(cost_effectiveness[[#This Row],[Project Type]],'Lookup Tables'!$BH$3:$BI$26, 2, FALSE))</f>
        <v/>
      </c>
      <c r="E101" s="201"/>
      <c r="F101" s="201"/>
      <c r="G10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2" spans="4:9" x14ac:dyDescent="0.3">
      <c r="D102" t="str">
        <f>IF(cost_effectiveness[[#This Row],[Project Type]]="", "", VLOOKUP(cost_effectiveness[[#This Row],[Project Type]],'Lookup Tables'!$BH$3:$BI$26, 2, FALSE))</f>
        <v/>
      </c>
      <c r="E102" s="201"/>
      <c r="F102" s="201"/>
      <c r="G10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3" spans="4:9" x14ac:dyDescent="0.3">
      <c r="D103" t="str">
        <f>IF(cost_effectiveness[[#This Row],[Project Type]]="", "", VLOOKUP(cost_effectiveness[[#This Row],[Project Type]],'Lookup Tables'!$BH$3:$BI$26, 2, FALSE))</f>
        <v/>
      </c>
      <c r="E103" s="201"/>
      <c r="F103" s="201"/>
      <c r="G10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4" spans="4:9" x14ac:dyDescent="0.3">
      <c r="D104" t="str">
        <f>IF(cost_effectiveness[[#This Row],[Project Type]]="", "", VLOOKUP(cost_effectiveness[[#This Row],[Project Type]],'Lookup Tables'!$BH$3:$BI$26, 2, FALSE))</f>
        <v/>
      </c>
      <c r="E104" s="201"/>
      <c r="F104" s="201"/>
      <c r="G10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5" spans="4:9" x14ac:dyDescent="0.3">
      <c r="D105" t="str">
        <f>IF(cost_effectiveness[[#This Row],[Project Type]]="", "", VLOOKUP(cost_effectiveness[[#This Row],[Project Type]],'Lookup Tables'!$BH$3:$BI$26, 2, FALSE))</f>
        <v/>
      </c>
      <c r="E105" s="201"/>
      <c r="F105" s="201"/>
      <c r="G10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6" spans="4:9" x14ac:dyDescent="0.3">
      <c r="D106" t="str">
        <f>IF(cost_effectiveness[[#This Row],[Project Type]]="", "", VLOOKUP(cost_effectiveness[[#This Row],[Project Type]],'Lookup Tables'!$BH$3:$BI$26, 2, FALSE))</f>
        <v/>
      </c>
      <c r="E106" s="201"/>
      <c r="F106" s="201"/>
      <c r="G10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7" spans="4:9" x14ac:dyDescent="0.3">
      <c r="D107" t="str">
        <f>IF(cost_effectiveness[[#This Row],[Project Type]]="", "", VLOOKUP(cost_effectiveness[[#This Row],[Project Type]],'Lookup Tables'!$BH$3:$BI$26, 2, FALSE))</f>
        <v/>
      </c>
      <c r="E107" s="201"/>
      <c r="F107" s="201"/>
      <c r="G10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8" spans="4:9" x14ac:dyDescent="0.3">
      <c r="D108" t="str">
        <f>IF(cost_effectiveness[[#This Row],[Project Type]]="", "", VLOOKUP(cost_effectiveness[[#This Row],[Project Type]],'Lookup Tables'!$BH$3:$BI$26, 2, FALSE))</f>
        <v/>
      </c>
      <c r="E108" s="201"/>
      <c r="F108" s="201"/>
      <c r="G10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09" spans="4:9" x14ac:dyDescent="0.3">
      <c r="D109" t="str">
        <f>IF(cost_effectiveness[[#This Row],[Project Type]]="", "", VLOOKUP(cost_effectiveness[[#This Row],[Project Type]],'Lookup Tables'!$BH$3:$BI$26, 2, FALSE))</f>
        <v/>
      </c>
      <c r="E109" s="201"/>
      <c r="F109" s="201"/>
      <c r="G10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0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0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0" spans="4:9" x14ac:dyDescent="0.3">
      <c r="D110" t="str">
        <f>IF(cost_effectiveness[[#This Row],[Project Type]]="", "", VLOOKUP(cost_effectiveness[[#This Row],[Project Type]],'Lookup Tables'!$BH$3:$BI$26, 2, FALSE))</f>
        <v/>
      </c>
      <c r="E110" s="201"/>
      <c r="F110" s="201"/>
      <c r="G11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1" spans="4:9" x14ac:dyDescent="0.3">
      <c r="D111" t="str">
        <f>IF(cost_effectiveness[[#This Row],[Project Type]]="", "", VLOOKUP(cost_effectiveness[[#This Row],[Project Type]],'Lookup Tables'!$BH$3:$BI$26, 2, FALSE))</f>
        <v/>
      </c>
      <c r="E111" s="201"/>
      <c r="F111" s="201"/>
      <c r="G11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2" spans="4:9" x14ac:dyDescent="0.3">
      <c r="D112" t="str">
        <f>IF(cost_effectiveness[[#This Row],[Project Type]]="", "", VLOOKUP(cost_effectiveness[[#This Row],[Project Type]],'Lookup Tables'!$BH$3:$BI$26, 2, FALSE))</f>
        <v/>
      </c>
      <c r="E112" s="201"/>
      <c r="F112" s="201"/>
      <c r="G11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3" spans="4:9" x14ac:dyDescent="0.3">
      <c r="D113" t="str">
        <f>IF(cost_effectiveness[[#This Row],[Project Type]]="", "", VLOOKUP(cost_effectiveness[[#This Row],[Project Type]],'Lookup Tables'!$BH$3:$BI$26, 2, FALSE))</f>
        <v/>
      </c>
      <c r="E113" s="201"/>
      <c r="F113" s="201"/>
      <c r="G11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4" spans="4:9" x14ac:dyDescent="0.3">
      <c r="D114" t="str">
        <f>IF(cost_effectiveness[[#This Row],[Project Type]]="", "", VLOOKUP(cost_effectiveness[[#This Row],[Project Type]],'Lookup Tables'!$BH$3:$BI$26, 2, FALSE))</f>
        <v/>
      </c>
      <c r="E114" s="201"/>
      <c r="F114" s="201"/>
      <c r="G11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5" spans="4:9" x14ac:dyDescent="0.3">
      <c r="D115" t="str">
        <f>IF(cost_effectiveness[[#This Row],[Project Type]]="", "", VLOOKUP(cost_effectiveness[[#This Row],[Project Type]],'Lookup Tables'!$BH$3:$BI$26, 2, FALSE))</f>
        <v/>
      </c>
      <c r="E115" s="201"/>
      <c r="F115" s="201"/>
      <c r="G11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6" spans="4:9" x14ac:dyDescent="0.3">
      <c r="D116" t="str">
        <f>IF(cost_effectiveness[[#This Row],[Project Type]]="", "", VLOOKUP(cost_effectiveness[[#This Row],[Project Type]],'Lookup Tables'!$BH$3:$BI$26, 2, FALSE))</f>
        <v/>
      </c>
      <c r="E116" s="201"/>
      <c r="F116" s="201"/>
      <c r="G11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7" spans="4:9" x14ac:dyDescent="0.3">
      <c r="D117" t="str">
        <f>IF(cost_effectiveness[[#This Row],[Project Type]]="", "", VLOOKUP(cost_effectiveness[[#This Row],[Project Type]],'Lookup Tables'!$BH$3:$BI$26, 2, FALSE))</f>
        <v/>
      </c>
      <c r="E117" s="201"/>
      <c r="F117" s="201"/>
      <c r="G11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8" spans="4:9" x14ac:dyDescent="0.3">
      <c r="D118" t="str">
        <f>IF(cost_effectiveness[[#This Row],[Project Type]]="", "", VLOOKUP(cost_effectiveness[[#This Row],[Project Type]],'Lookup Tables'!$BH$3:$BI$26, 2, FALSE))</f>
        <v/>
      </c>
      <c r="E118" s="201"/>
      <c r="F118" s="201"/>
      <c r="G11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19" spans="4:9" x14ac:dyDescent="0.3">
      <c r="D119" t="str">
        <f>IF(cost_effectiveness[[#This Row],[Project Type]]="", "", VLOOKUP(cost_effectiveness[[#This Row],[Project Type]],'Lookup Tables'!$BH$3:$BI$26, 2, FALSE))</f>
        <v/>
      </c>
      <c r="E119" s="201"/>
      <c r="F119" s="201"/>
      <c r="G11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1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1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0" spans="4:9" x14ac:dyDescent="0.3">
      <c r="D120" t="str">
        <f>IF(cost_effectiveness[[#This Row],[Project Type]]="", "", VLOOKUP(cost_effectiveness[[#This Row],[Project Type]],'Lookup Tables'!$BH$3:$BI$26, 2, FALSE))</f>
        <v/>
      </c>
      <c r="E120" s="201"/>
      <c r="F120" s="201"/>
      <c r="G12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1" spans="4:9" x14ac:dyDescent="0.3">
      <c r="D121" t="str">
        <f>IF(cost_effectiveness[[#This Row],[Project Type]]="", "", VLOOKUP(cost_effectiveness[[#This Row],[Project Type]],'Lookup Tables'!$BH$3:$BI$26, 2, FALSE))</f>
        <v/>
      </c>
      <c r="E121" s="201"/>
      <c r="F121" s="201"/>
      <c r="G12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2" spans="4:9" x14ac:dyDescent="0.3">
      <c r="D122" t="str">
        <f>IF(cost_effectiveness[[#This Row],[Project Type]]="", "", VLOOKUP(cost_effectiveness[[#This Row],[Project Type]],'Lookup Tables'!$BH$3:$BI$26, 2, FALSE))</f>
        <v/>
      </c>
      <c r="E122" s="201"/>
      <c r="F122" s="201"/>
      <c r="G12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3" spans="4:9" x14ac:dyDescent="0.3">
      <c r="D123" t="str">
        <f>IF(cost_effectiveness[[#This Row],[Project Type]]="", "", VLOOKUP(cost_effectiveness[[#This Row],[Project Type]],'Lookup Tables'!$BH$3:$BI$26, 2, FALSE))</f>
        <v/>
      </c>
      <c r="E123" s="201"/>
      <c r="F123" s="201"/>
      <c r="G12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4" spans="4:9" x14ac:dyDescent="0.3">
      <c r="D124" t="str">
        <f>IF(cost_effectiveness[[#This Row],[Project Type]]="", "", VLOOKUP(cost_effectiveness[[#This Row],[Project Type]],'Lookup Tables'!$BH$3:$BI$26, 2, FALSE))</f>
        <v/>
      </c>
      <c r="E124" s="201"/>
      <c r="F124" s="201"/>
      <c r="G12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5" spans="4:9" x14ac:dyDescent="0.3">
      <c r="D125" t="str">
        <f>IF(cost_effectiveness[[#This Row],[Project Type]]="", "", VLOOKUP(cost_effectiveness[[#This Row],[Project Type]],'Lookup Tables'!$BH$3:$BI$26, 2, FALSE))</f>
        <v/>
      </c>
      <c r="E125" s="201"/>
      <c r="F125" s="201"/>
      <c r="G12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6" spans="4:9" x14ac:dyDescent="0.3">
      <c r="D126" t="str">
        <f>IF(cost_effectiveness[[#This Row],[Project Type]]="", "", VLOOKUP(cost_effectiveness[[#This Row],[Project Type]],'Lookup Tables'!$BH$3:$BI$26, 2, FALSE))</f>
        <v/>
      </c>
      <c r="E126" s="201"/>
      <c r="F126" s="201"/>
      <c r="G12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7" spans="4:9" x14ac:dyDescent="0.3">
      <c r="D127" t="str">
        <f>IF(cost_effectiveness[[#This Row],[Project Type]]="", "", VLOOKUP(cost_effectiveness[[#This Row],[Project Type]],'Lookup Tables'!$BH$3:$BI$26, 2, FALSE))</f>
        <v/>
      </c>
      <c r="E127" s="201"/>
      <c r="F127" s="201"/>
      <c r="G12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8" spans="4:9" x14ac:dyDescent="0.3">
      <c r="D128" t="str">
        <f>IF(cost_effectiveness[[#This Row],[Project Type]]="", "", VLOOKUP(cost_effectiveness[[#This Row],[Project Type]],'Lookup Tables'!$BH$3:$BI$26, 2, FALSE))</f>
        <v/>
      </c>
      <c r="E128" s="201"/>
      <c r="F128" s="201"/>
      <c r="G12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29" spans="4:9" x14ac:dyDescent="0.3">
      <c r="D129" t="str">
        <f>IF(cost_effectiveness[[#This Row],[Project Type]]="", "", VLOOKUP(cost_effectiveness[[#This Row],[Project Type]],'Lookup Tables'!$BH$3:$BI$26, 2, FALSE))</f>
        <v/>
      </c>
      <c r="E129" s="201"/>
      <c r="F129" s="201"/>
      <c r="G12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2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2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0" spans="4:9" x14ac:dyDescent="0.3">
      <c r="D130" t="str">
        <f>IF(cost_effectiveness[[#This Row],[Project Type]]="", "", VLOOKUP(cost_effectiveness[[#This Row],[Project Type]],'Lookup Tables'!$BH$3:$BI$26, 2, FALSE))</f>
        <v/>
      </c>
      <c r="E130" s="201"/>
      <c r="F130" s="201"/>
      <c r="G13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1" spans="4:9" x14ac:dyDescent="0.3">
      <c r="D131" t="str">
        <f>IF(cost_effectiveness[[#This Row],[Project Type]]="", "", VLOOKUP(cost_effectiveness[[#This Row],[Project Type]],'Lookup Tables'!$BH$3:$BI$26, 2, FALSE))</f>
        <v/>
      </c>
      <c r="E131" s="201"/>
      <c r="F131" s="201"/>
      <c r="G13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2" spans="4:9" x14ac:dyDescent="0.3">
      <c r="D132" t="str">
        <f>IF(cost_effectiveness[[#This Row],[Project Type]]="", "", VLOOKUP(cost_effectiveness[[#This Row],[Project Type]],'Lookup Tables'!$BH$3:$BI$26, 2, FALSE))</f>
        <v/>
      </c>
      <c r="E132" s="201"/>
      <c r="F132" s="201"/>
      <c r="G13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3" spans="4:9" x14ac:dyDescent="0.3">
      <c r="D133" t="str">
        <f>IF(cost_effectiveness[[#This Row],[Project Type]]="", "", VLOOKUP(cost_effectiveness[[#This Row],[Project Type]],'Lookup Tables'!$BH$3:$BI$26, 2, FALSE))</f>
        <v/>
      </c>
      <c r="E133" s="201"/>
      <c r="F133" s="201"/>
      <c r="G13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4" spans="4:9" x14ac:dyDescent="0.3">
      <c r="D134" t="str">
        <f>IF(cost_effectiveness[[#This Row],[Project Type]]="", "", VLOOKUP(cost_effectiveness[[#This Row],[Project Type]],'Lookup Tables'!$BH$3:$BI$26, 2, FALSE))</f>
        <v/>
      </c>
      <c r="E134" s="201"/>
      <c r="F134" s="201"/>
      <c r="G13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5" spans="4:9" x14ac:dyDescent="0.3">
      <c r="D135" t="str">
        <f>IF(cost_effectiveness[[#This Row],[Project Type]]="", "", VLOOKUP(cost_effectiveness[[#This Row],[Project Type]],'Lookup Tables'!$BH$3:$BI$26, 2, FALSE))</f>
        <v/>
      </c>
      <c r="E135" s="201"/>
      <c r="F135" s="201"/>
      <c r="G13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6" spans="4:9" x14ac:dyDescent="0.3">
      <c r="D136" t="str">
        <f>IF(cost_effectiveness[[#This Row],[Project Type]]="", "", VLOOKUP(cost_effectiveness[[#This Row],[Project Type]],'Lookup Tables'!$BH$3:$BI$26, 2, FALSE))</f>
        <v/>
      </c>
      <c r="E136" s="201"/>
      <c r="F136" s="201"/>
      <c r="G13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7" spans="4:9" x14ac:dyDescent="0.3">
      <c r="D137" t="str">
        <f>IF(cost_effectiveness[[#This Row],[Project Type]]="", "", VLOOKUP(cost_effectiveness[[#This Row],[Project Type]],'Lookup Tables'!$BH$3:$BI$26, 2, FALSE))</f>
        <v/>
      </c>
      <c r="E137" s="201"/>
      <c r="F137" s="201"/>
      <c r="G13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8" spans="4:9" x14ac:dyDescent="0.3">
      <c r="D138" t="str">
        <f>IF(cost_effectiveness[[#This Row],[Project Type]]="", "", VLOOKUP(cost_effectiveness[[#This Row],[Project Type]],'Lookup Tables'!$BH$3:$BI$26, 2, FALSE))</f>
        <v/>
      </c>
      <c r="E138" s="201"/>
      <c r="F138" s="201"/>
      <c r="G13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39" spans="4:9" x14ac:dyDescent="0.3">
      <c r="D139" t="str">
        <f>IF(cost_effectiveness[[#This Row],[Project Type]]="", "", VLOOKUP(cost_effectiveness[[#This Row],[Project Type]],'Lookup Tables'!$BH$3:$BI$26, 2, FALSE))</f>
        <v/>
      </c>
      <c r="E139" s="201"/>
      <c r="F139" s="201"/>
      <c r="G13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3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3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0" spans="4:9" x14ac:dyDescent="0.3">
      <c r="D140" t="str">
        <f>IF(cost_effectiveness[[#This Row],[Project Type]]="", "", VLOOKUP(cost_effectiveness[[#This Row],[Project Type]],'Lookup Tables'!$BH$3:$BI$26, 2, FALSE))</f>
        <v/>
      </c>
      <c r="E140" s="201"/>
      <c r="F140" s="201"/>
      <c r="G14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1" spans="4:9" x14ac:dyDescent="0.3">
      <c r="D141" t="str">
        <f>IF(cost_effectiveness[[#This Row],[Project Type]]="", "", VLOOKUP(cost_effectiveness[[#This Row],[Project Type]],'Lookup Tables'!$BH$3:$BI$26, 2, FALSE))</f>
        <v/>
      </c>
      <c r="E141" s="201"/>
      <c r="F141" s="201"/>
      <c r="G14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2" spans="4:9" x14ac:dyDescent="0.3">
      <c r="D142" t="str">
        <f>IF(cost_effectiveness[[#This Row],[Project Type]]="", "", VLOOKUP(cost_effectiveness[[#This Row],[Project Type]],'Lookup Tables'!$BH$3:$BI$26, 2, FALSE))</f>
        <v/>
      </c>
      <c r="E142" s="201"/>
      <c r="F142" s="201"/>
      <c r="G14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3" spans="4:9" x14ac:dyDescent="0.3">
      <c r="D143" t="str">
        <f>IF(cost_effectiveness[[#This Row],[Project Type]]="", "", VLOOKUP(cost_effectiveness[[#This Row],[Project Type]],'Lookup Tables'!$BH$3:$BI$26, 2, FALSE))</f>
        <v/>
      </c>
      <c r="E143" s="201"/>
      <c r="F143" s="201"/>
      <c r="G14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4" spans="4:9" x14ac:dyDescent="0.3">
      <c r="D144" t="str">
        <f>IF(cost_effectiveness[[#This Row],[Project Type]]="", "", VLOOKUP(cost_effectiveness[[#This Row],[Project Type]],'Lookup Tables'!$BH$3:$BI$26, 2, FALSE))</f>
        <v/>
      </c>
      <c r="E144" s="201"/>
      <c r="F144" s="201"/>
      <c r="G14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5" spans="4:9" x14ac:dyDescent="0.3">
      <c r="D145" t="str">
        <f>IF(cost_effectiveness[[#This Row],[Project Type]]="", "", VLOOKUP(cost_effectiveness[[#This Row],[Project Type]],'Lookup Tables'!$BH$3:$BI$26, 2, FALSE))</f>
        <v/>
      </c>
      <c r="E145" s="201"/>
      <c r="F145" s="201"/>
      <c r="G14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6" spans="4:9" x14ac:dyDescent="0.3">
      <c r="D146" t="str">
        <f>IF(cost_effectiveness[[#This Row],[Project Type]]="", "", VLOOKUP(cost_effectiveness[[#This Row],[Project Type]],'Lookup Tables'!$BH$3:$BI$26, 2, FALSE))</f>
        <v/>
      </c>
      <c r="E146" s="201"/>
      <c r="F146" s="201"/>
      <c r="G14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7" spans="4:9" x14ac:dyDescent="0.3">
      <c r="D147" t="str">
        <f>IF(cost_effectiveness[[#This Row],[Project Type]]="", "", VLOOKUP(cost_effectiveness[[#This Row],[Project Type]],'Lookup Tables'!$BH$3:$BI$26, 2, FALSE))</f>
        <v/>
      </c>
      <c r="E147" s="201"/>
      <c r="F147" s="201"/>
      <c r="G14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8" spans="4:9" x14ac:dyDescent="0.3">
      <c r="D148" t="str">
        <f>IF(cost_effectiveness[[#This Row],[Project Type]]="", "", VLOOKUP(cost_effectiveness[[#This Row],[Project Type]],'Lookup Tables'!$BH$3:$BI$26, 2, FALSE))</f>
        <v/>
      </c>
      <c r="E148" s="201"/>
      <c r="F148" s="201"/>
      <c r="G14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49" spans="4:9" x14ac:dyDescent="0.3">
      <c r="D149" t="str">
        <f>IF(cost_effectiveness[[#This Row],[Project Type]]="", "", VLOOKUP(cost_effectiveness[[#This Row],[Project Type]],'Lookup Tables'!$BH$3:$BI$26, 2, FALSE))</f>
        <v/>
      </c>
      <c r="E149" s="201"/>
      <c r="F149" s="201"/>
      <c r="G14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4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4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0" spans="4:9" x14ac:dyDescent="0.3">
      <c r="D150" t="str">
        <f>IF(cost_effectiveness[[#This Row],[Project Type]]="", "", VLOOKUP(cost_effectiveness[[#This Row],[Project Type]],'Lookup Tables'!$BH$3:$BI$26, 2, FALSE))</f>
        <v/>
      </c>
      <c r="E150" s="201"/>
      <c r="F150" s="201"/>
      <c r="G15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1" spans="4:9" x14ac:dyDescent="0.3">
      <c r="D151" t="str">
        <f>IF(cost_effectiveness[[#This Row],[Project Type]]="", "", VLOOKUP(cost_effectiveness[[#This Row],[Project Type]],'Lookup Tables'!$BH$3:$BI$26, 2, FALSE))</f>
        <v/>
      </c>
      <c r="E151" s="201"/>
      <c r="F151" s="201"/>
      <c r="G15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2" spans="4:9" x14ac:dyDescent="0.3">
      <c r="D152" t="str">
        <f>IF(cost_effectiveness[[#This Row],[Project Type]]="", "", VLOOKUP(cost_effectiveness[[#This Row],[Project Type]],'Lookup Tables'!$BH$3:$BI$26, 2, FALSE))</f>
        <v/>
      </c>
      <c r="E152" s="201"/>
      <c r="F152" s="201"/>
      <c r="G15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3" spans="4:9" x14ac:dyDescent="0.3">
      <c r="D153" t="str">
        <f>IF(cost_effectiveness[[#This Row],[Project Type]]="", "", VLOOKUP(cost_effectiveness[[#This Row],[Project Type]],'Lookup Tables'!$BH$3:$BI$26, 2, FALSE))</f>
        <v/>
      </c>
      <c r="E153" s="201"/>
      <c r="F153" s="201"/>
      <c r="G15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4" spans="4:9" x14ac:dyDescent="0.3">
      <c r="D154" t="str">
        <f>IF(cost_effectiveness[[#This Row],[Project Type]]="", "", VLOOKUP(cost_effectiveness[[#This Row],[Project Type]],'Lookup Tables'!$BH$3:$BI$26, 2, FALSE))</f>
        <v/>
      </c>
      <c r="E154" s="201"/>
      <c r="F154" s="201"/>
      <c r="G15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5" spans="4:9" x14ac:dyDescent="0.3">
      <c r="D155" t="str">
        <f>IF(cost_effectiveness[[#This Row],[Project Type]]="", "", VLOOKUP(cost_effectiveness[[#This Row],[Project Type]],'Lookup Tables'!$BH$3:$BI$26, 2, FALSE))</f>
        <v/>
      </c>
      <c r="E155" s="201"/>
      <c r="F155" s="201"/>
      <c r="G15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6" spans="4:9" x14ac:dyDescent="0.3">
      <c r="D156" t="str">
        <f>IF(cost_effectiveness[[#This Row],[Project Type]]="", "", VLOOKUP(cost_effectiveness[[#This Row],[Project Type]],'Lookup Tables'!$BH$3:$BI$26, 2, FALSE))</f>
        <v/>
      </c>
      <c r="E156" s="201"/>
      <c r="F156" s="201"/>
      <c r="G15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7" spans="4:9" x14ac:dyDescent="0.3">
      <c r="D157" t="str">
        <f>IF(cost_effectiveness[[#This Row],[Project Type]]="", "", VLOOKUP(cost_effectiveness[[#This Row],[Project Type]],'Lookup Tables'!$BH$3:$BI$26, 2, FALSE))</f>
        <v/>
      </c>
      <c r="E157" s="201"/>
      <c r="F157" s="201"/>
      <c r="G15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8" spans="4:9" x14ac:dyDescent="0.3">
      <c r="D158" t="str">
        <f>IF(cost_effectiveness[[#This Row],[Project Type]]="", "", VLOOKUP(cost_effectiveness[[#This Row],[Project Type]],'Lookup Tables'!$BH$3:$BI$26, 2, FALSE))</f>
        <v/>
      </c>
      <c r="E158" s="201"/>
      <c r="F158" s="201"/>
      <c r="G15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59" spans="4:9" x14ac:dyDescent="0.3">
      <c r="D159" t="str">
        <f>IF(cost_effectiveness[[#This Row],[Project Type]]="", "", VLOOKUP(cost_effectiveness[[#This Row],[Project Type]],'Lookup Tables'!$BH$3:$BI$26, 2, FALSE))</f>
        <v/>
      </c>
      <c r="E159" s="201"/>
      <c r="F159" s="201"/>
      <c r="G15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5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5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0" spans="4:9" x14ac:dyDescent="0.3">
      <c r="D160" t="str">
        <f>IF(cost_effectiveness[[#This Row],[Project Type]]="", "", VLOOKUP(cost_effectiveness[[#This Row],[Project Type]],'Lookup Tables'!$BH$3:$BI$26, 2, FALSE))</f>
        <v/>
      </c>
      <c r="E160" s="201"/>
      <c r="F160" s="201"/>
      <c r="G16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1" spans="4:9" x14ac:dyDescent="0.3">
      <c r="D161" t="str">
        <f>IF(cost_effectiveness[[#This Row],[Project Type]]="", "", VLOOKUP(cost_effectiveness[[#This Row],[Project Type]],'Lookup Tables'!$BH$3:$BI$26, 2, FALSE))</f>
        <v/>
      </c>
      <c r="E161" s="201"/>
      <c r="F161" s="201"/>
      <c r="G16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2" spans="4:9" x14ac:dyDescent="0.3">
      <c r="D162" t="str">
        <f>IF(cost_effectiveness[[#This Row],[Project Type]]="", "", VLOOKUP(cost_effectiveness[[#This Row],[Project Type]],'Lookup Tables'!$BH$3:$BI$26, 2, FALSE))</f>
        <v/>
      </c>
      <c r="E162" s="201"/>
      <c r="F162" s="201"/>
      <c r="G16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3" spans="4:9" x14ac:dyDescent="0.3">
      <c r="D163" t="str">
        <f>IF(cost_effectiveness[[#This Row],[Project Type]]="", "", VLOOKUP(cost_effectiveness[[#This Row],[Project Type]],'Lookup Tables'!$BH$3:$BI$26, 2, FALSE))</f>
        <v/>
      </c>
      <c r="E163" s="201"/>
      <c r="F163" s="201"/>
      <c r="G16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4" spans="4:9" x14ac:dyDescent="0.3">
      <c r="D164" t="str">
        <f>IF(cost_effectiveness[[#This Row],[Project Type]]="", "", VLOOKUP(cost_effectiveness[[#This Row],[Project Type]],'Lookup Tables'!$BH$3:$BI$26, 2, FALSE))</f>
        <v/>
      </c>
      <c r="E164" s="201"/>
      <c r="F164" s="201"/>
      <c r="G164"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4"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4"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5" spans="4:9" x14ac:dyDescent="0.3">
      <c r="D165" t="str">
        <f>IF(cost_effectiveness[[#This Row],[Project Type]]="", "", VLOOKUP(cost_effectiveness[[#This Row],[Project Type]],'Lookup Tables'!$BH$3:$BI$26, 2, FALSE))</f>
        <v/>
      </c>
      <c r="E165" s="201"/>
      <c r="F165" s="201"/>
      <c r="G165"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5"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5"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6" spans="4:9" x14ac:dyDescent="0.3">
      <c r="D166" t="str">
        <f>IF(cost_effectiveness[[#This Row],[Project Type]]="", "", VLOOKUP(cost_effectiveness[[#This Row],[Project Type]],'Lookup Tables'!$BH$3:$BI$26, 2, FALSE))</f>
        <v/>
      </c>
      <c r="E166" s="201"/>
      <c r="F166" s="201"/>
      <c r="G166"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6"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6"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7" spans="4:9" x14ac:dyDescent="0.3">
      <c r="D167" t="str">
        <f>IF(cost_effectiveness[[#This Row],[Project Type]]="", "", VLOOKUP(cost_effectiveness[[#This Row],[Project Type]],'Lookup Tables'!$BH$3:$BI$26, 2, FALSE))</f>
        <v/>
      </c>
      <c r="E167" s="201"/>
      <c r="F167" s="201"/>
      <c r="G167"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7"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7"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8" spans="4:9" x14ac:dyDescent="0.3">
      <c r="D168" t="str">
        <f>IF(cost_effectiveness[[#This Row],[Project Type]]="", "", VLOOKUP(cost_effectiveness[[#This Row],[Project Type]],'Lookup Tables'!$BH$3:$BI$26, 2, FALSE))</f>
        <v/>
      </c>
      <c r="E168" s="201"/>
      <c r="F168" s="201"/>
      <c r="G168"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8"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8"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69" spans="4:9" x14ac:dyDescent="0.3">
      <c r="D169" t="str">
        <f>IF(cost_effectiveness[[#This Row],[Project Type]]="", "", VLOOKUP(cost_effectiveness[[#This Row],[Project Type]],'Lookup Tables'!$BH$3:$BI$26, 2, FALSE))</f>
        <v/>
      </c>
      <c r="E169" s="201"/>
      <c r="F169" s="201"/>
      <c r="G169"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69"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69"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70" spans="4:9" x14ac:dyDescent="0.3">
      <c r="D170" t="str">
        <f>IF(cost_effectiveness[[#This Row],[Project Type]]="", "", VLOOKUP(cost_effectiveness[[#This Row],[Project Type]],'Lookup Tables'!$BH$3:$BI$26, 2, FALSE))</f>
        <v/>
      </c>
      <c r="E170" s="201"/>
      <c r="F170" s="201"/>
      <c r="G170"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70"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70"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71" spans="4:9" x14ac:dyDescent="0.3">
      <c r="D171" t="str">
        <f>IF(cost_effectiveness[[#This Row],[Project Type]]="", "", VLOOKUP(cost_effectiveness[[#This Row],[Project Type]],'Lookup Tables'!$BH$3:$BI$26, 2, FALSE))</f>
        <v/>
      </c>
      <c r="E171" s="201"/>
      <c r="F171" s="201"/>
      <c r="G171"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71"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71"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72" spans="4:9" x14ac:dyDescent="0.3">
      <c r="D172" t="str">
        <f>IF(cost_effectiveness[[#This Row],[Project Type]]="", "", VLOOKUP(cost_effectiveness[[#This Row],[Project Type]],'Lookup Tables'!$BH$3:$BI$26, 2, FALSE))</f>
        <v/>
      </c>
      <c r="E172" s="201"/>
      <c r="F172" s="201"/>
      <c r="G172"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72"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72"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row r="173" spans="4:9" x14ac:dyDescent="0.3">
      <c r="D173" t="str">
        <f>IF(cost_effectiveness[[#This Row],[Project Type]]="", "", VLOOKUP(cost_effectiveness[[#This Row],[Project Type]],'Lookup Tables'!$BH$3:$BI$26, 2, FALSE))</f>
        <v/>
      </c>
      <c r="E173" s="201"/>
      <c r="F173" s="201"/>
      <c r="G173" s="152" t="str">
        <f>IF(cost_effectiveness[[#This Row],[Project Type]]='Lookup Tables'!$BH$3, VLOOKUP(cost_effectiveness[[#This Row],[Project ID]], private_road[],10,FALSE),
IF(cost_effectiveness[[#This Row],[Project Type]]='Lookup Tables'!$BH$4, VLOOKUP(cost_effectiveness[[#This Row],[Project ID]],gully[],10,FALSE),
IF(OR(cost_effectiveness[[#This Row],[Project Type]]='Lookup Tables'!$BH$5, cost_effectiveness[[#This Row],[Project Type]]='Lookup Tables'!$BH$6), VLOOKUP(cost_effectiveness[[#This Row],[Project ID]], forest_road[],7,FALSE),
IF(cost_effectiveness[[#This Row],[Project Type]]='Lookup Tables'!$BH$7, VLOOKUP(cost_effectiveness[[#This Row],[Project ID]], acres[], 13, FALSE),
IF(cost_effectiveness[[#This Row],[Project Type]]='Lookup Tables'!$BH$8, VLOOKUP(cost_effectiveness[[#This Row],[Project ID]], structure[], 31, FALSE),
IF(cost_effectiveness[[#This Row],[Project Type]]='Lookup Tables'!$BH$9, VLOOKUP(cost_effectiveness[[#This Row],[Project ID]], riparian_buffer[],26,FALSE),
IF(cost_effectiveness[[#This Row],[Project Type]]='Lookup Tables'!$BH$10, VLOOKUP(cost_effectiveness[[#This Row],[Project ID]],lake_shoreline[],9,FALSE),
IF(cost_effectiveness[[#This Row],[Project Type]]='Lookup Tables'!$BH$11, VLOOKUP(cost_effectiveness[[#This Row],[Project ID]],native_reveg[],6,FALSE),
IF(cost_effectiveness[[#This Row],[Project Type]]='Lookup Tables'!$BH$12, VLOOKUP(cost_effectiveness[[#This Row],[Project ID]],tree_canopy[],7,FALSE),
IF(cost_effectiveness[[#This Row],[Project Type]]='Lookup Tables'!$BH$26, VLOOKUP(cost_effectiveness[[#This Row],[Project ID]], 'Strategic Wood Addition'!$K$4:$Q$4, 7, FALSE),
IF(cost_effectiveness[[#This Row],[Project Type]]="", "", "fill in from STP calculator")))))))))))</f>
        <v/>
      </c>
      <c r="H173" s="201" t="str">
        <f>IF(cost_effectiveness[[#This Row],[Total Estimated Project Cost (design and construction)]]="","", IF(cost_effectiveness[[#This Row],[Estimated Project Type Design Life]]&gt;=15, (cost_effectiveness[[#This Row],[Total Estimated Project Cost (design and construction)]]/cost_effectiveness[[#This Row],[Calculated Estimated P Load Reduction (kg/yr)]]), IF(cost_effectiveness[[#This Row],[Estimated Project Type Design Life]]&lt;15, (15/cost_effectiveness[[#This Row],[Estimated Project Type Design Life]])*(cost_effectiveness[[#This Row],[Total Estimated Project Cost (design and construction)]]/cost_effectiveness[[#This Row],[Calculated Estimated P Load Reduction (kg/yr)]]), 0)))</f>
        <v/>
      </c>
      <c r="I173" s="201" t="str">
        <f>IF(cost_effectiveness[[#This Row],[Estimated Project Cost to be Covered by Formula Grant Funds (design and construction)]]="","", IF(cost_effectiveness[[#This Row],[Estimated Project Type Design Life]]&gt;=15, (cost_effectiveness[[#This Row],[Estimated Project Cost to be Covered by Formula Grant Funds (design and construction)]]/cost_effectiveness[[#This Row],[Calculated Estimated P Load Reduction (kg/yr)]]), IF(cost_effectiveness[[#This Row],[Estimated Project Type Design Life]]&lt;15, (15/cost_effectiveness[[#This Row],[Estimated Project Type Design Life]])*(cost_effectiveness[[#This Row],[Estimated Project Cost to be Covered by Formula Grant Funds (design and construction)]]/cost_effectiveness[[#This Row],[Calculated Estimated P Load Reduction (kg/yr)]]), 0)))</f>
        <v/>
      </c>
    </row>
  </sheetData>
  <protectedRanges>
    <protectedRange sqref="B6" name="User Input_1"/>
    <protectedRange sqref="B7" name="User Input_2"/>
    <protectedRange sqref="B10" name="User Input_3"/>
    <protectedRange sqref="B12" name="Inputs"/>
  </protectedRanges>
  <mergeCells count="2">
    <mergeCell ref="B2:D2"/>
    <mergeCell ref="E2:I2"/>
  </mergeCells>
  <phoneticPr fontId="40" type="noConversion"/>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967301A6-7005-4102-ACAA-D90D113C6383}">
          <x14:formula1>
            <xm:f>'Lookup Tables'!$BH$3:$BH$26</xm:f>
          </x14:formula1>
          <xm:sqref>C6:C173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D5FEC-DFC6-4E4F-8722-4101F7D31C66}">
  <sheetPr codeName="Sheet14">
    <tabColor theme="6"/>
  </sheetPr>
  <dimension ref="A1:D13"/>
  <sheetViews>
    <sheetView showGridLines="0" workbookViewId="0">
      <selection activeCell="B7" sqref="B7"/>
    </sheetView>
  </sheetViews>
  <sheetFormatPr defaultColWidth="0" defaultRowHeight="14.4" zeroHeight="1" x14ac:dyDescent="0.3"/>
  <cols>
    <col min="1" max="1" width="8.88671875" customWidth="1"/>
    <col min="2" max="2" width="100.6640625" customWidth="1"/>
    <col min="3" max="3" width="19.109375" customWidth="1"/>
    <col min="4" max="4" width="8.88671875" customWidth="1"/>
    <col min="5" max="16384" width="8.88671875" hidden="1"/>
  </cols>
  <sheetData>
    <row r="1" spans="1:3" ht="8.4" customHeight="1" x14ac:dyDescent="0.3">
      <c r="A1" s="228"/>
      <c r="B1" s="16"/>
    </row>
    <row r="2" spans="1:3" ht="18.600000000000001" thickBot="1" x14ac:dyDescent="0.4">
      <c r="A2" s="226" t="s">
        <v>498</v>
      </c>
      <c r="B2" s="229" t="s">
        <v>499</v>
      </c>
      <c r="C2" s="358" t="s">
        <v>500</v>
      </c>
    </row>
    <row r="3" spans="1:3" ht="15" thickTop="1" x14ac:dyDescent="0.3">
      <c r="A3" s="242">
        <v>1</v>
      </c>
      <c r="B3" s="243" t="s">
        <v>501</v>
      </c>
      <c r="C3" s="359" t="s">
        <v>502</v>
      </c>
    </row>
    <row r="4" spans="1:3" x14ac:dyDescent="0.3">
      <c r="A4" s="475">
        <v>1.1000000000000001</v>
      </c>
      <c r="B4" s="244" t="s">
        <v>503</v>
      </c>
      <c r="C4" s="478" t="s">
        <v>504</v>
      </c>
    </row>
    <row r="5" spans="1:3" x14ac:dyDescent="0.3">
      <c r="A5" s="476"/>
      <c r="B5" s="230" t="s">
        <v>505</v>
      </c>
      <c r="C5" s="479"/>
    </row>
    <row r="6" spans="1:3" x14ac:dyDescent="0.3">
      <c r="A6" s="476"/>
      <c r="B6" s="230" t="s">
        <v>1186</v>
      </c>
      <c r="C6" s="479"/>
    </row>
    <row r="7" spans="1:3" x14ac:dyDescent="0.3">
      <c r="A7" s="476"/>
      <c r="B7" s="230" t="s">
        <v>506</v>
      </c>
      <c r="C7" s="479"/>
    </row>
    <row r="8" spans="1:3" x14ac:dyDescent="0.3">
      <c r="A8" s="476"/>
      <c r="B8" s="230" t="s">
        <v>507</v>
      </c>
      <c r="C8" s="479"/>
    </row>
    <row r="9" spans="1:3" x14ac:dyDescent="0.3">
      <c r="A9" s="476"/>
      <c r="B9" s="230" t="s">
        <v>508</v>
      </c>
      <c r="C9" s="479"/>
    </row>
    <row r="10" spans="1:3" x14ac:dyDescent="0.3">
      <c r="A10" s="477"/>
      <c r="B10" s="245"/>
      <c r="C10" s="480"/>
    </row>
    <row r="11" spans="1:3" x14ac:dyDescent="0.3">
      <c r="A11" s="227"/>
      <c r="B11" s="230"/>
      <c r="C11" s="360"/>
    </row>
    <row r="12" spans="1:3" x14ac:dyDescent="0.3">
      <c r="A12" s="227"/>
      <c r="B12" s="230"/>
      <c r="C12" s="360"/>
    </row>
    <row r="13" spans="1:3" x14ac:dyDescent="0.3"/>
  </sheetData>
  <mergeCells count="2">
    <mergeCell ref="A4:A10"/>
    <mergeCell ref="C4:C10"/>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A4E2E-2068-46F3-9C3F-053EFB01466B}">
  <sheetPr codeName="Sheet12"/>
  <dimension ref="A1:DW198"/>
  <sheetViews>
    <sheetView zoomScale="112" zoomScaleNormal="112" workbookViewId="0">
      <selection activeCell="BL16" sqref="BL16"/>
    </sheetView>
  </sheetViews>
  <sheetFormatPr defaultRowHeight="14.4" x14ac:dyDescent="0.3"/>
  <cols>
    <col min="1" max="1" width="26" bestFit="1" customWidth="1"/>
    <col min="2" max="2" width="8.88671875" customWidth="1"/>
    <col min="3" max="3" width="43.109375" bestFit="1" customWidth="1"/>
    <col min="4" max="4" width="20.6640625" customWidth="1"/>
    <col min="8" max="8" width="14.6640625" customWidth="1"/>
    <col min="10" max="10" width="45.6640625" bestFit="1" customWidth="1"/>
    <col min="11" max="11" width="26.33203125" bestFit="1" customWidth="1"/>
    <col min="25" max="25" width="46" customWidth="1"/>
    <col min="29" max="29" width="25.6640625" customWidth="1"/>
    <col min="44" max="44" width="21" customWidth="1"/>
    <col min="45" max="45" width="16.109375" bestFit="1" customWidth="1"/>
    <col min="46" max="46" width="28" bestFit="1" customWidth="1"/>
    <col min="47" max="47" width="12.33203125" customWidth="1"/>
    <col min="48" max="48" width="13.88671875" customWidth="1"/>
    <col min="50" max="50" width="28.88671875" bestFit="1" customWidth="1"/>
    <col min="51" max="51" width="16.44140625" customWidth="1"/>
    <col min="52" max="52" width="12.5546875" customWidth="1"/>
    <col min="53" max="53" width="12.6640625" customWidth="1"/>
    <col min="54" max="54" width="12.33203125" customWidth="1"/>
    <col min="56" max="56" width="45.6640625" bestFit="1" customWidth="1"/>
    <col min="60" max="60" width="38.88671875" bestFit="1" customWidth="1"/>
    <col min="66" max="66" width="16" customWidth="1"/>
    <col min="67" max="67" width="18.33203125" customWidth="1"/>
    <col min="68" max="68" width="16.44140625" customWidth="1"/>
    <col min="71" max="71" width="20.33203125" customWidth="1"/>
    <col min="72" max="72" width="13.109375" bestFit="1" customWidth="1"/>
    <col min="73" max="73" width="8.88671875" style="258"/>
    <col min="74" max="74" width="11.33203125" style="258" customWidth="1"/>
    <col min="75" max="75" width="20" style="258" customWidth="1"/>
    <col min="76" max="76" width="32.44140625" style="258" customWidth="1"/>
    <col min="77" max="88" width="8.88671875" style="258"/>
    <col min="89" max="89" width="35.44140625" style="258" bestFit="1" customWidth="1"/>
    <col min="90" max="109" width="8.88671875" style="258"/>
    <col min="110" max="110" width="8.88671875" style="270"/>
    <col min="111" max="113" width="8.88671875" style="332"/>
    <col min="114" max="114" width="9.33203125" style="332" customWidth="1"/>
    <col min="115" max="115" width="10.44140625" style="332" customWidth="1"/>
    <col min="116" max="117" width="8.88671875" style="332"/>
    <col min="118" max="119" width="8.88671875" style="270"/>
    <col min="122" max="122" width="49.44140625" bestFit="1" customWidth="1"/>
  </cols>
  <sheetData>
    <row r="1" spans="1:127" ht="15" thickBot="1" x14ac:dyDescent="0.35">
      <c r="BU1" s="258" t="s">
        <v>509</v>
      </c>
      <c r="BV1" s="48" t="s">
        <v>510</v>
      </c>
      <c r="BY1"/>
      <c r="BZ1"/>
      <c r="CA1"/>
      <c r="CB1"/>
      <c r="CC1"/>
      <c r="CD1"/>
      <c r="CE1"/>
      <c r="CF1"/>
      <c r="CG1"/>
      <c r="CH1"/>
      <c r="CI1"/>
      <c r="CJ1"/>
      <c r="CK1"/>
      <c r="CL1">
        <v>13</v>
      </c>
      <c r="CM1">
        <v>14</v>
      </c>
      <c r="CN1">
        <v>15</v>
      </c>
      <c r="CO1">
        <v>16</v>
      </c>
      <c r="CP1">
        <v>17</v>
      </c>
      <c r="CQ1">
        <v>18</v>
      </c>
      <c r="CR1">
        <v>19</v>
      </c>
      <c r="CS1">
        <v>20</v>
      </c>
      <c r="CT1">
        <v>21</v>
      </c>
      <c r="CU1">
        <v>22</v>
      </c>
      <c r="CV1">
        <v>23</v>
      </c>
      <c r="CW1">
        <v>24</v>
      </c>
      <c r="CX1">
        <v>25</v>
      </c>
      <c r="CY1">
        <v>26</v>
      </c>
      <c r="CZ1">
        <v>27</v>
      </c>
      <c r="DA1">
        <v>28</v>
      </c>
      <c r="DB1">
        <v>29</v>
      </c>
      <c r="DC1">
        <v>30</v>
      </c>
      <c r="DD1">
        <v>33</v>
      </c>
      <c r="DE1">
        <v>34</v>
      </c>
      <c r="DF1" s="332"/>
      <c r="DG1" s="270"/>
      <c r="DH1" s="270"/>
      <c r="DI1" s="270"/>
      <c r="DJ1" s="275"/>
      <c r="DK1" s="275"/>
      <c r="DL1" s="270"/>
      <c r="DM1" s="270"/>
      <c r="DN1" s="332">
        <v>31</v>
      </c>
      <c r="DO1" s="332">
        <v>32</v>
      </c>
      <c r="DR1" t="s">
        <v>511</v>
      </c>
      <c r="DV1" t="s">
        <v>512</v>
      </c>
    </row>
    <row r="2" spans="1:127" ht="16.2" thickTop="1" thickBot="1" x14ac:dyDescent="0.35">
      <c r="A2" s="292" t="s">
        <v>513</v>
      </c>
      <c r="B2" s="292" t="s">
        <v>514</v>
      </c>
      <c r="C2" s="292" t="s">
        <v>515</v>
      </c>
      <c r="D2" s="292" t="s">
        <v>516</v>
      </c>
      <c r="E2" s="292" t="s">
        <v>517</v>
      </c>
      <c r="F2" s="292" t="s">
        <v>518</v>
      </c>
      <c r="G2" s="293" t="s">
        <v>519</v>
      </c>
      <c r="H2" s="294" t="s">
        <v>520</v>
      </c>
      <c r="J2" s="292" t="s">
        <v>515</v>
      </c>
      <c r="K2" s="295" t="s">
        <v>521</v>
      </c>
      <c r="L2" s="296" t="s">
        <v>522</v>
      </c>
      <c r="M2" s="297" t="s">
        <v>523</v>
      </c>
      <c r="N2" s="298" t="s">
        <v>524</v>
      </c>
      <c r="O2" s="298" t="s">
        <v>525</v>
      </c>
      <c r="P2" s="297" t="s">
        <v>526</v>
      </c>
      <c r="Q2" s="297" t="s">
        <v>527</v>
      </c>
      <c r="R2" s="297" t="s">
        <v>528</v>
      </c>
      <c r="S2" s="297" t="s">
        <v>529</v>
      </c>
      <c r="T2" s="297" t="s">
        <v>530</v>
      </c>
      <c r="U2" s="297" t="s">
        <v>531</v>
      </c>
      <c r="V2" s="297" t="s">
        <v>532</v>
      </c>
      <c r="X2" s="297" t="s">
        <v>13</v>
      </c>
      <c r="Y2" s="297" t="s">
        <v>485</v>
      </c>
      <c r="Z2" s="297" t="s">
        <v>533</v>
      </c>
      <c r="AD2" s="297" t="s">
        <v>534</v>
      </c>
      <c r="AE2" s="297" t="s">
        <v>535</v>
      </c>
      <c r="AF2" s="297" t="s">
        <v>536</v>
      </c>
      <c r="AG2" s="297" t="s">
        <v>537</v>
      </c>
      <c r="AH2" s="297" t="s">
        <v>538</v>
      </c>
      <c r="AI2" s="297" t="s">
        <v>539</v>
      </c>
      <c r="AJ2" s="297" t="s">
        <v>540</v>
      </c>
      <c r="AL2" s="297" t="s">
        <v>541</v>
      </c>
      <c r="AM2" s="297" t="s">
        <v>542</v>
      </c>
      <c r="AN2" s="297" t="s">
        <v>543</v>
      </c>
      <c r="AP2" s="297" t="s">
        <v>381</v>
      </c>
      <c r="AR2" s="297" t="s">
        <v>526</v>
      </c>
      <c r="AS2" s="299" t="s">
        <v>544</v>
      </c>
      <c r="AT2" s="300" t="s">
        <v>521</v>
      </c>
      <c r="AU2" s="301" t="s">
        <v>545</v>
      </c>
      <c r="AV2" s="301" t="s">
        <v>546</v>
      </c>
      <c r="AX2" s="302" t="s">
        <v>547</v>
      </c>
      <c r="AY2" s="301" t="s">
        <v>548</v>
      </c>
      <c r="AZ2" s="301" t="s">
        <v>549</v>
      </c>
      <c r="BA2" s="303" t="s">
        <v>550</v>
      </c>
      <c r="BB2" s="303" t="s">
        <v>551</v>
      </c>
      <c r="BD2" s="304" t="s">
        <v>552</v>
      </c>
      <c r="BE2" s="304" t="s">
        <v>553</v>
      </c>
      <c r="BG2" s="276" t="s">
        <v>554</v>
      </c>
      <c r="BH2" s="305" t="s">
        <v>485</v>
      </c>
      <c r="BI2" s="305" t="s">
        <v>555</v>
      </c>
      <c r="BM2" t="s">
        <v>556</v>
      </c>
      <c r="BN2" s="307" t="s">
        <v>557</v>
      </c>
      <c r="BU2"/>
      <c r="BV2"/>
      <c r="BW2"/>
      <c r="BX2"/>
      <c r="BY2" s="288" t="s">
        <v>558</v>
      </c>
      <c r="BZ2" s="288" t="s">
        <v>558</v>
      </c>
      <c r="CA2" s="288" t="s">
        <v>558</v>
      </c>
      <c r="CB2" s="288" t="s">
        <v>558</v>
      </c>
      <c r="CC2" s="288" t="s">
        <v>558</v>
      </c>
      <c r="CD2" s="288" t="s">
        <v>558</v>
      </c>
      <c r="CE2" s="288" t="s">
        <v>558</v>
      </c>
      <c r="CF2" s="288" t="s">
        <v>558</v>
      </c>
      <c r="CG2" s="288" t="s">
        <v>558</v>
      </c>
      <c r="CH2" s="288" t="s">
        <v>558</v>
      </c>
      <c r="CI2" s="288" t="s">
        <v>558</v>
      </c>
      <c r="CJ2"/>
      <c r="CK2"/>
      <c r="CL2" s="288" t="s">
        <v>558</v>
      </c>
      <c r="CM2" s="288" t="s">
        <v>558</v>
      </c>
      <c r="CN2" s="288" t="s">
        <v>558</v>
      </c>
      <c r="CO2" s="288" t="s">
        <v>558</v>
      </c>
      <c r="CP2" s="288" t="s">
        <v>558</v>
      </c>
      <c r="CQ2" s="288" t="s">
        <v>558</v>
      </c>
      <c r="CR2" s="288" t="s">
        <v>558</v>
      </c>
      <c r="CS2" s="288" t="s">
        <v>558</v>
      </c>
      <c r="CT2" s="287" t="s">
        <v>559</v>
      </c>
      <c r="CU2" s="287" t="s">
        <v>559</v>
      </c>
      <c r="CV2" s="287" t="s">
        <v>559</v>
      </c>
      <c r="CW2" s="287" t="s">
        <v>559</v>
      </c>
      <c r="CX2" s="287" t="s">
        <v>559</v>
      </c>
      <c r="CY2" s="287" t="s">
        <v>559</v>
      </c>
      <c r="CZ2" s="287" t="s">
        <v>559</v>
      </c>
      <c r="DA2" s="287" t="s">
        <v>559</v>
      </c>
      <c r="DB2" s="287" t="s">
        <v>559</v>
      </c>
      <c r="DC2" s="287" t="s">
        <v>559</v>
      </c>
      <c r="DD2" s="311" t="s">
        <v>560</v>
      </c>
      <c r="DE2" s="311" t="s">
        <v>560</v>
      </c>
      <c r="DN2" s="270" t="s">
        <v>559</v>
      </c>
      <c r="DO2" s="270" t="s">
        <v>559</v>
      </c>
      <c r="DR2" t="s">
        <v>345</v>
      </c>
      <c r="DS2">
        <v>-90</v>
      </c>
      <c r="DV2" t="s">
        <v>561</v>
      </c>
    </row>
    <row r="3" spans="1:127" ht="61.95" customHeight="1" thickTop="1" thickBot="1" x14ac:dyDescent="0.4">
      <c r="A3" t="s">
        <v>562</v>
      </c>
      <c r="B3">
        <v>1</v>
      </c>
      <c r="C3" t="s">
        <v>563</v>
      </c>
      <c r="D3">
        <v>2</v>
      </c>
      <c r="E3" t="s">
        <v>564</v>
      </c>
      <c r="F3" t="s">
        <v>564</v>
      </c>
      <c r="G3">
        <v>0.8377</v>
      </c>
      <c r="H3" s="306">
        <v>0.8377</v>
      </c>
      <c r="J3" t="s">
        <v>565</v>
      </c>
      <c r="K3" s="45" t="s">
        <v>563</v>
      </c>
      <c r="L3" s="45">
        <v>0.80400000000000005</v>
      </c>
      <c r="M3" t="s">
        <v>234</v>
      </c>
      <c r="N3" t="s">
        <v>428</v>
      </c>
      <c r="O3" t="s">
        <v>234</v>
      </c>
      <c r="P3" t="s">
        <v>417</v>
      </c>
      <c r="Q3" t="s">
        <v>418</v>
      </c>
      <c r="R3" t="s">
        <v>442</v>
      </c>
      <c r="S3" t="s">
        <v>432</v>
      </c>
      <c r="T3" t="s">
        <v>431</v>
      </c>
      <c r="U3" t="s">
        <v>443</v>
      </c>
      <c r="V3" t="s">
        <v>436</v>
      </c>
      <c r="X3" t="s">
        <v>534</v>
      </c>
      <c r="Y3" t="s">
        <v>566</v>
      </c>
      <c r="Z3" t="s">
        <v>331</v>
      </c>
      <c r="AC3" t="s">
        <v>566</v>
      </c>
      <c r="AD3">
        <f>'FFI tables'!D5</f>
        <v>0.4</v>
      </c>
      <c r="AE3">
        <f>'FFI tables'!E5</f>
        <v>2.9</v>
      </c>
      <c r="AF3">
        <f>'FFI tables'!F5</f>
        <v>0.7</v>
      </c>
      <c r="AG3">
        <f>'FFI tables'!G5</f>
        <v>1.4</v>
      </c>
      <c r="AH3">
        <f>'FFI tables'!H5</f>
        <v>1.2</v>
      </c>
      <c r="AI3">
        <f>'FFI tables'!I5</f>
        <v>2.7</v>
      </c>
      <c r="AJ3">
        <v>1.6</v>
      </c>
      <c r="AK3" t="s">
        <v>567</v>
      </c>
      <c r="AL3">
        <v>20</v>
      </c>
      <c r="AM3">
        <v>15</v>
      </c>
      <c r="AN3">
        <v>10</v>
      </c>
      <c r="AP3" t="s">
        <v>568</v>
      </c>
      <c r="AR3" t="s">
        <v>569</v>
      </c>
      <c r="AS3" t="s">
        <v>570</v>
      </c>
      <c r="AT3" t="s">
        <v>571</v>
      </c>
      <c r="AU3" s="152">
        <v>2.2959999999999998</v>
      </c>
      <c r="AV3" s="152">
        <v>0</v>
      </c>
      <c r="AX3" t="s">
        <v>572</v>
      </c>
      <c r="AY3" s="152">
        <v>1.2529999999999999</v>
      </c>
      <c r="AZ3" s="152">
        <v>5.141</v>
      </c>
      <c r="BA3" s="152">
        <f>AY3*(1/$BE3)</f>
        <v>1.3769230769230767</v>
      </c>
      <c r="BB3" s="152">
        <f>AZ3*(1/$BE3)</f>
        <v>5.6494505494505489</v>
      </c>
      <c r="BD3" t="s">
        <v>565</v>
      </c>
      <c r="BE3" s="268">
        <v>0.91</v>
      </c>
      <c r="BG3" s="276" t="s">
        <v>573</v>
      </c>
      <c r="BH3" s="277" t="s">
        <v>174</v>
      </c>
      <c r="BI3" s="277">
        <v>8</v>
      </c>
      <c r="BO3" s="310" t="s">
        <v>574</v>
      </c>
      <c r="BP3" s="310"/>
      <c r="BQ3" s="310"/>
      <c r="BT3" s="372"/>
      <c r="BU3" s="247" t="s">
        <v>13</v>
      </c>
      <c r="BV3" s="247" t="s">
        <v>575</v>
      </c>
      <c r="BW3" s="247" t="s">
        <v>576</v>
      </c>
      <c r="BX3" s="247" t="s">
        <v>577</v>
      </c>
      <c r="BY3" s="263" t="s">
        <v>578</v>
      </c>
      <c r="BZ3" s="263" t="s">
        <v>115</v>
      </c>
      <c r="CA3" s="263" t="s">
        <v>117</v>
      </c>
      <c r="CB3" s="263" t="s">
        <v>119</v>
      </c>
      <c r="CC3" s="263" t="s">
        <v>120</v>
      </c>
      <c r="CD3" s="263" t="s">
        <v>122</v>
      </c>
      <c r="CE3" s="263" t="s">
        <v>124</v>
      </c>
      <c r="CF3" s="263" t="s">
        <v>126</v>
      </c>
      <c r="CG3" s="264" t="s">
        <v>579</v>
      </c>
      <c r="CH3" s="265" t="s">
        <v>129</v>
      </c>
      <c r="CI3" s="265" t="s">
        <v>131</v>
      </c>
      <c r="CJ3" s="247" t="s">
        <v>13</v>
      </c>
      <c r="CK3" s="48" t="s">
        <v>577</v>
      </c>
      <c r="CL3" s="266" t="s">
        <v>133</v>
      </c>
      <c r="CM3" s="266" t="s">
        <v>135</v>
      </c>
      <c r="CN3" s="266" t="s">
        <v>136</v>
      </c>
      <c r="CO3" s="266" t="s">
        <v>137</v>
      </c>
      <c r="CP3" s="266" t="s">
        <v>138</v>
      </c>
      <c r="CQ3" s="266" t="s">
        <v>140</v>
      </c>
      <c r="CR3" s="266" t="s">
        <v>141</v>
      </c>
      <c r="CS3" s="266" t="s">
        <v>143</v>
      </c>
      <c r="CT3" s="262" t="s">
        <v>144</v>
      </c>
      <c r="CU3" s="262" t="s">
        <v>146</v>
      </c>
      <c r="CV3" s="262" t="s">
        <v>147</v>
      </c>
      <c r="CW3" s="262" t="s">
        <v>149</v>
      </c>
      <c r="CX3" s="262" t="s">
        <v>151</v>
      </c>
      <c r="CY3" s="262" t="s">
        <v>153</v>
      </c>
      <c r="CZ3" s="262" t="s">
        <v>155</v>
      </c>
      <c r="DA3" s="262" t="s">
        <v>156</v>
      </c>
      <c r="DB3" s="262" t="s">
        <v>157</v>
      </c>
      <c r="DC3" s="262" t="s">
        <v>159</v>
      </c>
      <c r="DD3" s="267" t="s">
        <v>161</v>
      </c>
      <c r="DE3" s="267" t="s">
        <v>162</v>
      </c>
      <c r="DF3" s="269" t="s">
        <v>580</v>
      </c>
      <c r="DG3" s="271" t="s">
        <v>581</v>
      </c>
      <c r="DH3" s="269" t="s">
        <v>582</v>
      </c>
      <c r="DI3" s="269" t="s">
        <v>583</v>
      </c>
      <c r="DJ3" s="273" t="s">
        <v>584</v>
      </c>
      <c r="DK3" s="274" t="s">
        <v>585</v>
      </c>
      <c r="DL3" s="269" t="s">
        <v>586</v>
      </c>
      <c r="DM3" s="269" t="s">
        <v>587</v>
      </c>
      <c r="DN3" s="269" t="s">
        <v>588</v>
      </c>
      <c r="DO3" s="269" t="s">
        <v>589</v>
      </c>
      <c r="DR3" t="s">
        <v>346</v>
      </c>
      <c r="DS3">
        <v>-90</v>
      </c>
      <c r="DV3">
        <v>0.5</v>
      </c>
      <c r="DW3">
        <v>1</v>
      </c>
    </row>
    <row r="4" spans="1:127" ht="15.6" thickBot="1" x14ac:dyDescent="0.35">
      <c r="A4" t="s">
        <v>562</v>
      </c>
      <c r="B4">
        <v>2</v>
      </c>
      <c r="C4" t="s">
        <v>280</v>
      </c>
      <c r="D4">
        <v>2</v>
      </c>
      <c r="E4" t="s">
        <v>564</v>
      </c>
      <c r="F4" t="s">
        <v>564</v>
      </c>
      <c r="G4">
        <v>0.89480000000000004</v>
      </c>
      <c r="H4" s="231">
        <v>0.89480000000000004</v>
      </c>
      <c r="J4" t="s">
        <v>590</v>
      </c>
      <c r="K4" s="45" t="s">
        <v>280</v>
      </c>
      <c r="L4" s="45">
        <v>0.80400000000000005</v>
      </c>
      <c r="M4" t="s">
        <v>233</v>
      </c>
      <c r="N4" t="s">
        <v>591</v>
      </c>
      <c r="O4" t="s">
        <v>233</v>
      </c>
      <c r="P4" t="s">
        <v>592</v>
      </c>
      <c r="Q4" t="s">
        <v>593</v>
      </c>
      <c r="R4" t="s">
        <v>332</v>
      </c>
      <c r="S4" t="s">
        <v>433</v>
      </c>
      <c r="T4" t="s">
        <v>448</v>
      </c>
      <c r="U4" t="s">
        <v>444</v>
      </c>
      <c r="V4" t="s">
        <v>437</v>
      </c>
      <c r="X4" t="s">
        <v>535</v>
      </c>
      <c r="Y4" t="s">
        <v>594</v>
      </c>
      <c r="Z4" t="s">
        <v>445</v>
      </c>
      <c r="AC4" t="s">
        <v>594</v>
      </c>
      <c r="AD4">
        <f>'FFI tables'!D8</f>
        <v>0.6</v>
      </c>
      <c r="AE4">
        <f>'FFI tables'!E8</f>
        <v>3.8</v>
      </c>
      <c r="AF4">
        <f>'FFI tables'!F8</f>
        <v>0.9</v>
      </c>
      <c r="AG4">
        <f>'FFI tables'!G8</f>
        <v>1.9</v>
      </c>
      <c r="AH4">
        <f>'FFI tables'!H8</f>
        <v>1.5</v>
      </c>
      <c r="AI4">
        <f>'FFI tables'!I8</f>
        <v>3.4</v>
      </c>
      <c r="AJ4">
        <v>2.1</v>
      </c>
      <c r="AK4" t="s">
        <v>595</v>
      </c>
      <c r="AL4">
        <v>10</v>
      </c>
      <c r="AM4">
        <v>7</v>
      </c>
      <c r="AN4">
        <v>5</v>
      </c>
      <c r="AP4" t="s">
        <v>388</v>
      </c>
      <c r="AR4" t="s">
        <v>474</v>
      </c>
      <c r="AS4" t="s">
        <v>570</v>
      </c>
      <c r="AT4" t="s">
        <v>596</v>
      </c>
      <c r="AU4" s="152">
        <v>1.8720000000000001</v>
      </c>
      <c r="AV4" s="152">
        <v>5.7439999999999998</v>
      </c>
      <c r="AX4" t="s">
        <v>597</v>
      </c>
      <c r="AY4" s="152">
        <v>1.381</v>
      </c>
      <c r="AZ4" s="152">
        <v>5.6669999999999998</v>
      </c>
      <c r="BA4" s="152">
        <f t="shared" ref="BA4:BA14" si="0">AY4*(1/$BE4)</f>
        <v>1.381</v>
      </c>
      <c r="BB4" s="152">
        <f t="shared" ref="BB4:BB14" si="1">AZ4*(1/$BE4)</f>
        <v>5.6669999999999998</v>
      </c>
      <c r="BD4" t="s">
        <v>590</v>
      </c>
      <c r="BE4" s="44">
        <v>1</v>
      </c>
      <c r="BG4" s="276" t="s">
        <v>598</v>
      </c>
      <c r="BH4" s="278" t="s">
        <v>166</v>
      </c>
      <c r="BI4" s="278">
        <v>8</v>
      </c>
      <c r="BO4" s="310" t="s">
        <v>599</v>
      </c>
      <c r="BP4" s="310" t="s">
        <v>600</v>
      </c>
      <c r="BQ4" s="310" t="s">
        <v>601</v>
      </c>
      <c r="BS4" s="310" t="s">
        <v>602</v>
      </c>
      <c r="BT4" s="372"/>
      <c r="BU4" s="259" t="s">
        <v>421</v>
      </c>
      <c r="BV4" s="260">
        <v>43001050101</v>
      </c>
      <c r="BW4" s="261" t="s">
        <v>603</v>
      </c>
      <c r="BX4" s="261" t="s">
        <v>604</v>
      </c>
      <c r="BY4" s="152">
        <v>9.9564581599426383E-2</v>
      </c>
      <c r="BZ4" s="152">
        <v>0.15238700822451401</v>
      </c>
      <c r="CA4" s="152">
        <v>0.15238700822451401</v>
      </c>
      <c r="CB4" s="152">
        <v>0.15238700822451401</v>
      </c>
      <c r="CC4" s="152">
        <v>0.15238700822451401</v>
      </c>
      <c r="CD4" s="152">
        <v>0.15238700822451401</v>
      </c>
      <c r="CE4" s="152">
        <v>0.15238700822451401</v>
      </c>
      <c r="CF4" s="152">
        <v>9.4106841366564994E-3</v>
      </c>
      <c r="CG4" s="152">
        <v>9.5759834357709277E-3</v>
      </c>
      <c r="CH4" s="152">
        <v>7.5301813918838487E-2</v>
      </c>
      <c r="CI4" s="152">
        <v>7.5301813918838487E-2</v>
      </c>
      <c r="CJ4" s="259" t="s">
        <v>421</v>
      </c>
      <c r="CK4" s="261" t="s">
        <v>604</v>
      </c>
      <c r="CL4" s="374">
        <v>0.32824602993246849</v>
      </c>
      <c r="CM4" s="374">
        <v>0.32824602993246849</v>
      </c>
      <c r="CN4" s="374">
        <v>0.32824602993246849</v>
      </c>
      <c r="CO4" s="374">
        <v>0.32824602993246849</v>
      </c>
      <c r="CP4" s="374">
        <v>0.2717254585491819</v>
      </c>
      <c r="CQ4" s="374">
        <v>0.2717254585491819</v>
      </c>
      <c r="CR4" s="374">
        <v>0.2717254585491819</v>
      </c>
      <c r="CS4" s="374">
        <v>0.2717254585491819</v>
      </c>
      <c r="CT4" s="374">
        <v>0.13172437863111339</v>
      </c>
      <c r="CU4" s="374">
        <v>0.13172437863111339</v>
      </c>
      <c r="CV4" s="374">
        <v>0.13172437863111339</v>
      </c>
      <c r="CW4" s="374">
        <v>0.13172437863111339</v>
      </c>
      <c r="CX4" s="374">
        <v>0.36422768554377949</v>
      </c>
      <c r="CY4" s="374">
        <v>0.36422768554377949</v>
      </c>
      <c r="CZ4" s="374">
        <v>0.36422768554377949</v>
      </c>
      <c r="DA4" s="374">
        <v>0.36422768554377949</v>
      </c>
      <c r="DB4" s="374">
        <v>0.36422768554377949</v>
      </c>
      <c r="DC4" s="374">
        <v>0.36422768554377949</v>
      </c>
      <c r="DD4" s="374">
        <v>0.28131488009914318</v>
      </c>
      <c r="DE4" s="374">
        <v>0.28131488009914318</v>
      </c>
      <c r="DF4" s="373">
        <v>0.28131488009914318</v>
      </c>
      <c r="DG4" s="373">
        <v>2.550406228054717E-2</v>
      </c>
      <c r="DH4" s="373">
        <v>2.5610255269055561E-2</v>
      </c>
      <c r="DI4" s="373">
        <v>2.550406228054717E-2</v>
      </c>
      <c r="DJ4" s="308" t="s">
        <v>605</v>
      </c>
      <c r="DK4" s="308" t="s">
        <v>605</v>
      </c>
      <c r="DL4" s="309" t="s">
        <v>606</v>
      </c>
      <c r="DM4" s="309" t="s">
        <v>606</v>
      </c>
      <c r="DN4" s="272"/>
      <c r="DO4" s="272"/>
      <c r="DR4" t="s">
        <v>347</v>
      </c>
      <c r="DS4">
        <v>-80</v>
      </c>
      <c r="DV4">
        <v>0.7</v>
      </c>
      <c r="DW4">
        <v>0.5</v>
      </c>
    </row>
    <row r="5" spans="1:127" ht="15" x14ac:dyDescent="0.3">
      <c r="A5" t="s">
        <v>562</v>
      </c>
      <c r="B5">
        <v>3</v>
      </c>
      <c r="C5" t="s">
        <v>607</v>
      </c>
      <c r="D5">
        <v>2</v>
      </c>
      <c r="E5" t="s">
        <v>564</v>
      </c>
      <c r="F5" t="s">
        <v>564</v>
      </c>
      <c r="G5">
        <v>1.2883</v>
      </c>
      <c r="H5" s="231">
        <v>1.2883</v>
      </c>
      <c r="J5" t="s">
        <v>608</v>
      </c>
      <c r="K5" s="45" t="s">
        <v>607</v>
      </c>
      <c r="L5" s="45">
        <v>0.80400000000000005</v>
      </c>
      <c r="M5" t="s">
        <v>235</v>
      </c>
      <c r="N5" t="s">
        <v>609</v>
      </c>
      <c r="O5" t="s">
        <v>610</v>
      </c>
      <c r="Q5" t="s">
        <v>419</v>
      </c>
      <c r="R5" t="s">
        <v>445</v>
      </c>
      <c r="S5" t="s">
        <v>434</v>
      </c>
      <c r="T5" t="s">
        <v>449</v>
      </c>
      <c r="U5" t="s">
        <v>446</v>
      </c>
      <c r="V5" t="s">
        <v>438</v>
      </c>
      <c r="X5" t="s">
        <v>536</v>
      </c>
      <c r="Y5" t="s">
        <v>611</v>
      </c>
      <c r="Z5" t="s">
        <v>332</v>
      </c>
      <c r="AC5" t="s">
        <v>611</v>
      </c>
      <c r="AD5">
        <f>'FFI tables'!D11</f>
        <v>0.6</v>
      </c>
      <c r="AE5">
        <f>'FFI tables'!E11</f>
        <v>3.3</v>
      </c>
      <c r="AF5">
        <f>'FFI tables'!F11</f>
        <v>0.7</v>
      </c>
      <c r="AG5">
        <f>'FFI tables'!G11</f>
        <v>2</v>
      </c>
      <c r="AH5">
        <f>'FFI tables'!H11</f>
        <v>1.5</v>
      </c>
      <c r="AI5">
        <f>'FFI tables'!I11</f>
        <v>3</v>
      </c>
      <c r="AJ5">
        <v>2</v>
      </c>
      <c r="AR5" t="s">
        <v>612</v>
      </c>
      <c r="AS5" t="s">
        <v>613</v>
      </c>
      <c r="AT5" t="s">
        <v>614</v>
      </c>
      <c r="AU5" s="152">
        <v>2.14</v>
      </c>
      <c r="AV5" s="152">
        <v>5.37</v>
      </c>
      <c r="AX5" t="s">
        <v>608</v>
      </c>
      <c r="AY5" s="152">
        <v>1.35</v>
      </c>
      <c r="AZ5" s="152">
        <v>5.5369999999999999</v>
      </c>
      <c r="BA5" s="152">
        <f t="shared" si="0"/>
        <v>1.3775510204081634</v>
      </c>
      <c r="BB5" s="152">
        <f t="shared" si="1"/>
        <v>5.65</v>
      </c>
      <c r="BD5" t="s">
        <v>608</v>
      </c>
      <c r="BE5" s="44">
        <v>0.98</v>
      </c>
      <c r="BG5" s="276" t="s">
        <v>615</v>
      </c>
      <c r="BH5" s="276" t="s">
        <v>492</v>
      </c>
      <c r="BI5" s="276">
        <v>5</v>
      </c>
      <c r="BM5" s="159" t="s">
        <v>616</v>
      </c>
      <c r="BN5" s="159" t="s">
        <v>617</v>
      </c>
      <c r="BO5">
        <v>0</v>
      </c>
      <c r="BP5">
        <v>0</v>
      </c>
      <c r="BQ5">
        <v>0</v>
      </c>
      <c r="BS5" s="307" t="s">
        <v>618</v>
      </c>
      <c r="BT5" s="372"/>
      <c r="BU5" s="259" t="s">
        <v>421</v>
      </c>
      <c r="BV5" s="260">
        <v>43001050102</v>
      </c>
      <c r="BW5" s="261" t="s">
        <v>619</v>
      </c>
      <c r="BX5" s="261" t="s">
        <v>620</v>
      </c>
      <c r="BY5" s="152">
        <v>9.0679166437900513E-2</v>
      </c>
      <c r="BZ5" s="152">
        <v>0.14406838942996009</v>
      </c>
      <c r="CA5" s="152">
        <v>0.14406838942996009</v>
      </c>
      <c r="CB5" s="152">
        <v>0.14406838942996009</v>
      </c>
      <c r="CC5" s="152">
        <v>0.14406838942996009</v>
      </c>
      <c r="CD5" s="152">
        <v>0.14406838942996009</v>
      </c>
      <c r="CE5" s="152">
        <v>0.14406838942996009</v>
      </c>
      <c r="CF5" s="152">
        <v>2.3682956196914759E-3</v>
      </c>
      <c r="CG5" s="152">
        <v>2.2753233913102581E-2</v>
      </c>
      <c r="CH5" s="152">
        <v>7.7455661122085601E-2</v>
      </c>
      <c r="CI5" s="152">
        <v>7.7455661122085601E-2</v>
      </c>
      <c r="CJ5" s="259" t="s">
        <v>421</v>
      </c>
      <c r="CK5" s="261" t="s">
        <v>620</v>
      </c>
      <c r="CL5" s="374">
        <v>0.32824602993246849</v>
      </c>
      <c r="CM5" s="374">
        <v>0.32824602993246849</v>
      </c>
      <c r="CN5" s="374">
        <v>0.32824602993246849</v>
      </c>
      <c r="CO5" s="374">
        <v>0.32824602993246849</v>
      </c>
      <c r="CP5" s="374">
        <v>0.2717254585491819</v>
      </c>
      <c r="CQ5" s="374">
        <v>0.2717254585491819</v>
      </c>
      <c r="CR5" s="374">
        <v>0.2717254585491819</v>
      </c>
      <c r="CS5" s="374">
        <v>0.2717254585491819</v>
      </c>
      <c r="CT5" s="374">
        <v>0.19244029050748501</v>
      </c>
      <c r="CU5" s="374">
        <v>0.19244029050748501</v>
      </c>
      <c r="CV5" s="374">
        <v>0.19244029050748501</v>
      </c>
      <c r="CW5" s="374">
        <v>0.19244029050748501</v>
      </c>
      <c r="CX5" s="374">
        <v>0.26950813651192101</v>
      </c>
      <c r="CY5" s="374">
        <v>0.26950813651192101</v>
      </c>
      <c r="CZ5" s="374">
        <v>0.26950813651192101</v>
      </c>
      <c r="DA5" s="374">
        <v>0.26950813651192101</v>
      </c>
      <c r="DB5" s="374">
        <v>0.26950813651192101</v>
      </c>
      <c r="DC5" s="374">
        <v>0.26950813651192101</v>
      </c>
      <c r="DD5" s="374">
        <v>0.28131488009914318</v>
      </c>
      <c r="DE5" s="374">
        <v>0.28131488009914318</v>
      </c>
      <c r="DF5" s="373">
        <v>0.28131488009914318</v>
      </c>
      <c r="DG5" s="373">
        <v>2.3121681182603541E-2</v>
      </c>
      <c r="DH5" s="373">
        <v>1.983125989258629E-2</v>
      </c>
      <c r="DI5" s="373">
        <v>2.3121681182603541E-2</v>
      </c>
      <c r="DJ5" s="308" t="s">
        <v>605</v>
      </c>
      <c r="DK5" s="308" t="s">
        <v>605</v>
      </c>
      <c r="DL5" s="309" t="s">
        <v>606</v>
      </c>
      <c r="DM5" s="309" t="s">
        <v>606</v>
      </c>
      <c r="DN5" s="272"/>
      <c r="DO5" s="272"/>
      <c r="DR5" t="s">
        <v>348</v>
      </c>
      <c r="DS5">
        <v>-70</v>
      </c>
      <c r="DV5">
        <v>0.85</v>
      </c>
      <c r="DW5">
        <v>0.25</v>
      </c>
    </row>
    <row r="6" spans="1:127" ht="15.6" thickBot="1" x14ac:dyDescent="0.35">
      <c r="A6" t="s">
        <v>562</v>
      </c>
      <c r="B6">
        <v>4</v>
      </c>
      <c r="C6" t="s">
        <v>621</v>
      </c>
      <c r="D6">
        <v>2</v>
      </c>
      <c r="E6" t="s">
        <v>564</v>
      </c>
      <c r="F6" t="s">
        <v>564</v>
      </c>
      <c r="G6">
        <v>1.5711999999999999</v>
      </c>
      <c r="H6" s="231">
        <v>1.5711999999999999</v>
      </c>
      <c r="J6" t="s">
        <v>622</v>
      </c>
      <c r="K6" s="45" t="s">
        <v>621</v>
      </c>
      <c r="L6" s="45">
        <v>0.98799999999999999</v>
      </c>
      <c r="M6" t="s">
        <v>610</v>
      </c>
      <c r="N6" t="s">
        <v>426</v>
      </c>
      <c r="O6" t="s">
        <v>623</v>
      </c>
      <c r="R6" t="s">
        <v>331</v>
      </c>
      <c r="S6" t="s">
        <v>435</v>
      </c>
      <c r="T6" t="s">
        <v>450</v>
      </c>
      <c r="U6" t="s">
        <v>447</v>
      </c>
      <c r="V6" t="s">
        <v>439</v>
      </c>
      <c r="X6" t="s">
        <v>537</v>
      </c>
      <c r="Y6" t="s">
        <v>624</v>
      </c>
      <c r="AC6" t="s">
        <v>624</v>
      </c>
      <c r="AD6">
        <f>'FFI tables'!D14</f>
        <v>0.4</v>
      </c>
      <c r="AE6">
        <f>'FFI tables'!E14</f>
        <v>3.3</v>
      </c>
      <c r="AF6">
        <f>'FFI tables'!F14</f>
        <v>0.8</v>
      </c>
      <c r="AG6">
        <f>'FFI tables'!G14</f>
        <v>1.5</v>
      </c>
      <c r="AH6">
        <f>'FFI tables'!H14</f>
        <v>1.2</v>
      </c>
      <c r="AI6">
        <f>'FFI tables'!I14</f>
        <v>4.7</v>
      </c>
      <c r="AJ6">
        <v>2.1</v>
      </c>
      <c r="AS6" t="s">
        <v>625</v>
      </c>
      <c r="AT6" t="s">
        <v>473</v>
      </c>
      <c r="AU6" s="152">
        <v>2.6789999999999998</v>
      </c>
      <c r="AV6" s="152">
        <v>6.7839999999999998</v>
      </c>
      <c r="AX6" t="s">
        <v>626</v>
      </c>
      <c r="AY6" s="152">
        <v>1.369</v>
      </c>
      <c r="AZ6" s="152">
        <v>5.6180000000000003</v>
      </c>
      <c r="BA6" s="152">
        <f t="shared" si="0"/>
        <v>1.382828282828283</v>
      </c>
      <c r="BB6" s="152">
        <f t="shared" si="1"/>
        <v>5.6747474747474751</v>
      </c>
      <c r="BD6" t="s">
        <v>622</v>
      </c>
      <c r="BE6" s="44">
        <v>0.99</v>
      </c>
      <c r="BG6" s="276" t="s">
        <v>627</v>
      </c>
      <c r="BH6" s="277" t="s">
        <v>628</v>
      </c>
      <c r="BI6" s="277">
        <v>10</v>
      </c>
      <c r="BM6" s="159"/>
      <c r="BN6" s="159" t="s">
        <v>600</v>
      </c>
      <c r="BO6">
        <v>3.2</v>
      </c>
      <c r="BP6">
        <v>0</v>
      </c>
      <c r="BQ6">
        <v>0</v>
      </c>
      <c r="BT6" s="372"/>
      <c r="BU6" s="259" t="s">
        <v>421</v>
      </c>
      <c r="BV6" s="260">
        <v>43001050103</v>
      </c>
      <c r="BW6" s="261" t="s">
        <v>629</v>
      </c>
      <c r="BX6" s="261" t="s">
        <v>630</v>
      </c>
      <c r="BY6" s="152">
        <v>0.22428319252075771</v>
      </c>
      <c r="BZ6" s="152">
        <v>0.32202044112659961</v>
      </c>
      <c r="CA6" s="152">
        <v>0.32202044112659961</v>
      </c>
      <c r="CB6" s="152">
        <v>0.32202044112659961</v>
      </c>
      <c r="CC6" s="152">
        <v>0.32202044112659961</v>
      </c>
      <c r="CD6" s="152">
        <v>0.32202044112659961</v>
      </c>
      <c r="CE6" s="152">
        <v>0.32202044112659961</v>
      </c>
      <c r="CF6" s="152">
        <v>9.4106841366564994E-3</v>
      </c>
      <c r="CG6" s="152">
        <v>9.5245120592817048E-2</v>
      </c>
      <c r="CH6" s="152">
        <v>0.1363972077499323</v>
      </c>
      <c r="CI6" s="152">
        <v>0.1363972077499323</v>
      </c>
      <c r="CJ6" s="259" t="s">
        <v>421</v>
      </c>
      <c r="CK6" s="261" t="s">
        <v>630</v>
      </c>
      <c r="CL6" s="374">
        <v>0.32824602993246849</v>
      </c>
      <c r="CM6" s="374">
        <v>0.32824602993246849</v>
      </c>
      <c r="CN6" s="374">
        <v>0.32824602993246849</v>
      </c>
      <c r="CO6" s="374">
        <v>0.32824602993246849</v>
      </c>
      <c r="CP6" s="374">
        <v>0.2717254585491819</v>
      </c>
      <c r="CQ6" s="374">
        <v>0.2717254585491819</v>
      </c>
      <c r="CR6" s="374">
        <v>0.2717254585491819</v>
      </c>
      <c r="CS6" s="374">
        <v>0.2717254585491819</v>
      </c>
      <c r="CT6" s="374">
        <v>0.32199942121643821</v>
      </c>
      <c r="CU6" s="374">
        <v>0.32199942121643821</v>
      </c>
      <c r="CV6" s="374">
        <v>0.32199942121643821</v>
      </c>
      <c r="CW6" s="374">
        <v>0.32199942121643821</v>
      </c>
      <c r="CX6" s="374">
        <v>1.483128424288106</v>
      </c>
      <c r="CY6" s="374">
        <v>1.483128424288106</v>
      </c>
      <c r="CZ6" s="374">
        <v>1.483128424288106</v>
      </c>
      <c r="DA6" s="374">
        <v>1.483128424288106</v>
      </c>
      <c r="DB6" s="374">
        <v>1.483128424288106</v>
      </c>
      <c r="DC6" s="374">
        <v>1.483128424288106</v>
      </c>
      <c r="DD6" s="374">
        <v>0.28131488009914318</v>
      </c>
      <c r="DE6" s="374">
        <v>0.28131488009914318</v>
      </c>
      <c r="DF6" s="373">
        <v>0.28131488009914318</v>
      </c>
      <c r="DG6" s="373">
        <v>0.13096478540306319</v>
      </c>
      <c r="DH6" s="373">
        <v>4.0161764907967357E-2</v>
      </c>
      <c r="DI6" s="373">
        <v>0.13096478540306319</v>
      </c>
      <c r="DJ6" s="308" t="s">
        <v>605</v>
      </c>
      <c r="DK6" s="308" t="s">
        <v>605</v>
      </c>
      <c r="DL6" s="309" t="s">
        <v>606</v>
      </c>
      <c r="DM6" s="309" t="s">
        <v>606</v>
      </c>
      <c r="DN6" s="272"/>
      <c r="DO6" s="272"/>
      <c r="DR6" t="s">
        <v>349</v>
      </c>
      <c r="DS6">
        <v>-50</v>
      </c>
      <c r="DW6">
        <v>0</v>
      </c>
    </row>
    <row r="7" spans="1:127" ht="15" x14ac:dyDescent="0.3">
      <c r="A7" t="s">
        <v>562</v>
      </c>
      <c r="B7">
        <v>5</v>
      </c>
      <c r="C7" t="s">
        <v>631</v>
      </c>
      <c r="D7">
        <v>2</v>
      </c>
      <c r="E7" t="s">
        <v>564</v>
      </c>
      <c r="F7" t="s">
        <v>564</v>
      </c>
      <c r="G7">
        <v>1.5753999999999999</v>
      </c>
      <c r="H7" s="231">
        <v>1.5753999999999999</v>
      </c>
      <c r="J7" t="s">
        <v>232</v>
      </c>
      <c r="K7" s="45" t="s">
        <v>631</v>
      </c>
      <c r="L7" s="45">
        <v>0.995</v>
      </c>
      <c r="M7" t="s">
        <v>623</v>
      </c>
      <c r="N7" t="s">
        <v>632</v>
      </c>
      <c r="V7" t="s">
        <v>440</v>
      </c>
      <c r="X7" t="s">
        <v>538</v>
      </c>
      <c r="Y7" t="s">
        <v>633</v>
      </c>
      <c r="AC7" t="s">
        <v>633</v>
      </c>
      <c r="AD7">
        <f>'FFI tables'!D17</f>
        <v>0.3</v>
      </c>
      <c r="AE7">
        <f>'FFI tables'!E17</f>
        <v>1.8</v>
      </c>
      <c r="AF7">
        <f>'FFI tables'!F17</f>
        <v>1.2</v>
      </c>
      <c r="AG7">
        <f>'FFI tables'!G17</f>
        <v>1.3</v>
      </c>
      <c r="AH7">
        <f>'FFI tables'!H17</f>
        <v>2.8</v>
      </c>
      <c r="AI7">
        <f>'FFI tables'!I17</f>
        <v>1.9</v>
      </c>
      <c r="AJ7">
        <v>1.7</v>
      </c>
      <c r="AS7" t="s">
        <v>634</v>
      </c>
      <c r="AT7" t="s">
        <v>635</v>
      </c>
      <c r="AU7" s="152">
        <v>2.0840000000000001</v>
      </c>
      <c r="AV7" s="152">
        <v>6.399</v>
      </c>
      <c r="AX7" t="s">
        <v>636</v>
      </c>
      <c r="AY7" s="152">
        <v>1.0509999999999999</v>
      </c>
      <c r="AZ7" s="152">
        <v>4.3120000000000003</v>
      </c>
      <c r="BA7" s="152">
        <f t="shared" si="0"/>
        <v>1.266265060240964</v>
      </c>
      <c r="BB7" s="152">
        <f t="shared" si="1"/>
        <v>5.1951807228915667</v>
      </c>
      <c r="BD7" t="s">
        <v>232</v>
      </c>
      <c r="BE7" s="44">
        <v>0.83</v>
      </c>
      <c r="BG7" s="276" t="s">
        <v>637</v>
      </c>
      <c r="BH7" s="276" t="s">
        <v>496</v>
      </c>
      <c r="BI7" s="276">
        <v>10</v>
      </c>
      <c r="BM7" s="159"/>
      <c r="BN7" s="159" t="s">
        <v>601</v>
      </c>
      <c r="BO7">
        <v>4.5</v>
      </c>
      <c r="BP7">
        <v>2.2999999999999998</v>
      </c>
      <c r="BQ7">
        <v>0</v>
      </c>
      <c r="BT7" s="372"/>
      <c r="BU7" s="259" t="s">
        <v>421</v>
      </c>
      <c r="BV7" s="260">
        <v>43001050104</v>
      </c>
      <c r="BW7" s="261" t="s">
        <v>638</v>
      </c>
      <c r="BX7" s="261" t="s">
        <v>639</v>
      </c>
      <c r="BY7" s="152">
        <v>0.22265463638543839</v>
      </c>
      <c r="BZ7" s="152">
        <v>0.32574030584411451</v>
      </c>
      <c r="CA7" s="152">
        <v>0.32574030584411451</v>
      </c>
      <c r="CB7" s="152">
        <v>0.32574030584411451</v>
      </c>
      <c r="CC7" s="152">
        <v>0.32574030584411451</v>
      </c>
      <c r="CD7" s="152">
        <v>0.32574030584411451</v>
      </c>
      <c r="CE7" s="152">
        <v>0.32574030584411451</v>
      </c>
      <c r="CF7" s="152">
        <v>6.1739248678617034E-3</v>
      </c>
      <c r="CG7" s="152">
        <v>2.5737261286621502E-2</v>
      </c>
      <c r="CH7" s="152">
        <v>0.1191475021779599</v>
      </c>
      <c r="CI7" s="152">
        <v>0.1191475021779599</v>
      </c>
      <c r="CJ7" s="259" t="s">
        <v>421</v>
      </c>
      <c r="CK7" s="261" t="s">
        <v>639</v>
      </c>
      <c r="CL7" s="374">
        <v>0.32824602993246849</v>
      </c>
      <c r="CM7" s="374">
        <v>0.32824602993246849</v>
      </c>
      <c r="CN7" s="374">
        <v>0.32824602993246849</v>
      </c>
      <c r="CO7" s="374">
        <v>0.32824602993246849</v>
      </c>
      <c r="CP7" s="374">
        <v>0.2717254585491819</v>
      </c>
      <c r="CQ7" s="374">
        <v>0.2717254585491819</v>
      </c>
      <c r="CR7" s="374">
        <v>0.2717254585491819</v>
      </c>
      <c r="CS7" s="374">
        <v>0.2717254585491819</v>
      </c>
      <c r="CT7" s="374">
        <v>0.31815158206711469</v>
      </c>
      <c r="CU7" s="374">
        <v>0.31815158206711469</v>
      </c>
      <c r="CV7" s="374">
        <v>0.31815158206711469</v>
      </c>
      <c r="CW7" s="374">
        <v>0.31815158206711469</v>
      </c>
      <c r="CX7" s="374">
        <v>1.5918125903838001</v>
      </c>
      <c r="CY7" s="374">
        <v>1.5918125903838001</v>
      </c>
      <c r="CZ7" s="374">
        <v>1.5918125903838001</v>
      </c>
      <c r="DA7" s="374">
        <v>1.5918125903838001</v>
      </c>
      <c r="DB7" s="374">
        <v>1.5918125903838001</v>
      </c>
      <c r="DC7" s="374">
        <v>1.5918125903838001</v>
      </c>
      <c r="DD7" s="374">
        <v>0.28131488009914318</v>
      </c>
      <c r="DE7" s="374">
        <v>0.28131488009914318</v>
      </c>
      <c r="DF7" s="373">
        <v>0.28131488009914318</v>
      </c>
      <c r="DG7" s="373">
        <v>9.7320752825336462E-2</v>
      </c>
      <c r="DH7" s="373">
        <v>3.1678733047659377E-2</v>
      </c>
      <c r="DI7" s="373">
        <v>9.7320752825336462E-2</v>
      </c>
      <c r="DJ7" s="308" t="s">
        <v>605</v>
      </c>
      <c r="DK7" s="308" t="s">
        <v>605</v>
      </c>
      <c r="DL7" s="309" t="s">
        <v>606</v>
      </c>
      <c r="DM7" s="309" t="s">
        <v>606</v>
      </c>
      <c r="DN7" s="272"/>
      <c r="DO7" s="272"/>
      <c r="DR7" t="s">
        <v>350</v>
      </c>
      <c r="DS7">
        <v>-40</v>
      </c>
    </row>
    <row r="8" spans="1:127" ht="15.6" thickBot="1" x14ac:dyDescent="0.35">
      <c r="A8" t="s">
        <v>562</v>
      </c>
      <c r="B8">
        <v>6</v>
      </c>
      <c r="C8" t="s">
        <v>640</v>
      </c>
      <c r="D8">
        <v>3</v>
      </c>
      <c r="E8" t="s">
        <v>564</v>
      </c>
      <c r="F8" t="s">
        <v>564</v>
      </c>
      <c r="G8">
        <v>0.33079999999999998</v>
      </c>
      <c r="H8" s="231">
        <v>0.33079999999999998</v>
      </c>
      <c r="J8" t="s">
        <v>641</v>
      </c>
      <c r="K8" s="45" t="s">
        <v>640</v>
      </c>
      <c r="L8" s="45">
        <v>0.63100000000000001</v>
      </c>
      <c r="N8" t="s">
        <v>423</v>
      </c>
      <c r="V8" t="s">
        <v>441</v>
      </c>
      <c r="X8" t="s">
        <v>539</v>
      </c>
      <c r="Y8" t="s">
        <v>642</v>
      </c>
      <c r="AC8" t="s">
        <v>642</v>
      </c>
      <c r="AD8">
        <f>'FFI tables'!D20</f>
        <v>0.2</v>
      </c>
      <c r="AE8">
        <f>'FFI tables'!E20</f>
        <v>1.1000000000000001</v>
      </c>
      <c r="AF8">
        <f>'FFI tables'!F20</f>
        <v>0.3</v>
      </c>
      <c r="AG8">
        <f>'FFI tables'!G20</f>
        <v>0.5</v>
      </c>
      <c r="AH8">
        <f>'FFI tables'!H20</f>
        <v>0.5</v>
      </c>
      <c r="AI8">
        <f>'FFI tables'!I20</f>
        <v>1.1000000000000001</v>
      </c>
      <c r="AJ8">
        <v>0.6</v>
      </c>
      <c r="AS8" t="s">
        <v>643</v>
      </c>
      <c r="AT8" t="s">
        <v>640</v>
      </c>
      <c r="AU8" s="152">
        <v>3.2480000000000002</v>
      </c>
      <c r="AV8" s="152">
        <v>6.2640000000000002</v>
      </c>
      <c r="AX8" t="s">
        <v>644</v>
      </c>
      <c r="AY8" s="152">
        <v>0.81</v>
      </c>
      <c r="AZ8" s="152">
        <v>3.3210000000000002</v>
      </c>
      <c r="BA8" s="152">
        <f t="shared" si="0"/>
        <v>1.265625</v>
      </c>
      <c r="BB8" s="152">
        <f t="shared" si="1"/>
        <v>5.1890625000000004</v>
      </c>
      <c r="BD8" t="s">
        <v>641</v>
      </c>
      <c r="BE8" s="44">
        <v>0.64</v>
      </c>
      <c r="BG8" t="s">
        <v>645</v>
      </c>
      <c r="BH8" s="277" t="s">
        <v>646</v>
      </c>
      <c r="BI8" s="277">
        <v>10</v>
      </c>
      <c r="BT8" s="372"/>
      <c r="BU8" s="259" t="s">
        <v>421</v>
      </c>
      <c r="BV8" s="260">
        <v>43001050105</v>
      </c>
      <c r="BW8" s="261" t="s">
        <v>647</v>
      </c>
      <c r="BX8" s="261" t="s">
        <v>648</v>
      </c>
      <c r="BY8" s="152">
        <v>0.87622847471388832</v>
      </c>
      <c r="BZ8" s="152">
        <v>1.083236078425126</v>
      </c>
      <c r="CA8" s="152">
        <v>1.083236078425126</v>
      </c>
      <c r="CB8" s="152">
        <v>1.083236078425126</v>
      </c>
      <c r="CC8" s="152">
        <v>1.083236078425126</v>
      </c>
      <c r="CD8" s="152">
        <v>1.083236078425126</v>
      </c>
      <c r="CE8" s="152">
        <v>1.083236078425126</v>
      </c>
      <c r="CF8" s="152">
        <v>9.4106841366564994E-3</v>
      </c>
      <c r="CG8" s="152">
        <v>6.1248439063611708E-2</v>
      </c>
      <c r="CH8" s="152">
        <v>0.56220716810845028</v>
      </c>
      <c r="CI8" s="152">
        <v>0.56220716810845028</v>
      </c>
      <c r="CJ8" s="259" t="s">
        <v>421</v>
      </c>
      <c r="CK8" s="261" t="s">
        <v>648</v>
      </c>
      <c r="CL8" s="374">
        <v>0.32824602993246849</v>
      </c>
      <c r="CM8" s="374">
        <v>0.32824602993246849</v>
      </c>
      <c r="CN8" s="374">
        <v>0.32824602993246849</v>
      </c>
      <c r="CO8" s="374">
        <v>0.32824602993246849</v>
      </c>
      <c r="CP8" s="374">
        <v>0.2717254585491819</v>
      </c>
      <c r="CQ8" s="374">
        <v>0.2717254585491819</v>
      </c>
      <c r="CR8" s="374">
        <v>0.2717254585491819</v>
      </c>
      <c r="CS8" s="374">
        <v>0.2717254585491819</v>
      </c>
      <c r="CT8" s="374">
        <v>2.3336452709558029</v>
      </c>
      <c r="CU8" s="374">
        <v>2.3336452709558029</v>
      </c>
      <c r="CV8" s="374">
        <v>2.3336452709558029</v>
      </c>
      <c r="CW8" s="374">
        <v>2.3336452709558029</v>
      </c>
      <c r="CX8" s="374">
        <v>0.60394910578075878</v>
      </c>
      <c r="CY8" s="374">
        <v>0.60394910578075878</v>
      </c>
      <c r="CZ8" s="374">
        <v>0.60394910578075878</v>
      </c>
      <c r="DA8" s="374">
        <v>0.60394910578075878</v>
      </c>
      <c r="DB8" s="374">
        <v>0.60394910578075878</v>
      </c>
      <c r="DC8" s="374">
        <v>0.60394910578075878</v>
      </c>
      <c r="DD8" s="374">
        <v>0.28131488009914318</v>
      </c>
      <c r="DE8" s="374">
        <v>0.28131488009914318</v>
      </c>
      <c r="DF8" s="373">
        <v>0.28131488009914318</v>
      </c>
      <c r="DG8" s="373">
        <v>0.53924885643001819</v>
      </c>
      <c r="DH8" s="373">
        <v>0.17111236235190441</v>
      </c>
      <c r="DI8" s="373">
        <v>0.53924885643001819</v>
      </c>
      <c r="DJ8" s="308" t="s">
        <v>605</v>
      </c>
      <c r="DK8" s="308" t="s">
        <v>605</v>
      </c>
      <c r="DL8" s="309" t="s">
        <v>606</v>
      </c>
      <c r="DM8" s="309" t="s">
        <v>606</v>
      </c>
      <c r="DN8" s="272"/>
      <c r="DO8" s="272"/>
      <c r="DR8" t="s">
        <v>351</v>
      </c>
      <c r="DS8">
        <v>-30</v>
      </c>
    </row>
    <row r="9" spans="1:127" ht="15.6" thickBot="1" x14ac:dyDescent="0.35">
      <c r="A9" t="s">
        <v>562</v>
      </c>
      <c r="B9">
        <v>7</v>
      </c>
      <c r="C9" t="s">
        <v>649</v>
      </c>
      <c r="D9">
        <v>3</v>
      </c>
      <c r="E9" t="s">
        <v>564</v>
      </c>
      <c r="F9" t="s">
        <v>564</v>
      </c>
      <c r="G9">
        <v>0.91600000000000004</v>
      </c>
      <c r="H9" s="231">
        <v>0.91600000000000004</v>
      </c>
      <c r="J9" t="s">
        <v>650</v>
      </c>
      <c r="K9" s="45" t="s">
        <v>649</v>
      </c>
      <c r="L9" s="45">
        <v>0.63100000000000001</v>
      </c>
      <c r="N9" t="s">
        <v>420</v>
      </c>
      <c r="X9" t="s">
        <v>540</v>
      </c>
      <c r="Y9" t="s">
        <v>651</v>
      </c>
      <c r="AC9" t="s">
        <v>651</v>
      </c>
      <c r="AD9">
        <f>'FFI tables'!D23</f>
        <v>0.3</v>
      </c>
      <c r="AE9">
        <f>'FFI tables'!E23</f>
        <v>2.2000000000000002</v>
      </c>
      <c r="AF9">
        <f>'FFI tables'!F23</f>
        <v>0.5</v>
      </c>
      <c r="AG9">
        <f>'FFI tables'!G23</f>
        <v>1</v>
      </c>
      <c r="AH9">
        <f>'FFI tables'!H23</f>
        <v>1</v>
      </c>
      <c r="AI9">
        <f>'FFI tables'!I23</f>
        <v>2.1</v>
      </c>
      <c r="AJ9">
        <v>1.1000000000000001</v>
      </c>
      <c r="AS9" t="s">
        <v>643</v>
      </c>
      <c r="AT9" t="s">
        <v>649</v>
      </c>
      <c r="AU9" s="152">
        <v>2.996</v>
      </c>
      <c r="AV9" s="152">
        <v>6.5119999999999996</v>
      </c>
      <c r="AX9" t="s">
        <v>650</v>
      </c>
      <c r="AY9" s="152">
        <v>0.94699999999999995</v>
      </c>
      <c r="AZ9" s="152">
        <v>3.8849999999999998</v>
      </c>
      <c r="BA9" s="152">
        <f t="shared" si="0"/>
        <v>1.2626666666666666</v>
      </c>
      <c r="BB9" s="152">
        <f t="shared" si="1"/>
        <v>5.18</v>
      </c>
      <c r="BD9" t="s">
        <v>650</v>
      </c>
      <c r="BE9" s="44">
        <v>0.75</v>
      </c>
      <c r="BG9" t="s">
        <v>652</v>
      </c>
      <c r="BH9" s="206" t="s">
        <v>493</v>
      </c>
      <c r="BI9" s="206">
        <v>20</v>
      </c>
      <c r="BT9" s="372"/>
      <c r="BU9" s="259" t="s">
        <v>421</v>
      </c>
      <c r="BV9" s="260">
        <v>43001050106</v>
      </c>
      <c r="BW9" s="261" t="s">
        <v>653</v>
      </c>
      <c r="BX9" s="261" t="s">
        <v>654</v>
      </c>
      <c r="BY9" s="152">
        <v>0.13577403756738229</v>
      </c>
      <c r="BZ9" s="152">
        <v>0.21074891021278319</v>
      </c>
      <c r="CA9" s="152">
        <v>0.21074891021278319</v>
      </c>
      <c r="CB9" s="152">
        <v>0.21074891021278319</v>
      </c>
      <c r="CC9" s="152">
        <v>0.21074891021278319</v>
      </c>
      <c r="CD9" s="152">
        <v>0.21074891021278319</v>
      </c>
      <c r="CE9" s="152">
        <v>0.21074891021278319</v>
      </c>
      <c r="CF9" s="152">
        <v>9.4106841366564994E-3</v>
      </c>
      <c r="CG9" s="152">
        <v>6.7457140036774041E-2</v>
      </c>
      <c r="CH9" s="152">
        <v>0.1109797929983639</v>
      </c>
      <c r="CI9" s="152">
        <v>0.1109797929983639</v>
      </c>
      <c r="CJ9" s="259" t="s">
        <v>421</v>
      </c>
      <c r="CK9" s="261" t="s">
        <v>654</v>
      </c>
      <c r="CL9" s="374">
        <v>0.32824602993246849</v>
      </c>
      <c r="CM9" s="374">
        <v>0.32824602993246849</v>
      </c>
      <c r="CN9" s="374">
        <v>0.32824602993246849</v>
      </c>
      <c r="CO9" s="374">
        <v>0.32824602993246849</v>
      </c>
      <c r="CP9" s="374">
        <v>0.2717254585491819</v>
      </c>
      <c r="CQ9" s="374">
        <v>0.2717254585491819</v>
      </c>
      <c r="CR9" s="374">
        <v>0.2717254585491819</v>
      </c>
      <c r="CS9" s="374">
        <v>0.2717254585491819</v>
      </c>
      <c r="CT9" s="374">
        <v>0.17240391654871551</v>
      </c>
      <c r="CU9" s="374">
        <v>0.17240391654871551</v>
      </c>
      <c r="CV9" s="374">
        <v>0.17240391654871551</v>
      </c>
      <c r="CW9" s="374">
        <v>0.17240391654871551</v>
      </c>
      <c r="CX9" s="374">
        <v>0.31503349873549352</v>
      </c>
      <c r="CY9" s="374">
        <v>0.31503349873549352</v>
      </c>
      <c r="CZ9" s="374">
        <v>0.31503349873549352</v>
      </c>
      <c r="DA9" s="374">
        <v>0.31503349873549352</v>
      </c>
      <c r="DB9" s="374">
        <v>0.31503349873549352</v>
      </c>
      <c r="DC9" s="374">
        <v>0.31503349873549352</v>
      </c>
      <c r="DD9" s="374">
        <v>0.28131488009914318</v>
      </c>
      <c r="DE9" s="374">
        <v>0.28131488009914318</v>
      </c>
      <c r="DF9" s="373">
        <v>0.28131488009914318</v>
      </c>
      <c r="DG9" s="373">
        <v>0.1032536760244383</v>
      </c>
      <c r="DH9" s="373">
        <v>3.5689282533743538E-2</v>
      </c>
      <c r="DI9" s="373">
        <v>0.1032536760244383</v>
      </c>
      <c r="DJ9" s="308" t="s">
        <v>605</v>
      </c>
      <c r="DK9" s="308" t="s">
        <v>605</v>
      </c>
      <c r="DL9" s="309" t="s">
        <v>606</v>
      </c>
      <c r="DM9" s="309" t="s">
        <v>606</v>
      </c>
      <c r="DN9" s="272"/>
      <c r="DO9" s="272"/>
      <c r="DR9" t="s">
        <v>352</v>
      </c>
      <c r="DS9">
        <v>-20</v>
      </c>
    </row>
    <row r="10" spans="1:127" ht="15.6" thickBot="1" x14ac:dyDescent="0.35">
      <c r="A10" t="s">
        <v>562</v>
      </c>
      <c r="B10">
        <v>8</v>
      </c>
      <c r="C10" t="s">
        <v>655</v>
      </c>
      <c r="D10">
        <v>3</v>
      </c>
      <c r="E10" t="s">
        <v>564</v>
      </c>
      <c r="F10" t="s">
        <v>564</v>
      </c>
      <c r="G10">
        <v>0.93330000000000002</v>
      </c>
      <c r="H10" s="231">
        <v>0.93330000000000002</v>
      </c>
      <c r="J10" t="s">
        <v>656</v>
      </c>
      <c r="K10" s="45" t="s">
        <v>655</v>
      </c>
      <c r="L10" s="45">
        <v>0.63100000000000001</v>
      </c>
      <c r="N10" t="s">
        <v>421</v>
      </c>
      <c r="Y10" t="s">
        <v>657</v>
      </c>
      <c r="AC10" t="s">
        <v>657</v>
      </c>
      <c r="AD10">
        <f>'FFI tables'!D26</f>
        <v>0.3</v>
      </c>
      <c r="AE10">
        <f>'FFI tables'!E26</f>
        <v>1.9</v>
      </c>
      <c r="AF10">
        <f>'FFI tables'!F26</f>
        <v>0.4</v>
      </c>
      <c r="AG10">
        <f>'FFI tables'!G26</f>
        <v>0.8</v>
      </c>
      <c r="AH10">
        <f>'FFI tables'!H26</f>
        <v>0.8</v>
      </c>
      <c r="AI10">
        <f>'FFI tables'!I26</f>
        <v>2.1</v>
      </c>
      <c r="AJ10">
        <v>0.7</v>
      </c>
      <c r="AS10" t="s">
        <v>658</v>
      </c>
      <c r="AT10" t="s">
        <v>659</v>
      </c>
      <c r="AU10" s="152">
        <v>2.7050000000000001</v>
      </c>
      <c r="AV10" s="152">
        <v>6.9089999999999998</v>
      </c>
      <c r="AX10" t="s">
        <v>660</v>
      </c>
      <c r="AY10" s="152">
        <v>1.19</v>
      </c>
      <c r="AZ10" s="152">
        <v>4.8840000000000003</v>
      </c>
      <c r="BA10" s="152">
        <f t="shared" si="0"/>
        <v>1.2659574468085106</v>
      </c>
      <c r="BB10" s="152">
        <f t="shared" si="1"/>
        <v>5.1957446808510639</v>
      </c>
      <c r="BD10" t="s">
        <v>656</v>
      </c>
      <c r="BE10" s="44">
        <v>0.94</v>
      </c>
      <c r="BG10" t="s">
        <v>661</v>
      </c>
      <c r="BH10" s="206" t="s">
        <v>108</v>
      </c>
      <c r="BI10" s="206">
        <v>10</v>
      </c>
      <c r="BT10" s="372"/>
      <c r="BU10" s="259" t="s">
        <v>421</v>
      </c>
      <c r="BV10" s="260">
        <v>43001050107</v>
      </c>
      <c r="BW10" s="261" t="s">
        <v>662</v>
      </c>
      <c r="BX10" s="261" t="s">
        <v>663</v>
      </c>
      <c r="BY10" s="152">
        <v>0.14512576736093979</v>
      </c>
      <c r="BZ10" s="152">
        <v>0.19717294925461851</v>
      </c>
      <c r="CA10" s="152">
        <v>0.19717294925461851</v>
      </c>
      <c r="CB10" s="152">
        <v>0.19717294925461851</v>
      </c>
      <c r="CC10" s="152">
        <v>0.19717294925461851</v>
      </c>
      <c r="CD10" s="152">
        <v>0.19717294925461851</v>
      </c>
      <c r="CE10" s="152">
        <v>0.19717294925461851</v>
      </c>
      <c r="CF10" s="152">
        <v>2.8993241259780418E-3</v>
      </c>
      <c r="CG10" s="152">
        <v>6.5457188670304353E-2</v>
      </c>
      <c r="CH10" s="152">
        <v>9.9210857941969169E-2</v>
      </c>
      <c r="CI10" s="152">
        <v>9.9210857941969169E-2</v>
      </c>
      <c r="CJ10" s="259" t="s">
        <v>421</v>
      </c>
      <c r="CK10" s="261" t="s">
        <v>663</v>
      </c>
      <c r="CL10" s="374">
        <v>0.32824602993246849</v>
      </c>
      <c r="CM10" s="374">
        <v>0.32824602993246849</v>
      </c>
      <c r="CN10" s="374">
        <v>0.32824602993246849</v>
      </c>
      <c r="CO10" s="374">
        <v>0.32824602993246849</v>
      </c>
      <c r="CP10" s="374">
        <v>0.2717254585491819</v>
      </c>
      <c r="CQ10" s="374">
        <v>0.2717254585491819</v>
      </c>
      <c r="CR10" s="374">
        <v>0.2717254585491819</v>
      </c>
      <c r="CS10" s="374">
        <v>0.2717254585491819</v>
      </c>
      <c r="CT10" s="374">
        <v>0.13133530130632809</v>
      </c>
      <c r="CU10" s="374">
        <v>0.13133530130632809</v>
      </c>
      <c r="CV10" s="374">
        <v>0.13133530130632809</v>
      </c>
      <c r="CW10" s="374">
        <v>0.13133530130632809</v>
      </c>
      <c r="CX10" s="374">
        <v>0.41643928491965843</v>
      </c>
      <c r="CY10" s="374">
        <v>0.41643928491965843</v>
      </c>
      <c r="CZ10" s="374">
        <v>0.41643928491965843</v>
      </c>
      <c r="DA10" s="374">
        <v>0.41643928491965843</v>
      </c>
      <c r="DB10" s="374">
        <v>0.41643928491965843</v>
      </c>
      <c r="DC10" s="374">
        <v>0.41643928491965843</v>
      </c>
      <c r="DD10" s="374">
        <v>0.28131488009914318</v>
      </c>
      <c r="DE10" s="374">
        <v>0.28131488009914318</v>
      </c>
      <c r="DF10" s="373">
        <v>0.28131488009914318</v>
      </c>
      <c r="DG10" s="373">
        <v>0.1324401705999588</v>
      </c>
      <c r="DH10" s="373">
        <v>3.3042492754964382E-2</v>
      </c>
      <c r="DI10" s="373">
        <v>0.1324401705999588</v>
      </c>
      <c r="DJ10" s="308" t="s">
        <v>605</v>
      </c>
      <c r="DK10" s="308" t="s">
        <v>605</v>
      </c>
      <c r="DL10" s="309" t="s">
        <v>606</v>
      </c>
      <c r="DM10" s="309" t="s">
        <v>606</v>
      </c>
      <c r="DN10" s="272"/>
      <c r="DO10" s="272"/>
      <c r="DR10" t="s">
        <v>353</v>
      </c>
      <c r="DS10">
        <v>-10</v>
      </c>
    </row>
    <row r="11" spans="1:127" ht="15" x14ac:dyDescent="0.3">
      <c r="A11" t="s">
        <v>562</v>
      </c>
      <c r="B11">
        <v>9</v>
      </c>
      <c r="C11" t="s">
        <v>664</v>
      </c>
      <c r="D11">
        <v>2</v>
      </c>
      <c r="E11" t="s">
        <v>564</v>
      </c>
      <c r="F11" t="s">
        <v>564</v>
      </c>
      <c r="G11">
        <v>1.6057999999999999</v>
      </c>
      <c r="H11" s="231">
        <v>1.6057999999999999</v>
      </c>
      <c r="J11" t="s">
        <v>665</v>
      </c>
      <c r="K11" s="45" t="s">
        <v>664</v>
      </c>
      <c r="L11" s="45">
        <v>0.63100000000000001</v>
      </c>
      <c r="N11" t="s">
        <v>427</v>
      </c>
      <c r="Y11" t="s">
        <v>666</v>
      </c>
      <c r="AC11" t="s">
        <v>666</v>
      </c>
      <c r="AD11">
        <f>'FFI tables'!D29</f>
        <v>0.1</v>
      </c>
      <c r="AE11">
        <f>'FFI tables'!E29</f>
        <v>0.5</v>
      </c>
      <c r="AF11">
        <f>'FFI tables'!F29</f>
        <v>0.2</v>
      </c>
      <c r="AG11">
        <f>'FFI tables'!G29</f>
        <v>0.3</v>
      </c>
      <c r="AH11">
        <f>'FFI tables'!H29</f>
        <v>0.3</v>
      </c>
      <c r="AI11">
        <f>'FFI tables'!I29</f>
        <v>0.7</v>
      </c>
      <c r="AJ11">
        <v>0.2</v>
      </c>
      <c r="AS11" t="s">
        <v>625</v>
      </c>
      <c r="AT11" t="s">
        <v>667</v>
      </c>
      <c r="AU11" s="152">
        <v>2.0920000000000001</v>
      </c>
      <c r="AV11" s="152">
        <v>4.3659999999999997</v>
      </c>
      <c r="AX11" t="s">
        <v>668</v>
      </c>
      <c r="AY11" s="152">
        <v>0.44</v>
      </c>
      <c r="AZ11" s="152">
        <v>1.8049999999999999</v>
      </c>
      <c r="BA11" s="152">
        <f t="shared" si="0"/>
        <v>1.2941176470588234</v>
      </c>
      <c r="BB11" s="152">
        <f t="shared" si="1"/>
        <v>5.3088235294117645</v>
      </c>
      <c r="BD11" t="s">
        <v>665</v>
      </c>
      <c r="BE11" s="44">
        <v>0.34</v>
      </c>
      <c r="BG11" t="s">
        <v>669</v>
      </c>
      <c r="BH11" t="s">
        <v>113</v>
      </c>
      <c r="BI11">
        <v>10</v>
      </c>
      <c r="BT11" s="372"/>
      <c r="BU11" s="259" t="s">
        <v>421</v>
      </c>
      <c r="BV11" s="260">
        <v>43001050201</v>
      </c>
      <c r="BW11" s="261" t="s">
        <v>670</v>
      </c>
      <c r="BX11" s="261" t="s">
        <v>671</v>
      </c>
      <c r="BY11" s="152">
        <v>0.27538405467797872</v>
      </c>
      <c r="BZ11" s="152">
        <v>0.35169479348138138</v>
      </c>
      <c r="CA11" s="152">
        <v>0.35169479348138138</v>
      </c>
      <c r="CB11" s="152">
        <v>0.35169479348138138</v>
      </c>
      <c r="CC11" s="152">
        <v>0.35169479348138138</v>
      </c>
      <c r="CD11" s="152">
        <v>0.35169479348138138</v>
      </c>
      <c r="CE11" s="152">
        <v>0.35169479348138138</v>
      </c>
      <c r="CF11" s="152">
        <v>9.4106841366564994E-3</v>
      </c>
      <c r="CG11" s="152">
        <v>7.4601154738226594E-2</v>
      </c>
      <c r="CH11" s="152">
        <v>0.14156210997337049</v>
      </c>
      <c r="CI11" s="152">
        <v>0.14156210997337049</v>
      </c>
      <c r="CJ11" s="259" t="s">
        <v>421</v>
      </c>
      <c r="CK11" s="261" t="s">
        <v>671</v>
      </c>
      <c r="CL11" s="374">
        <v>0.32824602993246849</v>
      </c>
      <c r="CM11" s="374">
        <v>0.32824602993246849</v>
      </c>
      <c r="CN11" s="374">
        <v>0.32824602993246849</v>
      </c>
      <c r="CO11" s="374">
        <v>0.32824602993246849</v>
      </c>
      <c r="CP11" s="374">
        <v>0.2717254585491819</v>
      </c>
      <c r="CQ11" s="374">
        <v>0.2717254585491819</v>
      </c>
      <c r="CR11" s="374">
        <v>0.2717254585491819</v>
      </c>
      <c r="CS11" s="374">
        <v>0.2717254585491819</v>
      </c>
      <c r="CT11" s="374">
        <v>0.2427128841615504</v>
      </c>
      <c r="CU11" s="374">
        <v>0.2427128841615504</v>
      </c>
      <c r="CV11" s="374">
        <v>0.2427128841615504</v>
      </c>
      <c r="CW11" s="374">
        <v>0.2427128841615504</v>
      </c>
      <c r="CX11" s="374">
        <v>0.82872118364722724</v>
      </c>
      <c r="CY11" s="374">
        <v>0.82872118364722724</v>
      </c>
      <c r="CZ11" s="374">
        <v>0.82872118364722724</v>
      </c>
      <c r="DA11" s="374">
        <v>0.82872118364722724</v>
      </c>
      <c r="DB11" s="374">
        <v>0.82872118364722724</v>
      </c>
      <c r="DC11" s="374">
        <v>0.82872118364722724</v>
      </c>
      <c r="DD11" s="374">
        <v>0.28131488009914318</v>
      </c>
      <c r="DE11" s="374">
        <v>0.28131488009914318</v>
      </c>
      <c r="DF11" s="373">
        <v>0.28131488009914318</v>
      </c>
      <c r="DG11" s="373">
        <v>0.1257232970615848</v>
      </c>
      <c r="DH11" s="373">
        <v>3.7450089808929873E-2</v>
      </c>
      <c r="DI11" s="373">
        <v>0.1257232970615848</v>
      </c>
      <c r="DJ11" s="308" t="s">
        <v>605</v>
      </c>
      <c r="DK11" s="308" t="s">
        <v>605</v>
      </c>
      <c r="DL11" s="309" t="s">
        <v>606</v>
      </c>
      <c r="DM11" s="309" t="s">
        <v>606</v>
      </c>
      <c r="DN11" s="272"/>
      <c r="DO11" s="272"/>
      <c r="DR11" t="s">
        <v>354</v>
      </c>
      <c r="DS11">
        <v>-30</v>
      </c>
    </row>
    <row r="12" spans="1:127" ht="15" x14ac:dyDescent="0.3">
      <c r="A12" t="s">
        <v>562</v>
      </c>
      <c r="B12">
        <v>10</v>
      </c>
      <c r="C12" t="s">
        <v>672</v>
      </c>
      <c r="D12">
        <v>5</v>
      </c>
      <c r="E12" t="s">
        <v>564</v>
      </c>
      <c r="F12" t="s">
        <v>564</v>
      </c>
      <c r="G12">
        <v>0.97089999999999999</v>
      </c>
      <c r="H12" s="231">
        <v>0.97089999999999999</v>
      </c>
      <c r="J12" t="s">
        <v>673</v>
      </c>
      <c r="K12" s="45" t="s">
        <v>672</v>
      </c>
      <c r="L12" s="45">
        <v>0.87</v>
      </c>
      <c r="N12" t="s">
        <v>674</v>
      </c>
      <c r="Y12" t="s">
        <v>675</v>
      </c>
      <c r="AC12" t="s">
        <v>675</v>
      </c>
      <c r="AD12">
        <f>'FFI tables'!D32</f>
        <v>0.2</v>
      </c>
      <c r="AE12">
        <f>'FFI tables'!E32</f>
        <v>1.8</v>
      </c>
      <c r="AF12">
        <f>'FFI tables'!F32</f>
        <v>0.3</v>
      </c>
      <c r="AG12">
        <f>'FFI tables'!G32</f>
        <v>0.8</v>
      </c>
      <c r="AH12">
        <f>'FFI tables'!H32</f>
        <v>0.8</v>
      </c>
      <c r="AI12">
        <f>'FFI tables'!I32</f>
        <v>2</v>
      </c>
      <c r="AJ12">
        <v>0.6</v>
      </c>
      <c r="AS12" t="s">
        <v>676</v>
      </c>
      <c r="AT12" t="s">
        <v>563</v>
      </c>
      <c r="AU12" s="152">
        <v>3.0640000000000001</v>
      </c>
      <c r="AV12" s="152">
        <v>6.3380000000000001</v>
      </c>
      <c r="AX12" t="s">
        <v>677</v>
      </c>
      <c r="AY12" s="152">
        <v>0.13700000000000001</v>
      </c>
      <c r="AZ12" s="152">
        <v>0.56399999999999995</v>
      </c>
      <c r="BA12" s="152">
        <f t="shared" si="0"/>
        <v>1.2454545454545456</v>
      </c>
      <c r="BB12" s="152">
        <f t="shared" si="1"/>
        <v>5.127272727272727</v>
      </c>
      <c r="BD12" t="s">
        <v>673</v>
      </c>
      <c r="BE12" s="44">
        <v>0.11</v>
      </c>
      <c r="BG12" t="s">
        <v>678</v>
      </c>
      <c r="BH12" t="s">
        <v>111</v>
      </c>
      <c r="BI12">
        <v>20</v>
      </c>
      <c r="BT12" s="372"/>
      <c r="BU12" s="259" t="s">
        <v>421</v>
      </c>
      <c r="BV12" s="260">
        <v>43001050202</v>
      </c>
      <c r="BW12" s="261" t="s">
        <v>679</v>
      </c>
      <c r="BX12" s="261" t="s">
        <v>680</v>
      </c>
      <c r="BY12" s="152">
        <v>0.3510873429598737</v>
      </c>
      <c r="BZ12" s="152">
        <v>0.42377529982609918</v>
      </c>
      <c r="CA12" s="152">
        <v>0.42377529982609918</v>
      </c>
      <c r="CB12" s="152">
        <v>0.42377529982609918</v>
      </c>
      <c r="CC12" s="152">
        <v>0.42377529982609918</v>
      </c>
      <c r="CD12" s="152">
        <v>0.42377529982609918</v>
      </c>
      <c r="CE12" s="152">
        <v>0.42377529982609918</v>
      </c>
      <c r="CF12" s="152">
        <v>9.4106841366564994E-3</v>
      </c>
      <c r="CG12" s="152">
        <v>0.3399236480896245</v>
      </c>
      <c r="CH12" s="152">
        <v>0.25131859739480389</v>
      </c>
      <c r="CI12" s="152">
        <v>0.25131859739480389</v>
      </c>
      <c r="CJ12" s="259" t="s">
        <v>421</v>
      </c>
      <c r="CK12" s="261" t="s">
        <v>680</v>
      </c>
      <c r="CL12" s="374">
        <v>0.32824602993246849</v>
      </c>
      <c r="CM12" s="374">
        <v>0.32824602993246849</v>
      </c>
      <c r="CN12" s="374">
        <v>0.32824602993246849</v>
      </c>
      <c r="CO12" s="374">
        <v>0.32824602993246849</v>
      </c>
      <c r="CP12" s="374">
        <v>0.2717254585491819</v>
      </c>
      <c r="CQ12" s="374">
        <v>0.2717254585491819</v>
      </c>
      <c r="CR12" s="374">
        <v>0.2717254585491819</v>
      </c>
      <c r="CS12" s="374">
        <v>0.2717254585491819</v>
      </c>
      <c r="CT12" s="374">
        <v>1.1968636590199999</v>
      </c>
      <c r="CU12" s="374">
        <v>1.1968636590199999</v>
      </c>
      <c r="CV12" s="374">
        <v>1.1968636590199999</v>
      </c>
      <c r="CW12" s="374">
        <v>1.1968636590199999</v>
      </c>
      <c r="CX12" s="374">
        <v>1.641460519253549</v>
      </c>
      <c r="CY12" s="374">
        <v>1.641460519253549</v>
      </c>
      <c r="CZ12" s="374">
        <v>1.641460519253549</v>
      </c>
      <c r="DA12" s="374">
        <v>1.641460519253549</v>
      </c>
      <c r="DB12" s="374">
        <v>1.641460519253549</v>
      </c>
      <c r="DC12" s="374">
        <v>1.641460519253549</v>
      </c>
      <c r="DD12" s="374">
        <v>0.28131488009914318</v>
      </c>
      <c r="DE12" s="374">
        <v>0.28131488009914318</v>
      </c>
      <c r="DF12" s="373">
        <v>0.28131488009914318</v>
      </c>
      <c r="DG12" s="373">
        <v>0.2698890213227243</v>
      </c>
      <c r="DH12" s="373">
        <v>5.0644575592712522E-2</v>
      </c>
      <c r="DI12" s="373">
        <v>0.2698890213227243</v>
      </c>
      <c r="DJ12" s="308" t="s">
        <v>605</v>
      </c>
      <c r="DK12" s="308" t="s">
        <v>605</v>
      </c>
      <c r="DL12" s="309" t="s">
        <v>606</v>
      </c>
      <c r="DM12" s="309" t="s">
        <v>606</v>
      </c>
      <c r="DN12" s="272"/>
      <c r="DO12" s="272"/>
      <c r="DR12" t="s">
        <v>355</v>
      </c>
      <c r="DS12">
        <v>-40</v>
      </c>
    </row>
    <row r="13" spans="1:127" ht="15" x14ac:dyDescent="0.3">
      <c r="A13" t="s">
        <v>562</v>
      </c>
      <c r="B13">
        <v>11</v>
      </c>
      <c r="C13" t="s">
        <v>264</v>
      </c>
      <c r="D13">
        <v>8</v>
      </c>
      <c r="E13" t="s">
        <v>564</v>
      </c>
      <c r="F13" t="s">
        <v>564</v>
      </c>
      <c r="G13">
        <v>0.85680000000000001</v>
      </c>
      <c r="H13" s="231">
        <v>0.85680000000000001</v>
      </c>
      <c r="J13" t="s">
        <v>681</v>
      </c>
      <c r="K13" s="45" t="s">
        <v>264</v>
      </c>
      <c r="L13" s="45">
        <v>0.87</v>
      </c>
      <c r="N13" t="s">
        <v>682</v>
      </c>
      <c r="Y13" t="s">
        <v>683</v>
      </c>
      <c r="AC13" t="s">
        <v>683</v>
      </c>
      <c r="AD13">
        <f>'FFI tables'!D35</f>
        <v>0.5</v>
      </c>
      <c r="AE13">
        <f>'FFI tables'!E35</f>
        <v>3.6</v>
      </c>
      <c r="AF13">
        <f>'FFI tables'!F35</f>
        <v>0.8</v>
      </c>
      <c r="AG13">
        <f>'FFI tables'!G35</f>
        <v>2.2000000000000002</v>
      </c>
      <c r="AH13">
        <f>'FFI tables'!H35</f>
        <v>1.4</v>
      </c>
      <c r="AI13">
        <f>'FFI tables'!I35</f>
        <v>5.7</v>
      </c>
      <c r="AJ13">
        <v>2</v>
      </c>
      <c r="AS13" t="s">
        <v>684</v>
      </c>
      <c r="AT13" t="s">
        <v>685</v>
      </c>
      <c r="AU13" s="152">
        <v>4.077</v>
      </c>
      <c r="AV13" s="152">
        <v>1.504</v>
      </c>
      <c r="AX13" t="s">
        <v>686</v>
      </c>
      <c r="AY13" s="152">
        <v>0.77800000000000002</v>
      </c>
      <c r="AZ13" s="152">
        <v>3.194</v>
      </c>
      <c r="BA13" s="152">
        <f t="shared" si="0"/>
        <v>1.2966666666666669</v>
      </c>
      <c r="BB13" s="152">
        <f t="shared" si="1"/>
        <v>5.3233333333333333</v>
      </c>
      <c r="BD13" t="s">
        <v>681</v>
      </c>
      <c r="BE13" s="44">
        <v>0.6</v>
      </c>
      <c r="BG13" t="s">
        <v>687</v>
      </c>
      <c r="BH13" t="s">
        <v>102</v>
      </c>
      <c r="BI13">
        <v>10</v>
      </c>
      <c r="BT13" s="372"/>
      <c r="BU13" s="259" t="s">
        <v>421</v>
      </c>
      <c r="BV13" s="260">
        <v>43001050301</v>
      </c>
      <c r="BW13" s="261" t="s">
        <v>688</v>
      </c>
      <c r="BX13" s="261" t="s">
        <v>689</v>
      </c>
      <c r="BY13" s="152">
        <v>0.21673882997265309</v>
      </c>
      <c r="BZ13" s="152">
        <v>0.3306342459018411</v>
      </c>
      <c r="CA13" s="152">
        <v>0.3306342459018411</v>
      </c>
      <c r="CB13" s="152">
        <v>0.3306342459018411</v>
      </c>
      <c r="CC13" s="152">
        <v>0.3306342459018411</v>
      </c>
      <c r="CD13" s="152">
        <v>0.3306342459018411</v>
      </c>
      <c r="CE13" s="152">
        <v>0.3306342459018411</v>
      </c>
      <c r="CF13" s="152">
        <v>9.4106841366564994E-3</v>
      </c>
      <c r="CG13" s="152">
        <v>8.4010291043157229E-2</v>
      </c>
      <c r="CH13" s="152">
        <v>0.161104588401416</v>
      </c>
      <c r="CI13" s="152">
        <v>0.161104588401416</v>
      </c>
      <c r="CJ13" s="259" t="s">
        <v>421</v>
      </c>
      <c r="CK13" s="261" t="s">
        <v>689</v>
      </c>
      <c r="CL13" s="374">
        <v>0.32824602993246849</v>
      </c>
      <c r="CM13" s="374">
        <v>0.32824602993246849</v>
      </c>
      <c r="CN13" s="374">
        <v>0.32824602993246849</v>
      </c>
      <c r="CO13" s="374">
        <v>0.32824602993246849</v>
      </c>
      <c r="CP13" s="374">
        <v>0.2717254585491819</v>
      </c>
      <c r="CQ13" s="374">
        <v>0.2717254585491819</v>
      </c>
      <c r="CR13" s="374">
        <v>0.2717254585491819</v>
      </c>
      <c r="CS13" s="374">
        <v>0.2717254585491819</v>
      </c>
      <c r="CT13" s="374">
        <v>0.1946879938286166</v>
      </c>
      <c r="CU13" s="374">
        <v>0.1946879938286166</v>
      </c>
      <c r="CV13" s="374">
        <v>0.1946879938286166</v>
      </c>
      <c r="CW13" s="374">
        <v>0.1946879938286166</v>
      </c>
      <c r="CX13" s="374">
        <v>0.91810717569546951</v>
      </c>
      <c r="CY13" s="374">
        <v>0.91810717569546951</v>
      </c>
      <c r="CZ13" s="374">
        <v>0.91810717569546951</v>
      </c>
      <c r="DA13" s="374">
        <v>0.91810717569546951</v>
      </c>
      <c r="DB13" s="374">
        <v>0.91810717569546951</v>
      </c>
      <c r="DC13" s="374">
        <v>0.91810717569546951</v>
      </c>
      <c r="DD13" s="374">
        <v>0.28131488009914318</v>
      </c>
      <c r="DE13" s="374">
        <v>0.28131488009914318</v>
      </c>
      <c r="DF13" s="373">
        <v>0.28131488009914318</v>
      </c>
      <c r="DG13" s="373">
        <v>0.1532611724089345</v>
      </c>
      <c r="DH13" s="373">
        <v>5.1858045338943677E-2</v>
      </c>
      <c r="DI13" s="373">
        <v>0.1532611724089345</v>
      </c>
      <c r="DJ13" s="308" t="s">
        <v>605</v>
      </c>
      <c r="DK13" s="308" t="s">
        <v>605</v>
      </c>
      <c r="DL13" s="309" t="s">
        <v>606</v>
      </c>
      <c r="DM13" s="309" t="s">
        <v>606</v>
      </c>
      <c r="DN13" s="272"/>
      <c r="DO13" s="272"/>
      <c r="DR13" t="s">
        <v>356</v>
      </c>
      <c r="DS13">
        <v>-20</v>
      </c>
    </row>
    <row r="14" spans="1:127" ht="15" x14ac:dyDescent="0.3">
      <c r="A14" t="s">
        <v>562</v>
      </c>
      <c r="B14">
        <v>12</v>
      </c>
      <c r="C14" t="s">
        <v>690</v>
      </c>
      <c r="D14">
        <v>5</v>
      </c>
      <c r="E14" t="s">
        <v>564</v>
      </c>
      <c r="F14" t="s">
        <v>564</v>
      </c>
      <c r="G14">
        <v>0.45739999999999997</v>
      </c>
      <c r="H14" s="231">
        <v>0.45739999999999997</v>
      </c>
      <c r="J14" t="s">
        <v>691</v>
      </c>
      <c r="K14" s="45" t="s">
        <v>690</v>
      </c>
      <c r="L14" s="45">
        <v>0.79900000000000004</v>
      </c>
      <c r="N14" t="s">
        <v>424</v>
      </c>
      <c r="Y14" t="s">
        <v>692</v>
      </c>
      <c r="AC14" t="s">
        <v>692</v>
      </c>
      <c r="AD14">
        <f>'FFI tables'!D38</f>
        <v>0.7</v>
      </c>
      <c r="AE14">
        <f>'FFI tables'!E38</f>
        <v>6.9</v>
      </c>
      <c r="AF14">
        <f>'FFI tables'!F38</f>
        <v>1.1000000000000001</v>
      </c>
      <c r="AG14">
        <f>'FFI tables'!G38</f>
        <v>0.2</v>
      </c>
      <c r="AH14">
        <f>'FFI tables'!H38</f>
        <v>4.2</v>
      </c>
      <c r="AI14">
        <f>'FFI tables'!I38</f>
        <v>1.2</v>
      </c>
      <c r="AJ14">
        <v>2.6</v>
      </c>
      <c r="AS14" t="s">
        <v>684</v>
      </c>
      <c r="AT14" t="s">
        <v>693</v>
      </c>
      <c r="AU14" s="152">
        <v>3.28</v>
      </c>
      <c r="AV14" s="152">
        <v>6.1749999999999998</v>
      </c>
      <c r="AX14" t="s">
        <v>11</v>
      </c>
      <c r="AY14" s="152">
        <v>1.2689999999999999</v>
      </c>
      <c r="AZ14" s="152">
        <v>5.2080000000000002</v>
      </c>
      <c r="BA14" s="152">
        <f t="shared" si="0"/>
        <v>1.3218749999999999</v>
      </c>
      <c r="BB14" s="152">
        <f t="shared" si="1"/>
        <v>5.4250000000000007</v>
      </c>
      <c r="BD14" t="s">
        <v>691</v>
      </c>
      <c r="BE14" s="44">
        <v>0.96</v>
      </c>
      <c r="BG14" t="s">
        <v>694</v>
      </c>
      <c r="BH14" t="s">
        <v>104</v>
      </c>
      <c r="BI14">
        <v>10</v>
      </c>
      <c r="BT14" s="372"/>
      <c r="BU14" s="259" t="s">
        <v>421</v>
      </c>
      <c r="BV14" s="260">
        <v>43001050302</v>
      </c>
      <c r="BW14" s="261" t="s">
        <v>695</v>
      </c>
      <c r="BX14" s="261" t="s">
        <v>696</v>
      </c>
      <c r="BY14" s="152">
        <v>0.18358229664644549</v>
      </c>
      <c r="BZ14" s="152">
        <v>0.29463918563427588</v>
      </c>
      <c r="CA14" s="152">
        <v>0.29463918563427588</v>
      </c>
      <c r="CB14" s="152">
        <v>0.29463918563427588</v>
      </c>
      <c r="CC14" s="152">
        <v>0.29463918563427588</v>
      </c>
      <c r="CD14" s="152">
        <v>0.29463918563427588</v>
      </c>
      <c r="CE14" s="152">
        <v>0.29463918563427588</v>
      </c>
      <c r="CF14" s="152">
        <v>9.4106841366564994E-3</v>
      </c>
      <c r="CG14" s="152">
        <v>0.10454371692965039</v>
      </c>
      <c r="CH14" s="152">
        <v>0.11758350598279919</v>
      </c>
      <c r="CI14" s="152">
        <v>0.11758350598279919</v>
      </c>
      <c r="CJ14" s="259" t="s">
        <v>421</v>
      </c>
      <c r="CK14" s="261" t="s">
        <v>696</v>
      </c>
      <c r="CL14" s="374">
        <v>0.32824602993246849</v>
      </c>
      <c r="CM14" s="374">
        <v>0.32824602993246849</v>
      </c>
      <c r="CN14" s="374">
        <v>0.32824602993246849</v>
      </c>
      <c r="CO14" s="374">
        <v>0.32824602993246849</v>
      </c>
      <c r="CP14" s="374">
        <v>0.2717254585491819</v>
      </c>
      <c r="CQ14" s="374">
        <v>0.2717254585491819</v>
      </c>
      <c r="CR14" s="374">
        <v>0.2717254585491819</v>
      </c>
      <c r="CS14" s="374">
        <v>0.2717254585491819</v>
      </c>
      <c r="CT14" s="374">
        <v>0.553097270691978</v>
      </c>
      <c r="CU14" s="374">
        <v>0.553097270691978</v>
      </c>
      <c r="CV14" s="374">
        <v>0.553097270691978</v>
      </c>
      <c r="CW14" s="374">
        <v>0.553097270691978</v>
      </c>
      <c r="CX14" s="374">
        <v>1.4272676401195481</v>
      </c>
      <c r="CY14" s="374">
        <v>1.4272676401195481</v>
      </c>
      <c r="CZ14" s="374">
        <v>1.4272676401195481</v>
      </c>
      <c r="DA14" s="374">
        <v>1.4272676401195481</v>
      </c>
      <c r="DB14" s="374">
        <v>1.4272676401195481</v>
      </c>
      <c r="DC14" s="374">
        <v>1.4272676401195481</v>
      </c>
      <c r="DD14" s="374">
        <v>0.28131488009914318</v>
      </c>
      <c r="DE14" s="374">
        <v>0.28131488009914318</v>
      </c>
      <c r="DF14" s="373">
        <v>0.28131488009914318</v>
      </c>
      <c r="DG14" s="373">
        <v>0.1397518599704885</v>
      </c>
      <c r="DH14" s="373">
        <v>3.2533502511825373E-2</v>
      </c>
      <c r="DI14" s="373">
        <v>0.1397518599704885</v>
      </c>
      <c r="DJ14" s="308" t="s">
        <v>605</v>
      </c>
      <c r="DK14" s="308" t="s">
        <v>605</v>
      </c>
      <c r="DL14" s="309" t="s">
        <v>606</v>
      </c>
      <c r="DM14" s="309" t="s">
        <v>606</v>
      </c>
      <c r="DN14" s="272"/>
      <c r="DO14" s="272"/>
      <c r="DR14" t="s">
        <v>357</v>
      </c>
      <c r="DS14">
        <v>-10</v>
      </c>
    </row>
    <row r="15" spans="1:127" ht="15" x14ac:dyDescent="0.3">
      <c r="A15" t="s">
        <v>562</v>
      </c>
      <c r="B15">
        <v>14</v>
      </c>
      <c r="C15" t="s">
        <v>697</v>
      </c>
      <c r="D15">
        <v>5</v>
      </c>
      <c r="E15" t="s">
        <v>564</v>
      </c>
      <c r="F15" t="s">
        <v>564</v>
      </c>
      <c r="G15">
        <v>0.10630000000000001</v>
      </c>
      <c r="H15" s="231">
        <v>0.10630000000000001</v>
      </c>
      <c r="J15" t="s">
        <v>563</v>
      </c>
      <c r="K15" s="45" t="s">
        <v>571</v>
      </c>
      <c r="L15" s="45">
        <v>0.96799999999999997</v>
      </c>
      <c r="N15" t="s">
        <v>698</v>
      </c>
      <c r="AS15" t="s">
        <v>699</v>
      </c>
      <c r="AT15" t="s">
        <v>700</v>
      </c>
      <c r="AU15" s="152">
        <v>2.5219999999999998</v>
      </c>
      <c r="AV15" s="152">
        <v>5.5890000000000004</v>
      </c>
      <c r="BG15" t="s">
        <v>701</v>
      </c>
      <c r="BH15" t="s">
        <v>92</v>
      </c>
      <c r="BI15">
        <v>10</v>
      </c>
      <c r="BT15" s="372"/>
      <c r="BU15" s="259" t="s">
        <v>421</v>
      </c>
      <c r="BV15" s="260">
        <v>43001050303</v>
      </c>
      <c r="BW15" s="261" t="s">
        <v>702</v>
      </c>
      <c r="BX15" s="261" t="s">
        <v>703</v>
      </c>
      <c r="BY15" s="152">
        <v>0.1746486114292283</v>
      </c>
      <c r="BZ15" s="152">
        <v>0.21933284915533269</v>
      </c>
      <c r="CA15" s="152">
        <v>0.21933284915533269</v>
      </c>
      <c r="CB15" s="152">
        <v>0.21933284915533269</v>
      </c>
      <c r="CC15" s="152">
        <v>0.21933284915533269</v>
      </c>
      <c r="CD15" s="152">
        <v>0.21933284915533269</v>
      </c>
      <c r="CE15" s="152">
        <v>0.21933284915533269</v>
      </c>
      <c r="CF15" s="152">
        <v>1.305248091881245E-2</v>
      </c>
      <c r="CG15" s="152">
        <v>0.14515479399149669</v>
      </c>
      <c r="CH15" s="152">
        <v>8.582682392637199E-2</v>
      </c>
      <c r="CI15" s="152">
        <v>8.582682392637199E-2</v>
      </c>
      <c r="CJ15" s="259" t="s">
        <v>421</v>
      </c>
      <c r="CK15" s="261" t="s">
        <v>703</v>
      </c>
      <c r="CL15" s="374">
        <v>0.32824602993246849</v>
      </c>
      <c r="CM15" s="374">
        <v>0.32824602993246849</v>
      </c>
      <c r="CN15" s="374">
        <v>0.32824602993246849</v>
      </c>
      <c r="CO15" s="374">
        <v>0.32824602993246849</v>
      </c>
      <c r="CP15" s="374">
        <v>0.2717254585491819</v>
      </c>
      <c r="CQ15" s="374">
        <v>0.2717254585491819</v>
      </c>
      <c r="CR15" s="374">
        <v>0.2717254585491819</v>
      </c>
      <c r="CS15" s="374">
        <v>0.2717254585491819</v>
      </c>
      <c r="CT15" s="374">
        <v>0.1841968432995218</v>
      </c>
      <c r="CU15" s="374">
        <v>0.1841968432995218</v>
      </c>
      <c r="CV15" s="374">
        <v>0.1841968432995218</v>
      </c>
      <c r="CW15" s="374">
        <v>0.1841968432995218</v>
      </c>
      <c r="CX15" s="374">
        <v>1.2011866317888811</v>
      </c>
      <c r="CY15" s="374">
        <v>1.2011866317888811</v>
      </c>
      <c r="CZ15" s="374">
        <v>1.2011866317888811</v>
      </c>
      <c r="DA15" s="374">
        <v>1.2011866317888811</v>
      </c>
      <c r="DB15" s="374">
        <v>1.2011866317888811</v>
      </c>
      <c r="DC15" s="374">
        <v>1.2011866317888811</v>
      </c>
      <c r="DD15" s="374">
        <v>0.28131488009914318</v>
      </c>
      <c r="DE15" s="374">
        <v>0.28131488009914318</v>
      </c>
      <c r="DF15" s="373">
        <v>0.28131488009914318</v>
      </c>
      <c r="DG15" s="373">
        <v>9.8547729924637437E-2</v>
      </c>
      <c r="DH15" s="373">
        <v>3.003914145708797E-2</v>
      </c>
      <c r="DI15" s="373">
        <v>9.8547729924637437E-2</v>
      </c>
      <c r="DJ15" s="308" t="s">
        <v>605</v>
      </c>
      <c r="DK15" s="308" t="s">
        <v>605</v>
      </c>
      <c r="DL15" s="309" t="s">
        <v>606</v>
      </c>
      <c r="DM15" s="309" t="s">
        <v>606</v>
      </c>
      <c r="DN15" s="272"/>
      <c r="DO15" s="272"/>
      <c r="DR15" t="s">
        <v>358</v>
      </c>
      <c r="DS15">
        <v>-50</v>
      </c>
    </row>
    <row r="16" spans="1:127" ht="15" x14ac:dyDescent="0.3">
      <c r="A16" t="s">
        <v>562</v>
      </c>
      <c r="B16">
        <v>17</v>
      </c>
      <c r="C16" t="s">
        <v>473</v>
      </c>
      <c r="D16">
        <v>7</v>
      </c>
      <c r="E16" t="s">
        <v>564</v>
      </c>
      <c r="F16" t="s">
        <v>564</v>
      </c>
      <c r="G16">
        <v>0.78900000000000003</v>
      </c>
      <c r="H16" s="231">
        <v>0.78900000000000003</v>
      </c>
      <c r="J16" t="s">
        <v>280</v>
      </c>
      <c r="K16" s="45" t="s">
        <v>697</v>
      </c>
      <c r="L16" s="45">
        <v>0.96799999999999997</v>
      </c>
      <c r="N16" t="s">
        <v>704</v>
      </c>
      <c r="AS16" t="s">
        <v>643</v>
      </c>
      <c r="AT16" t="s">
        <v>655</v>
      </c>
      <c r="AU16" s="152">
        <v>2.4830000000000001</v>
      </c>
      <c r="AV16" s="152">
        <v>6.8390000000000004</v>
      </c>
      <c r="BG16" t="s">
        <v>705</v>
      </c>
      <c r="BH16" t="s">
        <v>706</v>
      </c>
      <c r="BI16">
        <v>10</v>
      </c>
      <c r="BT16" s="372"/>
      <c r="BU16" s="259" t="s">
        <v>421</v>
      </c>
      <c r="BV16" s="260">
        <v>43001050304</v>
      </c>
      <c r="BW16" s="261" t="s">
        <v>707</v>
      </c>
      <c r="BX16" s="261" t="s">
        <v>708</v>
      </c>
      <c r="BY16" s="152">
        <v>0.12073594176349529</v>
      </c>
      <c r="BZ16" s="152">
        <v>0.1684777127780217</v>
      </c>
      <c r="CA16" s="152">
        <v>0.1684777127780217</v>
      </c>
      <c r="CB16" s="152">
        <v>0.1684777127780217</v>
      </c>
      <c r="CC16" s="152">
        <v>0.1684777127780217</v>
      </c>
      <c r="CD16" s="152">
        <v>0.1684777127780217</v>
      </c>
      <c r="CE16" s="152">
        <v>0.1684777127780217</v>
      </c>
      <c r="CF16" s="152">
        <v>4.2825532495559052E-3</v>
      </c>
      <c r="CG16" s="152">
        <v>9.8711809311128315E-2</v>
      </c>
      <c r="CH16" s="152">
        <v>7.1679082839556235E-2</v>
      </c>
      <c r="CI16" s="152">
        <v>7.1679082839556235E-2</v>
      </c>
      <c r="CJ16" s="259" t="s">
        <v>421</v>
      </c>
      <c r="CK16" s="261" t="s">
        <v>708</v>
      </c>
      <c r="CL16" s="374">
        <v>0.32824602993246849</v>
      </c>
      <c r="CM16" s="374">
        <v>0.32824602993246849</v>
      </c>
      <c r="CN16" s="374">
        <v>0.32824602993246849</v>
      </c>
      <c r="CO16" s="374">
        <v>0.32824602993246849</v>
      </c>
      <c r="CP16" s="374">
        <v>0.2717254585491819</v>
      </c>
      <c r="CQ16" s="374">
        <v>0.2717254585491819</v>
      </c>
      <c r="CR16" s="374">
        <v>0.2717254585491819</v>
      </c>
      <c r="CS16" s="374">
        <v>0.2717254585491819</v>
      </c>
      <c r="CT16" s="374">
        <v>6.1010468165753791E-2</v>
      </c>
      <c r="CU16" s="374">
        <v>6.1010468165753791E-2</v>
      </c>
      <c r="CV16" s="374">
        <v>6.1010468165753791E-2</v>
      </c>
      <c r="CW16" s="374">
        <v>6.1010468165753791E-2</v>
      </c>
      <c r="CX16" s="374">
        <v>0.58095680399197691</v>
      </c>
      <c r="CY16" s="374">
        <v>0.58095680399197691</v>
      </c>
      <c r="CZ16" s="374">
        <v>0.58095680399197691</v>
      </c>
      <c r="DA16" s="374">
        <v>0.58095680399197691</v>
      </c>
      <c r="DB16" s="374">
        <v>0.58095680399197691</v>
      </c>
      <c r="DC16" s="374">
        <v>0.58095680399197691</v>
      </c>
      <c r="DD16" s="374">
        <v>0.28131488009914318</v>
      </c>
      <c r="DE16" s="374">
        <v>0.28131488009914318</v>
      </c>
      <c r="DF16" s="373">
        <v>0.28131488009914318</v>
      </c>
      <c r="DG16" s="373">
        <v>9.2391745293929656E-2</v>
      </c>
      <c r="DH16" s="373">
        <v>2.4240158747336871E-2</v>
      </c>
      <c r="DI16" s="373">
        <v>9.2391745293929656E-2</v>
      </c>
      <c r="DJ16" s="308" t="s">
        <v>605</v>
      </c>
      <c r="DK16" s="308" t="s">
        <v>605</v>
      </c>
      <c r="DL16" s="309" t="s">
        <v>606</v>
      </c>
      <c r="DM16" s="309" t="s">
        <v>606</v>
      </c>
      <c r="DN16" s="272"/>
      <c r="DO16" s="272"/>
      <c r="DR16" t="s">
        <v>359</v>
      </c>
      <c r="DS16">
        <v>-30</v>
      </c>
    </row>
    <row r="17" spans="1:123" ht="15" x14ac:dyDescent="0.3">
      <c r="A17" t="s">
        <v>562</v>
      </c>
      <c r="B17">
        <v>18</v>
      </c>
      <c r="C17" t="s">
        <v>709</v>
      </c>
      <c r="D17">
        <v>5</v>
      </c>
      <c r="E17" t="s">
        <v>564</v>
      </c>
      <c r="F17" t="s">
        <v>564</v>
      </c>
      <c r="G17">
        <v>0.47489999999999999</v>
      </c>
      <c r="H17" s="231">
        <v>0.47489999999999999</v>
      </c>
      <c r="J17" t="s">
        <v>607</v>
      </c>
      <c r="K17" s="45" t="s">
        <v>473</v>
      </c>
      <c r="L17" s="45">
        <v>0.77600000000000002</v>
      </c>
      <c r="AS17" t="s">
        <v>643</v>
      </c>
      <c r="AT17" t="s">
        <v>710</v>
      </c>
      <c r="AU17" s="152">
        <v>2.6819999999999999</v>
      </c>
      <c r="AV17" s="152">
        <v>7.8719999999999999</v>
      </c>
      <c r="BG17" t="s">
        <v>711</v>
      </c>
      <c r="BH17" t="s">
        <v>81</v>
      </c>
      <c r="BI17">
        <v>10</v>
      </c>
      <c r="BT17" s="372"/>
      <c r="BU17" s="259" t="s">
        <v>421</v>
      </c>
      <c r="BV17" s="260">
        <v>43001050305</v>
      </c>
      <c r="BW17" s="261" t="s">
        <v>712</v>
      </c>
      <c r="BX17" s="261" t="s">
        <v>713</v>
      </c>
      <c r="BY17" s="152">
        <v>3.0993176901400649E-2</v>
      </c>
      <c r="BZ17" s="152">
        <v>4.3352122779435703E-2</v>
      </c>
      <c r="CA17" s="152">
        <v>4.3352122779435703E-2</v>
      </c>
      <c r="CB17" s="152">
        <v>4.3352122779435703E-2</v>
      </c>
      <c r="CC17" s="152">
        <v>4.3352122779435703E-2</v>
      </c>
      <c r="CD17" s="152">
        <v>4.3352122779435703E-2</v>
      </c>
      <c r="CE17" s="152">
        <v>4.3352122779435703E-2</v>
      </c>
      <c r="CF17" s="152">
        <v>4.8398308224116213E-4</v>
      </c>
      <c r="CG17" s="152">
        <v>1.2195499456567119E-2</v>
      </c>
      <c r="CH17" s="152">
        <v>2.152162220413683E-2</v>
      </c>
      <c r="CI17" s="152">
        <v>2.152162220413683E-2</v>
      </c>
      <c r="CJ17" s="259" t="s">
        <v>421</v>
      </c>
      <c r="CK17" s="261" t="s">
        <v>713</v>
      </c>
      <c r="CL17" s="374">
        <v>0.32824602993246849</v>
      </c>
      <c r="CM17" s="374">
        <v>0.32824602993246849</v>
      </c>
      <c r="CN17" s="374">
        <v>0.32824602993246849</v>
      </c>
      <c r="CO17" s="374">
        <v>0.32824602993246849</v>
      </c>
      <c r="CP17" s="374">
        <v>0.2717254585491819</v>
      </c>
      <c r="CQ17" s="374">
        <v>0.2717254585491819</v>
      </c>
      <c r="CR17" s="374">
        <v>0.2717254585491819</v>
      </c>
      <c r="CS17" s="374">
        <v>0.2717254585491819</v>
      </c>
      <c r="CT17" s="374">
        <v>3.195968990740549E-2</v>
      </c>
      <c r="CU17" s="374">
        <v>3.195968990740549E-2</v>
      </c>
      <c r="CV17" s="374">
        <v>3.195968990740549E-2</v>
      </c>
      <c r="CW17" s="374">
        <v>3.195968990740549E-2</v>
      </c>
      <c r="CX17" s="374">
        <v>0.15352481700988091</v>
      </c>
      <c r="CY17" s="374">
        <v>0.15352481700988091</v>
      </c>
      <c r="CZ17" s="374">
        <v>0.15352481700988091</v>
      </c>
      <c r="DA17" s="374">
        <v>0.15352481700988091</v>
      </c>
      <c r="DB17" s="374">
        <v>0.15352481700988091</v>
      </c>
      <c r="DC17" s="374">
        <v>0.15352481700988091</v>
      </c>
      <c r="DD17" s="374">
        <v>0.28131488009914318</v>
      </c>
      <c r="DE17" s="374">
        <v>0.28131488009914318</v>
      </c>
      <c r="DF17" s="373">
        <v>0.28131488009914318</v>
      </c>
      <c r="DG17" s="373">
        <v>1.9164808560010609E-2</v>
      </c>
      <c r="DH17" s="373">
        <v>5.2936568598465289E-3</v>
      </c>
      <c r="DI17" s="373">
        <v>1.9164808560010609E-2</v>
      </c>
      <c r="DJ17" s="308" t="s">
        <v>605</v>
      </c>
      <c r="DK17" s="308" t="s">
        <v>605</v>
      </c>
      <c r="DL17" s="309" t="s">
        <v>606</v>
      </c>
      <c r="DM17" s="309" t="s">
        <v>606</v>
      </c>
      <c r="DN17" s="272"/>
      <c r="DO17" s="272"/>
      <c r="DR17" t="s">
        <v>360</v>
      </c>
      <c r="DS17">
        <v>-80</v>
      </c>
    </row>
    <row r="18" spans="1:123" ht="15" x14ac:dyDescent="0.3">
      <c r="A18" t="s">
        <v>562</v>
      </c>
      <c r="B18">
        <v>19</v>
      </c>
      <c r="C18" t="s">
        <v>714</v>
      </c>
      <c r="D18">
        <v>5</v>
      </c>
      <c r="E18" t="s">
        <v>564</v>
      </c>
      <c r="F18" t="s">
        <v>564</v>
      </c>
      <c r="G18">
        <v>0.74609999999999999</v>
      </c>
      <c r="H18" s="231">
        <v>0.74609999999999999</v>
      </c>
      <c r="J18" t="s">
        <v>621</v>
      </c>
      <c r="K18" s="45" t="s">
        <v>709</v>
      </c>
      <c r="L18" s="45">
        <v>0.77600000000000002</v>
      </c>
      <c r="AS18" t="s">
        <v>715</v>
      </c>
      <c r="AT18" t="s">
        <v>716</v>
      </c>
      <c r="AU18" s="152">
        <v>2.6230000000000002</v>
      </c>
      <c r="AV18" s="152">
        <v>6.6059999999999999</v>
      </c>
      <c r="BG18" t="s">
        <v>717</v>
      </c>
      <c r="BH18" t="s">
        <v>718</v>
      </c>
      <c r="BI18">
        <v>10</v>
      </c>
      <c r="BT18" s="372"/>
      <c r="BU18" s="259" t="s">
        <v>421</v>
      </c>
      <c r="BV18" s="260">
        <v>43001050306</v>
      </c>
      <c r="BW18" s="261" t="s">
        <v>473</v>
      </c>
      <c r="BX18" s="261" t="s">
        <v>719</v>
      </c>
      <c r="BY18" s="152">
        <v>0.24623884796136861</v>
      </c>
      <c r="BZ18" s="152">
        <v>0.32788424206102079</v>
      </c>
      <c r="CA18" s="152">
        <v>0.32788424206102079</v>
      </c>
      <c r="CB18" s="152">
        <v>0.32788424206102079</v>
      </c>
      <c r="CC18" s="152">
        <v>0.32788424206102079</v>
      </c>
      <c r="CD18" s="152">
        <v>0.32788424206102079</v>
      </c>
      <c r="CE18" s="152">
        <v>0.32788424206102079</v>
      </c>
      <c r="CF18" s="152">
        <v>4.2686583219887957E-3</v>
      </c>
      <c r="CG18" s="152">
        <v>9.3086473747709383E-2</v>
      </c>
      <c r="CH18" s="152">
        <v>0.22515810444409221</v>
      </c>
      <c r="CI18" s="152">
        <v>0.22515810444409221</v>
      </c>
      <c r="CJ18" s="259" t="s">
        <v>421</v>
      </c>
      <c r="CK18" s="261" t="s">
        <v>719</v>
      </c>
      <c r="CL18" s="374">
        <v>0.32824602993246849</v>
      </c>
      <c r="CM18" s="374">
        <v>0.32824602993246849</v>
      </c>
      <c r="CN18" s="374">
        <v>0.32824602993246849</v>
      </c>
      <c r="CO18" s="374">
        <v>0.32824602993246849</v>
      </c>
      <c r="CP18" s="374">
        <v>0.2717254585491819</v>
      </c>
      <c r="CQ18" s="374">
        <v>0.2717254585491819</v>
      </c>
      <c r="CR18" s="374">
        <v>0.2717254585491819</v>
      </c>
      <c r="CS18" s="374">
        <v>0.2717254585491819</v>
      </c>
      <c r="CT18" s="374">
        <v>6.6405144650643858E-2</v>
      </c>
      <c r="CU18" s="374">
        <v>6.6405144650643858E-2</v>
      </c>
      <c r="CV18" s="374">
        <v>6.6405144650643858E-2</v>
      </c>
      <c r="CW18" s="374">
        <v>6.6405144650643858E-2</v>
      </c>
      <c r="CX18" s="374">
        <v>1.1487186750231639</v>
      </c>
      <c r="CY18" s="374">
        <v>1.1487186750231639</v>
      </c>
      <c r="CZ18" s="374">
        <v>1.1487186750231639</v>
      </c>
      <c r="DA18" s="374">
        <v>1.1487186750231639</v>
      </c>
      <c r="DB18" s="374">
        <v>1.1487186750231639</v>
      </c>
      <c r="DC18" s="374">
        <v>1.1487186750231639</v>
      </c>
      <c r="DD18" s="374">
        <v>0.28131488009914318</v>
      </c>
      <c r="DE18" s="374">
        <v>0.28131488009914318</v>
      </c>
      <c r="DF18" s="373">
        <v>0.28131488009914318</v>
      </c>
      <c r="DG18" s="373">
        <v>0.14607355807931779</v>
      </c>
      <c r="DH18" s="373">
        <v>4.8168271656929232E-2</v>
      </c>
      <c r="DI18" s="373">
        <v>0.14607355807931779</v>
      </c>
      <c r="DJ18" s="308" t="s">
        <v>605</v>
      </c>
      <c r="DK18" s="308" t="s">
        <v>605</v>
      </c>
      <c r="DL18" s="309" t="s">
        <v>606</v>
      </c>
      <c r="DM18" s="309" t="s">
        <v>606</v>
      </c>
      <c r="DN18" s="272"/>
      <c r="DO18" s="272"/>
      <c r="DR18" t="s">
        <v>361</v>
      </c>
      <c r="DS18">
        <v>-50</v>
      </c>
    </row>
    <row r="19" spans="1:123" ht="15" x14ac:dyDescent="0.3">
      <c r="A19" t="s">
        <v>562</v>
      </c>
      <c r="B19">
        <v>20</v>
      </c>
      <c r="C19" t="s">
        <v>720</v>
      </c>
      <c r="D19">
        <v>5</v>
      </c>
      <c r="E19" t="s">
        <v>564</v>
      </c>
      <c r="F19" t="s">
        <v>564</v>
      </c>
      <c r="G19">
        <v>0.7681</v>
      </c>
      <c r="H19" s="231">
        <v>0.7681</v>
      </c>
      <c r="J19" t="s">
        <v>631</v>
      </c>
      <c r="K19" s="45" t="s">
        <v>714</v>
      </c>
      <c r="L19" s="45">
        <v>0.97399999999999998</v>
      </c>
      <c r="AS19" t="s">
        <v>676</v>
      </c>
      <c r="AT19" t="s">
        <v>280</v>
      </c>
      <c r="AU19" s="152">
        <v>2.6269999999999998</v>
      </c>
      <c r="AV19" s="152">
        <v>7.53</v>
      </c>
      <c r="BG19" t="s">
        <v>721</v>
      </c>
      <c r="BH19" t="s">
        <v>722</v>
      </c>
      <c r="BI19">
        <v>10</v>
      </c>
      <c r="BT19" s="372"/>
      <c r="BU19" s="259" t="s">
        <v>723</v>
      </c>
      <c r="BV19" s="260">
        <v>43001070101</v>
      </c>
      <c r="BW19" s="261" t="s">
        <v>724</v>
      </c>
      <c r="BX19" s="261" t="s">
        <v>725</v>
      </c>
      <c r="BY19" s="152">
        <v>1.174204176494315</v>
      </c>
      <c r="BZ19" s="152">
        <v>1.6148346661094539</v>
      </c>
      <c r="CA19" s="152">
        <v>1.6148346661094539</v>
      </c>
      <c r="CB19" s="152">
        <v>1.6148346661094539</v>
      </c>
      <c r="CC19" s="152">
        <v>1.6148346661094539</v>
      </c>
      <c r="CD19" s="152">
        <v>1.6148346661094539</v>
      </c>
      <c r="CE19" s="152">
        <v>1.6148346661094539</v>
      </c>
      <c r="CF19" s="152">
        <v>2.627839834285783E-2</v>
      </c>
      <c r="CG19" s="152">
        <v>5.4001282893700153E-2</v>
      </c>
      <c r="CH19" s="152">
        <v>0.57827464058032807</v>
      </c>
      <c r="CI19" s="152">
        <v>0.57827464058032807</v>
      </c>
      <c r="CJ19" s="259" t="s">
        <v>723</v>
      </c>
      <c r="CK19" s="261" t="s">
        <v>725</v>
      </c>
      <c r="CL19" s="374">
        <v>1.8277065313655569</v>
      </c>
      <c r="CM19" s="374">
        <v>1.8277065313655569</v>
      </c>
      <c r="CN19" s="374">
        <v>1.8277065313655569</v>
      </c>
      <c r="CO19" s="374">
        <v>1.8277065313655569</v>
      </c>
      <c r="CP19" s="374">
        <v>1.830481919855274</v>
      </c>
      <c r="CQ19" s="374">
        <v>1.830481919855274</v>
      </c>
      <c r="CR19" s="374">
        <v>1.830481919855274</v>
      </c>
      <c r="CS19" s="374">
        <v>1.830481919855274</v>
      </c>
      <c r="CT19" s="374">
        <v>0.67269096363395653</v>
      </c>
      <c r="CU19" s="374">
        <v>0.67269096363395653</v>
      </c>
      <c r="CV19" s="374">
        <v>0.67269096363395653</v>
      </c>
      <c r="CW19" s="374">
        <v>0.67269096363395653</v>
      </c>
      <c r="CX19" s="374">
        <v>3.6128562426583049</v>
      </c>
      <c r="CY19" s="374">
        <v>3.6128562426583049</v>
      </c>
      <c r="CZ19" s="374">
        <v>3.6128562426583049</v>
      </c>
      <c r="DA19" s="374">
        <v>3.6128562426583049</v>
      </c>
      <c r="DB19" s="374">
        <v>3.6128562426583049</v>
      </c>
      <c r="DC19" s="374">
        <v>3.6128562426583049</v>
      </c>
      <c r="DD19" s="374">
        <v>2.7872091150069331</v>
      </c>
      <c r="DE19" s="374">
        <v>2.7872091150069331</v>
      </c>
      <c r="DF19" s="373">
        <v>2.7872091150069331</v>
      </c>
      <c r="DG19" s="373">
        <v>0.14382403349592979</v>
      </c>
      <c r="DH19" s="373">
        <v>0.20239630079255949</v>
      </c>
      <c r="DI19" s="373">
        <v>0.14382403349592979</v>
      </c>
      <c r="DJ19" s="308" t="s">
        <v>605</v>
      </c>
      <c r="DK19" s="308" t="s">
        <v>605</v>
      </c>
      <c r="DL19" s="309" t="s">
        <v>606</v>
      </c>
      <c r="DM19" s="309" t="s">
        <v>606</v>
      </c>
      <c r="DN19" s="272"/>
      <c r="DO19" s="272"/>
      <c r="DR19" t="s">
        <v>362</v>
      </c>
      <c r="DS19">
        <v>-30</v>
      </c>
    </row>
    <row r="20" spans="1:123" ht="15" x14ac:dyDescent="0.3">
      <c r="A20" t="s">
        <v>562</v>
      </c>
      <c r="B20">
        <v>21</v>
      </c>
      <c r="C20" t="s">
        <v>726</v>
      </c>
      <c r="D20">
        <v>6</v>
      </c>
      <c r="E20" t="s">
        <v>564</v>
      </c>
      <c r="F20" t="s">
        <v>564</v>
      </c>
      <c r="G20">
        <v>0.95569999999999999</v>
      </c>
      <c r="H20" s="231">
        <v>0.95569999999999999</v>
      </c>
      <c r="J20" t="s">
        <v>640</v>
      </c>
      <c r="K20" s="45" t="s">
        <v>720</v>
      </c>
      <c r="L20" s="45">
        <v>0.90500000000000003</v>
      </c>
      <c r="AS20" t="s">
        <v>727</v>
      </c>
      <c r="AT20" t="s">
        <v>728</v>
      </c>
      <c r="AU20" s="152">
        <v>3.2559999999999998</v>
      </c>
      <c r="AV20" s="152">
        <v>7.4260000000000002</v>
      </c>
      <c r="BG20" t="s">
        <v>729</v>
      </c>
      <c r="BH20" t="s">
        <v>495</v>
      </c>
      <c r="BI20">
        <v>10</v>
      </c>
      <c r="BT20" s="372"/>
      <c r="BU20" s="259" t="s">
        <v>723</v>
      </c>
      <c r="BV20" s="260">
        <v>43001070102</v>
      </c>
      <c r="BW20" s="261" t="s">
        <v>730</v>
      </c>
      <c r="BX20" s="261" t="s">
        <v>731</v>
      </c>
      <c r="BY20" s="152">
        <v>0.99908823687424486</v>
      </c>
      <c r="BZ20" s="152">
        <v>1.5004025418825671</v>
      </c>
      <c r="CA20" s="152">
        <v>1.5004025418825671</v>
      </c>
      <c r="CB20" s="152">
        <v>1.5004025418825671</v>
      </c>
      <c r="CC20" s="152">
        <v>1.5004025418825671</v>
      </c>
      <c r="CD20" s="152">
        <v>1.5004025418825671</v>
      </c>
      <c r="CE20" s="152">
        <v>1.5004025418825671</v>
      </c>
      <c r="CF20" s="152">
        <v>2.627839834285783E-2</v>
      </c>
      <c r="CG20" s="152">
        <v>0.79585957924849138</v>
      </c>
      <c r="CH20" s="152">
        <v>0.80713260076219884</v>
      </c>
      <c r="CI20" s="152">
        <v>0.80713260076219884</v>
      </c>
      <c r="CJ20" s="259" t="s">
        <v>723</v>
      </c>
      <c r="CK20" s="261" t="s">
        <v>731</v>
      </c>
      <c r="CL20" s="374">
        <v>1.8277065313655569</v>
      </c>
      <c r="CM20" s="374">
        <v>1.8277065313655569</v>
      </c>
      <c r="CN20" s="374">
        <v>1.8277065313655569</v>
      </c>
      <c r="CO20" s="374">
        <v>1.8277065313655569</v>
      </c>
      <c r="CP20" s="374">
        <v>1.830481919855274</v>
      </c>
      <c r="CQ20" s="374">
        <v>1.830481919855274</v>
      </c>
      <c r="CR20" s="374">
        <v>1.830481919855274</v>
      </c>
      <c r="CS20" s="374">
        <v>1.830481919855274</v>
      </c>
      <c r="CT20" s="374">
        <v>1.768795231022471</v>
      </c>
      <c r="CU20" s="374">
        <v>1.768795231022471</v>
      </c>
      <c r="CV20" s="374">
        <v>1.768795231022471</v>
      </c>
      <c r="CW20" s="374">
        <v>1.768795231022471</v>
      </c>
      <c r="CX20" s="374">
        <v>3.8520734351503059</v>
      </c>
      <c r="CY20" s="374">
        <v>3.8520734351503059</v>
      </c>
      <c r="CZ20" s="374">
        <v>3.8520734351503059</v>
      </c>
      <c r="DA20" s="374">
        <v>3.8520734351503059</v>
      </c>
      <c r="DB20" s="374">
        <v>3.8520734351503059</v>
      </c>
      <c r="DC20" s="374">
        <v>3.8520734351503059</v>
      </c>
      <c r="DD20" s="374">
        <v>2.7872091150069331</v>
      </c>
      <c r="DE20" s="374">
        <v>2.7872091150069331</v>
      </c>
      <c r="DF20" s="373">
        <v>2.7872091150069331</v>
      </c>
      <c r="DG20" s="373">
        <v>0.87716215043342294</v>
      </c>
      <c r="DH20" s="373">
        <v>0.27943627351633182</v>
      </c>
      <c r="DI20" s="373">
        <v>0.87716215043342294</v>
      </c>
      <c r="DJ20" s="308" t="s">
        <v>605</v>
      </c>
      <c r="DK20" s="308" t="s">
        <v>605</v>
      </c>
      <c r="DL20" s="309" t="s">
        <v>606</v>
      </c>
      <c r="DM20" s="309" t="s">
        <v>606</v>
      </c>
      <c r="DN20" s="272"/>
      <c r="DO20" s="272"/>
      <c r="DR20" t="s">
        <v>363</v>
      </c>
      <c r="DS20">
        <v>-30</v>
      </c>
    </row>
    <row r="21" spans="1:123" ht="15" x14ac:dyDescent="0.3">
      <c r="A21" t="s">
        <v>562</v>
      </c>
      <c r="B21">
        <v>22</v>
      </c>
      <c r="C21" t="s">
        <v>693</v>
      </c>
      <c r="D21">
        <v>6</v>
      </c>
      <c r="E21" t="s">
        <v>564</v>
      </c>
      <c r="F21" t="s">
        <v>564</v>
      </c>
      <c r="G21">
        <v>0.90069999999999995</v>
      </c>
      <c r="H21" s="231">
        <v>0.90069999999999995</v>
      </c>
      <c r="J21" t="s">
        <v>649</v>
      </c>
      <c r="K21" s="45" t="s">
        <v>726</v>
      </c>
      <c r="L21" s="45">
        <v>0.89900000000000002</v>
      </c>
      <c r="AS21" t="s">
        <v>676</v>
      </c>
      <c r="AT21" t="s">
        <v>732</v>
      </c>
      <c r="AU21" s="152">
        <v>3.758</v>
      </c>
      <c r="AV21" s="152">
        <v>8.5239999999999991</v>
      </c>
      <c r="BG21" t="s">
        <v>733</v>
      </c>
      <c r="BH21" t="s">
        <v>734</v>
      </c>
      <c r="BI21">
        <v>10</v>
      </c>
      <c r="BT21" s="372"/>
      <c r="BU21" s="259" t="s">
        <v>723</v>
      </c>
      <c r="BV21" s="260">
        <v>43001070103</v>
      </c>
      <c r="BW21" s="261" t="s">
        <v>735</v>
      </c>
      <c r="BX21" s="261" t="s">
        <v>736</v>
      </c>
      <c r="BY21" s="152">
        <v>0.50189731860252929</v>
      </c>
      <c r="BZ21" s="152">
        <v>0.7240656100963222</v>
      </c>
      <c r="CA21" s="152">
        <v>0.7240656100963222</v>
      </c>
      <c r="CB21" s="152">
        <v>0.7240656100963222</v>
      </c>
      <c r="CC21" s="152">
        <v>0.7240656100963222</v>
      </c>
      <c r="CD21" s="152">
        <v>0.7240656100963222</v>
      </c>
      <c r="CE21" s="152">
        <v>0.7240656100963222</v>
      </c>
      <c r="CF21" s="152">
        <v>1.0193988167768901E-2</v>
      </c>
      <c r="CG21" s="152">
        <v>0.23007466822976799</v>
      </c>
      <c r="CH21" s="152">
        <v>0.38606262745435532</v>
      </c>
      <c r="CI21" s="152">
        <v>0.38606262745435532</v>
      </c>
      <c r="CJ21" s="259" t="s">
        <v>723</v>
      </c>
      <c r="CK21" s="261" t="s">
        <v>736</v>
      </c>
      <c r="CL21" s="374">
        <v>1.8277065313655569</v>
      </c>
      <c r="CM21" s="374">
        <v>1.8277065313655569</v>
      </c>
      <c r="CN21" s="374">
        <v>1.8277065313655569</v>
      </c>
      <c r="CO21" s="374">
        <v>1.8277065313655569</v>
      </c>
      <c r="CP21" s="374">
        <v>1.830481919855274</v>
      </c>
      <c r="CQ21" s="374">
        <v>1.830481919855274</v>
      </c>
      <c r="CR21" s="374">
        <v>1.830481919855274</v>
      </c>
      <c r="CS21" s="374">
        <v>1.830481919855274</v>
      </c>
      <c r="CT21" s="374">
        <v>0.79156934925357691</v>
      </c>
      <c r="CU21" s="374">
        <v>0.79156934925357691</v>
      </c>
      <c r="CV21" s="374">
        <v>0.79156934925357691</v>
      </c>
      <c r="CW21" s="374">
        <v>0.79156934925357691</v>
      </c>
      <c r="CX21" s="374">
        <v>2.1758860341881769</v>
      </c>
      <c r="CY21" s="374">
        <v>2.1758860341881769</v>
      </c>
      <c r="CZ21" s="374">
        <v>2.1758860341881769</v>
      </c>
      <c r="DA21" s="374">
        <v>2.1758860341881769</v>
      </c>
      <c r="DB21" s="374">
        <v>2.1758860341881769</v>
      </c>
      <c r="DC21" s="374">
        <v>2.1758860341881769</v>
      </c>
      <c r="DD21" s="374">
        <v>2.7872091150069331</v>
      </c>
      <c r="DE21" s="374">
        <v>2.7872091150069331</v>
      </c>
      <c r="DF21" s="373">
        <v>2.7872091150069331</v>
      </c>
      <c r="DG21" s="373">
        <v>0.41891379768107639</v>
      </c>
      <c r="DH21" s="373">
        <v>0.13357567696059611</v>
      </c>
      <c r="DI21" s="373">
        <v>0.41891379768107639</v>
      </c>
      <c r="DJ21" s="308" t="s">
        <v>605</v>
      </c>
      <c r="DK21" s="308" t="s">
        <v>605</v>
      </c>
      <c r="DL21" s="309" t="s">
        <v>606</v>
      </c>
      <c r="DM21" s="309" t="s">
        <v>606</v>
      </c>
      <c r="DN21" s="272"/>
      <c r="DO21" s="272"/>
    </row>
    <row r="22" spans="1:123" ht="15" x14ac:dyDescent="0.3">
      <c r="A22" t="s">
        <v>562</v>
      </c>
      <c r="B22">
        <v>23</v>
      </c>
      <c r="C22" t="s">
        <v>737</v>
      </c>
      <c r="D22">
        <v>5</v>
      </c>
      <c r="E22" t="s">
        <v>564</v>
      </c>
      <c r="F22" t="s">
        <v>564</v>
      </c>
      <c r="G22">
        <v>0.47160000000000002</v>
      </c>
      <c r="H22" s="231">
        <v>0.47160000000000002</v>
      </c>
      <c r="J22" t="s">
        <v>655</v>
      </c>
      <c r="K22" s="45" t="s">
        <v>693</v>
      </c>
      <c r="L22" s="45">
        <v>0.89900000000000002</v>
      </c>
      <c r="AS22" t="s">
        <v>738</v>
      </c>
      <c r="AT22" t="s">
        <v>739</v>
      </c>
      <c r="AU22" s="152">
        <v>2.3959999999999999</v>
      </c>
      <c r="AV22" s="152">
        <v>4.7060000000000004</v>
      </c>
      <c r="BG22" t="s">
        <v>740</v>
      </c>
      <c r="BH22" t="s">
        <v>741</v>
      </c>
      <c r="BI22">
        <v>10</v>
      </c>
      <c r="BT22" s="372"/>
      <c r="BU22" s="259" t="s">
        <v>723</v>
      </c>
      <c r="BV22" s="260">
        <v>43001070104</v>
      </c>
      <c r="BW22" s="261" t="s">
        <v>742</v>
      </c>
      <c r="BX22" s="261" t="s">
        <v>743</v>
      </c>
      <c r="BY22" s="152">
        <v>2.1790781719488379</v>
      </c>
      <c r="BZ22" s="152">
        <v>3.149821921622741</v>
      </c>
      <c r="CA22" s="152">
        <v>3.149821921622741</v>
      </c>
      <c r="CB22" s="152">
        <v>3.149821921622741</v>
      </c>
      <c r="CC22" s="152">
        <v>3.149821921622741</v>
      </c>
      <c r="CD22" s="152">
        <v>3.149821921622741</v>
      </c>
      <c r="CE22" s="152">
        <v>3.149821921622741</v>
      </c>
      <c r="CF22" s="152">
        <v>2.627839834285783E-2</v>
      </c>
      <c r="CG22" s="152">
        <v>0.76928328303565396</v>
      </c>
      <c r="CH22" s="152">
        <v>1.2634610517260589</v>
      </c>
      <c r="CI22" s="152">
        <v>1.2634610517260589</v>
      </c>
      <c r="CJ22" s="259" t="s">
        <v>723</v>
      </c>
      <c r="CK22" s="261" t="s">
        <v>743</v>
      </c>
      <c r="CL22" s="374">
        <v>1.8277065313655569</v>
      </c>
      <c r="CM22" s="374">
        <v>1.8277065313655569</v>
      </c>
      <c r="CN22" s="374">
        <v>1.8277065313655569</v>
      </c>
      <c r="CO22" s="374">
        <v>1.8277065313655569</v>
      </c>
      <c r="CP22" s="374">
        <v>1.830481919855274</v>
      </c>
      <c r="CQ22" s="374">
        <v>1.830481919855274</v>
      </c>
      <c r="CR22" s="374">
        <v>1.830481919855274</v>
      </c>
      <c r="CS22" s="374">
        <v>1.830481919855274</v>
      </c>
      <c r="CT22" s="374">
        <v>1.768795231022471</v>
      </c>
      <c r="CU22" s="374">
        <v>1.768795231022471</v>
      </c>
      <c r="CV22" s="374">
        <v>1.768795231022471</v>
      </c>
      <c r="CW22" s="374">
        <v>1.768795231022471</v>
      </c>
      <c r="CX22" s="374">
        <v>3.8520734351503059</v>
      </c>
      <c r="CY22" s="374">
        <v>3.8520734351503059</v>
      </c>
      <c r="CZ22" s="374">
        <v>3.8520734351503059</v>
      </c>
      <c r="DA22" s="374">
        <v>3.8520734351503059</v>
      </c>
      <c r="DB22" s="374">
        <v>3.8520734351503059</v>
      </c>
      <c r="DC22" s="374">
        <v>3.8520734351503059</v>
      </c>
      <c r="DD22" s="374">
        <v>2.7872091150069331</v>
      </c>
      <c r="DE22" s="374">
        <v>2.7872091150069331</v>
      </c>
      <c r="DF22" s="373">
        <v>2.7872091150069331</v>
      </c>
      <c r="DG22" s="373">
        <v>1.506595525146571</v>
      </c>
      <c r="DH22" s="373">
        <v>0.28862171189493158</v>
      </c>
      <c r="DI22" s="373">
        <v>1.506595525146571</v>
      </c>
      <c r="DJ22" s="308" t="s">
        <v>605</v>
      </c>
      <c r="DK22" s="308" t="s">
        <v>605</v>
      </c>
      <c r="DL22" s="309" t="s">
        <v>606</v>
      </c>
      <c r="DM22" s="309" t="s">
        <v>606</v>
      </c>
      <c r="DN22" s="272"/>
      <c r="DO22" s="272"/>
    </row>
    <row r="23" spans="1:123" ht="15" x14ac:dyDescent="0.3">
      <c r="A23" t="s">
        <v>562</v>
      </c>
      <c r="B23">
        <v>24</v>
      </c>
      <c r="C23" t="s">
        <v>565</v>
      </c>
      <c r="D23">
        <v>17</v>
      </c>
      <c r="E23" t="s">
        <v>564</v>
      </c>
      <c r="F23" t="s">
        <v>564</v>
      </c>
      <c r="G23">
        <v>1.3018000000000001</v>
      </c>
      <c r="H23" s="231">
        <v>1.4359</v>
      </c>
      <c r="J23" t="s">
        <v>664</v>
      </c>
      <c r="K23" s="45" t="s">
        <v>737</v>
      </c>
      <c r="L23" s="45">
        <v>0.98799999999999999</v>
      </c>
      <c r="AS23" t="s">
        <v>658</v>
      </c>
      <c r="AT23" t="s">
        <v>264</v>
      </c>
      <c r="AU23" s="152">
        <v>2.58</v>
      </c>
      <c r="AV23" s="152">
        <v>7.0670000000000002</v>
      </c>
      <c r="BG23" t="s">
        <v>744</v>
      </c>
      <c r="BH23" t="s">
        <v>84</v>
      </c>
      <c r="BI23">
        <v>10</v>
      </c>
      <c r="BT23" s="372"/>
      <c r="BU23" s="259" t="s">
        <v>723</v>
      </c>
      <c r="BV23" s="260">
        <v>43001070106</v>
      </c>
      <c r="BW23" s="261" t="s">
        <v>745</v>
      </c>
      <c r="BX23" s="261" t="s">
        <v>746</v>
      </c>
      <c r="BY23" s="152">
        <v>0.1078498618722743</v>
      </c>
      <c r="BZ23" s="152">
        <v>0.15004022915291931</v>
      </c>
      <c r="CA23" s="152">
        <v>0.15004022915291931</v>
      </c>
      <c r="CB23" s="152">
        <v>0.15004022915291931</v>
      </c>
      <c r="CC23" s="152">
        <v>0.15004022915291931</v>
      </c>
      <c r="CD23" s="152">
        <v>0.15004022915291931</v>
      </c>
      <c r="CE23" s="152">
        <v>0.15004022915291931</v>
      </c>
      <c r="CF23" s="152">
        <v>2.627839834285783E-2</v>
      </c>
      <c r="CG23" s="152">
        <v>2.576097508329718E-2</v>
      </c>
      <c r="CH23" s="152">
        <v>7.6887475408260936E-2</v>
      </c>
      <c r="CI23" s="152">
        <v>7.6887475408260936E-2</v>
      </c>
      <c r="CJ23" s="259" t="s">
        <v>723</v>
      </c>
      <c r="CK23" s="261" t="s">
        <v>746</v>
      </c>
      <c r="CL23" s="374">
        <v>1.8277065313655569</v>
      </c>
      <c r="CM23" s="374">
        <v>1.8277065313655569</v>
      </c>
      <c r="CN23" s="374">
        <v>1.8277065313655569</v>
      </c>
      <c r="CO23" s="374">
        <v>1.8277065313655569</v>
      </c>
      <c r="CP23" s="374">
        <v>1.830481919855274</v>
      </c>
      <c r="CQ23" s="374">
        <v>1.830481919855274</v>
      </c>
      <c r="CR23" s="374">
        <v>1.830481919855274</v>
      </c>
      <c r="CS23" s="374">
        <v>1.830481919855274</v>
      </c>
      <c r="CT23" s="374">
        <v>5.5578469604012887E-2</v>
      </c>
      <c r="CU23" s="374">
        <v>5.5578469604012887E-2</v>
      </c>
      <c r="CV23" s="374">
        <v>5.5578469604012887E-2</v>
      </c>
      <c r="CW23" s="374">
        <v>5.5578469604012887E-2</v>
      </c>
      <c r="CX23" s="374">
        <v>0.37918795669148098</v>
      </c>
      <c r="CY23" s="374">
        <v>0.37918795669148098</v>
      </c>
      <c r="CZ23" s="374">
        <v>0.37918795669148098</v>
      </c>
      <c r="DA23" s="374">
        <v>0.37918795669148098</v>
      </c>
      <c r="DB23" s="374">
        <v>0.37918795669148098</v>
      </c>
      <c r="DC23" s="374">
        <v>0.37918795669148098</v>
      </c>
      <c r="DD23" s="374">
        <v>2.7872091150069331</v>
      </c>
      <c r="DE23" s="374">
        <v>2.7872091150069331</v>
      </c>
      <c r="DF23" s="373">
        <v>2.7872091150069331</v>
      </c>
      <c r="DG23" s="373">
        <v>6.8610106636012524E-2</v>
      </c>
      <c r="DH23" s="373">
        <v>2.6910426148074838E-2</v>
      </c>
      <c r="DI23" s="373">
        <v>6.8610106636012524E-2</v>
      </c>
      <c r="DJ23" s="308" t="s">
        <v>605</v>
      </c>
      <c r="DK23" s="308" t="s">
        <v>605</v>
      </c>
      <c r="DL23" s="309" t="s">
        <v>606</v>
      </c>
      <c r="DM23" s="309" t="s">
        <v>606</v>
      </c>
      <c r="DN23" s="272"/>
      <c r="DO23" s="272"/>
    </row>
    <row r="24" spans="1:123" ht="15" x14ac:dyDescent="0.3">
      <c r="A24" t="s">
        <v>562</v>
      </c>
      <c r="B24">
        <v>25</v>
      </c>
      <c r="C24" t="s">
        <v>590</v>
      </c>
      <c r="D24">
        <v>17</v>
      </c>
      <c r="E24" t="s">
        <v>564</v>
      </c>
      <c r="F24" t="s">
        <v>564</v>
      </c>
      <c r="G24">
        <v>1.4348000000000001</v>
      </c>
      <c r="H24" s="231">
        <v>1.4358</v>
      </c>
      <c r="J24" t="s">
        <v>672</v>
      </c>
      <c r="K24" t="s">
        <v>565</v>
      </c>
      <c r="L24" s="45">
        <v>0.91</v>
      </c>
      <c r="AT24" t="s">
        <v>572</v>
      </c>
      <c r="AU24" s="152">
        <f>BA3</f>
        <v>1.3769230769230767</v>
      </c>
      <c r="AV24" s="152">
        <f>BB3</f>
        <v>5.6494505494505489</v>
      </c>
      <c r="BG24" t="s">
        <v>747</v>
      </c>
      <c r="BH24" t="s">
        <v>86</v>
      </c>
      <c r="BI24">
        <v>10</v>
      </c>
      <c r="BT24" s="372"/>
      <c r="BU24" s="259" t="s">
        <v>723</v>
      </c>
      <c r="BV24" s="260">
        <v>43001070107</v>
      </c>
      <c r="BW24" s="261" t="s">
        <v>748</v>
      </c>
      <c r="BX24" s="261" t="s">
        <v>749</v>
      </c>
      <c r="BY24" s="152">
        <v>1.162878171526406</v>
      </c>
      <c r="BZ24" s="152">
        <v>1.48000872257</v>
      </c>
      <c r="CA24" s="152">
        <v>1.48000872257</v>
      </c>
      <c r="CB24" s="152">
        <v>1.48000872257</v>
      </c>
      <c r="CC24" s="152">
        <v>1.48000872257</v>
      </c>
      <c r="CD24" s="152">
        <v>1.48000872257</v>
      </c>
      <c r="CE24" s="152">
        <v>1.48000872257</v>
      </c>
      <c r="CF24" s="152">
        <v>2.627839834285783E-2</v>
      </c>
      <c r="CG24" s="152">
        <v>0.13241259353620061</v>
      </c>
      <c r="CH24" s="152">
        <v>1.1830225175195319</v>
      </c>
      <c r="CI24" s="152">
        <v>1.1830225175195319</v>
      </c>
      <c r="CJ24" s="259" t="s">
        <v>723</v>
      </c>
      <c r="CK24" s="261" t="s">
        <v>749</v>
      </c>
      <c r="CL24" s="374">
        <v>1.8277065313655569</v>
      </c>
      <c r="CM24" s="374">
        <v>1.8277065313655569</v>
      </c>
      <c r="CN24" s="374">
        <v>1.8277065313655569</v>
      </c>
      <c r="CO24" s="374">
        <v>1.8277065313655569</v>
      </c>
      <c r="CP24" s="374">
        <v>1.830481919855274</v>
      </c>
      <c r="CQ24" s="374">
        <v>1.830481919855274</v>
      </c>
      <c r="CR24" s="374">
        <v>1.830481919855274</v>
      </c>
      <c r="CS24" s="374">
        <v>1.830481919855274</v>
      </c>
      <c r="CT24" s="374">
        <v>2.6021383165056888</v>
      </c>
      <c r="CU24" s="374">
        <v>2.6021383165056888</v>
      </c>
      <c r="CV24" s="374">
        <v>2.6021383165056888</v>
      </c>
      <c r="CW24" s="374">
        <v>2.6021383165056888</v>
      </c>
      <c r="CX24" s="374">
        <v>3.8520734351503059</v>
      </c>
      <c r="CY24" s="374">
        <v>3.8520734351503059</v>
      </c>
      <c r="CZ24" s="374">
        <v>3.8520734351503059</v>
      </c>
      <c r="DA24" s="374">
        <v>3.8520734351503059</v>
      </c>
      <c r="DB24" s="374">
        <v>3.8520734351503059</v>
      </c>
      <c r="DC24" s="374">
        <v>3.8520734351503059</v>
      </c>
      <c r="DD24" s="374">
        <v>2.7872091150069331</v>
      </c>
      <c r="DE24" s="374">
        <v>2.7872091150069331</v>
      </c>
      <c r="DF24" s="373">
        <v>2.7872091150069331</v>
      </c>
      <c r="DG24" s="373">
        <v>0.35265917095625071</v>
      </c>
      <c r="DH24" s="373">
        <v>0.29885467649308772</v>
      </c>
      <c r="DI24" s="373">
        <v>0.35265917095625071</v>
      </c>
      <c r="DJ24" s="308" t="s">
        <v>605</v>
      </c>
      <c r="DK24" s="308" t="s">
        <v>605</v>
      </c>
      <c r="DL24" s="309" t="s">
        <v>606</v>
      </c>
      <c r="DM24" s="309" t="s">
        <v>606</v>
      </c>
      <c r="DN24" s="272"/>
      <c r="DO24" s="272"/>
    </row>
    <row r="25" spans="1:123" ht="15" x14ac:dyDescent="0.3">
      <c r="A25" t="s">
        <v>562</v>
      </c>
      <c r="B25">
        <v>26</v>
      </c>
      <c r="C25" t="s">
        <v>608</v>
      </c>
      <c r="D25">
        <v>17</v>
      </c>
      <c r="E25" t="s">
        <v>564</v>
      </c>
      <c r="F25" t="s">
        <v>564</v>
      </c>
      <c r="G25">
        <v>1.4018999999999999</v>
      </c>
      <c r="H25" s="231">
        <v>1.4358</v>
      </c>
      <c r="J25" t="s">
        <v>264</v>
      </c>
      <c r="K25" t="s">
        <v>590</v>
      </c>
      <c r="L25" s="45">
        <v>1</v>
      </c>
      <c r="AT25" t="s">
        <v>597</v>
      </c>
      <c r="AU25" s="152">
        <f t="shared" ref="AU25:AV25" si="2">BA4</f>
        <v>1.381</v>
      </c>
      <c r="AV25" s="152">
        <f t="shared" si="2"/>
        <v>5.6669999999999998</v>
      </c>
      <c r="BG25" t="s">
        <v>750</v>
      </c>
      <c r="BH25" t="s">
        <v>100</v>
      </c>
      <c r="BI25">
        <v>10</v>
      </c>
      <c r="BT25" s="372"/>
      <c r="BU25" s="259" t="s">
        <v>723</v>
      </c>
      <c r="BV25" s="260">
        <v>43001070206</v>
      </c>
      <c r="BW25" s="261" t="s">
        <v>751</v>
      </c>
      <c r="BX25" s="261" t="s">
        <v>752</v>
      </c>
      <c r="BY25" s="152">
        <v>1.2624725219680331</v>
      </c>
      <c r="BZ25" s="152">
        <v>1.6427302180448879</v>
      </c>
      <c r="CA25" s="152">
        <v>1.6427302180448879</v>
      </c>
      <c r="CB25" s="152">
        <v>1.6427302180448879</v>
      </c>
      <c r="CC25" s="152">
        <v>1.6427302180448879</v>
      </c>
      <c r="CD25" s="152">
        <v>1.6427302180448879</v>
      </c>
      <c r="CE25" s="152">
        <v>1.6427302180448879</v>
      </c>
      <c r="CF25" s="152">
        <v>2.627839834285783E-2</v>
      </c>
      <c r="CG25" s="152">
        <v>0.32231235156544041</v>
      </c>
      <c r="CH25" s="152">
        <v>0.75055206329396029</v>
      </c>
      <c r="CI25" s="152">
        <v>0.75055206329396029</v>
      </c>
      <c r="CJ25" s="259" t="s">
        <v>723</v>
      </c>
      <c r="CK25" s="261" t="s">
        <v>752</v>
      </c>
      <c r="CL25" s="374">
        <v>1.8277065313655569</v>
      </c>
      <c r="CM25" s="374">
        <v>1.8277065313655569</v>
      </c>
      <c r="CN25" s="374">
        <v>1.8277065313655569</v>
      </c>
      <c r="CO25" s="374">
        <v>1.8277065313655569</v>
      </c>
      <c r="CP25" s="374">
        <v>1.830481919855274</v>
      </c>
      <c r="CQ25" s="374">
        <v>1.830481919855274</v>
      </c>
      <c r="CR25" s="374">
        <v>1.830481919855274</v>
      </c>
      <c r="CS25" s="374">
        <v>1.830481919855274</v>
      </c>
      <c r="CT25" s="374">
        <v>1.768795231022471</v>
      </c>
      <c r="CU25" s="374">
        <v>1.768795231022471</v>
      </c>
      <c r="CV25" s="374">
        <v>1.768795231022471</v>
      </c>
      <c r="CW25" s="374">
        <v>1.768795231022471</v>
      </c>
      <c r="CX25" s="374">
        <v>3.8520734351503059</v>
      </c>
      <c r="CY25" s="374">
        <v>3.8520734351503059</v>
      </c>
      <c r="CZ25" s="374">
        <v>3.8520734351503059</v>
      </c>
      <c r="DA25" s="374">
        <v>3.8520734351503059</v>
      </c>
      <c r="DB25" s="374">
        <v>3.8520734351503059</v>
      </c>
      <c r="DC25" s="374">
        <v>3.8520734351503059</v>
      </c>
      <c r="DD25" s="374">
        <v>2.7872091150069331</v>
      </c>
      <c r="DE25" s="374">
        <v>2.7872091150069331</v>
      </c>
      <c r="DF25" s="373">
        <v>2.7872091150069331</v>
      </c>
      <c r="DG25" s="373">
        <v>0.59969266949989963</v>
      </c>
      <c r="DH25" s="373">
        <v>0.26269404049023898</v>
      </c>
      <c r="DI25" s="373">
        <v>0.59969266949989963</v>
      </c>
      <c r="DJ25" s="308" t="s">
        <v>605</v>
      </c>
      <c r="DK25" s="308" t="s">
        <v>605</v>
      </c>
      <c r="DL25" s="309" t="s">
        <v>606</v>
      </c>
      <c r="DM25" s="309" t="s">
        <v>606</v>
      </c>
      <c r="DN25" s="272"/>
      <c r="DO25" s="272"/>
    </row>
    <row r="26" spans="1:123" ht="15" x14ac:dyDescent="0.3">
      <c r="A26" t="s">
        <v>562</v>
      </c>
      <c r="B26">
        <v>27</v>
      </c>
      <c r="C26" t="s">
        <v>622</v>
      </c>
      <c r="D26">
        <v>17</v>
      </c>
      <c r="E26" t="s">
        <v>564</v>
      </c>
      <c r="F26" t="s">
        <v>564</v>
      </c>
      <c r="G26">
        <v>1.4225000000000001</v>
      </c>
      <c r="H26" s="231">
        <v>1.4359</v>
      </c>
      <c r="J26" t="s">
        <v>690</v>
      </c>
      <c r="K26" t="s">
        <v>608</v>
      </c>
      <c r="L26" s="45">
        <v>0.98</v>
      </c>
      <c r="AT26" t="s">
        <v>608</v>
      </c>
      <c r="AU26" s="152">
        <f t="shared" ref="AU26:AV26" si="3">BA5</f>
        <v>1.3775510204081634</v>
      </c>
      <c r="AV26" s="152">
        <f t="shared" si="3"/>
        <v>5.65</v>
      </c>
      <c r="BG26" s="276" t="s">
        <v>753</v>
      </c>
      <c r="BH26" t="s">
        <v>497</v>
      </c>
      <c r="BI26">
        <v>10</v>
      </c>
      <c r="BT26" s="372"/>
      <c r="BU26" s="259" t="s">
        <v>723</v>
      </c>
      <c r="BV26" s="260">
        <v>43001070209</v>
      </c>
      <c r="BW26" s="261" t="s">
        <v>754</v>
      </c>
      <c r="BX26" s="261" t="s">
        <v>755</v>
      </c>
      <c r="BY26" s="152">
        <v>1.2624725219680331</v>
      </c>
      <c r="BZ26" s="152">
        <v>1.6427302180448879</v>
      </c>
      <c r="CA26" s="152">
        <v>1.6427302180448879</v>
      </c>
      <c r="CB26" s="152">
        <v>1.6427302180448879</v>
      </c>
      <c r="CC26" s="152">
        <v>1.6427302180448879</v>
      </c>
      <c r="CD26" s="152">
        <v>1.6427302180448879</v>
      </c>
      <c r="CE26" s="152">
        <v>1.6427302180448879</v>
      </c>
      <c r="CF26" s="152">
        <v>2.418388237229029E-3</v>
      </c>
      <c r="CG26" s="152">
        <v>0.32231235156544041</v>
      </c>
      <c r="CH26" s="152">
        <v>2.3764590963016738</v>
      </c>
      <c r="CI26" s="152">
        <v>2.3764590963016738</v>
      </c>
      <c r="CJ26" s="259" t="s">
        <v>723</v>
      </c>
      <c r="CK26" s="261" t="s">
        <v>755</v>
      </c>
      <c r="CL26" s="374">
        <v>1.8277065313655569</v>
      </c>
      <c r="CM26" s="374">
        <v>1.8277065313655569</v>
      </c>
      <c r="CN26" s="374">
        <v>1.8277065313655569</v>
      </c>
      <c r="CO26" s="374">
        <v>1.8277065313655569</v>
      </c>
      <c r="CP26" s="374">
        <v>1.830481919855274</v>
      </c>
      <c r="CQ26" s="374">
        <v>1.830481919855274</v>
      </c>
      <c r="CR26" s="374">
        <v>1.830481919855274</v>
      </c>
      <c r="CS26" s="374">
        <v>1.830481919855274</v>
      </c>
      <c r="CT26" s="374">
        <v>1.768795231022471</v>
      </c>
      <c r="CU26" s="374">
        <v>1.768795231022471</v>
      </c>
      <c r="CV26" s="374">
        <v>1.768795231022471</v>
      </c>
      <c r="CW26" s="374">
        <v>1.768795231022471</v>
      </c>
      <c r="CX26" s="374">
        <v>3.8520734351503059</v>
      </c>
      <c r="CY26" s="374">
        <v>3.8520734351503059</v>
      </c>
      <c r="CZ26" s="374">
        <v>3.8520734351503059</v>
      </c>
      <c r="DA26" s="374">
        <v>3.8520734351503059</v>
      </c>
      <c r="DB26" s="374">
        <v>3.8520734351503059</v>
      </c>
      <c r="DC26" s="374">
        <v>3.8520734351503059</v>
      </c>
      <c r="DD26" s="374">
        <v>2.7872091150069331</v>
      </c>
      <c r="DE26" s="374">
        <v>2.7872091150069331</v>
      </c>
      <c r="DF26" s="373">
        <v>2.7872091150069331</v>
      </c>
      <c r="DG26" s="373">
        <v>0.57348203218761817</v>
      </c>
      <c r="DH26" s="373">
        <v>0.19334884452954629</v>
      </c>
      <c r="DI26" s="373">
        <v>0.57348203218761817</v>
      </c>
      <c r="DJ26" s="308" t="s">
        <v>605</v>
      </c>
      <c r="DK26" s="308" t="s">
        <v>605</v>
      </c>
      <c r="DL26" s="309" t="s">
        <v>606</v>
      </c>
      <c r="DM26" s="309" t="s">
        <v>606</v>
      </c>
      <c r="DN26" s="272"/>
      <c r="DO26" s="272"/>
    </row>
    <row r="27" spans="1:123" ht="15" x14ac:dyDescent="0.3">
      <c r="A27" t="s">
        <v>562</v>
      </c>
      <c r="B27">
        <v>28</v>
      </c>
      <c r="C27" t="s">
        <v>232</v>
      </c>
      <c r="D27">
        <v>17</v>
      </c>
      <c r="E27" t="s">
        <v>564</v>
      </c>
      <c r="F27" t="s">
        <v>564</v>
      </c>
      <c r="G27">
        <v>1.0919000000000001</v>
      </c>
      <c r="H27" s="231">
        <v>1.3129999999999999</v>
      </c>
      <c r="J27" t="s">
        <v>571</v>
      </c>
      <c r="K27" t="s">
        <v>622</v>
      </c>
      <c r="L27" s="45">
        <v>0.99</v>
      </c>
      <c r="AT27" t="s">
        <v>626</v>
      </c>
      <c r="AU27" s="152">
        <f t="shared" ref="AU27:AV27" si="4">BA6</f>
        <v>1.382828282828283</v>
      </c>
      <c r="AV27" s="152">
        <f t="shared" si="4"/>
        <v>5.6747474747474751</v>
      </c>
      <c r="BT27" s="372"/>
      <c r="BU27" s="259" t="s">
        <v>723</v>
      </c>
      <c r="BV27" s="260">
        <v>43001070210</v>
      </c>
      <c r="BW27" s="261" t="s">
        <v>756</v>
      </c>
      <c r="BX27" s="261" t="s">
        <v>757</v>
      </c>
      <c r="BY27" s="152">
        <v>1.202775419986144</v>
      </c>
      <c r="BZ27" s="152">
        <v>1.461011187636666</v>
      </c>
      <c r="CA27" s="152">
        <v>1.461011187636666</v>
      </c>
      <c r="CB27" s="152">
        <v>1.461011187636666</v>
      </c>
      <c r="CC27" s="152">
        <v>1.461011187636666</v>
      </c>
      <c r="CD27" s="152">
        <v>1.461011187636666</v>
      </c>
      <c r="CE27" s="152">
        <v>1.461011187636666</v>
      </c>
      <c r="CF27" s="152">
        <v>4.5837622780632421E-2</v>
      </c>
      <c r="CG27" s="152">
        <v>0.72731714440501416</v>
      </c>
      <c r="CH27" s="152">
        <v>0.71774854202305194</v>
      </c>
      <c r="CI27" s="152">
        <v>0.71774854202305194</v>
      </c>
      <c r="CJ27" s="259" t="s">
        <v>723</v>
      </c>
      <c r="CK27" s="261" t="s">
        <v>757</v>
      </c>
      <c r="CL27" s="374">
        <v>1.8277065313655569</v>
      </c>
      <c r="CM27" s="374">
        <v>1.8277065313655569</v>
      </c>
      <c r="CN27" s="374">
        <v>1.8277065313655569</v>
      </c>
      <c r="CO27" s="374">
        <v>1.8277065313655569</v>
      </c>
      <c r="CP27" s="374">
        <v>1.830481919855274</v>
      </c>
      <c r="CQ27" s="374">
        <v>1.830481919855274</v>
      </c>
      <c r="CR27" s="374">
        <v>1.830481919855274</v>
      </c>
      <c r="CS27" s="374">
        <v>1.830481919855274</v>
      </c>
      <c r="CT27" s="374">
        <v>1.768795231022471</v>
      </c>
      <c r="CU27" s="374">
        <v>1.768795231022471</v>
      </c>
      <c r="CV27" s="374">
        <v>1.768795231022471</v>
      </c>
      <c r="CW27" s="374">
        <v>1.768795231022471</v>
      </c>
      <c r="CX27" s="374">
        <v>3.8520734351503059</v>
      </c>
      <c r="CY27" s="374">
        <v>3.8520734351503059</v>
      </c>
      <c r="CZ27" s="374">
        <v>3.8520734351503059</v>
      </c>
      <c r="DA27" s="374">
        <v>3.8520734351503059</v>
      </c>
      <c r="DB27" s="374">
        <v>3.8520734351503059</v>
      </c>
      <c r="DC27" s="374">
        <v>3.8520734351503059</v>
      </c>
      <c r="DD27" s="374">
        <v>2.7872091150069331</v>
      </c>
      <c r="DE27" s="374">
        <v>2.7872091150069331</v>
      </c>
      <c r="DF27" s="373">
        <v>2.7872091150069331</v>
      </c>
      <c r="DG27" s="373">
        <v>0.67309515426279298</v>
      </c>
      <c r="DH27" s="373">
        <v>0.25120944377774029</v>
      </c>
      <c r="DI27" s="373">
        <v>0.67309515426279298</v>
      </c>
      <c r="DJ27" s="308" t="s">
        <v>605</v>
      </c>
      <c r="DK27" s="308" t="s">
        <v>605</v>
      </c>
      <c r="DL27" s="309" t="s">
        <v>606</v>
      </c>
      <c r="DM27" s="309" t="s">
        <v>606</v>
      </c>
      <c r="DN27" s="272"/>
      <c r="DO27" s="272"/>
    </row>
    <row r="28" spans="1:123" ht="15" x14ac:dyDescent="0.3">
      <c r="A28" t="s">
        <v>562</v>
      </c>
      <c r="B28">
        <v>29</v>
      </c>
      <c r="C28" t="s">
        <v>641</v>
      </c>
      <c r="D28">
        <v>17</v>
      </c>
      <c r="E28" t="s">
        <v>564</v>
      </c>
      <c r="F28" t="s">
        <v>564</v>
      </c>
      <c r="G28">
        <v>0.84089999999999998</v>
      </c>
      <c r="H28" s="231">
        <v>1.3129</v>
      </c>
      <c r="J28" t="s">
        <v>697</v>
      </c>
      <c r="K28" t="s">
        <v>232</v>
      </c>
      <c r="L28" s="45">
        <v>0.83</v>
      </c>
      <c r="AT28" t="s">
        <v>636</v>
      </c>
      <c r="AU28" s="152">
        <f t="shared" ref="AU28:AV28" si="5">BA7</f>
        <v>1.266265060240964</v>
      </c>
      <c r="AV28" s="152">
        <f t="shared" si="5"/>
        <v>5.1951807228915667</v>
      </c>
      <c r="BT28" s="372"/>
      <c r="BU28" s="259" t="s">
        <v>723</v>
      </c>
      <c r="BV28" s="260">
        <v>43001070301</v>
      </c>
      <c r="BW28" s="261" t="s">
        <v>758</v>
      </c>
      <c r="BX28" s="261" t="s">
        <v>759</v>
      </c>
      <c r="BY28" s="152">
        <v>1.040450363531934</v>
      </c>
      <c r="BZ28" s="152">
        <v>1.299591215774681</v>
      </c>
      <c r="CA28" s="152">
        <v>1.299591215774681</v>
      </c>
      <c r="CB28" s="152">
        <v>1.299591215774681</v>
      </c>
      <c r="CC28" s="152">
        <v>1.299591215774681</v>
      </c>
      <c r="CD28" s="152">
        <v>1.299591215774681</v>
      </c>
      <c r="CE28" s="152">
        <v>1.299591215774681</v>
      </c>
      <c r="CF28" s="152">
        <v>2.8373179964788699E-2</v>
      </c>
      <c r="CG28" s="152">
        <v>9.0647681479161801E-2</v>
      </c>
      <c r="CH28" s="152">
        <v>0.3021643563311065</v>
      </c>
      <c r="CI28" s="152">
        <v>0.3021643563311065</v>
      </c>
      <c r="CJ28" s="259" t="s">
        <v>723</v>
      </c>
      <c r="CK28" s="261" t="s">
        <v>759</v>
      </c>
      <c r="CL28" s="374">
        <v>1.8277065313655569</v>
      </c>
      <c r="CM28" s="374">
        <v>1.8277065313655569</v>
      </c>
      <c r="CN28" s="374">
        <v>1.8277065313655569</v>
      </c>
      <c r="CO28" s="374">
        <v>1.8277065313655569</v>
      </c>
      <c r="CP28" s="374">
        <v>1.830481919855274</v>
      </c>
      <c r="CQ28" s="374">
        <v>1.830481919855274</v>
      </c>
      <c r="CR28" s="374">
        <v>1.830481919855274</v>
      </c>
      <c r="CS28" s="374">
        <v>1.830481919855274</v>
      </c>
      <c r="CT28" s="374">
        <v>1.768795231022471</v>
      </c>
      <c r="CU28" s="374">
        <v>1.768795231022471</v>
      </c>
      <c r="CV28" s="374">
        <v>1.768795231022471</v>
      </c>
      <c r="CW28" s="374">
        <v>1.768795231022471</v>
      </c>
      <c r="CX28" s="374">
        <v>3.5580667863525131</v>
      </c>
      <c r="CY28" s="374">
        <v>3.5580667863525131</v>
      </c>
      <c r="CZ28" s="374">
        <v>3.5580667863525131</v>
      </c>
      <c r="DA28" s="374">
        <v>3.5580667863525131</v>
      </c>
      <c r="DB28" s="374">
        <v>3.5580667863525131</v>
      </c>
      <c r="DC28" s="374">
        <v>3.5580667863525131</v>
      </c>
      <c r="DD28" s="374">
        <v>2.7872091150069331</v>
      </c>
      <c r="DE28" s="374">
        <v>2.7872091150069331</v>
      </c>
      <c r="DF28" s="373">
        <v>2.7872091150069331</v>
      </c>
      <c r="DG28" s="373">
        <v>0.24142615175683471</v>
      </c>
      <c r="DH28" s="373">
        <v>0.105757197966414</v>
      </c>
      <c r="DI28" s="373">
        <v>0.24142615175683471</v>
      </c>
      <c r="DJ28" s="308" t="s">
        <v>605</v>
      </c>
      <c r="DK28" s="308" t="s">
        <v>605</v>
      </c>
      <c r="DL28" s="309" t="s">
        <v>606</v>
      </c>
      <c r="DM28" s="309" t="s">
        <v>606</v>
      </c>
      <c r="DN28" s="272"/>
      <c r="DO28" s="272"/>
    </row>
    <row r="29" spans="1:123" ht="15" x14ac:dyDescent="0.3">
      <c r="A29" t="s">
        <v>562</v>
      </c>
      <c r="B29">
        <v>30</v>
      </c>
      <c r="C29" t="s">
        <v>650</v>
      </c>
      <c r="D29">
        <v>17</v>
      </c>
      <c r="E29" t="s">
        <v>564</v>
      </c>
      <c r="F29" t="s">
        <v>564</v>
      </c>
      <c r="G29">
        <v>0.98380000000000001</v>
      </c>
      <c r="H29" s="231">
        <v>1.3129999999999999</v>
      </c>
      <c r="J29" t="s">
        <v>473</v>
      </c>
      <c r="K29" t="s">
        <v>641</v>
      </c>
      <c r="L29" s="45">
        <v>0.64</v>
      </c>
      <c r="AT29" t="s">
        <v>644</v>
      </c>
      <c r="AU29" s="152">
        <f t="shared" ref="AU29:AV29" si="6">BA8</f>
        <v>1.265625</v>
      </c>
      <c r="AV29" s="152">
        <f t="shared" si="6"/>
        <v>5.1890625000000004</v>
      </c>
      <c r="BT29" s="372"/>
      <c r="BU29" s="259" t="s">
        <v>723</v>
      </c>
      <c r="BV29" s="260">
        <v>43001070302</v>
      </c>
      <c r="BW29" s="261" t="s">
        <v>760</v>
      </c>
      <c r="BX29" s="261" t="s">
        <v>761</v>
      </c>
      <c r="BY29" s="152">
        <v>1.7542095470376999</v>
      </c>
      <c r="BZ29" s="152">
        <v>2.2159826665863731</v>
      </c>
      <c r="CA29" s="152">
        <v>2.2159826665863731</v>
      </c>
      <c r="CB29" s="152">
        <v>2.2159826665863731</v>
      </c>
      <c r="CC29" s="152">
        <v>2.2159826665863731</v>
      </c>
      <c r="CD29" s="152">
        <v>2.2159826665863731</v>
      </c>
      <c r="CE29" s="152">
        <v>2.2159826665863731</v>
      </c>
      <c r="CF29" s="152">
        <v>2.192228379196207E-2</v>
      </c>
      <c r="CG29" s="152">
        <v>2.2549205246222241</v>
      </c>
      <c r="CH29" s="152">
        <v>1.1700785249027541</v>
      </c>
      <c r="CI29" s="152">
        <v>1.1700785249027541</v>
      </c>
      <c r="CJ29" s="259" t="s">
        <v>723</v>
      </c>
      <c r="CK29" s="261" t="s">
        <v>761</v>
      </c>
      <c r="CL29" s="374">
        <v>1.8277065313655569</v>
      </c>
      <c r="CM29" s="374">
        <v>1.8277065313655569</v>
      </c>
      <c r="CN29" s="374">
        <v>1.8277065313655569</v>
      </c>
      <c r="CO29" s="374">
        <v>1.8277065313655569</v>
      </c>
      <c r="CP29" s="374">
        <v>1.830481919855274</v>
      </c>
      <c r="CQ29" s="374">
        <v>1.830481919855274</v>
      </c>
      <c r="CR29" s="374">
        <v>1.830481919855274</v>
      </c>
      <c r="CS29" s="374">
        <v>1.830481919855274</v>
      </c>
      <c r="CT29" s="374">
        <v>1.768795231022471</v>
      </c>
      <c r="CU29" s="374">
        <v>1.768795231022471</v>
      </c>
      <c r="CV29" s="374">
        <v>1.768795231022471</v>
      </c>
      <c r="CW29" s="374">
        <v>1.768795231022471</v>
      </c>
      <c r="CX29" s="374">
        <v>3.8520734351503059</v>
      </c>
      <c r="CY29" s="374">
        <v>3.8520734351503059</v>
      </c>
      <c r="CZ29" s="374">
        <v>3.8520734351503059</v>
      </c>
      <c r="DA29" s="374">
        <v>3.8520734351503059</v>
      </c>
      <c r="DB29" s="374">
        <v>3.8520734351503059</v>
      </c>
      <c r="DC29" s="374">
        <v>3.8520734351503059</v>
      </c>
      <c r="DD29" s="374">
        <v>2.7872091150069331</v>
      </c>
      <c r="DE29" s="374">
        <v>2.7872091150069331</v>
      </c>
      <c r="DF29" s="373">
        <v>2.7872091150069331</v>
      </c>
      <c r="DG29" s="373">
        <v>1.7047077588929089</v>
      </c>
      <c r="DH29" s="373">
        <v>0.28670238620457972</v>
      </c>
      <c r="DI29" s="373">
        <v>1.7047077588929089</v>
      </c>
      <c r="DJ29" s="308" t="s">
        <v>605</v>
      </c>
      <c r="DK29" s="308" t="s">
        <v>605</v>
      </c>
      <c r="DL29" s="309" t="s">
        <v>606</v>
      </c>
      <c r="DM29" s="309" t="s">
        <v>606</v>
      </c>
      <c r="DN29" s="272"/>
      <c r="DO29" s="272"/>
    </row>
    <row r="30" spans="1:123" ht="15" x14ac:dyDescent="0.3">
      <c r="A30" t="s">
        <v>562</v>
      </c>
      <c r="B30">
        <v>31</v>
      </c>
      <c r="C30" t="s">
        <v>656</v>
      </c>
      <c r="D30">
        <v>17</v>
      </c>
      <c r="E30" t="s">
        <v>564</v>
      </c>
      <c r="F30" t="s">
        <v>564</v>
      </c>
      <c r="G30">
        <v>1.2365999999999999</v>
      </c>
      <c r="H30" s="231">
        <v>1.3129999999999999</v>
      </c>
      <c r="J30" t="s">
        <v>709</v>
      </c>
      <c r="K30" t="s">
        <v>650</v>
      </c>
      <c r="L30" s="45">
        <v>0.75</v>
      </c>
      <c r="AT30" t="s">
        <v>650</v>
      </c>
      <c r="AU30" s="152">
        <f t="shared" ref="AU30:AV30" si="7">BA9</f>
        <v>1.2626666666666666</v>
      </c>
      <c r="AV30" s="152">
        <f t="shared" si="7"/>
        <v>5.18</v>
      </c>
      <c r="BT30" s="372"/>
      <c r="BU30" s="259" t="s">
        <v>723</v>
      </c>
      <c r="BV30" s="260">
        <v>43001070401</v>
      </c>
      <c r="BW30" s="261" t="s">
        <v>762</v>
      </c>
      <c r="BX30" s="261" t="s">
        <v>763</v>
      </c>
      <c r="BY30" s="152">
        <v>1.5892045684641181</v>
      </c>
      <c r="BZ30" s="152">
        <v>1.9753525239844141</v>
      </c>
      <c r="CA30" s="152">
        <v>1.9753525239844141</v>
      </c>
      <c r="CB30" s="152">
        <v>1.9753525239844141</v>
      </c>
      <c r="CC30" s="152">
        <v>1.9753525239844141</v>
      </c>
      <c r="CD30" s="152">
        <v>1.9753525239844141</v>
      </c>
      <c r="CE30" s="152">
        <v>1.9753525239844141</v>
      </c>
      <c r="CF30" s="152">
        <v>3.9640196691501782E-2</v>
      </c>
      <c r="CG30" s="152">
        <v>0.14756659885736251</v>
      </c>
      <c r="CH30" s="152">
        <v>1.064696857120834</v>
      </c>
      <c r="CI30" s="152">
        <v>1.064696857120834</v>
      </c>
      <c r="CJ30" s="259" t="s">
        <v>723</v>
      </c>
      <c r="CK30" s="261" t="s">
        <v>763</v>
      </c>
      <c r="CL30" s="374">
        <v>1.8277065313655569</v>
      </c>
      <c r="CM30" s="374">
        <v>1.8277065313655569</v>
      </c>
      <c r="CN30" s="374">
        <v>1.8277065313655569</v>
      </c>
      <c r="CO30" s="374">
        <v>1.8277065313655569</v>
      </c>
      <c r="CP30" s="374">
        <v>1.830481919855274</v>
      </c>
      <c r="CQ30" s="374">
        <v>1.830481919855274</v>
      </c>
      <c r="CR30" s="374">
        <v>1.830481919855274</v>
      </c>
      <c r="CS30" s="374">
        <v>1.830481919855274</v>
      </c>
      <c r="CT30" s="374">
        <v>1.9553681088198061</v>
      </c>
      <c r="CU30" s="374">
        <v>1.9553681088198061</v>
      </c>
      <c r="CV30" s="374">
        <v>1.9553681088198061</v>
      </c>
      <c r="CW30" s="374">
        <v>1.9553681088198061</v>
      </c>
      <c r="CX30" s="374">
        <v>3.8520734351503059</v>
      </c>
      <c r="CY30" s="374">
        <v>3.8520734351503059</v>
      </c>
      <c r="CZ30" s="374">
        <v>3.8520734351503059</v>
      </c>
      <c r="DA30" s="374">
        <v>3.8520734351503059</v>
      </c>
      <c r="DB30" s="374">
        <v>3.8520734351503059</v>
      </c>
      <c r="DC30" s="374">
        <v>3.8520734351503059</v>
      </c>
      <c r="DD30" s="374">
        <v>2.7872091150069331</v>
      </c>
      <c r="DE30" s="374">
        <v>2.7872091150069331</v>
      </c>
      <c r="DF30" s="373">
        <v>2.7872091150069331</v>
      </c>
      <c r="DG30" s="373">
        <v>0.39302041891582579</v>
      </c>
      <c r="DH30" s="373">
        <v>0.17216158945326149</v>
      </c>
      <c r="DI30" s="373">
        <v>0.39302041891582579</v>
      </c>
      <c r="DJ30" s="308" t="s">
        <v>605</v>
      </c>
      <c r="DK30" s="308" t="s">
        <v>605</v>
      </c>
      <c r="DL30" s="309" t="s">
        <v>606</v>
      </c>
      <c r="DM30" s="309" t="s">
        <v>606</v>
      </c>
      <c r="DN30" s="272"/>
      <c r="DO30" s="272"/>
    </row>
    <row r="31" spans="1:123" ht="15" x14ac:dyDescent="0.3">
      <c r="A31" t="s">
        <v>562</v>
      </c>
      <c r="B31">
        <v>32</v>
      </c>
      <c r="C31" t="s">
        <v>665</v>
      </c>
      <c r="D31">
        <v>17</v>
      </c>
      <c r="E31" t="s">
        <v>564</v>
      </c>
      <c r="F31" t="s">
        <v>564</v>
      </c>
      <c r="G31">
        <v>0.45710000000000001</v>
      </c>
      <c r="H31" s="231">
        <v>1.3520000000000001</v>
      </c>
      <c r="J31" t="s">
        <v>714</v>
      </c>
      <c r="K31" t="s">
        <v>656</v>
      </c>
      <c r="L31" s="45">
        <v>0.94</v>
      </c>
      <c r="AT31" t="s">
        <v>660</v>
      </c>
      <c r="AU31" s="152">
        <f t="shared" ref="AU31:AV31" si="8">BA10</f>
        <v>1.2659574468085106</v>
      </c>
      <c r="AV31" s="152">
        <f t="shared" si="8"/>
        <v>5.1957446808510639</v>
      </c>
      <c r="BT31" s="372"/>
      <c r="BU31" s="259" t="s">
        <v>723</v>
      </c>
      <c r="BV31" s="260">
        <v>43001070402</v>
      </c>
      <c r="BW31" s="261" t="s">
        <v>764</v>
      </c>
      <c r="BX31" s="261" t="s">
        <v>765</v>
      </c>
      <c r="BY31" s="152">
        <v>1.1784239972092561</v>
      </c>
      <c r="BZ31" s="152">
        <v>1.52492895336954</v>
      </c>
      <c r="CA31" s="152">
        <v>1.52492895336954</v>
      </c>
      <c r="CB31" s="152">
        <v>1.52492895336954</v>
      </c>
      <c r="CC31" s="152">
        <v>1.52492895336954</v>
      </c>
      <c r="CD31" s="152">
        <v>1.52492895336954</v>
      </c>
      <c r="CE31" s="152">
        <v>1.52492895336954</v>
      </c>
      <c r="CF31" s="152">
        <v>2.627839834285783E-2</v>
      </c>
      <c r="CG31" s="152">
        <v>0.67539046161776417</v>
      </c>
      <c r="CH31" s="152">
        <v>0.86331039407400956</v>
      </c>
      <c r="CI31" s="152">
        <v>0.86331039407400956</v>
      </c>
      <c r="CJ31" s="259" t="s">
        <v>723</v>
      </c>
      <c r="CK31" s="261" t="s">
        <v>765</v>
      </c>
      <c r="CL31" s="374">
        <v>1.8277065313655569</v>
      </c>
      <c r="CM31" s="374">
        <v>1.8277065313655569</v>
      </c>
      <c r="CN31" s="374">
        <v>1.8277065313655569</v>
      </c>
      <c r="CO31" s="374">
        <v>1.8277065313655569</v>
      </c>
      <c r="CP31" s="374">
        <v>1.830481919855274</v>
      </c>
      <c r="CQ31" s="374">
        <v>1.830481919855274</v>
      </c>
      <c r="CR31" s="374">
        <v>1.830481919855274</v>
      </c>
      <c r="CS31" s="374">
        <v>1.830481919855274</v>
      </c>
      <c r="CT31" s="374">
        <v>1.768795231022471</v>
      </c>
      <c r="CU31" s="374">
        <v>1.768795231022471</v>
      </c>
      <c r="CV31" s="374">
        <v>1.768795231022471</v>
      </c>
      <c r="CW31" s="374">
        <v>1.768795231022471</v>
      </c>
      <c r="CX31" s="374">
        <v>3.8520734351503059</v>
      </c>
      <c r="CY31" s="374">
        <v>3.8520734351503059</v>
      </c>
      <c r="CZ31" s="374">
        <v>3.8520734351503059</v>
      </c>
      <c r="DA31" s="374">
        <v>3.8520734351503059</v>
      </c>
      <c r="DB31" s="374">
        <v>3.8520734351503059</v>
      </c>
      <c r="DC31" s="374">
        <v>3.8520734351503059</v>
      </c>
      <c r="DD31" s="374">
        <v>2.7872091150069331</v>
      </c>
      <c r="DE31" s="374">
        <v>2.7872091150069331</v>
      </c>
      <c r="DF31" s="373">
        <v>2.7872091150069331</v>
      </c>
      <c r="DG31" s="373">
        <v>1.7987768755408731</v>
      </c>
      <c r="DH31" s="373">
        <v>0.44811464316180871</v>
      </c>
      <c r="DI31" s="373">
        <v>1.7987768755408731</v>
      </c>
      <c r="DJ31" s="308" t="s">
        <v>605</v>
      </c>
      <c r="DK31" s="308" t="s">
        <v>605</v>
      </c>
      <c r="DL31" s="309" t="s">
        <v>606</v>
      </c>
      <c r="DM31" s="309" t="s">
        <v>606</v>
      </c>
      <c r="DN31" s="272"/>
      <c r="DO31" s="272"/>
    </row>
    <row r="32" spans="1:123" ht="15" x14ac:dyDescent="0.3">
      <c r="A32" t="s">
        <v>562</v>
      </c>
      <c r="B32">
        <v>33</v>
      </c>
      <c r="C32" t="s">
        <v>673</v>
      </c>
      <c r="D32">
        <v>17</v>
      </c>
      <c r="E32" t="s">
        <v>564</v>
      </c>
      <c r="F32" t="s">
        <v>564</v>
      </c>
      <c r="G32">
        <v>0.14269999999999999</v>
      </c>
      <c r="H32" s="231">
        <v>1.3526</v>
      </c>
      <c r="J32" t="s">
        <v>720</v>
      </c>
      <c r="K32" t="s">
        <v>665</v>
      </c>
      <c r="L32" s="45">
        <v>0.34</v>
      </c>
      <c r="AT32" t="s">
        <v>668</v>
      </c>
      <c r="AU32" s="152">
        <f t="shared" ref="AU32:AV32" si="9">BA11</f>
        <v>1.2941176470588234</v>
      </c>
      <c r="AV32" s="152">
        <f t="shared" si="9"/>
        <v>5.3088235294117645</v>
      </c>
      <c r="BT32" s="372"/>
      <c r="BU32" s="259" t="s">
        <v>723</v>
      </c>
      <c r="BV32" s="260">
        <v>43001070403</v>
      </c>
      <c r="BW32" s="261" t="s">
        <v>766</v>
      </c>
      <c r="BX32" s="261" t="s">
        <v>767</v>
      </c>
      <c r="BY32" s="152">
        <v>1.239623347395554</v>
      </c>
      <c r="BZ32" s="152">
        <v>1.7617444340087871</v>
      </c>
      <c r="CA32" s="152">
        <v>1.7617444340087871</v>
      </c>
      <c r="CB32" s="152">
        <v>1.7617444340087871</v>
      </c>
      <c r="CC32" s="152">
        <v>1.7617444340087871</v>
      </c>
      <c r="CD32" s="152">
        <v>1.7617444340087871</v>
      </c>
      <c r="CE32" s="152">
        <v>1.7617444340087871</v>
      </c>
      <c r="CF32" s="152">
        <v>2.627839834285783E-2</v>
      </c>
      <c r="CG32" s="152">
        <v>1.0295177831367519</v>
      </c>
      <c r="CH32" s="152">
        <v>0.87248935504224845</v>
      </c>
      <c r="CI32" s="152">
        <v>0.87248935504224845</v>
      </c>
      <c r="CJ32" s="259" t="s">
        <v>723</v>
      </c>
      <c r="CK32" s="261" t="s">
        <v>767</v>
      </c>
      <c r="CL32" s="374">
        <v>1.8277065313655569</v>
      </c>
      <c r="CM32" s="374">
        <v>1.8277065313655569</v>
      </c>
      <c r="CN32" s="374">
        <v>1.8277065313655569</v>
      </c>
      <c r="CO32" s="374">
        <v>1.8277065313655569</v>
      </c>
      <c r="CP32" s="374">
        <v>1.830481919855274</v>
      </c>
      <c r="CQ32" s="374">
        <v>1.830481919855274</v>
      </c>
      <c r="CR32" s="374">
        <v>1.830481919855274</v>
      </c>
      <c r="CS32" s="374">
        <v>1.830481919855274</v>
      </c>
      <c r="CT32" s="374">
        <v>1.768795231022471</v>
      </c>
      <c r="CU32" s="374">
        <v>1.768795231022471</v>
      </c>
      <c r="CV32" s="374">
        <v>1.768795231022471</v>
      </c>
      <c r="CW32" s="374">
        <v>1.768795231022471</v>
      </c>
      <c r="CX32" s="374">
        <v>3.8520734351503059</v>
      </c>
      <c r="CY32" s="374">
        <v>3.8520734351503059</v>
      </c>
      <c r="CZ32" s="374">
        <v>3.8520734351503059</v>
      </c>
      <c r="DA32" s="374">
        <v>3.8520734351503059</v>
      </c>
      <c r="DB32" s="374">
        <v>3.8520734351503059</v>
      </c>
      <c r="DC32" s="374">
        <v>3.8520734351503059</v>
      </c>
      <c r="DD32" s="374">
        <v>2.7872091150069331</v>
      </c>
      <c r="DE32" s="374">
        <v>2.7872091150069331</v>
      </c>
      <c r="DF32" s="373">
        <v>2.7872091150069331</v>
      </c>
      <c r="DG32" s="373">
        <v>0.97983274738321313</v>
      </c>
      <c r="DH32" s="373">
        <v>0.21224268114108069</v>
      </c>
      <c r="DI32" s="373">
        <v>0.97983274738321313</v>
      </c>
      <c r="DJ32" s="308" t="s">
        <v>605</v>
      </c>
      <c r="DK32" s="308" t="s">
        <v>605</v>
      </c>
      <c r="DL32" s="309" t="s">
        <v>606</v>
      </c>
      <c r="DM32" s="309" t="s">
        <v>606</v>
      </c>
      <c r="DN32" s="272"/>
      <c r="DO32" s="272"/>
    </row>
    <row r="33" spans="1:119" ht="15" x14ac:dyDescent="0.3">
      <c r="A33" t="s">
        <v>562</v>
      </c>
      <c r="B33">
        <v>34</v>
      </c>
      <c r="C33" t="s">
        <v>681</v>
      </c>
      <c r="D33">
        <v>17</v>
      </c>
      <c r="E33" t="s">
        <v>564</v>
      </c>
      <c r="F33" t="s">
        <v>564</v>
      </c>
      <c r="G33">
        <v>0.80869999999999997</v>
      </c>
      <c r="H33" s="231">
        <v>1.3521000000000001</v>
      </c>
      <c r="J33" t="s">
        <v>726</v>
      </c>
      <c r="K33" t="s">
        <v>673</v>
      </c>
      <c r="L33" s="45">
        <v>0.11</v>
      </c>
      <c r="AT33" t="s">
        <v>677</v>
      </c>
      <c r="AU33" s="152">
        <f t="shared" ref="AU33:AV33" si="10">BA12</f>
        <v>1.2454545454545456</v>
      </c>
      <c r="AV33" s="152">
        <f t="shared" si="10"/>
        <v>5.127272727272727</v>
      </c>
      <c r="BT33" s="372"/>
      <c r="BU33" s="259" t="s">
        <v>723</v>
      </c>
      <c r="BV33" s="260">
        <v>43001070501</v>
      </c>
      <c r="BW33" s="261" t="s">
        <v>768</v>
      </c>
      <c r="BX33" s="261" t="s">
        <v>769</v>
      </c>
      <c r="BY33" s="152">
        <v>1.69667528574418</v>
      </c>
      <c r="BZ33" s="152">
        <v>2.4053069981377839</v>
      </c>
      <c r="CA33" s="152">
        <v>2.4053069981377839</v>
      </c>
      <c r="CB33" s="152">
        <v>2.4053069981377839</v>
      </c>
      <c r="CC33" s="152">
        <v>2.4053069981377839</v>
      </c>
      <c r="CD33" s="152">
        <v>2.4053069981377839</v>
      </c>
      <c r="CE33" s="152">
        <v>2.4053069981377839</v>
      </c>
      <c r="CF33" s="152">
        <v>5.1205267717488907E-2</v>
      </c>
      <c r="CG33" s="152">
        <v>0.67470425425405367</v>
      </c>
      <c r="CH33" s="152">
        <v>1.5613586771767001</v>
      </c>
      <c r="CI33" s="152">
        <v>1.5613586771767001</v>
      </c>
      <c r="CJ33" s="259" t="s">
        <v>723</v>
      </c>
      <c r="CK33" s="261" t="s">
        <v>769</v>
      </c>
      <c r="CL33" s="374">
        <v>1.8277065313655569</v>
      </c>
      <c r="CM33" s="374">
        <v>1.8277065313655569</v>
      </c>
      <c r="CN33" s="374">
        <v>1.8277065313655569</v>
      </c>
      <c r="CO33" s="374">
        <v>1.8277065313655569</v>
      </c>
      <c r="CP33" s="374">
        <v>1.830481919855274</v>
      </c>
      <c r="CQ33" s="374">
        <v>1.830481919855274</v>
      </c>
      <c r="CR33" s="374">
        <v>1.830481919855274</v>
      </c>
      <c r="CS33" s="374">
        <v>1.830481919855274</v>
      </c>
      <c r="CT33" s="374">
        <v>2.5400344409786699</v>
      </c>
      <c r="CU33" s="374">
        <v>2.5400344409786699</v>
      </c>
      <c r="CV33" s="374">
        <v>2.5400344409786699</v>
      </c>
      <c r="CW33" s="374">
        <v>2.5400344409786699</v>
      </c>
      <c r="CX33" s="374">
        <v>3.8520734351503059</v>
      </c>
      <c r="CY33" s="374">
        <v>3.8520734351503059</v>
      </c>
      <c r="CZ33" s="374">
        <v>3.8520734351503059</v>
      </c>
      <c r="DA33" s="374">
        <v>3.8520734351503059</v>
      </c>
      <c r="DB33" s="374">
        <v>3.8520734351503059</v>
      </c>
      <c r="DC33" s="374">
        <v>3.8520734351503059</v>
      </c>
      <c r="DD33" s="374">
        <v>2.7872091150069331</v>
      </c>
      <c r="DE33" s="374">
        <v>2.7872091150069331</v>
      </c>
      <c r="DF33" s="373">
        <v>2.7872091150069331</v>
      </c>
      <c r="DG33" s="373">
        <v>1.1396183439590251</v>
      </c>
      <c r="DH33" s="373">
        <v>0.29755120913880068</v>
      </c>
      <c r="DI33" s="373">
        <v>1.1396183439590251</v>
      </c>
      <c r="DJ33" s="308" t="s">
        <v>605</v>
      </c>
      <c r="DK33" s="308" t="s">
        <v>605</v>
      </c>
      <c r="DL33" s="309" t="s">
        <v>606</v>
      </c>
      <c r="DM33" s="309" t="s">
        <v>606</v>
      </c>
      <c r="DN33" s="272"/>
      <c r="DO33" s="272"/>
    </row>
    <row r="34" spans="1:119" ht="15" x14ac:dyDescent="0.3">
      <c r="A34" t="s">
        <v>562</v>
      </c>
      <c r="B34">
        <v>35</v>
      </c>
      <c r="C34" t="s">
        <v>691</v>
      </c>
      <c r="D34">
        <v>17</v>
      </c>
      <c r="E34" t="s">
        <v>564</v>
      </c>
      <c r="F34" t="s">
        <v>564</v>
      </c>
      <c r="G34">
        <v>1.3186</v>
      </c>
      <c r="H34" s="231">
        <v>1.3677999999999999</v>
      </c>
      <c r="J34" t="s">
        <v>693</v>
      </c>
      <c r="K34" t="s">
        <v>681</v>
      </c>
      <c r="L34" s="45">
        <v>0.6</v>
      </c>
      <c r="AT34" t="s">
        <v>686</v>
      </c>
      <c r="AU34" s="152">
        <f t="shared" ref="AU34:AV34" si="11">BA13</f>
        <v>1.2966666666666669</v>
      </c>
      <c r="AV34" s="152">
        <f t="shared" si="11"/>
        <v>5.3233333333333333</v>
      </c>
      <c r="BT34" s="372"/>
      <c r="BU34" s="259" t="s">
        <v>723</v>
      </c>
      <c r="BV34" s="260">
        <v>43001070502</v>
      </c>
      <c r="BW34" s="261" t="s">
        <v>770</v>
      </c>
      <c r="BX34" s="261" t="s">
        <v>771</v>
      </c>
      <c r="BY34" s="152">
        <v>2.9097637663745779</v>
      </c>
      <c r="BZ34" s="152">
        <v>4.377695539084228</v>
      </c>
      <c r="CA34" s="152">
        <v>4.377695539084228</v>
      </c>
      <c r="CB34" s="152">
        <v>4.377695539084228</v>
      </c>
      <c r="CC34" s="152">
        <v>4.377695539084228</v>
      </c>
      <c r="CD34" s="152">
        <v>4.377695539084228</v>
      </c>
      <c r="CE34" s="152">
        <v>4.377695539084228</v>
      </c>
      <c r="CF34" s="152">
        <v>2.7131979398997571E-3</v>
      </c>
      <c r="CG34" s="152">
        <v>0.38677225290213008</v>
      </c>
      <c r="CH34" s="152">
        <v>1.2892511211440321</v>
      </c>
      <c r="CI34" s="152">
        <v>1.2892511211440321</v>
      </c>
      <c r="CJ34" s="259" t="s">
        <v>723</v>
      </c>
      <c r="CK34" s="261" t="s">
        <v>771</v>
      </c>
      <c r="CL34" s="374">
        <v>1.8277065313655569</v>
      </c>
      <c r="CM34" s="374">
        <v>1.8277065313655569</v>
      </c>
      <c r="CN34" s="374">
        <v>1.8277065313655569</v>
      </c>
      <c r="CO34" s="374">
        <v>1.8277065313655569</v>
      </c>
      <c r="CP34" s="374">
        <v>1.830481919855274</v>
      </c>
      <c r="CQ34" s="374">
        <v>1.830481919855274</v>
      </c>
      <c r="CR34" s="374">
        <v>1.830481919855274</v>
      </c>
      <c r="CS34" s="374">
        <v>1.830481919855274</v>
      </c>
      <c r="CT34" s="374">
        <v>1.768795231022471</v>
      </c>
      <c r="CU34" s="374">
        <v>1.768795231022471</v>
      </c>
      <c r="CV34" s="374">
        <v>1.768795231022471</v>
      </c>
      <c r="CW34" s="374">
        <v>1.768795231022471</v>
      </c>
      <c r="CX34" s="374">
        <v>3.8520734351503059</v>
      </c>
      <c r="CY34" s="374">
        <v>3.8520734351503059</v>
      </c>
      <c r="CZ34" s="374">
        <v>3.8520734351503059</v>
      </c>
      <c r="DA34" s="374">
        <v>3.8520734351503059</v>
      </c>
      <c r="DB34" s="374">
        <v>3.8520734351503059</v>
      </c>
      <c r="DC34" s="374">
        <v>3.8520734351503059</v>
      </c>
      <c r="DD34" s="374">
        <v>2.7872091150069331</v>
      </c>
      <c r="DE34" s="374">
        <v>2.7872091150069331</v>
      </c>
      <c r="DF34" s="373">
        <v>2.7872091150069331</v>
      </c>
      <c r="DG34" s="373">
        <v>1.0301062735789399</v>
      </c>
      <c r="DH34" s="373">
        <v>0.43444594723323993</v>
      </c>
      <c r="DI34" s="373">
        <v>1.0301062735789399</v>
      </c>
      <c r="DJ34" s="308" t="s">
        <v>605</v>
      </c>
      <c r="DK34" s="308" t="s">
        <v>605</v>
      </c>
      <c r="DL34" s="309" t="s">
        <v>606</v>
      </c>
      <c r="DM34" s="309" t="s">
        <v>606</v>
      </c>
      <c r="DN34" s="272"/>
      <c r="DO34" s="272"/>
    </row>
    <row r="35" spans="1:119" ht="15" x14ac:dyDescent="0.3">
      <c r="A35" t="s">
        <v>772</v>
      </c>
      <c r="B35">
        <v>1</v>
      </c>
      <c r="C35" t="s">
        <v>563</v>
      </c>
      <c r="D35">
        <v>2</v>
      </c>
      <c r="E35" t="s">
        <v>564</v>
      </c>
      <c r="F35" t="s">
        <v>564</v>
      </c>
      <c r="G35">
        <v>1.1973</v>
      </c>
      <c r="H35" s="231">
        <v>1.1973</v>
      </c>
      <c r="J35" t="s">
        <v>737</v>
      </c>
      <c r="K35" t="s">
        <v>691</v>
      </c>
      <c r="L35" s="45">
        <v>0.96</v>
      </c>
      <c r="AT35" t="s">
        <v>11</v>
      </c>
      <c r="AU35" s="152">
        <f t="shared" ref="AU35:AV35" si="12">BA14</f>
        <v>1.3218749999999999</v>
      </c>
      <c r="AV35" s="152">
        <f t="shared" si="12"/>
        <v>5.4250000000000007</v>
      </c>
      <c r="BT35" s="372"/>
      <c r="BU35" s="259" t="s">
        <v>723</v>
      </c>
      <c r="BV35" s="260">
        <v>43001070503</v>
      </c>
      <c r="BW35" s="261" t="s">
        <v>773</v>
      </c>
      <c r="BX35" s="261" t="s">
        <v>774</v>
      </c>
      <c r="BY35" s="152">
        <v>1.411106774204004</v>
      </c>
      <c r="BZ35" s="152">
        <v>2.1935762527676701</v>
      </c>
      <c r="CA35" s="152">
        <v>2.1935762527676701</v>
      </c>
      <c r="CB35" s="152">
        <v>2.1935762527676701</v>
      </c>
      <c r="CC35" s="152">
        <v>2.1935762527676701</v>
      </c>
      <c r="CD35" s="152">
        <v>2.1935762527676701</v>
      </c>
      <c r="CE35" s="152">
        <v>2.1935762527676701</v>
      </c>
      <c r="CF35" s="152">
        <v>1.19198032944107E-2</v>
      </c>
      <c r="CG35" s="152">
        <v>0.50685592823875925</v>
      </c>
      <c r="CH35" s="152">
        <v>1.180173061053793</v>
      </c>
      <c r="CI35" s="152">
        <v>1.180173061053793</v>
      </c>
      <c r="CJ35" s="259" t="s">
        <v>723</v>
      </c>
      <c r="CK35" s="261" t="s">
        <v>774</v>
      </c>
      <c r="CL35" s="374">
        <v>1.8277065313655569</v>
      </c>
      <c r="CM35" s="374">
        <v>1.8277065313655569</v>
      </c>
      <c r="CN35" s="374">
        <v>1.8277065313655569</v>
      </c>
      <c r="CO35" s="374">
        <v>1.8277065313655569</v>
      </c>
      <c r="CP35" s="374">
        <v>1.830481919855274</v>
      </c>
      <c r="CQ35" s="374">
        <v>1.830481919855274</v>
      </c>
      <c r="CR35" s="374">
        <v>1.830481919855274</v>
      </c>
      <c r="CS35" s="374">
        <v>1.830481919855274</v>
      </c>
      <c r="CT35" s="374">
        <v>0.47970532996136772</v>
      </c>
      <c r="CU35" s="374">
        <v>0.47970532996136772</v>
      </c>
      <c r="CV35" s="374">
        <v>0.47970532996136772</v>
      </c>
      <c r="CW35" s="374">
        <v>0.47970532996136772</v>
      </c>
      <c r="CX35" s="374">
        <v>2.88923513801184</v>
      </c>
      <c r="CY35" s="374">
        <v>2.88923513801184</v>
      </c>
      <c r="CZ35" s="374">
        <v>2.88923513801184</v>
      </c>
      <c r="DA35" s="374">
        <v>2.88923513801184</v>
      </c>
      <c r="DB35" s="374">
        <v>2.88923513801184</v>
      </c>
      <c r="DC35" s="374">
        <v>2.88923513801184</v>
      </c>
      <c r="DD35" s="374">
        <v>2.7872091150069331</v>
      </c>
      <c r="DE35" s="374">
        <v>2.7872091150069331</v>
      </c>
      <c r="DF35" s="373">
        <v>2.7872091150069331</v>
      </c>
      <c r="DG35" s="373">
        <v>0.94295079878539156</v>
      </c>
      <c r="DH35" s="373">
        <v>0.2970534630877309</v>
      </c>
      <c r="DI35" s="373">
        <v>0.94295079878539156</v>
      </c>
      <c r="DJ35" s="308" t="s">
        <v>605</v>
      </c>
      <c r="DK35" s="308" t="s">
        <v>605</v>
      </c>
      <c r="DL35" s="309" t="s">
        <v>606</v>
      </c>
      <c r="DM35" s="309" t="s">
        <v>606</v>
      </c>
      <c r="DN35" s="272"/>
      <c r="DO35" s="272"/>
    </row>
    <row r="36" spans="1:119" ht="15" x14ac:dyDescent="0.3">
      <c r="A36" t="s">
        <v>772</v>
      </c>
      <c r="B36">
        <v>2</v>
      </c>
      <c r="C36" t="s">
        <v>280</v>
      </c>
      <c r="D36">
        <v>2</v>
      </c>
      <c r="E36" t="s">
        <v>564</v>
      </c>
      <c r="F36" t="s">
        <v>564</v>
      </c>
      <c r="G36">
        <v>1.1692</v>
      </c>
      <c r="H36" s="231">
        <v>1.1692</v>
      </c>
      <c r="BT36" s="372"/>
      <c r="BU36" s="259" t="s">
        <v>723</v>
      </c>
      <c r="BV36" s="260">
        <v>43001070504</v>
      </c>
      <c r="BW36" s="261" t="s">
        <v>775</v>
      </c>
      <c r="BX36" s="261" t="s">
        <v>776</v>
      </c>
      <c r="BY36" s="152">
        <v>1.139072648502514</v>
      </c>
      <c r="BZ36" s="152">
        <v>1.4490076522001389</v>
      </c>
      <c r="CA36" s="152">
        <v>1.4490076522001389</v>
      </c>
      <c r="CB36" s="152">
        <v>1.4490076522001389</v>
      </c>
      <c r="CC36" s="152">
        <v>1.4490076522001389</v>
      </c>
      <c r="CD36" s="152">
        <v>1.4490076522001389</v>
      </c>
      <c r="CE36" s="152">
        <v>1.4490076522001389</v>
      </c>
      <c r="CF36" s="152">
        <v>2.373495598199197E-3</v>
      </c>
      <c r="CG36" s="152">
        <v>0.3953956117199714</v>
      </c>
      <c r="CH36" s="152">
        <v>0.88454092601301626</v>
      </c>
      <c r="CI36" s="152">
        <v>0.88454092601301626</v>
      </c>
      <c r="CJ36" s="259" t="s">
        <v>723</v>
      </c>
      <c r="CK36" s="261" t="s">
        <v>776</v>
      </c>
      <c r="CL36" s="374">
        <v>1.8277065313655569</v>
      </c>
      <c r="CM36" s="374">
        <v>1.8277065313655569</v>
      </c>
      <c r="CN36" s="374">
        <v>1.8277065313655569</v>
      </c>
      <c r="CO36" s="374">
        <v>1.8277065313655569</v>
      </c>
      <c r="CP36" s="374">
        <v>1.830481919855274</v>
      </c>
      <c r="CQ36" s="374">
        <v>1.830481919855274</v>
      </c>
      <c r="CR36" s="374">
        <v>1.830481919855274</v>
      </c>
      <c r="CS36" s="374">
        <v>1.830481919855274</v>
      </c>
      <c r="CT36" s="374">
        <v>1.768795231022471</v>
      </c>
      <c r="CU36" s="374">
        <v>1.768795231022471</v>
      </c>
      <c r="CV36" s="374">
        <v>1.768795231022471</v>
      </c>
      <c r="CW36" s="374">
        <v>1.768795231022471</v>
      </c>
      <c r="CX36" s="374">
        <v>3.8520734351503059</v>
      </c>
      <c r="CY36" s="374">
        <v>3.8520734351503059</v>
      </c>
      <c r="CZ36" s="374">
        <v>3.8520734351503059</v>
      </c>
      <c r="DA36" s="374">
        <v>3.8520734351503059</v>
      </c>
      <c r="DB36" s="374">
        <v>3.8520734351503059</v>
      </c>
      <c r="DC36" s="374">
        <v>3.8520734351503059</v>
      </c>
      <c r="DD36" s="374">
        <v>2.7872091150069331</v>
      </c>
      <c r="DE36" s="374">
        <v>2.7872091150069331</v>
      </c>
      <c r="DF36" s="373">
        <v>2.7872091150069331</v>
      </c>
      <c r="DG36" s="373">
        <v>0.71697871862535789</v>
      </c>
      <c r="DH36" s="373">
        <v>0.17206876811319599</v>
      </c>
      <c r="DI36" s="373">
        <v>0.71697871862535789</v>
      </c>
      <c r="DJ36" s="308" t="s">
        <v>605</v>
      </c>
      <c r="DK36" s="308" t="s">
        <v>605</v>
      </c>
      <c r="DL36" s="309" t="s">
        <v>606</v>
      </c>
      <c r="DM36" s="309" t="s">
        <v>606</v>
      </c>
      <c r="DN36" s="272"/>
      <c r="DO36" s="272"/>
    </row>
    <row r="37" spans="1:119" ht="15" x14ac:dyDescent="0.3">
      <c r="A37" t="s">
        <v>772</v>
      </c>
      <c r="B37">
        <v>3</v>
      </c>
      <c r="C37" t="s">
        <v>607</v>
      </c>
      <c r="D37">
        <v>2</v>
      </c>
      <c r="E37" t="s">
        <v>564</v>
      </c>
      <c r="F37" t="s">
        <v>564</v>
      </c>
      <c r="G37">
        <v>1.464</v>
      </c>
      <c r="H37" s="231">
        <v>1.464</v>
      </c>
      <c r="BT37" s="372"/>
      <c r="BU37" s="259" t="s">
        <v>723</v>
      </c>
      <c r="BV37" s="260">
        <v>43001070601</v>
      </c>
      <c r="BW37" s="261" t="s">
        <v>777</v>
      </c>
      <c r="BX37" s="261" t="s">
        <v>778</v>
      </c>
      <c r="BY37" s="152">
        <v>0.94782715085693581</v>
      </c>
      <c r="BZ37" s="152">
        <v>1.4930259198811671</v>
      </c>
      <c r="CA37" s="152">
        <v>1.4930259198811671</v>
      </c>
      <c r="CB37" s="152">
        <v>1.4930259198811671</v>
      </c>
      <c r="CC37" s="152">
        <v>1.4930259198811671</v>
      </c>
      <c r="CD37" s="152">
        <v>1.4930259198811671</v>
      </c>
      <c r="CE37" s="152">
        <v>1.4930259198811671</v>
      </c>
      <c r="CF37" s="152">
        <v>1.7006646116680769E-2</v>
      </c>
      <c r="CG37" s="152">
        <v>1.3293781109214551</v>
      </c>
      <c r="CH37" s="152">
        <v>0.95830487029379252</v>
      </c>
      <c r="CI37" s="152">
        <v>0.95830487029379252</v>
      </c>
      <c r="CJ37" s="259" t="s">
        <v>723</v>
      </c>
      <c r="CK37" s="261" t="s">
        <v>778</v>
      </c>
      <c r="CL37" s="374">
        <v>1.8277065313655569</v>
      </c>
      <c r="CM37" s="374">
        <v>1.8277065313655569</v>
      </c>
      <c r="CN37" s="374">
        <v>1.8277065313655569</v>
      </c>
      <c r="CO37" s="374">
        <v>1.8277065313655569</v>
      </c>
      <c r="CP37" s="374">
        <v>1.830481919855274</v>
      </c>
      <c r="CQ37" s="374">
        <v>1.830481919855274</v>
      </c>
      <c r="CR37" s="374">
        <v>1.830481919855274</v>
      </c>
      <c r="CS37" s="374">
        <v>1.830481919855274</v>
      </c>
      <c r="CT37" s="374">
        <v>1.768795231022471</v>
      </c>
      <c r="CU37" s="374">
        <v>1.768795231022471</v>
      </c>
      <c r="CV37" s="374">
        <v>1.768795231022471</v>
      </c>
      <c r="CW37" s="374">
        <v>1.768795231022471</v>
      </c>
      <c r="CX37" s="374">
        <v>3.8520734351503059</v>
      </c>
      <c r="CY37" s="374">
        <v>3.8520734351503059</v>
      </c>
      <c r="CZ37" s="374">
        <v>3.8520734351503059</v>
      </c>
      <c r="DA37" s="374">
        <v>3.8520734351503059</v>
      </c>
      <c r="DB37" s="374">
        <v>3.8520734351503059</v>
      </c>
      <c r="DC37" s="374">
        <v>3.8520734351503059</v>
      </c>
      <c r="DD37" s="374">
        <v>2.7872091150069331</v>
      </c>
      <c r="DE37" s="374">
        <v>2.7872091150069331</v>
      </c>
      <c r="DF37" s="373">
        <v>2.7872091150069331</v>
      </c>
      <c r="DG37" s="373">
        <v>1.256166748313559</v>
      </c>
      <c r="DH37" s="373">
        <v>0.26547650811189039</v>
      </c>
      <c r="DI37" s="373">
        <v>1.256166748313559</v>
      </c>
      <c r="DJ37" s="308" t="s">
        <v>605</v>
      </c>
      <c r="DK37" s="308" t="s">
        <v>605</v>
      </c>
      <c r="DL37" s="309" t="s">
        <v>606</v>
      </c>
      <c r="DM37" s="309" t="s">
        <v>606</v>
      </c>
      <c r="DN37" s="272"/>
      <c r="DO37" s="272"/>
    </row>
    <row r="38" spans="1:119" ht="15" x14ac:dyDescent="0.3">
      <c r="A38" t="s">
        <v>772</v>
      </c>
      <c r="B38">
        <v>4</v>
      </c>
      <c r="C38" t="s">
        <v>621</v>
      </c>
      <c r="D38">
        <v>2</v>
      </c>
      <c r="E38" t="s">
        <v>564</v>
      </c>
      <c r="F38" t="s">
        <v>564</v>
      </c>
      <c r="G38">
        <v>1.3093999999999999</v>
      </c>
      <c r="H38" s="231">
        <v>1.3093999999999999</v>
      </c>
      <c r="BT38" s="372"/>
      <c r="BU38" s="259" t="s">
        <v>723</v>
      </c>
      <c r="BV38" s="260">
        <v>43001070602</v>
      </c>
      <c r="BW38" s="261" t="s">
        <v>779</v>
      </c>
      <c r="BX38" s="261" t="s">
        <v>780</v>
      </c>
      <c r="BY38" s="152">
        <v>1.816265629593093</v>
      </c>
      <c r="BZ38" s="152">
        <v>2.642350510971462</v>
      </c>
      <c r="CA38" s="152">
        <v>2.642350510971462</v>
      </c>
      <c r="CB38" s="152">
        <v>2.642350510971462</v>
      </c>
      <c r="CC38" s="152">
        <v>2.642350510971462</v>
      </c>
      <c r="CD38" s="152">
        <v>2.642350510971462</v>
      </c>
      <c r="CE38" s="152">
        <v>2.642350510971462</v>
      </c>
      <c r="CF38" s="152">
        <v>1.6096846522002779E-2</v>
      </c>
      <c r="CG38" s="152">
        <v>0.44926089677206338</v>
      </c>
      <c r="CH38" s="152">
        <v>1.4975410589654521</v>
      </c>
      <c r="CI38" s="152">
        <v>1.4975410589654521</v>
      </c>
      <c r="CJ38" s="259" t="s">
        <v>723</v>
      </c>
      <c r="CK38" s="261" t="s">
        <v>780</v>
      </c>
      <c r="CL38" s="374">
        <v>1.8277065313655569</v>
      </c>
      <c r="CM38" s="374">
        <v>1.8277065313655569</v>
      </c>
      <c r="CN38" s="374">
        <v>1.8277065313655569</v>
      </c>
      <c r="CO38" s="374">
        <v>1.8277065313655569</v>
      </c>
      <c r="CP38" s="374">
        <v>1.830481919855274</v>
      </c>
      <c r="CQ38" s="374">
        <v>1.830481919855274</v>
      </c>
      <c r="CR38" s="374">
        <v>1.830481919855274</v>
      </c>
      <c r="CS38" s="374">
        <v>1.830481919855274</v>
      </c>
      <c r="CT38" s="374">
        <v>1.39119630054128</v>
      </c>
      <c r="CU38" s="374">
        <v>1.39119630054128</v>
      </c>
      <c r="CV38" s="374">
        <v>1.39119630054128</v>
      </c>
      <c r="CW38" s="374">
        <v>1.39119630054128</v>
      </c>
      <c r="CX38" s="374">
        <v>3.8520734351503059</v>
      </c>
      <c r="CY38" s="374">
        <v>3.8520734351503059</v>
      </c>
      <c r="CZ38" s="374">
        <v>3.8520734351503059</v>
      </c>
      <c r="DA38" s="374">
        <v>3.8520734351503059</v>
      </c>
      <c r="DB38" s="374">
        <v>3.8520734351503059</v>
      </c>
      <c r="DC38" s="374">
        <v>3.8520734351503059</v>
      </c>
      <c r="DD38" s="374">
        <v>2.7872091150069331</v>
      </c>
      <c r="DE38" s="374">
        <v>2.7872091150069331</v>
      </c>
      <c r="DF38" s="373">
        <v>2.7872091150069331</v>
      </c>
      <c r="DG38" s="373">
        <v>1.1484357605685529</v>
      </c>
      <c r="DH38" s="373">
        <v>0.46726586685463273</v>
      </c>
      <c r="DI38" s="373">
        <v>1.1484357605685529</v>
      </c>
      <c r="DJ38" s="308" t="s">
        <v>605</v>
      </c>
      <c r="DK38" s="308" t="s">
        <v>605</v>
      </c>
      <c r="DL38" s="309" t="s">
        <v>606</v>
      </c>
      <c r="DM38" s="309" t="s">
        <v>606</v>
      </c>
      <c r="DN38" s="272"/>
      <c r="DO38" s="272"/>
    </row>
    <row r="39" spans="1:119" ht="15" x14ac:dyDescent="0.3">
      <c r="A39" t="s">
        <v>772</v>
      </c>
      <c r="B39">
        <v>5</v>
      </c>
      <c r="C39" t="s">
        <v>631</v>
      </c>
      <c r="D39">
        <v>2</v>
      </c>
      <c r="E39" t="s">
        <v>564</v>
      </c>
      <c r="F39" t="s">
        <v>564</v>
      </c>
      <c r="G39">
        <v>1.2407999999999999</v>
      </c>
      <c r="H39" s="231">
        <v>1.2407999999999999</v>
      </c>
      <c r="BT39" s="372"/>
      <c r="BU39" s="259" t="s">
        <v>723</v>
      </c>
      <c r="BV39" s="260">
        <v>43001070603</v>
      </c>
      <c r="BW39" s="261" t="s">
        <v>781</v>
      </c>
      <c r="BX39" s="261" t="s">
        <v>782</v>
      </c>
      <c r="BY39" s="152">
        <v>0.77937172997798321</v>
      </c>
      <c r="BZ39" s="152">
        <v>0.89592110966930094</v>
      </c>
      <c r="CA39" s="152">
        <v>0.89592110966930094</v>
      </c>
      <c r="CB39" s="152">
        <v>0.89592110966930094</v>
      </c>
      <c r="CC39" s="152">
        <v>0.89592110966930094</v>
      </c>
      <c r="CD39" s="152">
        <v>0.89592110966930094</v>
      </c>
      <c r="CE39" s="152">
        <v>0.89592110966930094</v>
      </c>
      <c r="CF39" s="152">
        <v>5.9201092073260337E-3</v>
      </c>
      <c r="CG39" s="152">
        <v>0.23805228950506649</v>
      </c>
      <c r="CH39" s="152">
        <v>0.42787092805317473</v>
      </c>
      <c r="CI39" s="152">
        <v>0.42787092805317473</v>
      </c>
      <c r="CJ39" s="259" t="s">
        <v>723</v>
      </c>
      <c r="CK39" s="261" t="s">
        <v>782</v>
      </c>
      <c r="CL39" s="374">
        <v>1.8277065313655569</v>
      </c>
      <c r="CM39" s="374">
        <v>1.8277065313655569</v>
      </c>
      <c r="CN39" s="374">
        <v>1.8277065313655569</v>
      </c>
      <c r="CO39" s="374">
        <v>1.8277065313655569</v>
      </c>
      <c r="CP39" s="374">
        <v>1.830481919855274</v>
      </c>
      <c r="CQ39" s="374">
        <v>1.830481919855274</v>
      </c>
      <c r="CR39" s="374">
        <v>1.830481919855274</v>
      </c>
      <c r="CS39" s="374">
        <v>1.830481919855274</v>
      </c>
      <c r="CT39" s="374">
        <v>1.768795231022471</v>
      </c>
      <c r="CU39" s="374">
        <v>1.768795231022471</v>
      </c>
      <c r="CV39" s="374">
        <v>1.768795231022471</v>
      </c>
      <c r="CW39" s="374">
        <v>1.768795231022471</v>
      </c>
      <c r="CX39" s="374">
        <v>2.2219383419520158</v>
      </c>
      <c r="CY39" s="374">
        <v>2.2219383419520158</v>
      </c>
      <c r="CZ39" s="374">
        <v>2.2219383419520158</v>
      </c>
      <c r="DA39" s="374">
        <v>2.2219383419520158</v>
      </c>
      <c r="DB39" s="374">
        <v>2.2219383419520158</v>
      </c>
      <c r="DC39" s="374">
        <v>2.2219383419520158</v>
      </c>
      <c r="DD39" s="374">
        <v>2.7872091150069331</v>
      </c>
      <c r="DE39" s="374">
        <v>2.7872091150069331</v>
      </c>
      <c r="DF39" s="373">
        <v>2.7872091150069331</v>
      </c>
      <c r="DG39" s="373">
        <v>0.52835027188635753</v>
      </c>
      <c r="DH39" s="373">
        <v>0.1488001670504481</v>
      </c>
      <c r="DI39" s="373">
        <v>0.52835027188635753</v>
      </c>
      <c r="DJ39" s="308" t="s">
        <v>605</v>
      </c>
      <c r="DK39" s="308" t="s">
        <v>605</v>
      </c>
      <c r="DL39" s="309" t="s">
        <v>606</v>
      </c>
      <c r="DM39" s="309" t="s">
        <v>606</v>
      </c>
      <c r="DN39" s="272"/>
      <c r="DO39" s="272"/>
    </row>
    <row r="40" spans="1:119" ht="15" x14ac:dyDescent="0.3">
      <c r="A40" t="s">
        <v>772</v>
      </c>
      <c r="B40">
        <v>6</v>
      </c>
      <c r="C40" t="s">
        <v>640</v>
      </c>
      <c r="D40">
        <v>3</v>
      </c>
      <c r="E40" t="s">
        <v>564</v>
      </c>
      <c r="F40" t="s">
        <v>564</v>
      </c>
      <c r="G40">
        <v>0.98950000000000005</v>
      </c>
      <c r="H40" s="231">
        <v>0.98950000000000005</v>
      </c>
      <c r="BT40" s="372"/>
      <c r="BU40" s="259" t="s">
        <v>723</v>
      </c>
      <c r="BV40" s="260">
        <v>43001081001</v>
      </c>
      <c r="BW40" s="261" t="s">
        <v>783</v>
      </c>
      <c r="BX40" s="261" t="s">
        <v>784</v>
      </c>
      <c r="BY40" s="152">
        <v>0.78220241542473068</v>
      </c>
      <c r="BZ40" s="152">
        <v>0.95063295905015976</v>
      </c>
      <c r="CA40" s="152">
        <v>0.95063295905015976</v>
      </c>
      <c r="CB40" s="152">
        <v>0.95063295905015976</v>
      </c>
      <c r="CC40" s="152">
        <v>0.95063295905015976</v>
      </c>
      <c r="CD40" s="152">
        <v>0.95063295905015976</v>
      </c>
      <c r="CE40" s="152">
        <v>0.95063295905015976</v>
      </c>
      <c r="CF40" s="152">
        <v>3.887137355908996E-3</v>
      </c>
      <c r="CG40" s="152">
        <v>0.13348614569906969</v>
      </c>
      <c r="CH40" s="152">
        <v>0.44495884164906002</v>
      </c>
      <c r="CI40" s="152">
        <v>0.44495884164906002</v>
      </c>
      <c r="CJ40" s="259" t="s">
        <v>723</v>
      </c>
      <c r="CK40" s="261" t="s">
        <v>784</v>
      </c>
      <c r="CL40" s="374">
        <v>1.8277065313655569</v>
      </c>
      <c r="CM40" s="374">
        <v>1.8277065313655569</v>
      </c>
      <c r="CN40" s="374">
        <v>1.8277065313655569</v>
      </c>
      <c r="CO40" s="374">
        <v>1.8277065313655569</v>
      </c>
      <c r="CP40" s="374">
        <v>1.830481919855274</v>
      </c>
      <c r="CQ40" s="374">
        <v>1.830481919855274</v>
      </c>
      <c r="CR40" s="374">
        <v>1.830481919855274</v>
      </c>
      <c r="CS40" s="374">
        <v>1.830481919855274</v>
      </c>
      <c r="CT40" s="374">
        <v>1.0100918106901151</v>
      </c>
      <c r="CU40" s="374">
        <v>1.0100918106901151</v>
      </c>
      <c r="CV40" s="374">
        <v>1.0100918106901151</v>
      </c>
      <c r="CW40" s="374">
        <v>1.0100918106901151</v>
      </c>
      <c r="CX40" s="374">
        <v>1.710215799722405</v>
      </c>
      <c r="CY40" s="374">
        <v>1.710215799722405</v>
      </c>
      <c r="CZ40" s="374">
        <v>1.710215799722405</v>
      </c>
      <c r="DA40" s="374">
        <v>1.710215799722405</v>
      </c>
      <c r="DB40" s="374">
        <v>1.710215799722405</v>
      </c>
      <c r="DC40" s="374">
        <v>1.710215799722405</v>
      </c>
      <c r="DD40" s="374">
        <v>2.7872091150069331</v>
      </c>
      <c r="DE40" s="374">
        <v>2.7872091150069331</v>
      </c>
      <c r="DF40" s="373">
        <v>2.7872091150069331</v>
      </c>
      <c r="DG40" s="373">
        <v>0.35551850941954688</v>
      </c>
      <c r="DH40" s="373">
        <v>0.14159706919988729</v>
      </c>
      <c r="DI40" s="373">
        <v>0.35551850941954688</v>
      </c>
      <c r="DJ40" s="308" t="s">
        <v>605</v>
      </c>
      <c r="DK40" s="308" t="s">
        <v>605</v>
      </c>
      <c r="DL40" s="309" t="s">
        <v>606</v>
      </c>
      <c r="DM40" s="309" t="s">
        <v>606</v>
      </c>
      <c r="DN40" s="272"/>
      <c r="DO40" s="272"/>
    </row>
    <row r="41" spans="1:119" ht="15" x14ac:dyDescent="0.3">
      <c r="A41" t="s">
        <v>772</v>
      </c>
      <c r="B41">
        <v>7</v>
      </c>
      <c r="C41" t="s">
        <v>649</v>
      </c>
      <c r="D41">
        <v>3</v>
      </c>
      <c r="E41" t="s">
        <v>564</v>
      </c>
      <c r="F41" t="s">
        <v>564</v>
      </c>
      <c r="G41">
        <v>1.2332000000000001</v>
      </c>
      <c r="H41" s="231">
        <v>1.2332000000000001</v>
      </c>
      <c r="BT41" s="372"/>
      <c r="BU41" s="259" t="s">
        <v>723</v>
      </c>
      <c r="BV41" s="260">
        <v>43001081005</v>
      </c>
      <c r="BW41" s="261" t="s">
        <v>785</v>
      </c>
      <c r="BX41" s="261" t="s">
        <v>786</v>
      </c>
      <c r="BY41" s="152">
        <v>0.32482168728559108</v>
      </c>
      <c r="BZ41" s="152">
        <v>0.49997197717428349</v>
      </c>
      <c r="CA41" s="152">
        <v>0.49997197717428349</v>
      </c>
      <c r="CB41" s="152">
        <v>0.49997197717428349</v>
      </c>
      <c r="CC41" s="152">
        <v>0.49997197717428349</v>
      </c>
      <c r="CD41" s="152">
        <v>0.49997197717428349</v>
      </c>
      <c r="CE41" s="152">
        <v>0.49997197717428349</v>
      </c>
      <c r="CF41" s="152">
        <v>6.048479012384138E-4</v>
      </c>
      <c r="CG41" s="152">
        <v>7.8270785241861443E-2</v>
      </c>
      <c r="CH41" s="152">
        <v>0.26090421940342579</v>
      </c>
      <c r="CI41" s="152">
        <v>0.26090421940342579</v>
      </c>
      <c r="CJ41" s="259" t="s">
        <v>723</v>
      </c>
      <c r="CK41" s="261" t="s">
        <v>786</v>
      </c>
      <c r="CL41" s="374">
        <v>1.8277065313655569</v>
      </c>
      <c r="CM41" s="374">
        <v>1.8277065313655569</v>
      </c>
      <c r="CN41" s="374">
        <v>1.8277065313655569</v>
      </c>
      <c r="CO41" s="374">
        <v>1.8277065313655569</v>
      </c>
      <c r="CP41" s="374">
        <v>1.830481919855274</v>
      </c>
      <c r="CQ41" s="374">
        <v>1.830481919855274</v>
      </c>
      <c r="CR41" s="374">
        <v>1.830481919855274</v>
      </c>
      <c r="CS41" s="374">
        <v>1.830481919855274</v>
      </c>
      <c r="CT41" s="374">
        <v>1.768795231022471</v>
      </c>
      <c r="CU41" s="374">
        <v>1.768795231022471</v>
      </c>
      <c r="CV41" s="374">
        <v>1.768795231022471</v>
      </c>
      <c r="CW41" s="374">
        <v>1.768795231022471</v>
      </c>
      <c r="CX41" s="374">
        <v>0.7589351512597704</v>
      </c>
      <c r="CY41" s="374">
        <v>0.7589351512597704</v>
      </c>
      <c r="CZ41" s="374">
        <v>0.7589351512597704</v>
      </c>
      <c r="DA41" s="374">
        <v>0.7589351512597704</v>
      </c>
      <c r="DB41" s="374">
        <v>0.7589351512597704</v>
      </c>
      <c r="DC41" s="374">
        <v>0.7589351512597704</v>
      </c>
      <c r="DD41" s="374">
        <v>2.7872091150069331</v>
      </c>
      <c r="DE41" s="374">
        <v>2.7872091150069331</v>
      </c>
      <c r="DF41" s="373">
        <v>2.7872091150069331</v>
      </c>
      <c r="DG41" s="373">
        <v>0.20846160888578921</v>
      </c>
      <c r="DH41" s="373">
        <v>8.1629051792639851E-2</v>
      </c>
      <c r="DI41" s="373">
        <v>0.20846160888578921</v>
      </c>
      <c r="DJ41" s="308" t="s">
        <v>605</v>
      </c>
      <c r="DK41" s="308" t="s">
        <v>605</v>
      </c>
      <c r="DL41" s="309" t="s">
        <v>606</v>
      </c>
      <c r="DM41" s="309" t="s">
        <v>606</v>
      </c>
      <c r="DN41" s="272"/>
      <c r="DO41" s="272"/>
    </row>
    <row r="42" spans="1:119" ht="15" x14ac:dyDescent="0.3">
      <c r="A42" t="s">
        <v>772</v>
      </c>
      <c r="B42">
        <v>8</v>
      </c>
      <c r="C42" t="s">
        <v>655</v>
      </c>
      <c r="D42">
        <v>3</v>
      </c>
      <c r="E42" t="s">
        <v>564</v>
      </c>
      <c r="F42" t="s">
        <v>564</v>
      </c>
      <c r="G42">
        <v>1.1499999999999999</v>
      </c>
      <c r="H42" s="231">
        <v>1.1499999999999999</v>
      </c>
      <c r="BT42" s="372"/>
      <c r="BU42" s="259" t="s">
        <v>723</v>
      </c>
      <c r="BV42" s="260">
        <v>43001081101</v>
      </c>
      <c r="BW42" s="261" t="s">
        <v>787</v>
      </c>
      <c r="BX42" s="261" t="s">
        <v>788</v>
      </c>
      <c r="BY42" s="152">
        <v>0.15697646262110609</v>
      </c>
      <c r="BZ42" s="152">
        <v>0.1702102238754</v>
      </c>
      <c r="CA42" s="152">
        <v>0.1702102238754</v>
      </c>
      <c r="CB42" s="152">
        <v>0.1702102238754</v>
      </c>
      <c r="CC42" s="152">
        <v>0.1702102238754</v>
      </c>
      <c r="CD42" s="152">
        <v>0.1702102238754</v>
      </c>
      <c r="CE42" s="152">
        <v>0.1702102238754</v>
      </c>
      <c r="CF42" s="152">
        <v>1.005553891275871E-3</v>
      </c>
      <c r="CG42" s="152">
        <v>2.581294776540519E-2</v>
      </c>
      <c r="CH42" s="152">
        <v>0.14405964803811769</v>
      </c>
      <c r="CI42" s="152">
        <v>0.14405964803811769</v>
      </c>
      <c r="CJ42" s="259" t="s">
        <v>723</v>
      </c>
      <c r="CK42" s="261" t="s">
        <v>788</v>
      </c>
      <c r="CL42" s="374">
        <v>1.8277065313655569</v>
      </c>
      <c r="CM42" s="374">
        <v>1.8277065313655569</v>
      </c>
      <c r="CN42" s="374">
        <v>1.8277065313655569</v>
      </c>
      <c r="CO42" s="374">
        <v>1.8277065313655569</v>
      </c>
      <c r="CP42" s="374">
        <v>1.830481919855274</v>
      </c>
      <c r="CQ42" s="374">
        <v>1.830481919855274</v>
      </c>
      <c r="CR42" s="374">
        <v>1.830481919855274</v>
      </c>
      <c r="CS42" s="374">
        <v>1.830481919855274</v>
      </c>
      <c r="CT42" s="374">
        <v>0.8341767413983403</v>
      </c>
      <c r="CU42" s="374">
        <v>0.8341767413983403</v>
      </c>
      <c r="CV42" s="374">
        <v>0.8341767413983403</v>
      </c>
      <c r="CW42" s="374">
        <v>0.8341767413983403</v>
      </c>
      <c r="CX42" s="374">
        <v>0.38873519004688151</v>
      </c>
      <c r="CY42" s="374">
        <v>0.38873519004688151</v>
      </c>
      <c r="CZ42" s="374">
        <v>0.38873519004688151</v>
      </c>
      <c r="DA42" s="374">
        <v>0.38873519004688151</v>
      </c>
      <c r="DB42" s="374">
        <v>0.38873519004688151</v>
      </c>
      <c r="DC42" s="374">
        <v>0.38873519004688151</v>
      </c>
      <c r="DD42" s="374">
        <v>2.7872091150069331</v>
      </c>
      <c r="DE42" s="374">
        <v>2.7872091150069331</v>
      </c>
      <c r="DF42" s="373">
        <v>2.7872091150069331</v>
      </c>
      <c r="DG42" s="373">
        <v>6.8748871650573071E-2</v>
      </c>
      <c r="DH42" s="373">
        <v>3.3216063044725269E-2</v>
      </c>
      <c r="DI42" s="373">
        <v>6.8748871650573071E-2</v>
      </c>
      <c r="DJ42" s="308" t="s">
        <v>605</v>
      </c>
      <c r="DK42" s="308" t="s">
        <v>605</v>
      </c>
      <c r="DL42" s="309" t="s">
        <v>606</v>
      </c>
      <c r="DM42" s="309" t="s">
        <v>606</v>
      </c>
      <c r="DN42" s="272"/>
      <c r="DO42" s="272"/>
    </row>
    <row r="43" spans="1:119" ht="15" x14ac:dyDescent="0.3">
      <c r="A43" t="s">
        <v>772</v>
      </c>
      <c r="B43">
        <v>9</v>
      </c>
      <c r="C43" t="s">
        <v>664</v>
      </c>
      <c r="D43">
        <v>2</v>
      </c>
      <c r="E43" t="s">
        <v>564</v>
      </c>
      <c r="F43" t="s">
        <v>564</v>
      </c>
      <c r="G43">
        <v>1.0954999999999999</v>
      </c>
      <c r="H43" s="231">
        <v>1.0954999999999999</v>
      </c>
      <c r="BT43" s="372"/>
      <c r="BU43" s="259" t="s">
        <v>723</v>
      </c>
      <c r="BV43" s="260">
        <v>43001081102</v>
      </c>
      <c r="BW43" s="261" t="s">
        <v>789</v>
      </c>
      <c r="BX43" s="261" t="s">
        <v>790</v>
      </c>
      <c r="BY43" s="152">
        <v>2.1476610304541541</v>
      </c>
      <c r="BZ43" s="152">
        <v>3.0315242782958358</v>
      </c>
      <c r="CA43" s="152">
        <v>3.0315242782958358</v>
      </c>
      <c r="CB43" s="152">
        <v>3.0315242782958358</v>
      </c>
      <c r="CC43" s="152">
        <v>3.0315242782958358</v>
      </c>
      <c r="CD43" s="152">
        <v>3.0315242782958358</v>
      </c>
      <c r="CE43" s="152">
        <v>3.0315242782958358</v>
      </c>
      <c r="CF43" s="152">
        <v>1.771550607328368E-2</v>
      </c>
      <c r="CG43" s="152">
        <v>0.67832548620719146</v>
      </c>
      <c r="CH43" s="152">
        <v>2.466643793015173</v>
      </c>
      <c r="CI43" s="152">
        <v>2.466643793015173</v>
      </c>
      <c r="CJ43" s="259" t="s">
        <v>723</v>
      </c>
      <c r="CK43" s="261" t="s">
        <v>790</v>
      </c>
      <c r="CL43" s="374">
        <v>1.8277065313655569</v>
      </c>
      <c r="CM43" s="374">
        <v>1.8277065313655569</v>
      </c>
      <c r="CN43" s="374">
        <v>1.8277065313655569</v>
      </c>
      <c r="CO43" s="374">
        <v>1.8277065313655569</v>
      </c>
      <c r="CP43" s="374">
        <v>1.830481919855274</v>
      </c>
      <c r="CQ43" s="374">
        <v>1.830481919855274</v>
      </c>
      <c r="CR43" s="374">
        <v>1.830481919855274</v>
      </c>
      <c r="CS43" s="374">
        <v>1.830481919855274</v>
      </c>
      <c r="CT43" s="374">
        <v>1.768795231022471</v>
      </c>
      <c r="CU43" s="374">
        <v>1.768795231022471</v>
      </c>
      <c r="CV43" s="374">
        <v>1.768795231022471</v>
      </c>
      <c r="CW43" s="374">
        <v>1.768795231022471</v>
      </c>
      <c r="CX43" s="374">
        <v>3.8520734351503059</v>
      </c>
      <c r="CY43" s="374">
        <v>3.8520734351503059</v>
      </c>
      <c r="CZ43" s="374">
        <v>3.8520734351503059</v>
      </c>
      <c r="DA43" s="374">
        <v>3.8520734351503059</v>
      </c>
      <c r="DB43" s="374">
        <v>3.8520734351503059</v>
      </c>
      <c r="DC43" s="374">
        <v>3.8520734351503059</v>
      </c>
      <c r="DD43" s="374">
        <v>2.7872091150069331</v>
      </c>
      <c r="DE43" s="374">
        <v>2.7872091150069331</v>
      </c>
      <c r="DF43" s="373">
        <v>2.7872091150069331</v>
      </c>
      <c r="DG43" s="373">
        <v>1.970841880201478</v>
      </c>
      <c r="DH43" s="373">
        <v>0.70019022972847467</v>
      </c>
      <c r="DI43" s="373">
        <v>1.970841880201478</v>
      </c>
      <c r="DJ43" s="308" t="s">
        <v>605</v>
      </c>
      <c r="DK43" s="308" t="s">
        <v>605</v>
      </c>
      <c r="DL43" s="309" t="s">
        <v>606</v>
      </c>
      <c r="DM43" s="309" t="s">
        <v>606</v>
      </c>
      <c r="DN43" s="272"/>
      <c r="DO43" s="272"/>
    </row>
    <row r="44" spans="1:119" ht="15" x14ac:dyDescent="0.3">
      <c r="A44" t="s">
        <v>772</v>
      </c>
      <c r="B44">
        <v>10</v>
      </c>
      <c r="C44" t="s">
        <v>672</v>
      </c>
      <c r="D44">
        <v>5</v>
      </c>
      <c r="E44" t="s">
        <v>564</v>
      </c>
      <c r="F44" t="s">
        <v>564</v>
      </c>
      <c r="G44">
        <v>0.93279999999999996</v>
      </c>
      <c r="H44" s="231">
        <v>0.93279999999999996</v>
      </c>
      <c r="BT44" s="372"/>
      <c r="BU44" s="259" t="s">
        <v>791</v>
      </c>
      <c r="BV44" s="260">
        <v>43001080801</v>
      </c>
      <c r="BW44" s="261" t="s">
        <v>792</v>
      </c>
      <c r="BX44" s="261" t="s">
        <v>368</v>
      </c>
      <c r="BY44" s="152">
        <v>0.13588791412360149</v>
      </c>
      <c r="BZ44" s="152">
        <v>0.16895123476739721</v>
      </c>
      <c r="CA44" s="152">
        <v>0.16895123476739721</v>
      </c>
      <c r="CB44" s="152">
        <v>0.16895123476739721</v>
      </c>
      <c r="CC44" s="152">
        <v>0.16895123476739721</v>
      </c>
      <c r="CD44" s="152">
        <v>0.16895123476739721</v>
      </c>
      <c r="CE44" s="152">
        <v>0.16895123476739721</v>
      </c>
      <c r="CF44" s="152">
        <v>1.211641727645828E-3</v>
      </c>
      <c r="CG44" s="152">
        <v>9.053875159956444E-2</v>
      </c>
      <c r="CH44" s="152">
        <v>0.113237252004769</v>
      </c>
      <c r="CI44" s="152">
        <v>0.113237252004769</v>
      </c>
      <c r="CJ44" s="259" t="s">
        <v>791</v>
      </c>
      <c r="CK44" s="261" t="s">
        <v>368</v>
      </c>
      <c r="CL44" s="374">
        <v>0.37484716628248288</v>
      </c>
      <c r="CM44" s="374">
        <v>0.37484716628248288</v>
      </c>
      <c r="CN44" s="374">
        <v>0.37484716628248288</v>
      </c>
      <c r="CO44" s="374">
        <v>0.37484716628248288</v>
      </c>
      <c r="CP44" s="374">
        <v>0.38766242604145468</v>
      </c>
      <c r="CQ44" s="374">
        <v>0.38766242604145468</v>
      </c>
      <c r="CR44" s="374">
        <v>0.38766242604145468</v>
      </c>
      <c r="CS44" s="374">
        <v>0.38766242604145468</v>
      </c>
      <c r="CT44" s="374">
        <v>6.1891041397277802E-2</v>
      </c>
      <c r="CU44" s="374">
        <v>6.1891041397277802E-2</v>
      </c>
      <c r="CV44" s="374">
        <v>6.1891041397277802E-2</v>
      </c>
      <c r="CW44" s="374">
        <v>6.1891041397277802E-2</v>
      </c>
      <c r="CX44" s="374">
        <v>0.22520574123015591</v>
      </c>
      <c r="CY44" s="374">
        <v>0.22520574123015591</v>
      </c>
      <c r="CZ44" s="374">
        <v>0.22520574123015591</v>
      </c>
      <c r="DA44" s="374">
        <v>0.22520574123015591</v>
      </c>
      <c r="DB44" s="374">
        <v>0.22520574123015591</v>
      </c>
      <c r="DC44" s="374">
        <v>0.22520574123015591</v>
      </c>
      <c r="DD44" s="374">
        <v>0.124337475296333</v>
      </c>
      <c r="DE44" s="374">
        <v>0.124337475296333</v>
      </c>
      <c r="DF44" s="373">
        <v>0.124337475296333</v>
      </c>
      <c r="DG44" s="373">
        <v>0.18081122149289641</v>
      </c>
      <c r="DH44" s="373">
        <v>2.3642867176838431E-2</v>
      </c>
      <c r="DI44" s="373">
        <v>0.18081122149289641</v>
      </c>
      <c r="DJ44" s="308" t="s">
        <v>605</v>
      </c>
      <c r="DK44" s="308" t="s">
        <v>605</v>
      </c>
      <c r="DL44" s="309" t="s">
        <v>606</v>
      </c>
      <c r="DM44" s="309" t="s">
        <v>606</v>
      </c>
      <c r="DN44" s="272"/>
      <c r="DO44" s="272"/>
    </row>
    <row r="45" spans="1:119" ht="15" x14ac:dyDescent="0.3">
      <c r="A45" t="s">
        <v>772</v>
      </c>
      <c r="B45">
        <v>11</v>
      </c>
      <c r="C45" t="s">
        <v>264</v>
      </c>
      <c r="D45">
        <v>8</v>
      </c>
      <c r="E45" t="s">
        <v>564</v>
      </c>
      <c r="F45" t="s">
        <v>564</v>
      </c>
      <c r="G45">
        <v>1.1167</v>
      </c>
      <c r="H45" s="231">
        <v>1.1167</v>
      </c>
      <c r="BT45" s="372"/>
      <c r="BU45" s="259" t="s">
        <v>791</v>
      </c>
      <c r="BV45" s="260">
        <v>43001080802</v>
      </c>
      <c r="BW45" s="261" t="s">
        <v>793</v>
      </c>
      <c r="BX45" s="261" t="s">
        <v>794</v>
      </c>
      <c r="BY45" s="152">
        <v>0.12037350478675821</v>
      </c>
      <c r="BZ45" s="152">
        <v>0.13995835954441549</v>
      </c>
      <c r="CA45" s="152">
        <v>0.13995835954441549</v>
      </c>
      <c r="CB45" s="152">
        <v>0.13995835954441549</v>
      </c>
      <c r="CC45" s="152">
        <v>0.13995835954441549</v>
      </c>
      <c r="CD45" s="152">
        <v>0.13995835954441549</v>
      </c>
      <c r="CE45" s="152">
        <v>0.13995835954441549</v>
      </c>
      <c r="CF45" s="152">
        <v>5.5473611068263819E-4</v>
      </c>
      <c r="CG45" s="152">
        <v>9.053875159956444E-2</v>
      </c>
      <c r="CH45" s="152">
        <v>0.1043280358775574</v>
      </c>
      <c r="CI45" s="152">
        <v>0.1043280358775574</v>
      </c>
      <c r="CJ45" s="259" t="s">
        <v>791</v>
      </c>
      <c r="CK45" s="261" t="s">
        <v>794</v>
      </c>
      <c r="CL45" s="374">
        <v>0.37484716628248288</v>
      </c>
      <c r="CM45" s="374">
        <v>0.37484716628248288</v>
      </c>
      <c r="CN45" s="374">
        <v>0.37484716628248288</v>
      </c>
      <c r="CO45" s="374">
        <v>0.37484716628248288</v>
      </c>
      <c r="CP45" s="374">
        <v>0.38766242604145468</v>
      </c>
      <c r="CQ45" s="374">
        <v>0.38766242604145468</v>
      </c>
      <c r="CR45" s="374">
        <v>0.38766242604145468</v>
      </c>
      <c r="CS45" s="374">
        <v>0.38766242604145468</v>
      </c>
      <c r="CT45" s="374">
        <v>0.34120219951972869</v>
      </c>
      <c r="CU45" s="374">
        <v>0.34120219951972869</v>
      </c>
      <c r="CV45" s="374">
        <v>0.34120219951972869</v>
      </c>
      <c r="CW45" s="374">
        <v>0.34120219951972869</v>
      </c>
      <c r="CX45" s="374">
        <v>0.1529985615137853</v>
      </c>
      <c r="CY45" s="374">
        <v>0.1529985615137853</v>
      </c>
      <c r="CZ45" s="374">
        <v>0.1529985615137853</v>
      </c>
      <c r="DA45" s="374">
        <v>0.1529985615137853</v>
      </c>
      <c r="DB45" s="374">
        <v>0.1529985615137853</v>
      </c>
      <c r="DC45" s="374">
        <v>0.1529985615137853</v>
      </c>
      <c r="DD45" s="374">
        <v>0.124337475296333</v>
      </c>
      <c r="DE45" s="374">
        <v>0.124337475296333</v>
      </c>
      <c r="DF45" s="373">
        <v>0.124337475296333</v>
      </c>
      <c r="DG45" s="373">
        <v>0.18081122149289641</v>
      </c>
      <c r="DH45" s="373">
        <v>2.5181822129806072E-2</v>
      </c>
      <c r="DI45" s="373">
        <v>0.18081122149289641</v>
      </c>
      <c r="DJ45" s="308" t="s">
        <v>605</v>
      </c>
      <c r="DK45" s="308" t="s">
        <v>605</v>
      </c>
      <c r="DL45" s="309" t="s">
        <v>606</v>
      </c>
      <c r="DM45" s="309" t="s">
        <v>606</v>
      </c>
      <c r="DN45" s="272"/>
      <c r="DO45" s="272"/>
    </row>
    <row r="46" spans="1:119" ht="15" x14ac:dyDescent="0.3">
      <c r="A46" t="s">
        <v>772</v>
      </c>
      <c r="B46">
        <v>12</v>
      </c>
      <c r="C46" t="s">
        <v>690</v>
      </c>
      <c r="D46">
        <v>5</v>
      </c>
      <c r="E46" t="s">
        <v>564</v>
      </c>
      <c r="F46" t="s">
        <v>564</v>
      </c>
      <c r="G46">
        <v>0.95199999999999996</v>
      </c>
      <c r="H46" s="231">
        <v>0.95199999999999996</v>
      </c>
      <c r="BT46" s="372"/>
      <c r="BU46" s="259" t="s">
        <v>791</v>
      </c>
      <c r="BV46" s="260">
        <v>43001080901</v>
      </c>
      <c r="BW46" s="261" t="s">
        <v>795</v>
      </c>
      <c r="BX46" s="261" t="s">
        <v>796</v>
      </c>
      <c r="BY46" s="152">
        <v>0.28315895280944042</v>
      </c>
      <c r="BZ46" s="152">
        <v>0.39864642384899451</v>
      </c>
      <c r="CA46" s="152">
        <v>0.39864642384899451</v>
      </c>
      <c r="CB46" s="152">
        <v>0.39864642384899451</v>
      </c>
      <c r="CC46" s="152">
        <v>0.39864642384899451</v>
      </c>
      <c r="CD46" s="152">
        <v>0.39864642384899451</v>
      </c>
      <c r="CE46" s="152">
        <v>0.39864642384899451</v>
      </c>
      <c r="CF46" s="152">
        <v>3.6811924192453752E-3</v>
      </c>
      <c r="CG46" s="152">
        <v>9.0539004275085433E-2</v>
      </c>
      <c r="CH46" s="152">
        <v>0.26490638261830152</v>
      </c>
      <c r="CI46" s="152">
        <v>0.26490638261830152</v>
      </c>
      <c r="CJ46" s="259" t="s">
        <v>791</v>
      </c>
      <c r="CK46" s="261" t="s">
        <v>796</v>
      </c>
      <c r="CL46" s="374">
        <v>0.37484716628248288</v>
      </c>
      <c r="CM46" s="374">
        <v>0.37484716628248288</v>
      </c>
      <c r="CN46" s="374">
        <v>0.37484716628248288</v>
      </c>
      <c r="CO46" s="374">
        <v>0.37484716628248288</v>
      </c>
      <c r="CP46" s="374">
        <v>0.38766242604145468</v>
      </c>
      <c r="CQ46" s="374">
        <v>0.38766242604145468</v>
      </c>
      <c r="CR46" s="374">
        <v>0.38766242604145468</v>
      </c>
      <c r="CS46" s="374">
        <v>0.38766242604145468</v>
      </c>
      <c r="CT46" s="374">
        <v>0.4959782856774036</v>
      </c>
      <c r="CU46" s="374">
        <v>0.4959782856774036</v>
      </c>
      <c r="CV46" s="374">
        <v>0.4959782856774036</v>
      </c>
      <c r="CW46" s="374">
        <v>0.4959782856774036</v>
      </c>
      <c r="CX46" s="374">
        <v>0.78701557454202298</v>
      </c>
      <c r="CY46" s="374">
        <v>0.78701557454202298</v>
      </c>
      <c r="CZ46" s="374">
        <v>0.78701557454202298</v>
      </c>
      <c r="DA46" s="374">
        <v>0.78701557454202298</v>
      </c>
      <c r="DB46" s="374">
        <v>0.78701557454202298</v>
      </c>
      <c r="DC46" s="374">
        <v>0.78701557454202298</v>
      </c>
      <c r="DD46" s="374">
        <v>0.124337475296333</v>
      </c>
      <c r="DE46" s="374">
        <v>0.124337475296333</v>
      </c>
      <c r="DF46" s="373">
        <v>0.124337475296333</v>
      </c>
      <c r="DG46" s="373">
        <v>0.21912612531341699</v>
      </c>
      <c r="DH46" s="373">
        <v>6.9569148223691452E-2</v>
      </c>
      <c r="DI46" s="373">
        <v>0.21912612531341699</v>
      </c>
      <c r="DJ46" s="308" t="s">
        <v>605</v>
      </c>
      <c r="DK46" s="308" t="s">
        <v>605</v>
      </c>
      <c r="DL46" s="309" t="s">
        <v>606</v>
      </c>
      <c r="DM46" s="309" t="s">
        <v>606</v>
      </c>
      <c r="DN46" s="272"/>
      <c r="DO46" s="272"/>
    </row>
    <row r="47" spans="1:119" ht="15" x14ac:dyDescent="0.3">
      <c r="A47" t="s">
        <v>772</v>
      </c>
      <c r="B47">
        <v>13</v>
      </c>
      <c r="C47" t="s">
        <v>571</v>
      </c>
      <c r="D47">
        <v>5</v>
      </c>
      <c r="E47" t="s">
        <v>564</v>
      </c>
      <c r="F47" t="s">
        <v>564</v>
      </c>
      <c r="G47">
        <v>1.6505000000000001</v>
      </c>
      <c r="H47" s="231">
        <v>1.6505000000000001</v>
      </c>
      <c r="BT47" s="372"/>
      <c r="BU47" s="259" t="s">
        <v>791</v>
      </c>
      <c r="BV47" s="260">
        <v>43001080902</v>
      </c>
      <c r="BW47" s="261" t="s">
        <v>797</v>
      </c>
      <c r="BX47" s="261" t="s">
        <v>798</v>
      </c>
      <c r="BY47" s="152">
        <v>0.4418155057386145</v>
      </c>
      <c r="BZ47" s="152">
        <v>0.74190195028473505</v>
      </c>
      <c r="CA47" s="152">
        <v>0.74190195028473505</v>
      </c>
      <c r="CB47" s="152">
        <v>0.74190195028473505</v>
      </c>
      <c r="CC47" s="152">
        <v>0.74190195028473505</v>
      </c>
      <c r="CD47" s="152">
        <v>0.74190195028473505</v>
      </c>
      <c r="CE47" s="152">
        <v>0.74190195028473505</v>
      </c>
      <c r="CF47" s="152">
        <v>1.878113997291857E-3</v>
      </c>
      <c r="CG47" s="152">
        <v>9.8548656970661536E-2</v>
      </c>
      <c r="CH47" s="152">
        <v>0.32849690901970557</v>
      </c>
      <c r="CI47" s="152">
        <v>0.32849690901970557</v>
      </c>
      <c r="CJ47" s="259" t="s">
        <v>791</v>
      </c>
      <c r="CK47" s="261" t="s">
        <v>798</v>
      </c>
      <c r="CL47" s="374">
        <v>0.37484716628248288</v>
      </c>
      <c r="CM47" s="374">
        <v>0.37484716628248288</v>
      </c>
      <c r="CN47" s="374">
        <v>0.37484716628248288</v>
      </c>
      <c r="CO47" s="374">
        <v>0.37484716628248288</v>
      </c>
      <c r="CP47" s="374">
        <v>0.38766242604145468</v>
      </c>
      <c r="CQ47" s="374">
        <v>0.38766242604145468</v>
      </c>
      <c r="CR47" s="374">
        <v>0.38766242604145468</v>
      </c>
      <c r="CS47" s="374">
        <v>0.38766242604145468</v>
      </c>
      <c r="CT47" s="374">
        <v>0.59350738418824978</v>
      </c>
      <c r="CU47" s="374">
        <v>0.59350738418824978</v>
      </c>
      <c r="CV47" s="374">
        <v>0.59350738418824978</v>
      </c>
      <c r="CW47" s="374">
        <v>0.59350738418824978</v>
      </c>
      <c r="CX47" s="374">
        <v>0.38216741878189198</v>
      </c>
      <c r="CY47" s="374">
        <v>0.38216741878189198</v>
      </c>
      <c r="CZ47" s="374">
        <v>0.38216741878189198</v>
      </c>
      <c r="DA47" s="374">
        <v>0.38216741878189198</v>
      </c>
      <c r="DB47" s="374">
        <v>0.38216741878189198</v>
      </c>
      <c r="DC47" s="374">
        <v>0.38216741878189198</v>
      </c>
      <c r="DD47" s="374">
        <v>0.124337475296333</v>
      </c>
      <c r="DE47" s="374">
        <v>0.124337475296333</v>
      </c>
      <c r="DF47" s="373">
        <v>0.124337475296333</v>
      </c>
      <c r="DG47" s="373">
        <v>0.26246871043005549</v>
      </c>
      <c r="DH47" s="373">
        <v>0.1149737183793005</v>
      </c>
      <c r="DI47" s="373">
        <v>0.26246871043005549</v>
      </c>
      <c r="DJ47" s="308" t="s">
        <v>605</v>
      </c>
      <c r="DK47" s="308" t="s">
        <v>605</v>
      </c>
      <c r="DL47" s="309" t="s">
        <v>606</v>
      </c>
      <c r="DM47" s="309" t="s">
        <v>606</v>
      </c>
      <c r="DN47" s="272"/>
      <c r="DO47" s="272"/>
    </row>
    <row r="48" spans="1:119" ht="15" x14ac:dyDescent="0.3">
      <c r="A48" t="s">
        <v>772</v>
      </c>
      <c r="B48">
        <v>14</v>
      </c>
      <c r="C48" t="s">
        <v>697</v>
      </c>
      <c r="D48">
        <v>5</v>
      </c>
      <c r="E48" t="s">
        <v>564</v>
      </c>
      <c r="F48" t="s">
        <v>564</v>
      </c>
      <c r="G48">
        <v>1.3692</v>
      </c>
      <c r="H48" s="231">
        <v>1.3692</v>
      </c>
      <c r="BT48" s="372"/>
      <c r="BU48" s="259" t="s">
        <v>791</v>
      </c>
      <c r="BV48" s="260">
        <v>43001081201</v>
      </c>
      <c r="BW48" s="261" t="s">
        <v>799</v>
      </c>
      <c r="BX48" s="261" t="s">
        <v>800</v>
      </c>
      <c r="BY48" s="152">
        <v>1.12008449904258</v>
      </c>
      <c r="BZ48" s="152">
        <v>1.5660866595046199</v>
      </c>
      <c r="CA48" s="152">
        <v>1.5660866595046199</v>
      </c>
      <c r="CB48" s="152">
        <v>1.5660866595046199</v>
      </c>
      <c r="CC48" s="152">
        <v>1.5660866595046199</v>
      </c>
      <c r="CD48" s="152">
        <v>1.5660866595046199</v>
      </c>
      <c r="CE48" s="152">
        <v>1.5660866595046199</v>
      </c>
      <c r="CF48" s="152">
        <v>5.3699113573443388E-3</v>
      </c>
      <c r="CG48" s="152">
        <v>0.29960973642721828</v>
      </c>
      <c r="CH48" s="152">
        <v>0.91002027307425859</v>
      </c>
      <c r="CI48" s="152">
        <v>0.91002027307425859</v>
      </c>
      <c r="CJ48" s="259" t="s">
        <v>791</v>
      </c>
      <c r="CK48" s="261" t="s">
        <v>800</v>
      </c>
      <c r="CL48" s="374">
        <v>0.37484716628248288</v>
      </c>
      <c r="CM48" s="374">
        <v>0.37484716628248288</v>
      </c>
      <c r="CN48" s="374">
        <v>0.37484716628248288</v>
      </c>
      <c r="CO48" s="374">
        <v>0.37484716628248288</v>
      </c>
      <c r="CP48" s="374">
        <v>0.38766242604145468</v>
      </c>
      <c r="CQ48" s="374">
        <v>0.38766242604145468</v>
      </c>
      <c r="CR48" s="374">
        <v>0.38766242604145468</v>
      </c>
      <c r="CS48" s="374">
        <v>0.38766242604145468</v>
      </c>
      <c r="CT48" s="374">
        <v>0.34120219951972869</v>
      </c>
      <c r="CU48" s="374">
        <v>0.34120219951972869</v>
      </c>
      <c r="CV48" s="374">
        <v>0.34120219951972869</v>
      </c>
      <c r="CW48" s="374">
        <v>0.34120219951972869</v>
      </c>
      <c r="CX48" s="374">
        <v>1.856417403199492</v>
      </c>
      <c r="CY48" s="374">
        <v>1.856417403199492</v>
      </c>
      <c r="CZ48" s="374">
        <v>1.856417403199492</v>
      </c>
      <c r="DA48" s="374">
        <v>1.856417403199492</v>
      </c>
      <c r="DB48" s="374">
        <v>1.856417403199492</v>
      </c>
      <c r="DC48" s="374">
        <v>1.856417403199492</v>
      </c>
      <c r="DD48" s="374">
        <v>0.124337475296333</v>
      </c>
      <c r="DE48" s="374">
        <v>0.124337475296333</v>
      </c>
      <c r="DF48" s="373">
        <v>0.124337475296333</v>
      </c>
      <c r="DG48" s="373">
        <v>0.66497657229599005</v>
      </c>
      <c r="DH48" s="373">
        <v>0.2350988503522016</v>
      </c>
      <c r="DI48" s="373">
        <v>0.66497657229599005</v>
      </c>
      <c r="DJ48" s="308" t="s">
        <v>605</v>
      </c>
      <c r="DK48" s="308" t="s">
        <v>605</v>
      </c>
      <c r="DL48" s="309" t="s">
        <v>606</v>
      </c>
      <c r="DM48" s="309" t="s">
        <v>606</v>
      </c>
      <c r="DN48" s="272"/>
      <c r="DO48" s="272"/>
    </row>
    <row r="49" spans="1:119" ht="15" x14ac:dyDescent="0.3">
      <c r="A49" t="s">
        <v>772</v>
      </c>
      <c r="B49">
        <v>17</v>
      </c>
      <c r="C49" t="s">
        <v>473</v>
      </c>
      <c r="D49">
        <v>7</v>
      </c>
      <c r="E49" t="s">
        <v>564</v>
      </c>
      <c r="F49" t="s">
        <v>564</v>
      </c>
      <c r="G49">
        <v>1.1377999999999999</v>
      </c>
      <c r="H49" s="231">
        <v>1.1377999999999999</v>
      </c>
      <c r="BT49" s="372"/>
      <c r="BU49" s="259" t="s">
        <v>791</v>
      </c>
      <c r="BV49" s="260">
        <v>43001081202</v>
      </c>
      <c r="BW49" s="261" t="s">
        <v>801</v>
      </c>
      <c r="BX49" s="261" t="s">
        <v>802</v>
      </c>
      <c r="BY49" s="152">
        <v>0.25322191855905751</v>
      </c>
      <c r="BZ49" s="152">
        <v>0.34259397266810598</v>
      </c>
      <c r="CA49" s="152">
        <v>0.34259397266810598</v>
      </c>
      <c r="CB49" s="152">
        <v>0.34259397266810598</v>
      </c>
      <c r="CC49" s="152">
        <v>0.34259397266810598</v>
      </c>
      <c r="CD49" s="152">
        <v>0.34259397266810598</v>
      </c>
      <c r="CE49" s="152">
        <v>0.34259397266810598</v>
      </c>
      <c r="CF49" s="152">
        <v>1.223342375088821E-3</v>
      </c>
      <c r="CG49" s="152">
        <v>5.5418906514799492E-2</v>
      </c>
      <c r="CH49" s="152">
        <v>0.17175659773154731</v>
      </c>
      <c r="CI49" s="152">
        <v>0.17175659773154731</v>
      </c>
      <c r="CJ49" s="259" t="s">
        <v>791</v>
      </c>
      <c r="CK49" s="261" t="s">
        <v>802</v>
      </c>
      <c r="CL49" s="374">
        <v>0.37484716628248288</v>
      </c>
      <c r="CM49" s="374">
        <v>0.37484716628248288</v>
      </c>
      <c r="CN49" s="374">
        <v>0.37484716628248288</v>
      </c>
      <c r="CO49" s="374">
        <v>0.37484716628248288</v>
      </c>
      <c r="CP49" s="374">
        <v>0.38766242604145468</v>
      </c>
      <c r="CQ49" s="374">
        <v>0.38766242604145468</v>
      </c>
      <c r="CR49" s="374">
        <v>0.38766242604145468</v>
      </c>
      <c r="CS49" s="374">
        <v>0.38766242604145468</v>
      </c>
      <c r="CT49" s="374">
        <v>0.25043887559320921</v>
      </c>
      <c r="CU49" s="374">
        <v>0.25043887559320921</v>
      </c>
      <c r="CV49" s="374">
        <v>0.25043887559320921</v>
      </c>
      <c r="CW49" s="374">
        <v>0.25043887559320921</v>
      </c>
      <c r="CX49" s="374">
        <v>0.82037551380005524</v>
      </c>
      <c r="CY49" s="374">
        <v>0.82037551380005524</v>
      </c>
      <c r="CZ49" s="374">
        <v>0.82037551380005524</v>
      </c>
      <c r="DA49" s="374">
        <v>0.82037551380005524</v>
      </c>
      <c r="DB49" s="374">
        <v>0.82037551380005524</v>
      </c>
      <c r="DC49" s="374">
        <v>0.82037551380005524</v>
      </c>
      <c r="DD49" s="374">
        <v>0.124337475296333</v>
      </c>
      <c r="DE49" s="374">
        <v>0.124337475296333</v>
      </c>
      <c r="DF49" s="373">
        <v>0.124337475296333</v>
      </c>
      <c r="DG49" s="373">
        <v>0.13771059407703121</v>
      </c>
      <c r="DH49" s="373">
        <v>4.5484524545910329E-2</v>
      </c>
      <c r="DI49" s="373">
        <v>0.13771059407703121</v>
      </c>
      <c r="DJ49" s="308" t="s">
        <v>605</v>
      </c>
      <c r="DK49" s="308" t="s">
        <v>605</v>
      </c>
      <c r="DL49" s="309" t="s">
        <v>606</v>
      </c>
      <c r="DM49" s="309" t="s">
        <v>606</v>
      </c>
      <c r="DN49" s="272"/>
      <c r="DO49" s="272"/>
    </row>
    <row r="50" spans="1:119" ht="15" x14ac:dyDescent="0.3">
      <c r="A50" t="s">
        <v>772</v>
      </c>
      <c r="B50">
        <v>18</v>
      </c>
      <c r="C50" t="s">
        <v>709</v>
      </c>
      <c r="D50">
        <v>5</v>
      </c>
      <c r="E50" t="s">
        <v>564</v>
      </c>
      <c r="F50" t="s">
        <v>564</v>
      </c>
      <c r="G50">
        <v>0.82499999999999996</v>
      </c>
      <c r="H50" s="231">
        <v>0.82499999999999996</v>
      </c>
      <c r="BT50" s="372"/>
      <c r="BU50" s="259" t="s">
        <v>791</v>
      </c>
      <c r="BV50" s="260">
        <v>43001081203</v>
      </c>
      <c r="BW50" s="261" t="s">
        <v>745</v>
      </c>
      <c r="BX50" s="261" t="s">
        <v>803</v>
      </c>
      <c r="BY50" s="152">
        <v>0.26189037521359249</v>
      </c>
      <c r="BZ50" s="152">
        <v>0.35661883763338248</v>
      </c>
      <c r="CA50" s="152">
        <v>0.35661883763338248</v>
      </c>
      <c r="CB50" s="152">
        <v>0.35661883763338248</v>
      </c>
      <c r="CC50" s="152">
        <v>0.35661883763338248</v>
      </c>
      <c r="CD50" s="152">
        <v>0.35661883763338248</v>
      </c>
      <c r="CE50" s="152">
        <v>0.35661883763338248</v>
      </c>
      <c r="CF50" s="152">
        <v>3.418735359275222E-3</v>
      </c>
      <c r="CG50" s="152">
        <v>9.053875159956444E-2</v>
      </c>
      <c r="CH50" s="152">
        <v>0.16497655023169461</v>
      </c>
      <c r="CI50" s="152">
        <v>0.16497655023169461</v>
      </c>
      <c r="CJ50" s="259" t="s">
        <v>791</v>
      </c>
      <c r="CK50" s="261" t="s">
        <v>803</v>
      </c>
      <c r="CL50" s="374">
        <v>0.37484716628248288</v>
      </c>
      <c r="CM50" s="374">
        <v>0.37484716628248288</v>
      </c>
      <c r="CN50" s="374">
        <v>0.37484716628248288</v>
      </c>
      <c r="CO50" s="374">
        <v>0.37484716628248288</v>
      </c>
      <c r="CP50" s="374">
        <v>0.38766242604145468</v>
      </c>
      <c r="CQ50" s="374">
        <v>0.38766242604145468</v>
      </c>
      <c r="CR50" s="374">
        <v>0.38766242604145468</v>
      </c>
      <c r="CS50" s="374">
        <v>0.38766242604145468</v>
      </c>
      <c r="CT50" s="374">
        <v>0.34120219951972869</v>
      </c>
      <c r="CU50" s="374">
        <v>0.34120219951972869</v>
      </c>
      <c r="CV50" s="374">
        <v>0.34120219951972869</v>
      </c>
      <c r="CW50" s="374">
        <v>0.34120219951972869</v>
      </c>
      <c r="CX50" s="374">
        <v>0.42641259472063381</v>
      </c>
      <c r="CY50" s="374">
        <v>0.42641259472063381</v>
      </c>
      <c r="CZ50" s="374">
        <v>0.42641259472063381</v>
      </c>
      <c r="DA50" s="374">
        <v>0.42641259472063381</v>
      </c>
      <c r="DB50" s="374">
        <v>0.42641259472063381</v>
      </c>
      <c r="DC50" s="374">
        <v>0.42641259472063381</v>
      </c>
      <c r="DD50" s="374">
        <v>0.124337475296333</v>
      </c>
      <c r="DE50" s="374">
        <v>0.124337475296333</v>
      </c>
      <c r="DF50" s="373">
        <v>0.124337475296333</v>
      </c>
      <c r="DG50" s="373">
        <v>0.18081122149289641</v>
      </c>
      <c r="DH50" s="373">
        <v>7.0874156453517259E-2</v>
      </c>
      <c r="DI50" s="373">
        <v>0.18081122149289641</v>
      </c>
      <c r="DJ50" s="308" t="s">
        <v>605</v>
      </c>
      <c r="DK50" s="308" t="s">
        <v>605</v>
      </c>
      <c r="DL50" s="309" t="s">
        <v>606</v>
      </c>
      <c r="DM50" s="309" t="s">
        <v>606</v>
      </c>
      <c r="DN50" s="272"/>
      <c r="DO50" s="272"/>
    </row>
    <row r="51" spans="1:119" ht="15" x14ac:dyDescent="0.3">
      <c r="A51" t="s">
        <v>772</v>
      </c>
      <c r="B51">
        <v>19</v>
      </c>
      <c r="C51" t="s">
        <v>714</v>
      </c>
      <c r="D51">
        <v>5</v>
      </c>
      <c r="E51" t="s">
        <v>564</v>
      </c>
      <c r="F51" t="s">
        <v>564</v>
      </c>
      <c r="G51">
        <v>1.1435</v>
      </c>
      <c r="H51" s="231">
        <v>1.1435</v>
      </c>
      <c r="BT51" s="372"/>
      <c r="BU51" s="259" t="s">
        <v>791</v>
      </c>
      <c r="BV51" s="260">
        <v>43001081204</v>
      </c>
      <c r="BW51" s="261" t="s">
        <v>804</v>
      </c>
      <c r="BX51" s="261" t="s">
        <v>805</v>
      </c>
      <c r="BY51" s="152">
        <v>0.26189037521359249</v>
      </c>
      <c r="BZ51" s="152">
        <v>0.35661883763338248</v>
      </c>
      <c r="CA51" s="152">
        <v>0.35661883763338248</v>
      </c>
      <c r="CB51" s="152">
        <v>0.35661883763338248</v>
      </c>
      <c r="CC51" s="152">
        <v>0.35661883763338248</v>
      </c>
      <c r="CD51" s="152">
        <v>0.35661883763338248</v>
      </c>
      <c r="CE51" s="152">
        <v>0.35661883763338248</v>
      </c>
      <c r="CF51" s="152">
        <v>3.418735359275222E-3</v>
      </c>
      <c r="CG51" s="152">
        <v>9.053875159956444E-2</v>
      </c>
      <c r="CH51" s="152">
        <v>0.16497655023169461</v>
      </c>
      <c r="CI51" s="152">
        <v>0.16497655023169461</v>
      </c>
      <c r="CJ51" s="259" t="s">
        <v>791</v>
      </c>
      <c r="CK51" s="261" t="s">
        <v>805</v>
      </c>
      <c r="CL51" s="374">
        <v>0.37484716628248288</v>
      </c>
      <c r="CM51" s="374">
        <v>0.37484716628248288</v>
      </c>
      <c r="CN51" s="374">
        <v>0.37484716628248288</v>
      </c>
      <c r="CO51" s="374">
        <v>0.37484716628248288</v>
      </c>
      <c r="CP51" s="374">
        <v>0.38766242604145468</v>
      </c>
      <c r="CQ51" s="374">
        <v>0.38766242604145468</v>
      </c>
      <c r="CR51" s="374">
        <v>0.38766242604145468</v>
      </c>
      <c r="CS51" s="374">
        <v>0.38766242604145468</v>
      </c>
      <c r="CT51" s="374">
        <v>0.34120219951972869</v>
      </c>
      <c r="CU51" s="374">
        <v>0.34120219951972869</v>
      </c>
      <c r="CV51" s="374">
        <v>0.34120219951972869</v>
      </c>
      <c r="CW51" s="374">
        <v>0.34120219951972869</v>
      </c>
      <c r="CX51" s="374">
        <v>0.42641259472063381</v>
      </c>
      <c r="CY51" s="374">
        <v>0.42641259472063381</v>
      </c>
      <c r="CZ51" s="374">
        <v>0.42641259472063381</v>
      </c>
      <c r="DA51" s="374">
        <v>0.42641259472063381</v>
      </c>
      <c r="DB51" s="374">
        <v>0.42641259472063381</v>
      </c>
      <c r="DC51" s="374">
        <v>0.42641259472063381</v>
      </c>
      <c r="DD51" s="374">
        <v>0.124337475296333</v>
      </c>
      <c r="DE51" s="374">
        <v>0.124337475296333</v>
      </c>
      <c r="DF51" s="373">
        <v>0.124337475296333</v>
      </c>
      <c r="DG51" s="373">
        <v>0.18081122149289641</v>
      </c>
      <c r="DH51" s="373">
        <v>7.0874156453517259E-2</v>
      </c>
      <c r="DI51" s="373">
        <v>0.18081122149289641</v>
      </c>
      <c r="DJ51" s="308" t="s">
        <v>605</v>
      </c>
      <c r="DK51" s="308" t="s">
        <v>605</v>
      </c>
      <c r="DL51" s="309" t="s">
        <v>606</v>
      </c>
      <c r="DM51" s="309" t="s">
        <v>606</v>
      </c>
      <c r="DN51" s="272"/>
      <c r="DO51" s="272"/>
    </row>
    <row r="52" spans="1:119" ht="15" x14ac:dyDescent="0.3">
      <c r="A52" t="s">
        <v>772</v>
      </c>
      <c r="B52">
        <v>20</v>
      </c>
      <c r="C52" t="s">
        <v>720</v>
      </c>
      <c r="D52">
        <v>5</v>
      </c>
      <c r="E52" t="s">
        <v>564</v>
      </c>
      <c r="F52" t="s">
        <v>564</v>
      </c>
      <c r="G52">
        <v>1.2399</v>
      </c>
      <c r="H52" s="231">
        <v>1.2399</v>
      </c>
      <c r="BT52" s="372"/>
      <c r="BU52" s="259" t="s">
        <v>791</v>
      </c>
      <c r="BV52" s="260">
        <v>43001081604</v>
      </c>
      <c r="BW52" s="261" t="s">
        <v>806</v>
      </c>
      <c r="BX52" s="261" t="s">
        <v>807</v>
      </c>
      <c r="BY52" s="152">
        <v>0.26189037521359249</v>
      </c>
      <c r="BZ52" s="152">
        <v>0.35661883763338248</v>
      </c>
      <c r="CA52" s="152">
        <v>0.35661883763338248</v>
      </c>
      <c r="CB52" s="152">
        <v>0.35661883763338248</v>
      </c>
      <c r="CC52" s="152">
        <v>0.35661883763338248</v>
      </c>
      <c r="CD52" s="152">
        <v>0.35661883763338248</v>
      </c>
      <c r="CE52" s="152">
        <v>0.35661883763338248</v>
      </c>
      <c r="CF52" s="152">
        <v>3.418735359275222E-3</v>
      </c>
      <c r="CG52" s="152">
        <v>9.053875159956444E-2</v>
      </c>
      <c r="CH52" s="152">
        <v>0.16497655023169461</v>
      </c>
      <c r="CI52" s="152">
        <v>0.16497655023169461</v>
      </c>
      <c r="CJ52" s="259" t="s">
        <v>791</v>
      </c>
      <c r="CK52" s="261" t="s">
        <v>807</v>
      </c>
      <c r="CL52" s="374">
        <v>0.37484716628248288</v>
      </c>
      <c r="CM52" s="374">
        <v>0.37484716628248288</v>
      </c>
      <c r="CN52" s="374">
        <v>0.37484716628248288</v>
      </c>
      <c r="CO52" s="374">
        <v>0.37484716628248288</v>
      </c>
      <c r="CP52" s="374">
        <v>0.38766242604145468</v>
      </c>
      <c r="CQ52" s="374">
        <v>0.38766242604145468</v>
      </c>
      <c r="CR52" s="374">
        <v>0.38766242604145468</v>
      </c>
      <c r="CS52" s="374">
        <v>0.38766242604145468</v>
      </c>
      <c r="CT52" s="374">
        <v>0.34120219951972869</v>
      </c>
      <c r="CU52" s="374">
        <v>0.34120219951972869</v>
      </c>
      <c r="CV52" s="374">
        <v>0.34120219951972869</v>
      </c>
      <c r="CW52" s="374">
        <v>0.34120219951972869</v>
      </c>
      <c r="CX52" s="374">
        <v>0.42641259472063381</v>
      </c>
      <c r="CY52" s="374">
        <v>0.42641259472063381</v>
      </c>
      <c r="CZ52" s="374">
        <v>0.42641259472063381</v>
      </c>
      <c r="DA52" s="374">
        <v>0.42641259472063381</v>
      </c>
      <c r="DB52" s="374">
        <v>0.42641259472063381</v>
      </c>
      <c r="DC52" s="374">
        <v>0.42641259472063381</v>
      </c>
      <c r="DD52" s="374">
        <v>0.124337475296333</v>
      </c>
      <c r="DE52" s="374">
        <v>0.124337475296333</v>
      </c>
      <c r="DF52" s="373">
        <v>0.124337475296333</v>
      </c>
      <c r="DG52" s="373">
        <v>0.18081122149289641</v>
      </c>
      <c r="DH52" s="373">
        <v>7.0874156453517259E-2</v>
      </c>
      <c r="DI52" s="373">
        <v>0.18081122149289641</v>
      </c>
      <c r="DJ52" s="308" t="s">
        <v>605</v>
      </c>
      <c r="DK52" s="308" t="s">
        <v>605</v>
      </c>
      <c r="DL52" s="309" t="s">
        <v>606</v>
      </c>
      <c r="DM52" s="309" t="s">
        <v>606</v>
      </c>
      <c r="DN52" s="272"/>
      <c r="DO52" s="272"/>
    </row>
    <row r="53" spans="1:119" ht="15" x14ac:dyDescent="0.3">
      <c r="A53" t="s">
        <v>772</v>
      </c>
      <c r="B53">
        <v>21</v>
      </c>
      <c r="C53" t="s">
        <v>726</v>
      </c>
      <c r="D53">
        <v>6</v>
      </c>
      <c r="E53" t="s">
        <v>564</v>
      </c>
      <c r="F53" t="s">
        <v>564</v>
      </c>
      <c r="G53">
        <v>0.71409999999999996</v>
      </c>
      <c r="H53" s="231">
        <v>0.71409999999999996</v>
      </c>
      <c r="BT53" s="372"/>
      <c r="BU53" s="259" t="s">
        <v>791</v>
      </c>
      <c r="BV53" s="260">
        <v>43001090302</v>
      </c>
      <c r="BW53" s="261" t="s">
        <v>808</v>
      </c>
      <c r="BX53" s="261" t="s">
        <v>809</v>
      </c>
      <c r="BY53" s="152">
        <v>0.26189037521359249</v>
      </c>
      <c r="BZ53" s="152">
        <v>0.35661883763338248</v>
      </c>
      <c r="CA53" s="152">
        <v>0.35661883763338248</v>
      </c>
      <c r="CB53" s="152">
        <v>0.35661883763338248</v>
      </c>
      <c r="CC53" s="152">
        <v>0.35661883763338248</v>
      </c>
      <c r="CD53" s="152">
        <v>0.35661883763338248</v>
      </c>
      <c r="CE53" s="152">
        <v>0.35661883763338248</v>
      </c>
      <c r="CF53" s="152">
        <v>3.418735359275222E-3</v>
      </c>
      <c r="CG53" s="152">
        <v>9.053875159956444E-2</v>
      </c>
      <c r="CH53" s="152">
        <v>0.16497655023169461</v>
      </c>
      <c r="CI53" s="152">
        <v>0.16497655023169461</v>
      </c>
      <c r="CJ53" s="259" t="s">
        <v>791</v>
      </c>
      <c r="CK53" s="261" t="s">
        <v>809</v>
      </c>
      <c r="CL53" s="374">
        <v>0.37484716628248288</v>
      </c>
      <c r="CM53" s="374">
        <v>0.37484716628248288</v>
      </c>
      <c r="CN53" s="374">
        <v>0.37484716628248288</v>
      </c>
      <c r="CO53" s="374">
        <v>0.37484716628248288</v>
      </c>
      <c r="CP53" s="374">
        <v>0.38766242604145468</v>
      </c>
      <c r="CQ53" s="374">
        <v>0.38766242604145468</v>
      </c>
      <c r="CR53" s="374">
        <v>0.38766242604145468</v>
      </c>
      <c r="CS53" s="374">
        <v>0.38766242604145468</v>
      </c>
      <c r="CT53" s="374">
        <v>0.34120219951972869</v>
      </c>
      <c r="CU53" s="374">
        <v>0.34120219951972869</v>
      </c>
      <c r="CV53" s="374">
        <v>0.34120219951972869</v>
      </c>
      <c r="CW53" s="374">
        <v>0.34120219951972869</v>
      </c>
      <c r="CX53" s="374">
        <v>0.42641259472063381</v>
      </c>
      <c r="CY53" s="374">
        <v>0.42641259472063381</v>
      </c>
      <c r="CZ53" s="374">
        <v>0.42641259472063381</v>
      </c>
      <c r="DA53" s="374">
        <v>0.42641259472063381</v>
      </c>
      <c r="DB53" s="374">
        <v>0.42641259472063381</v>
      </c>
      <c r="DC53" s="374">
        <v>0.42641259472063381</v>
      </c>
      <c r="DD53" s="374">
        <v>0.124337475296333</v>
      </c>
      <c r="DE53" s="374">
        <v>0.124337475296333</v>
      </c>
      <c r="DF53" s="373">
        <v>0.124337475296333</v>
      </c>
      <c r="DG53" s="373">
        <v>0.18081122149289641</v>
      </c>
      <c r="DH53" s="373">
        <v>7.0874156453517259E-2</v>
      </c>
      <c r="DI53" s="373">
        <v>0.18081122149289641</v>
      </c>
      <c r="DJ53" s="308" t="s">
        <v>605</v>
      </c>
      <c r="DK53" s="308" t="s">
        <v>605</v>
      </c>
      <c r="DL53" s="309" t="s">
        <v>606</v>
      </c>
      <c r="DM53" s="309" t="s">
        <v>606</v>
      </c>
      <c r="DN53" s="272"/>
      <c r="DO53" s="272"/>
    </row>
    <row r="54" spans="1:119" ht="15" x14ac:dyDescent="0.3">
      <c r="A54" t="s">
        <v>772</v>
      </c>
      <c r="B54">
        <v>22</v>
      </c>
      <c r="C54" t="s">
        <v>693</v>
      </c>
      <c r="D54">
        <v>6</v>
      </c>
      <c r="E54" t="s">
        <v>564</v>
      </c>
      <c r="F54" t="s">
        <v>564</v>
      </c>
      <c r="G54">
        <v>1.1493</v>
      </c>
      <c r="H54" s="231">
        <v>1.1493</v>
      </c>
      <c r="BT54" s="372"/>
      <c r="BU54" s="259" t="s">
        <v>791</v>
      </c>
      <c r="BV54" s="260">
        <v>43001090303</v>
      </c>
      <c r="BW54" s="261" t="s">
        <v>810</v>
      </c>
      <c r="BX54" s="261" t="s">
        <v>811</v>
      </c>
      <c r="BY54" s="152">
        <v>0.26189037521359249</v>
      </c>
      <c r="BZ54" s="152">
        <v>0.35661883763338248</v>
      </c>
      <c r="CA54" s="152">
        <v>0.35661883763338248</v>
      </c>
      <c r="CB54" s="152">
        <v>0.35661883763338248</v>
      </c>
      <c r="CC54" s="152">
        <v>0.35661883763338248</v>
      </c>
      <c r="CD54" s="152">
        <v>0.35661883763338248</v>
      </c>
      <c r="CE54" s="152">
        <v>0.35661883763338248</v>
      </c>
      <c r="CF54" s="152">
        <v>3.418735359275222E-3</v>
      </c>
      <c r="CG54" s="152">
        <v>9.053875159956444E-2</v>
      </c>
      <c r="CH54" s="152">
        <v>0.16497655023169461</v>
      </c>
      <c r="CI54" s="152">
        <v>0.16497655023169461</v>
      </c>
      <c r="CJ54" s="259" t="s">
        <v>791</v>
      </c>
      <c r="CK54" s="261" t="s">
        <v>811</v>
      </c>
      <c r="CL54" s="374">
        <v>0.37484716628248288</v>
      </c>
      <c r="CM54" s="374">
        <v>0.37484716628248288</v>
      </c>
      <c r="CN54" s="374">
        <v>0.37484716628248288</v>
      </c>
      <c r="CO54" s="374">
        <v>0.37484716628248288</v>
      </c>
      <c r="CP54" s="374">
        <v>0.38766242604145468</v>
      </c>
      <c r="CQ54" s="374">
        <v>0.38766242604145468</v>
      </c>
      <c r="CR54" s="374">
        <v>0.38766242604145468</v>
      </c>
      <c r="CS54" s="374">
        <v>0.38766242604145468</v>
      </c>
      <c r="CT54" s="374">
        <v>0.34120219951972869</v>
      </c>
      <c r="CU54" s="374">
        <v>0.34120219951972869</v>
      </c>
      <c r="CV54" s="374">
        <v>0.34120219951972869</v>
      </c>
      <c r="CW54" s="374">
        <v>0.34120219951972869</v>
      </c>
      <c r="CX54" s="374">
        <v>0.42641259472063381</v>
      </c>
      <c r="CY54" s="374">
        <v>0.42641259472063381</v>
      </c>
      <c r="CZ54" s="374">
        <v>0.42641259472063381</v>
      </c>
      <c r="DA54" s="374">
        <v>0.42641259472063381</v>
      </c>
      <c r="DB54" s="374">
        <v>0.42641259472063381</v>
      </c>
      <c r="DC54" s="374">
        <v>0.42641259472063381</v>
      </c>
      <c r="DD54" s="374">
        <v>0.124337475296333</v>
      </c>
      <c r="DE54" s="374">
        <v>0.124337475296333</v>
      </c>
      <c r="DF54" s="373">
        <v>0.124337475296333</v>
      </c>
      <c r="DG54" s="373">
        <v>0.18081122149289641</v>
      </c>
      <c r="DH54" s="373">
        <v>7.0874156453517259E-2</v>
      </c>
      <c r="DI54" s="373">
        <v>0.18081122149289641</v>
      </c>
      <c r="DJ54" s="308" t="s">
        <v>605</v>
      </c>
      <c r="DK54" s="308" t="s">
        <v>605</v>
      </c>
      <c r="DL54" s="309" t="s">
        <v>606</v>
      </c>
      <c r="DM54" s="309" t="s">
        <v>606</v>
      </c>
      <c r="DN54" s="272"/>
      <c r="DO54" s="272"/>
    </row>
    <row r="55" spans="1:119" ht="15" x14ac:dyDescent="0.3">
      <c r="A55" t="s">
        <v>772</v>
      </c>
      <c r="B55">
        <v>23</v>
      </c>
      <c r="C55" t="s">
        <v>737</v>
      </c>
      <c r="D55">
        <v>5</v>
      </c>
      <c r="E55" t="s">
        <v>564</v>
      </c>
      <c r="F55" t="s">
        <v>564</v>
      </c>
      <c r="G55">
        <v>0.75949999999999995</v>
      </c>
      <c r="H55" s="231">
        <v>0.75949999999999995</v>
      </c>
      <c r="BT55" s="372"/>
      <c r="BU55" s="259" t="s">
        <v>812</v>
      </c>
      <c r="BV55" s="260">
        <v>43001020101</v>
      </c>
      <c r="BW55" s="261" t="s">
        <v>813</v>
      </c>
      <c r="BX55" s="261" t="s">
        <v>814</v>
      </c>
      <c r="BY55" s="152">
        <v>0.52246345599929811</v>
      </c>
      <c r="BZ55" s="152">
        <v>0.62001974458516274</v>
      </c>
      <c r="CA55" s="152">
        <v>0.62001974458516274</v>
      </c>
      <c r="CB55" s="152">
        <v>0.62001974458516274</v>
      </c>
      <c r="CC55" s="152">
        <v>0.62001974458516274</v>
      </c>
      <c r="CD55" s="152">
        <v>0.62001974458516274</v>
      </c>
      <c r="CE55" s="152">
        <v>0.62001974458516274</v>
      </c>
      <c r="CF55" s="152">
        <v>2.162355371136079E-2</v>
      </c>
      <c r="CG55" s="152">
        <v>3.7472771706018163E-2</v>
      </c>
      <c r="CH55" s="152">
        <v>0.27023680384130061</v>
      </c>
      <c r="CI55" s="152">
        <v>0.27023680384130061</v>
      </c>
      <c r="CJ55" s="259" t="s">
        <v>812</v>
      </c>
      <c r="CK55" s="261" t="s">
        <v>814</v>
      </c>
      <c r="CL55" s="374">
        <v>1.006492955438826</v>
      </c>
      <c r="CM55" s="374">
        <v>1.006492955438826</v>
      </c>
      <c r="CN55" s="374">
        <v>1.006492955438826</v>
      </c>
      <c r="CO55" s="374">
        <v>1.006492955438826</v>
      </c>
      <c r="CP55" s="374">
        <v>0.86610102771625519</v>
      </c>
      <c r="CQ55" s="374">
        <v>0.86610102771625519</v>
      </c>
      <c r="CR55" s="374">
        <v>0.86610102771625519</v>
      </c>
      <c r="CS55" s="374">
        <v>0.86610102771625519</v>
      </c>
      <c r="CT55" s="374">
        <v>0.53440883482777168</v>
      </c>
      <c r="CU55" s="374">
        <v>0.53440883482777168</v>
      </c>
      <c r="CV55" s="374">
        <v>0.53440883482777168</v>
      </c>
      <c r="CW55" s="374">
        <v>0.53440883482777168</v>
      </c>
      <c r="CX55" s="374">
        <v>2.001115609771877</v>
      </c>
      <c r="CY55" s="374">
        <v>2.001115609771877</v>
      </c>
      <c r="CZ55" s="374">
        <v>2.001115609771877</v>
      </c>
      <c r="DA55" s="374">
        <v>2.001115609771877</v>
      </c>
      <c r="DB55" s="374">
        <v>2.001115609771877</v>
      </c>
      <c r="DC55" s="374">
        <v>2.001115609771877</v>
      </c>
      <c r="DD55" s="374">
        <v>0.10017528882114229</v>
      </c>
      <c r="DE55" s="374">
        <v>0.10017528882114229</v>
      </c>
      <c r="DF55" s="373">
        <v>0.10017528882114229</v>
      </c>
      <c r="DG55" s="373">
        <v>9.9803483546297145E-2</v>
      </c>
      <c r="DH55" s="373">
        <v>4.3718897629952048E-2</v>
      </c>
      <c r="DI55" s="373">
        <v>9.9803483546297145E-2</v>
      </c>
      <c r="DJ55" s="308" t="s">
        <v>605</v>
      </c>
      <c r="DK55" s="308" t="s">
        <v>605</v>
      </c>
      <c r="DL55" s="309" t="s">
        <v>606</v>
      </c>
      <c r="DM55" s="309" t="s">
        <v>606</v>
      </c>
      <c r="DN55" s="272"/>
      <c r="DO55" s="272"/>
    </row>
    <row r="56" spans="1:119" ht="15" x14ac:dyDescent="0.3">
      <c r="A56" t="s">
        <v>772</v>
      </c>
      <c r="B56">
        <v>24</v>
      </c>
      <c r="C56" t="s">
        <v>565</v>
      </c>
      <c r="D56">
        <v>17</v>
      </c>
      <c r="E56" t="s">
        <v>564</v>
      </c>
      <c r="F56" t="s">
        <v>564</v>
      </c>
      <c r="G56">
        <v>0.85109999999999997</v>
      </c>
      <c r="H56" s="231">
        <v>0.93879999999999997</v>
      </c>
      <c r="BT56" s="372"/>
      <c r="BU56" s="259" t="s">
        <v>812</v>
      </c>
      <c r="BV56" s="260">
        <v>43001020102</v>
      </c>
      <c r="BW56" s="261" t="s">
        <v>815</v>
      </c>
      <c r="BX56" s="261" t="s">
        <v>816</v>
      </c>
      <c r="BY56" s="152">
        <v>1.0955170717273881</v>
      </c>
      <c r="BZ56" s="152">
        <v>1.30549327774679</v>
      </c>
      <c r="CA56" s="152">
        <v>1.30549327774679</v>
      </c>
      <c r="CB56" s="152">
        <v>1.30549327774679</v>
      </c>
      <c r="CC56" s="152">
        <v>1.30549327774679</v>
      </c>
      <c r="CD56" s="152">
        <v>1.30549327774679</v>
      </c>
      <c r="CE56" s="152">
        <v>1.30549327774679</v>
      </c>
      <c r="CF56" s="152">
        <v>2.162355371136079E-2</v>
      </c>
      <c r="CG56" s="152">
        <v>0.12605325542356399</v>
      </c>
      <c r="CH56" s="152">
        <v>0.61990045873768562</v>
      </c>
      <c r="CI56" s="152">
        <v>0.61990045873768562</v>
      </c>
      <c r="CJ56" s="259" t="s">
        <v>812</v>
      </c>
      <c r="CK56" s="261" t="s">
        <v>816</v>
      </c>
      <c r="CL56" s="374">
        <v>1.006492955438826</v>
      </c>
      <c r="CM56" s="374">
        <v>1.006492955438826</v>
      </c>
      <c r="CN56" s="374">
        <v>1.006492955438826</v>
      </c>
      <c r="CO56" s="374">
        <v>1.006492955438826</v>
      </c>
      <c r="CP56" s="374">
        <v>0.86610102771625519</v>
      </c>
      <c r="CQ56" s="374">
        <v>0.86610102771625519</v>
      </c>
      <c r="CR56" s="374">
        <v>0.86610102771625519</v>
      </c>
      <c r="CS56" s="374">
        <v>0.86610102771625519</v>
      </c>
      <c r="CT56" s="374">
        <v>1.01218690857881</v>
      </c>
      <c r="CU56" s="374">
        <v>1.01218690857881</v>
      </c>
      <c r="CV56" s="374">
        <v>1.01218690857881</v>
      </c>
      <c r="CW56" s="374">
        <v>1.01218690857881</v>
      </c>
      <c r="CX56" s="374">
        <v>1.7402168198973049</v>
      </c>
      <c r="CY56" s="374">
        <v>1.7402168198973049</v>
      </c>
      <c r="CZ56" s="374">
        <v>1.7402168198973049</v>
      </c>
      <c r="DA56" s="374">
        <v>1.7402168198973049</v>
      </c>
      <c r="DB56" s="374">
        <v>1.7402168198973049</v>
      </c>
      <c r="DC56" s="374">
        <v>1.7402168198973049</v>
      </c>
      <c r="DD56" s="374">
        <v>0.10017528882114229</v>
      </c>
      <c r="DE56" s="374">
        <v>0.10017528882114229</v>
      </c>
      <c r="DF56" s="373">
        <v>0.10017528882114229</v>
      </c>
      <c r="DG56" s="373">
        <v>0.24824106327572959</v>
      </c>
      <c r="DH56" s="373">
        <v>0.36839383696941069</v>
      </c>
      <c r="DI56" s="373">
        <v>0.24824106327572959</v>
      </c>
      <c r="DJ56" s="308" t="s">
        <v>605</v>
      </c>
      <c r="DK56" s="308" t="s">
        <v>605</v>
      </c>
      <c r="DL56" s="309" t="s">
        <v>606</v>
      </c>
      <c r="DM56" s="309" t="s">
        <v>606</v>
      </c>
      <c r="DN56" s="272"/>
      <c r="DO56" s="272"/>
    </row>
    <row r="57" spans="1:119" ht="15" x14ac:dyDescent="0.3">
      <c r="A57" t="s">
        <v>772</v>
      </c>
      <c r="B57">
        <v>25</v>
      </c>
      <c r="C57" t="s">
        <v>590</v>
      </c>
      <c r="D57">
        <v>17</v>
      </c>
      <c r="E57" t="s">
        <v>564</v>
      </c>
      <c r="F57" t="s">
        <v>564</v>
      </c>
      <c r="G57">
        <v>0.93820000000000003</v>
      </c>
      <c r="H57" s="231">
        <v>0.93889999999999996</v>
      </c>
      <c r="BT57" s="372"/>
      <c r="BU57" s="259" t="s">
        <v>812</v>
      </c>
      <c r="BV57" s="260">
        <v>43001020103</v>
      </c>
      <c r="BW57" s="261" t="s">
        <v>817</v>
      </c>
      <c r="BX57" s="261" t="s">
        <v>818</v>
      </c>
      <c r="BY57" s="152">
        <v>0.79575329468217282</v>
      </c>
      <c r="BZ57" s="152">
        <v>1.0396120717545869</v>
      </c>
      <c r="CA57" s="152">
        <v>1.0396120717545869</v>
      </c>
      <c r="CB57" s="152">
        <v>1.0396120717545869</v>
      </c>
      <c r="CC57" s="152">
        <v>1.0396120717545869</v>
      </c>
      <c r="CD57" s="152">
        <v>1.0396120717545869</v>
      </c>
      <c r="CE57" s="152">
        <v>1.0396120717545869</v>
      </c>
      <c r="CF57" s="152">
        <v>2.162355371136079E-2</v>
      </c>
      <c r="CG57" s="152">
        <v>0.20382696623087829</v>
      </c>
      <c r="CH57" s="152">
        <v>0.65549947668981223</v>
      </c>
      <c r="CI57" s="152">
        <v>0.65549947668981223</v>
      </c>
      <c r="CJ57" s="259" t="s">
        <v>812</v>
      </c>
      <c r="CK57" s="261" t="s">
        <v>818</v>
      </c>
      <c r="CL57" s="374">
        <v>1.006492955438826</v>
      </c>
      <c r="CM57" s="374">
        <v>1.006492955438826</v>
      </c>
      <c r="CN57" s="374">
        <v>1.006492955438826</v>
      </c>
      <c r="CO57" s="374">
        <v>1.006492955438826</v>
      </c>
      <c r="CP57" s="374">
        <v>0.86610102771625519</v>
      </c>
      <c r="CQ57" s="374">
        <v>0.86610102771625519</v>
      </c>
      <c r="CR57" s="374">
        <v>0.86610102771625519</v>
      </c>
      <c r="CS57" s="374">
        <v>0.86610102771625519</v>
      </c>
      <c r="CT57" s="374">
        <v>1.576694479634426</v>
      </c>
      <c r="CU57" s="374">
        <v>1.576694479634426</v>
      </c>
      <c r="CV57" s="374">
        <v>1.576694479634426</v>
      </c>
      <c r="CW57" s="374">
        <v>1.576694479634426</v>
      </c>
      <c r="CX57" s="374">
        <v>1.7402168198973049</v>
      </c>
      <c r="CY57" s="374">
        <v>1.7402168198973049</v>
      </c>
      <c r="CZ57" s="374">
        <v>1.7402168198973049</v>
      </c>
      <c r="DA57" s="374">
        <v>1.7402168198973049</v>
      </c>
      <c r="DB57" s="374">
        <v>1.7402168198973049</v>
      </c>
      <c r="DC57" s="374">
        <v>1.7402168198973049</v>
      </c>
      <c r="DD57" s="374">
        <v>0.10017528882114229</v>
      </c>
      <c r="DE57" s="374">
        <v>0.10017528882114229</v>
      </c>
      <c r="DF57" s="373">
        <v>0.10017528882114229</v>
      </c>
      <c r="DG57" s="373">
        <v>0.2165602831994852</v>
      </c>
      <c r="DH57" s="373">
        <v>0.1624834609801698</v>
      </c>
      <c r="DI57" s="373">
        <v>0.2165602831994852</v>
      </c>
      <c r="DJ57" s="308" t="s">
        <v>605</v>
      </c>
      <c r="DK57" s="308" t="s">
        <v>605</v>
      </c>
      <c r="DL57" s="309" t="s">
        <v>606</v>
      </c>
      <c r="DM57" s="309" t="s">
        <v>606</v>
      </c>
      <c r="DN57" s="272"/>
      <c r="DO57" s="272"/>
    </row>
    <row r="58" spans="1:119" ht="15" x14ac:dyDescent="0.3">
      <c r="A58" t="s">
        <v>772</v>
      </c>
      <c r="B58">
        <v>26</v>
      </c>
      <c r="C58" t="s">
        <v>608</v>
      </c>
      <c r="D58">
        <v>17</v>
      </c>
      <c r="E58" t="s">
        <v>564</v>
      </c>
      <c r="F58" t="s">
        <v>564</v>
      </c>
      <c r="G58">
        <v>0.91659999999999997</v>
      </c>
      <c r="H58" s="231">
        <v>0.93879999999999997</v>
      </c>
      <c r="BT58" s="372"/>
      <c r="BU58" s="259" t="s">
        <v>812</v>
      </c>
      <c r="BV58" s="260">
        <v>43001020104</v>
      </c>
      <c r="BW58" s="261" t="s">
        <v>819</v>
      </c>
      <c r="BX58" s="261" t="s">
        <v>820</v>
      </c>
      <c r="BY58" s="152">
        <v>0.69140878129789463</v>
      </c>
      <c r="BZ58" s="152">
        <v>0.89204640517821765</v>
      </c>
      <c r="CA58" s="152">
        <v>0.89204640517821765</v>
      </c>
      <c r="CB58" s="152">
        <v>0.89204640517821765</v>
      </c>
      <c r="CC58" s="152">
        <v>0.89204640517821765</v>
      </c>
      <c r="CD58" s="152">
        <v>0.89204640517821765</v>
      </c>
      <c r="CE58" s="152">
        <v>0.89204640517821765</v>
      </c>
      <c r="CF58" s="152">
        <v>9.2827821327899854E-3</v>
      </c>
      <c r="CG58" s="152">
        <v>0.22799827576873621</v>
      </c>
      <c r="CH58" s="152">
        <v>0.18483800889740451</v>
      </c>
      <c r="CI58" s="152">
        <v>0.18483800889740451</v>
      </c>
      <c r="CJ58" s="259" t="s">
        <v>812</v>
      </c>
      <c r="CK58" s="261" t="s">
        <v>820</v>
      </c>
      <c r="CL58" s="374">
        <v>1.006492955438826</v>
      </c>
      <c r="CM58" s="374">
        <v>1.006492955438826</v>
      </c>
      <c r="CN58" s="374">
        <v>1.006492955438826</v>
      </c>
      <c r="CO58" s="374">
        <v>1.006492955438826</v>
      </c>
      <c r="CP58" s="374">
        <v>0.86610102771625519</v>
      </c>
      <c r="CQ58" s="374">
        <v>0.86610102771625519</v>
      </c>
      <c r="CR58" s="374">
        <v>0.86610102771625519</v>
      </c>
      <c r="CS58" s="374">
        <v>0.86610102771625519</v>
      </c>
      <c r="CT58" s="374">
        <v>0.94162321855237208</v>
      </c>
      <c r="CU58" s="374">
        <v>0.94162321855237208</v>
      </c>
      <c r="CV58" s="374">
        <v>0.94162321855237208</v>
      </c>
      <c r="CW58" s="374">
        <v>0.94162321855237208</v>
      </c>
      <c r="CX58" s="374">
        <v>1.093952681392041</v>
      </c>
      <c r="CY58" s="374">
        <v>1.093952681392041</v>
      </c>
      <c r="CZ58" s="374">
        <v>1.093952681392041</v>
      </c>
      <c r="DA58" s="374">
        <v>1.093952681392041</v>
      </c>
      <c r="DB58" s="374">
        <v>1.093952681392041</v>
      </c>
      <c r="DC58" s="374">
        <v>1.093952681392041</v>
      </c>
      <c r="DD58" s="374">
        <v>0.10017528882114229</v>
      </c>
      <c r="DE58" s="374">
        <v>0.10017528882114229</v>
      </c>
      <c r="DF58" s="373">
        <v>0.10017528882114229</v>
      </c>
      <c r="DG58" s="373">
        <v>0.2368460003100952</v>
      </c>
      <c r="DH58" s="373">
        <v>4.8346032005555629E-2</v>
      </c>
      <c r="DI58" s="373">
        <v>0.2368460003100952</v>
      </c>
      <c r="DJ58" s="308" t="s">
        <v>605</v>
      </c>
      <c r="DK58" s="308" t="s">
        <v>605</v>
      </c>
      <c r="DL58" s="309" t="s">
        <v>606</v>
      </c>
      <c r="DM58" s="309" t="s">
        <v>606</v>
      </c>
      <c r="DN58" s="272"/>
      <c r="DO58" s="272"/>
    </row>
    <row r="59" spans="1:119" ht="15" x14ac:dyDescent="0.3">
      <c r="A59" t="s">
        <v>772</v>
      </c>
      <c r="B59">
        <v>27</v>
      </c>
      <c r="C59" t="s">
        <v>622</v>
      </c>
      <c r="D59">
        <v>17</v>
      </c>
      <c r="E59" t="s">
        <v>564</v>
      </c>
      <c r="F59" t="s">
        <v>564</v>
      </c>
      <c r="G59">
        <v>0.93010000000000004</v>
      </c>
      <c r="H59" s="231">
        <v>0.93879999999999997</v>
      </c>
      <c r="BT59" s="372"/>
      <c r="BU59" s="259" t="s">
        <v>812</v>
      </c>
      <c r="BV59" s="260">
        <v>43001020105</v>
      </c>
      <c r="BW59" s="261" t="s">
        <v>821</v>
      </c>
      <c r="BX59" s="261" t="s">
        <v>822</v>
      </c>
      <c r="BY59" s="152">
        <v>0.75578750055217747</v>
      </c>
      <c r="BZ59" s="152">
        <v>0.99431999542887928</v>
      </c>
      <c r="CA59" s="152">
        <v>0.99431999542887928</v>
      </c>
      <c r="CB59" s="152">
        <v>0.99431999542887928</v>
      </c>
      <c r="CC59" s="152">
        <v>0.99431999542887928</v>
      </c>
      <c r="CD59" s="152">
        <v>0.99431999542887928</v>
      </c>
      <c r="CE59" s="152">
        <v>0.99431999542887928</v>
      </c>
      <c r="CF59" s="152">
        <v>9.8083796205029414E-3</v>
      </c>
      <c r="CG59" s="152">
        <v>0.282099244545923</v>
      </c>
      <c r="CH59" s="152">
        <v>0.39311289934538057</v>
      </c>
      <c r="CI59" s="152">
        <v>0.39311289934538057</v>
      </c>
      <c r="CJ59" s="259" t="s">
        <v>812</v>
      </c>
      <c r="CK59" s="261" t="s">
        <v>822</v>
      </c>
      <c r="CL59" s="374">
        <v>1.006492955438826</v>
      </c>
      <c r="CM59" s="374">
        <v>1.006492955438826</v>
      </c>
      <c r="CN59" s="374">
        <v>1.006492955438826</v>
      </c>
      <c r="CO59" s="374">
        <v>1.006492955438826</v>
      </c>
      <c r="CP59" s="374">
        <v>0.86610102771625519</v>
      </c>
      <c r="CQ59" s="374">
        <v>0.86610102771625519</v>
      </c>
      <c r="CR59" s="374">
        <v>0.86610102771625519</v>
      </c>
      <c r="CS59" s="374">
        <v>0.86610102771625519</v>
      </c>
      <c r="CT59" s="374">
        <v>0.69280264552960646</v>
      </c>
      <c r="CU59" s="374">
        <v>0.69280264552960646</v>
      </c>
      <c r="CV59" s="374">
        <v>0.69280264552960646</v>
      </c>
      <c r="CW59" s="374">
        <v>0.69280264552960646</v>
      </c>
      <c r="CX59" s="374">
        <v>2.7051187238796599</v>
      </c>
      <c r="CY59" s="374">
        <v>2.7051187238796599</v>
      </c>
      <c r="CZ59" s="374">
        <v>2.7051187238796599</v>
      </c>
      <c r="DA59" s="374">
        <v>2.7051187238796599</v>
      </c>
      <c r="DB59" s="374">
        <v>2.7051187238796599</v>
      </c>
      <c r="DC59" s="374">
        <v>2.7051187238796599</v>
      </c>
      <c r="DD59" s="374">
        <v>0.10017528882114229</v>
      </c>
      <c r="DE59" s="374">
        <v>0.10017528882114229</v>
      </c>
      <c r="DF59" s="373">
        <v>0.10017528882114229</v>
      </c>
      <c r="DG59" s="373">
        <v>0.36981964114951849</v>
      </c>
      <c r="DH59" s="373">
        <v>0.1047619044930192</v>
      </c>
      <c r="DI59" s="373">
        <v>0.36981964114951849</v>
      </c>
      <c r="DJ59" s="308" t="s">
        <v>605</v>
      </c>
      <c r="DK59" s="308" t="s">
        <v>605</v>
      </c>
      <c r="DL59" s="309" t="s">
        <v>606</v>
      </c>
      <c r="DM59" s="309" t="s">
        <v>606</v>
      </c>
      <c r="DN59" s="272"/>
      <c r="DO59" s="272"/>
    </row>
    <row r="60" spans="1:119" ht="15" x14ac:dyDescent="0.3">
      <c r="A60" t="s">
        <v>772</v>
      </c>
      <c r="B60">
        <v>28</v>
      </c>
      <c r="C60" t="s">
        <v>232</v>
      </c>
      <c r="D60">
        <v>17</v>
      </c>
      <c r="E60" t="s">
        <v>564</v>
      </c>
      <c r="F60" t="s">
        <v>564</v>
      </c>
      <c r="G60">
        <v>0.71389999999999998</v>
      </c>
      <c r="H60" s="231">
        <v>0.85850000000000004</v>
      </c>
      <c r="BT60" s="372"/>
      <c r="BU60" s="259" t="s">
        <v>812</v>
      </c>
      <c r="BV60" s="260">
        <v>43001020106</v>
      </c>
      <c r="BW60" s="261" t="s">
        <v>823</v>
      </c>
      <c r="BX60" s="261" t="s">
        <v>824</v>
      </c>
      <c r="BY60" s="152">
        <v>0.75529286843975196</v>
      </c>
      <c r="BZ60" s="152">
        <v>0.92316226656340261</v>
      </c>
      <c r="CA60" s="152">
        <v>0.92316226656340261</v>
      </c>
      <c r="CB60" s="152">
        <v>0.92316226656340261</v>
      </c>
      <c r="CC60" s="152">
        <v>0.92316226656340261</v>
      </c>
      <c r="CD60" s="152">
        <v>0.92316226656340261</v>
      </c>
      <c r="CE60" s="152">
        <v>0.92316226656340261</v>
      </c>
      <c r="CF60" s="152">
        <v>2.4343518282648201E-2</v>
      </c>
      <c r="CG60" s="152">
        <v>0.65759130656024589</v>
      </c>
      <c r="CH60" s="152">
        <v>0.41739208998308008</v>
      </c>
      <c r="CI60" s="152">
        <v>0.41739208998308008</v>
      </c>
      <c r="CJ60" s="259" t="s">
        <v>812</v>
      </c>
      <c r="CK60" s="261" t="s">
        <v>824</v>
      </c>
      <c r="CL60" s="374">
        <v>1.006492955438826</v>
      </c>
      <c r="CM60" s="374">
        <v>1.006492955438826</v>
      </c>
      <c r="CN60" s="374">
        <v>1.006492955438826</v>
      </c>
      <c r="CO60" s="374">
        <v>1.006492955438826</v>
      </c>
      <c r="CP60" s="374">
        <v>0.86610102771625519</v>
      </c>
      <c r="CQ60" s="374">
        <v>0.86610102771625519</v>
      </c>
      <c r="CR60" s="374">
        <v>0.86610102771625519</v>
      </c>
      <c r="CS60" s="374">
        <v>0.86610102771625519</v>
      </c>
      <c r="CT60" s="374">
        <v>3.2215969212254989</v>
      </c>
      <c r="CU60" s="374">
        <v>3.2215969212254989</v>
      </c>
      <c r="CV60" s="374">
        <v>3.2215969212254989</v>
      </c>
      <c r="CW60" s="374">
        <v>3.2215969212254989</v>
      </c>
      <c r="CX60" s="374">
        <v>1.7402168198973049</v>
      </c>
      <c r="CY60" s="374">
        <v>1.7402168198973049</v>
      </c>
      <c r="CZ60" s="374">
        <v>1.7402168198973049</v>
      </c>
      <c r="DA60" s="374">
        <v>1.7402168198973049</v>
      </c>
      <c r="DB60" s="374">
        <v>1.7402168198973049</v>
      </c>
      <c r="DC60" s="374">
        <v>1.7402168198973049</v>
      </c>
      <c r="DD60" s="374">
        <v>0.10017528882114229</v>
      </c>
      <c r="DE60" s="374">
        <v>0.10017528882114229</v>
      </c>
      <c r="DF60" s="373">
        <v>0.10017528882114229</v>
      </c>
      <c r="DG60" s="373">
        <v>0.46880392209364508</v>
      </c>
      <c r="DH60" s="373">
        <v>0.13916098297918289</v>
      </c>
      <c r="DI60" s="373">
        <v>0.46880392209364508</v>
      </c>
      <c r="DJ60" s="308" t="s">
        <v>605</v>
      </c>
      <c r="DK60" s="308" t="s">
        <v>605</v>
      </c>
      <c r="DL60" s="309" t="s">
        <v>606</v>
      </c>
      <c r="DM60" s="309" t="s">
        <v>606</v>
      </c>
      <c r="DN60" s="272"/>
      <c r="DO60" s="272"/>
    </row>
    <row r="61" spans="1:119" ht="15" x14ac:dyDescent="0.3">
      <c r="A61" t="s">
        <v>772</v>
      </c>
      <c r="B61">
        <v>29</v>
      </c>
      <c r="C61" t="s">
        <v>641</v>
      </c>
      <c r="D61">
        <v>17</v>
      </c>
      <c r="E61" t="s">
        <v>564</v>
      </c>
      <c r="F61" t="s">
        <v>564</v>
      </c>
      <c r="G61">
        <v>0.54979999999999996</v>
      </c>
      <c r="H61" s="231">
        <v>0.85840000000000005</v>
      </c>
      <c r="BT61" s="372"/>
      <c r="BU61" s="259" t="s">
        <v>812</v>
      </c>
      <c r="BV61" s="260">
        <v>43001020107</v>
      </c>
      <c r="BW61" s="261" t="s">
        <v>825</v>
      </c>
      <c r="BX61" s="261" t="s">
        <v>826</v>
      </c>
      <c r="BY61" s="152">
        <v>0.90927580479545356</v>
      </c>
      <c r="BZ61" s="152">
        <v>1.1705184290319961</v>
      </c>
      <c r="CA61" s="152">
        <v>1.1705184290319961</v>
      </c>
      <c r="CB61" s="152">
        <v>1.1705184290319961</v>
      </c>
      <c r="CC61" s="152">
        <v>1.1705184290319961</v>
      </c>
      <c r="CD61" s="152">
        <v>1.1705184290319961</v>
      </c>
      <c r="CE61" s="152">
        <v>1.1705184290319961</v>
      </c>
      <c r="CF61" s="152">
        <v>2.162355371136079E-2</v>
      </c>
      <c r="CG61" s="152">
        <v>0.20358616047107819</v>
      </c>
      <c r="CH61" s="152">
        <v>0.57973317745576924</v>
      </c>
      <c r="CI61" s="152">
        <v>0.57973317745576924</v>
      </c>
      <c r="CJ61" s="259" t="s">
        <v>812</v>
      </c>
      <c r="CK61" s="261" t="s">
        <v>826</v>
      </c>
      <c r="CL61" s="374">
        <v>1.006492955438826</v>
      </c>
      <c r="CM61" s="374">
        <v>1.006492955438826</v>
      </c>
      <c r="CN61" s="374">
        <v>1.006492955438826</v>
      </c>
      <c r="CO61" s="374">
        <v>1.006492955438826</v>
      </c>
      <c r="CP61" s="374">
        <v>0.86610102771625519</v>
      </c>
      <c r="CQ61" s="374">
        <v>0.86610102771625519</v>
      </c>
      <c r="CR61" s="374">
        <v>0.86610102771625519</v>
      </c>
      <c r="CS61" s="374">
        <v>0.86610102771625519</v>
      </c>
      <c r="CT61" s="374">
        <v>1.8209130222750241</v>
      </c>
      <c r="CU61" s="374">
        <v>1.8209130222750241</v>
      </c>
      <c r="CV61" s="374">
        <v>1.8209130222750241</v>
      </c>
      <c r="CW61" s="374">
        <v>1.8209130222750241</v>
      </c>
      <c r="CX61" s="374">
        <v>1.7402168198973049</v>
      </c>
      <c r="CY61" s="374">
        <v>1.7402168198973049</v>
      </c>
      <c r="CZ61" s="374">
        <v>1.7402168198973049</v>
      </c>
      <c r="DA61" s="374">
        <v>1.7402168198973049</v>
      </c>
      <c r="DB61" s="374">
        <v>1.7402168198973049</v>
      </c>
      <c r="DC61" s="374">
        <v>1.7402168198973049</v>
      </c>
      <c r="DD61" s="374">
        <v>0.10017528882114229</v>
      </c>
      <c r="DE61" s="374">
        <v>0.10017528882114229</v>
      </c>
      <c r="DF61" s="373">
        <v>0.10017528882114229</v>
      </c>
      <c r="DG61" s="373">
        <v>0.22201616035034119</v>
      </c>
      <c r="DH61" s="373">
        <v>0.15796281021918029</v>
      </c>
      <c r="DI61" s="373">
        <v>0.22201616035034119</v>
      </c>
      <c r="DJ61" s="308" t="s">
        <v>605</v>
      </c>
      <c r="DK61" s="308" t="s">
        <v>605</v>
      </c>
      <c r="DL61" s="309" t="s">
        <v>606</v>
      </c>
      <c r="DM61" s="309" t="s">
        <v>606</v>
      </c>
      <c r="DN61" s="272"/>
      <c r="DO61" s="272"/>
    </row>
    <row r="62" spans="1:119" ht="15" x14ac:dyDescent="0.3">
      <c r="A62" t="s">
        <v>772</v>
      </c>
      <c r="B62">
        <v>30</v>
      </c>
      <c r="C62" t="s">
        <v>650</v>
      </c>
      <c r="D62">
        <v>17</v>
      </c>
      <c r="E62" t="s">
        <v>564</v>
      </c>
      <c r="F62" t="s">
        <v>564</v>
      </c>
      <c r="G62">
        <v>0.64319999999999999</v>
      </c>
      <c r="H62" s="231">
        <v>0.85840000000000005</v>
      </c>
      <c r="BT62" s="372"/>
      <c r="BU62" s="259" t="s">
        <v>812</v>
      </c>
      <c r="BV62" s="260">
        <v>43001020108</v>
      </c>
      <c r="BW62" s="261" t="s">
        <v>827</v>
      </c>
      <c r="BX62" s="261" t="s">
        <v>828</v>
      </c>
      <c r="BY62" s="152">
        <v>0.71891900307243128</v>
      </c>
      <c r="BZ62" s="152">
        <v>1.1283836511637211</v>
      </c>
      <c r="CA62" s="152">
        <v>1.1283836511637211</v>
      </c>
      <c r="CB62" s="152">
        <v>1.1283836511637211</v>
      </c>
      <c r="CC62" s="152">
        <v>1.1283836511637211</v>
      </c>
      <c r="CD62" s="152">
        <v>1.1283836511637211</v>
      </c>
      <c r="CE62" s="152">
        <v>1.1283836511637211</v>
      </c>
      <c r="CF62" s="152">
        <v>1.1358042746084601E-2</v>
      </c>
      <c r="CG62" s="152">
        <v>5.6671583739606853E-2</v>
      </c>
      <c r="CH62" s="152">
        <v>0.60878159440722279</v>
      </c>
      <c r="CI62" s="152">
        <v>0.60878159440722279</v>
      </c>
      <c r="CJ62" s="259" t="s">
        <v>812</v>
      </c>
      <c r="CK62" s="261" t="s">
        <v>828</v>
      </c>
      <c r="CL62" s="374">
        <v>1.006492955438826</v>
      </c>
      <c r="CM62" s="374">
        <v>1.006492955438826</v>
      </c>
      <c r="CN62" s="374">
        <v>1.006492955438826</v>
      </c>
      <c r="CO62" s="374">
        <v>1.006492955438826</v>
      </c>
      <c r="CP62" s="374">
        <v>0.86610102771625519</v>
      </c>
      <c r="CQ62" s="374">
        <v>0.86610102771625519</v>
      </c>
      <c r="CR62" s="374">
        <v>0.86610102771625519</v>
      </c>
      <c r="CS62" s="374">
        <v>0.86610102771625519</v>
      </c>
      <c r="CT62" s="374">
        <v>1.712502024360683</v>
      </c>
      <c r="CU62" s="374">
        <v>1.712502024360683</v>
      </c>
      <c r="CV62" s="374">
        <v>1.712502024360683</v>
      </c>
      <c r="CW62" s="374">
        <v>1.712502024360683</v>
      </c>
      <c r="CX62" s="374">
        <v>1.7448418825813099</v>
      </c>
      <c r="CY62" s="374">
        <v>1.7448418825813099</v>
      </c>
      <c r="CZ62" s="374">
        <v>1.7448418825813099</v>
      </c>
      <c r="DA62" s="374">
        <v>1.7448418825813099</v>
      </c>
      <c r="DB62" s="374">
        <v>1.7448418825813099</v>
      </c>
      <c r="DC62" s="374">
        <v>1.7448418825813099</v>
      </c>
      <c r="DD62" s="374">
        <v>0.10017528882114229</v>
      </c>
      <c r="DE62" s="374">
        <v>0.10017528882114229</v>
      </c>
      <c r="DF62" s="373">
        <v>0.10017528882114229</v>
      </c>
      <c r="DG62" s="373">
        <v>0.1509359320486714</v>
      </c>
      <c r="DH62" s="373">
        <v>0.12065070975191459</v>
      </c>
      <c r="DI62" s="373">
        <v>0.1509359320486714</v>
      </c>
      <c r="DJ62" s="308" t="s">
        <v>605</v>
      </c>
      <c r="DK62" s="308" t="s">
        <v>605</v>
      </c>
      <c r="DL62" s="309" t="s">
        <v>606</v>
      </c>
      <c r="DM62" s="309" t="s">
        <v>606</v>
      </c>
      <c r="DN62" s="272"/>
      <c r="DO62" s="272"/>
    </row>
    <row r="63" spans="1:119" ht="15" x14ac:dyDescent="0.3">
      <c r="A63" t="s">
        <v>772</v>
      </c>
      <c r="B63">
        <v>31</v>
      </c>
      <c r="C63" t="s">
        <v>656</v>
      </c>
      <c r="D63">
        <v>17</v>
      </c>
      <c r="E63" t="s">
        <v>564</v>
      </c>
      <c r="F63" t="s">
        <v>564</v>
      </c>
      <c r="G63">
        <v>0.8085</v>
      </c>
      <c r="H63" s="231">
        <v>0.85850000000000004</v>
      </c>
      <c r="BT63" s="372"/>
      <c r="BU63" s="259" t="s">
        <v>812</v>
      </c>
      <c r="BV63" s="260">
        <v>43001020109</v>
      </c>
      <c r="BW63" s="261" t="s">
        <v>829</v>
      </c>
      <c r="BX63" s="261" t="s">
        <v>830</v>
      </c>
      <c r="BY63" s="152">
        <v>1.111295471868476</v>
      </c>
      <c r="BZ63" s="152">
        <v>1.4163577575826509</v>
      </c>
      <c r="CA63" s="152">
        <v>1.4163577575826509</v>
      </c>
      <c r="CB63" s="152">
        <v>1.4163577575826509</v>
      </c>
      <c r="CC63" s="152">
        <v>1.4163577575826509</v>
      </c>
      <c r="CD63" s="152">
        <v>1.4163577575826509</v>
      </c>
      <c r="CE63" s="152">
        <v>1.4163577575826509</v>
      </c>
      <c r="CF63" s="152">
        <v>2.6488345471897198E-2</v>
      </c>
      <c r="CG63" s="152">
        <v>0.25462737560779031</v>
      </c>
      <c r="CH63" s="152">
        <v>0.80327516626622819</v>
      </c>
      <c r="CI63" s="152">
        <v>0.80327516626622819</v>
      </c>
      <c r="CJ63" s="259" t="s">
        <v>812</v>
      </c>
      <c r="CK63" s="261" t="s">
        <v>830</v>
      </c>
      <c r="CL63" s="374">
        <v>1.006492955438826</v>
      </c>
      <c r="CM63" s="374">
        <v>1.006492955438826</v>
      </c>
      <c r="CN63" s="374">
        <v>1.006492955438826</v>
      </c>
      <c r="CO63" s="374">
        <v>1.006492955438826</v>
      </c>
      <c r="CP63" s="374">
        <v>0.86610102771625519</v>
      </c>
      <c r="CQ63" s="374">
        <v>0.86610102771625519</v>
      </c>
      <c r="CR63" s="374">
        <v>0.86610102771625519</v>
      </c>
      <c r="CS63" s="374">
        <v>0.86610102771625519</v>
      </c>
      <c r="CT63" s="374">
        <v>0.86076516802431069</v>
      </c>
      <c r="CU63" s="374">
        <v>0.86076516802431069</v>
      </c>
      <c r="CV63" s="374">
        <v>0.86076516802431069</v>
      </c>
      <c r="CW63" s="374">
        <v>0.86076516802431069</v>
      </c>
      <c r="CX63" s="374">
        <v>3.1079100935083308</v>
      </c>
      <c r="CY63" s="374">
        <v>3.1079100935083308</v>
      </c>
      <c r="CZ63" s="374">
        <v>3.1079100935083308</v>
      </c>
      <c r="DA63" s="374">
        <v>3.1079100935083308</v>
      </c>
      <c r="DB63" s="374">
        <v>3.1079100935083308</v>
      </c>
      <c r="DC63" s="374">
        <v>3.1079100935083308</v>
      </c>
      <c r="DD63" s="374">
        <v>0.10017528882114229</v>
      </c>
      <c r="DE63" s="374">
        <v>0.10017528882114229</v>
      </c>
      <c r="DF63" s="373">
        <v>0.10017528882114229</v>
      </c>
      <c r="DG63" s="373">
        <v>0.6781582429270645</v>
      </c>
      <c r="DH63" s="373">
        <v>0.20546906961444469</v>
      </c>
      <c r="DI63" s="373">
        <v>0.6781582429270645</v>
      </c>
      <c r="DJ63" s="308" t="s">
        <v>605</v>
      </c>
      <c r="DK63" s="308" t="s">
        <v>605</v>
      </c>
      <c r="DL63" s="309" t="s">
        <v>606</v>
      </c>
      <c r="DM63" s="309" t="s">
        <v>606</v>
      </c>
      <c r="DN63" s="272"/>
      <c r="DO63" s="272"/>
    </row>
    <row r="64" spans="1:119" ht="15" x14ac:dyDescent="0.3">
      <c r="A64" t="s">
        <v>772</v>
      </c>
      <c r="B64">
        <v>32</v>
      </c>
      <c r="C64" t="s">
        <v>665</v>
      </c>
      <c r="D64">
        <v>17</v>
      </c>
      <c r="E64" t="s">
        <v>564</v>
      </c>
      <c r="F64" t="s">
        <v>564</v>
      </c>
      <c r="G64">
        <v>0.2989</v>
      </c>
      <c r="H64" s="231">
        <v>0.8841</v>
      </c>
      <c r="BT64" s="372"/>
      <c r="BU64" s="259" t="s">
        <v>812</v>
      </c>
      <c r="BV64" s="260">
        <v>43001020201</v>
      </c>
      <c r="BW64" s="261" t="s">
        <v>831</v>
      </c>
      <c r="BX64" s="261" t="s">
        <v>832</v>
      </c>
      <c r="BY64" s="152">
        <v>0.71753599607864782</v>
      </c>
      <c r="BZ64" s="152">
        <v>0.81730595591981037</v>
      </c>
      <c r="CA64" s="152">
        <v>0.81730595591981037</v>
      </c>
      <c r="CB64" s="152">
        <v>0.81730595591981037</v>
      </c>
      <c r="CC64" s="152">
        <v>0.81730595591981037</v>
      </c>
      <c r="CD64" s="152">
        <v>0.81730595591981037</v>
      </c>
      <c r="CE64" s="152">
        <v>0.81730595591981037</v>
      </c>
      <c r="CF64" s="152">
        <v>2.162355371136079E-2</v>
      </c>
      <c r="CG64" s="152">
        <v>0.12605325542356399</v>
      </c>
      <c r="CH64" s="152">
        <v>0.24641295292445489</v>
      </c>
      <c r="CI64" s="152">
        <v>0.24641295292445489</v>
      </c>
      <c r="CJ64" s="259" t="s">
        <v>812</v>
      </c>
      <c r="CK64" s="261" t="s">
        <v>832</v>
      </c>
      <c r="CL64" s="374">
        <v>1.006492955438826</v>
      </c>
      <c r="CM64" s="374">
        <v>1.006492955438826</v>
      </c>
      <c r="CN64" s="374">
        <v>1.006492955438826</v>
      </c>
      <c r="CO64" s="374">
        <v>1.006492955438826</v>
      </c>
      <c r="CP64" s="374">
        <v>0.86610102771625519</v>
      </c>
      <c r="CQ64" s="374">
        <v>0.86610102771625519</v>
      </c>
      <c r="CR64" s="374">
        <v>0.86610102771625519</v>
      </c>
      <c r="CS64" s="374">
        <v>0.86610102771625519</v>
      </c>
      <c r="CT64" s="374">
        <v>0.1988875741085358</v>
      </c>
      <c r="CU64" s="374">
        <v>0.1988875741085358</v>
      </c>
      <c r="CV64" s="374">
        <v>0.1988875741085358</v>
      </c>
      <c r="CW64" s="374">
        <v>0.1988875741085358</v>
      </c>
      <c r="CX64" s="374">
        <v>1.651375619019525</v>
      </c>
      <c r="CY64" s="374">
        <v>1.651375619019525</v>
      </c>
      <c r="CZ64" s="374">
        <v>1.651375619019525</v>
      </c>
      <c r="DA64" s="374">
        <v>1.651375619019525</v>
      </c>
      <c r="DB64" s="374">
        <v>1.651375619019525</v>
      </c>
      <c r="DC64" s="374">
        <v>1.651375619019525</v>
      </c>
      <c r="DD64" s="374">
        <v>0.10017528882114229</v>
      </c>
      <c r="DE64" s="374">
        <v>0.10017528882114229</v>
      </c>
      <c r="DF64" s="373">
        <v>0.10017528882114229</v>
      </c>
      <c r="DG64" s="373">
        <v>0.24824106327572959</v>
      </c>
      <c r="DH64" s="373">
        <v>5.0414231106424692E-2</v>
      </c>
      <c r="DI64" s="373">
        <v>0.24824106327572959</v>
      </c>
      <c r="DJ64" s="308" t="s">
        <v>605</v>
      </c>
      <c r="DK64" s="308" t="s">
        <v>605</v>
      </c>
      <c r="DL64" s="309" t="s">
        <v>606</v>
      </c>
      <c r="DM64" s="309" t="s">
        <v>606</v>
      </c>
      <c r="DN64" s="272"/>
      <c r="DO64" s="272"/>
    </row>
    <row r="65" spans="1:119" ht="15" x14ac:dyDescent="0.3">
      <c r="A65" t="s">
        <v>772</v>
      </c>
      <c r="B65">
        <v>33</v>
      </c>
      <c r="C65" t="s">
        <v>673</v>
      </c>
      <c r="D65">
        <v>17</v>
      </c>
      <c r="E65" t="s">
        <v>564</v>
      </c>
      <c r="F65" t="s">
        <v>564</v>
      </c>
      <c r="G65">
        <v>9.3299999999999994E-2</v>
      </c>
      <c r="H65" s="231">
        <v>0.88439999999999996</v>
      </c>
      <c r="BT65" s="372"/>
      <c r="BU65" s="259" t="s">
        <v>812</v>
      </c>
      <c r="BV65" s="260">
        <v>43001020202</v>
      </c>
      <c r="BW65" s="261" t="s">
        <v>833</v>
      </c>
      <c r="BX65" s="261" t="s">
        <v>834</v>
      </c>
      <c r="BY65" s="152">
        <v>1.1189590176300399</v>
      </c>
      <c r="BZ65" s="152">
        <v>1.440106263283254</v>
      </c>
      <c r="CA65" s="152">
        <v>1.440106263283254</v>
      </c>
      <c r="CB65" s="152">
        <v>1.440106263283254</v>
      </c>
      <c r="CC65" s="152">
        <v>1.440106263283254</v>
      </c>
      <c r="CD65" s="152">
        <v>1.440106263283254</v>
      </c>
      <c r="CE65" s="152">
        <v>1.440106263283254</v>
      </c>
      <c r="CF65" s="152">
        <v>2.162355371136079E-2</v>
      </c>
      <c r="CG65" s="152">
        <v>0.31001130556353118</v>
      </c>
      <c r="CH65" s="152">
        <v>0.60229320001572162</v>
      </c>
      <c r="CI65" s="152">
        <v>0.60229320001572162</v>
      </c>
      <c r="CJ65" s="259" t="s">
        <v>812</v>
      </c>
      <c r="CK65" s="261" t="s">
        <v>834</v>
      </c>
      <c r="CL65" s="374">
        <v>1.006492955438826</v>
      </c>
      <c r="CM65" s="374">
        <v>1.006492955438826</v>
      </c>
      <c r="CN65" s="374">
        <v>1.006492955438826</v>
      </c>
      <c r="CO65" s="374">
        <v>1.006492955438826</v>
      </c>
      <c r="CP65" s="374">
        <v>0.86610102771625519</v>
      </c>
      <c r="CQ65" s="374">
        <v>0.86610102771625519</v>
      </c>
      <c r="CR65" s="374">
        <v>0.86610102771625519</v>
      </c>
      <c r="CS65" s="374">
        <v>0.86610102771625519</v>
      </c>
      <c r="CT65" s="374">
        <v>1.664804101561346</v>
      </c>
      <c r="CU65" s="374">
        <v>1.664804101561346</v>
      </c>
      <c r="CV65" s="374">
        <v>1.664804101561346</v>
      </c>
      <c r="CW65" s="374">
        <v>1.664804101561346</v>
      </c>
      <c r="CX65" s="374">
        <v>3.0685533687719011</v>
      </c>
      <c r="CY65" s="374">
        <v>3.0685533687719011</v>
      </c>
      <c r="CZ65" s="374">
        <v>3.0685533687719011</v>
      </c>
      <c r="DA65" s="374">
        <v>3.0685533687719011</v>
      </c>
      <c r="DB65" s="374">
        <v>3.0685533687719011</v>
      </c>
      <c r="DC65" s="374">
        <v>3.0685533687719011</v>
      </c>
      <c r="DD65" s="374">
        <v>0.10017528882114229</v>
      </c>
      <c r="DE65" s="374">
        <v>0.10017528882114229</v>
      </c>
      <c r="DF65" s="373">
        <v>0.10017528882114229</v>
      </c>
      <c r="DG65" s="373">
        <v>0.32293950366423979</v>
      </c>
      <c r="DH65" s="373">
        <v>0.14084195475157821</v>
      </c>
      <c r="DI65" s="373">
        <v>0.32293950366423979</v>
      </c>
      <c r="DJ65" s="308" t="s">
        <v>605</v>
      </c>
      <c r="DK65" s="308" t="s">
        <v>605</v>
      </c>
      <c r="DL65" s="309" t="s">
        <v>606</v>
      </c>
      <c r="DM65" s="309" t="s">
        <v>606</v>
      </c>
      <c r="DN65" s="272"/>
      <c r="DO65" s="272"/>
    </row>
    <row r="66" spans="1:119" ht="15" x14ac:dyDescent="0.3">
      <c r="A66" t="s">
        <v>772</v>
      </c>
      <c r="B66">
        <v>34</v>
      </c>
      <c r="C66" t="s">
        <v>681</v>
      </c>
      <c r="D66">
        <v>17</v>
      </c>
      <c r="E66" t="s">
        <v>564</v>
      </c>
      <c r="F66" t="s">
        <v>564</v>
      </c>
      <c r="G66">
        <v>0.52880000000000005</v>
      </c>
      <c r="H66" s="231">
        <v>0.8841</v>
      </c>
      <c r="BT66" s="372"/>
      <c r="BU66" s="259" t="s">
        <v>812</v>
      </c>
      <c r="BV66" s="260">
        <v>43001020203</v>
      </c>
      <c r="BW66" s="261" t="s">
        <v>835</v>
      </c>
      <c r="BX66" s="261" t="s">
        <v>836</v>
      </c>
      <c r="BY66" s="152">
        <v>0.70643042974868619</v>
      </c>
      <c r="BZ66" s="152">
        <v>0.9391437697081505</v>
      </c>
      <c r="CA66" s="152">
        <v>0.9391437697081505</v>
      </c>
      <c r="CB66" s="152">
        <v>0.9391437697081505</v>
      </c>
      <c r="CC66" s="152">
        <v>0.9391437697081505</v>
      </c>
      <c r="CD66" s="152">
        <v>0.9391437697081505</v>
      </c>
      <c r="CE66" s="152">
        <v>0.9391437697081505</v>
      </c>
      <c r="CF66" s="152">
        <v>1.3842716337113569E-2</v>
      </c>
      <c r="CG66" s="152">
        <v>0.17871797498783379</v>
      </c>
      <c r="CH66" s="152">
        <v>0.49242036214716611</v>
      </c>
      <c r="CI66" s="152">
        <v>0.49242036214716611</v>
      </c>
      <c r="CJ66" s="259" t="s">
        <v>812</v>
      </c>
      <c r="CK66" s="261" t="s">
        <v>836</v>
      </c>
      <c r="CL66" s="374">
        <v>1.006492955438826</v>
      </c>
      <c r="CM66" s="374">
        <v>1.006492955438826</v>
      </c>
      <c r="CN66" s="374">
        <v>1.006492955438826</v>
      </c>
      <c r="CO66" s="374">
        <v>1.006492955438826</v>
      </c>
      <c r="CP66" s="374">
        <v>0.86610102771625519</v>
      </c>
      <c r="CQ66" s="374">
        <v>0.86610102771625519</v>
      </c>
      <c r="CR66" s="374">
        <v>0.86610102771625519</v>
      </c>
      <c r="CS66" s="374">
        <v>0.86610102771625519</v>
      </c>
      <c r="CT66" s="374">
        <v>1.09508732431511</v>
      </c>
      <c r="CU66" s="374">
        <v>1.09508732431511</v>
      </c>
      <c r="CV66" s="374">
        <v>1.09508732431511</v>
      </c>
      <c r="CW66" s="374">
        <v>1.09508732431511</v>
      </c>
      <c r="CX66" s="374">
        <v>2.1584431183729471</v>
      </c>
      <c r="CY66" s="374">
        <v>2.1584431183729471</v>
      </c>
      <c r="CZ66" s="374">
        <v>2.1584431183729471</v>
      </c>
      <c r="DA66" s="374">
        <v>2.1584431183729471</v>
      </c>
      <c r="DB66" s="374">
        <v>2.1584431183729471</v>
      </c>
      <c r="DC66" s="374">
        <v>2.1584431183729471</v>
      </c>
      <c r="DD66" s="374">
        <v>0.10017528882114229</v>
      </c>
      <c r="DE66" s="374">
        <v>0.10017528882114229</v>
      </c>
      <c r="DF66" s="373">
        <v>0.10017528882114229</v>
      </c>
      <c r="DG66" s="373">
        <v>0.47598305168698241</v>
      </c>
      <c r="DH66" s="373">
        <v>0.1246448145004988</v>
      </c>
      <c r="DI66" s="373">
        <v>0.47598305168698241</v>
      </c>
      <c r="DJ66" s="308" t="s">
        <v>605</v>
      </c>
      <c r="DK66" s="308" t="s">
        <v>605</v>
      </c>
      <c r="DL66" s="309" t="s">
        <v>606</v>
      </c>
      <c r="DM66" s="309" t="s">
        <v>606</v>
      </c>
      <c r="DN66" s="272"/>
      <c r="DO66" s="272"/>
    </row>
    <row r="67" spans="1:119" ht="15" x14ac:dyDescent="0.3">
      <c r="A67" t="s">
        <v>772</v>
      </c>
      <c r="B67">
        <v>35</v>
      </c>
      <c r="C67" t="s">
        <v>691</v>
      </c>
      <c r="D67">
        <v>17</v>
      </c>
      <c r="E67" t="s">
        <v>564</v>
      </c>
      <c r="F67" t="s">
        <v>564</v>
      </c>
      <c r="G67">
        <v>0.86219999999999997</v>
      </c>
      <c r="H67" s="231">
        <v>0.89439999999999997</v>
      </c>
      <c r="BT67" s="372"/>
      <c r="BU67" s="259" t="s">
        <v>812</v>
      </c>
      <c r="BV67" s="260">
        <v>43001020301</v>
      </c>
      <c r="BW67" s="261" t="s">
        <v>837</v>
      </c>
      <c r="BX67" s="261" t="s">
        <v>838</v>
      </c>
      <c r="BY67" s="152">
        <v>0.43227812311522451</v>
      </c>
      <c r="BZ67" s="152">
        <v>0.68899336673822276</v>
      </c>
      <c r="CA67" s="152">
        <v>0.68899336673822276</v>
      </c>
      <c r="CB67" s="152">
        <v>0.68899336673822276</v>
      </c>
      <c r="CC67" s="152">
        <v>0.68899336673822276</v>
      </c>
      <c r="CD67" s="152">
        <v>0.68899336673822276</v>
      </c>
      <c r="CE67" s="152">
        <v>0.68899336673822276</v>
      </c>
      <c r="CF67" s="152">
        <v>7.7878280454962076E-3</v>
      </c>
      <c r="CG67" s="152">
        <v>0.1295536923813593</v>
      </c>
      <c r="CH67" s="152">
        <v>0.38920526142494749</v>
      </c>
      <c r="CI67" s="152">
        <v>0.38920526142494749</v>
      </c>
      <c r="CJ67" s="259" t="s">
        <v>812</v>
      </c>
      <c r="CK67" s="261" t="s">
        <v>838</v>
      </c>
      <c r="CL67" s="374">
        <v>1.006492955438826</v>
      </c>
      <c r="CM67" s="374">
        <v>1.006492955438826</v>
      </c>
      <c r="CN67" s="374">
        <v>1.006492955438826</v>
      </c>
      <c r="CO67" s="374">
        <v>1.006492955438826</v>
      </c>
      <c r="CP67" s="374">
        <v>0.86610102771625519</v>
      </c>
      <c r="CQ67" s="374">
        <v>0.86610102771625519</v>
      </c>
      <c r="CR67" s="374">
        <v>0.86610102771625519</v>
      </c>
      <c r="CS67" s="374">
        <v>0.86610102771625519</v>
      </c>
      <c r="CT67" s="374">
        <v>0.83553485886646384</v>
      </c>
      <c r="CU67" s="374">
        <v>0.83553485886646384</v>
      </c>
      <c r="CV67" s="374">
        <v>0.83553485886646384</v>
      </c>
      <c r="CW67" s="374">
        <v>0.83553485886646384</v>
      </c>
      <c r="CX67" s="374">
        <v>2.821609387522876</v>
      </c>
      <c r="CY67" s="374">
        <v>2.821609387522876</v>
      </c>
      <c r="CZ67" s="374">
        <v>2.821609387522876</v>
      </c>
      <c r="DA67" s="374">
        <v>2.821609387522876</v>
      </c>
      <c r="DB67" s="374">
        <v>2.821609387522876</v>
      </c>
      <c r="DC67" s="374">
        <v>2.821609387522876</v>
      </c>
      <c r="DD67" s="374">
        <v>0.10017528882114229</v>
      </c>
      <c r="DE67" s="374">
        <v>0.10017528882114229</v>
      </c>
      <c r="DF67" s="373">
        <v>0.10017528882114229</v>
      </c>
      <c r="DG67" s="373">
        <v>0.3223094227699787</v>
      </c>
      <c r="DH67" s="373">
        <v>8.8410836228788106E-2</v>
      </c>
      <c r="DI67" s="373">
        <v>0.3223094227699787</v>
      </c>
      <c r="DJ67" s="308" t="s">
        <v>605</v>
      </c>
      <c r="DK67" s="308" t="s">
        <v>605</v>
      </c>
      <c r="DL67" s="309" t="s">
        <v>606</v>
      </c>
      <c r="DM67" s="309" t="s">
        <v>606</v>
      </c>
      <c r="DN67" s="272"/>
      <c r="DO67" s="272"/>
    </row>
    <row r="68" spans="1:119" ht="15" x14ac:dyDescent="0.3">
      <c r="A68" t="s">
        <v>839</v>
      </c>
      <c r="B68">
        <v>1</v>
      </c>
      <c r="C68" t="s">
        <v>563</v>
      </c>
      <c r="D68">
        <v>2</v>
      </c>
      <c r="E68" t="s">
        <v>564</v>
      </c>
      <c r="F68" t="s">
        <v>564</v>
      </c>
      <c r="G68">
        <v>0.28949999999999998</v>
      </c>
      <c r="H68" s="231">
        <v>0.28949999999999998</v>
      </c>
      <c r="BT68" s="372"/>
      <c r="BU68" s="259" t="s">
        <v>812</v>
      </c>
      <c r="BV68" s="260">
        <v>43001020302</v>
      </c>
      <c r="BW68" s="261" t="s">
        <v>840</v>
      </c>
      <c r="BX68" s="261" t="s">
        <v>841</v>
      </c>
      <c r="BY68" s="152">
        <v>0.37352662945704501</v>
      </c>
      <c r="BZ68" s="152">
        <v>0.48973146490904912</v>
      </c>
      <c r="CA68" s="152">
        <v>0.48973146490904912</v>
      </c>
      <c r="CB68" s="152">
        <v>0.48973146490904912</v>
      </c>
      <c r="CC68" s="152">
        <v>0.48973146490904912</v>
      </c>
      <c r="CD68" s="152">
        <v>0.48973146490904912</v>
      </c>
      <c r="CE68" s="152">
        <v>0.48973146490904912</v>
      </c>
      <c r="CF68" s="152">
        <v>8.297201722286502E-3</v>
      </c>
      <c r="CG68" s="152">
        <v>0.35112164863004169</v>
      </c>
      <c r="CH68" s="152">
        <v>0.22130136604131151</v>
      </c>
      <c r="CI68" s="152">
        <v>0.22130136604131151</v>
      </c>
      <c r="CJ68" s="259" t="s">
        <v>812</v>
      </c>
      <c r="CK68" s="261" t="s">
        <v>841</v>
      </c>
      <c r="CL68" s="374">
        <v>1.006492955438826</v>
      </c>
      <c r="CM68" s="374">
        <v>1.006492955438826</v>
      </c>
      <c r="CN68" s="374">
        <v>1.006492955438826</v>
      </c>
      <c r="CO68" s="374">
        <v>1.006492955438826</v>
      </c>
      <c r="CP68" s="374">
        <v>0.86610102771625519</v>
      </c>
      <c r="CQ68" s="374">
        <v>0.86610102771625519</v>
      </c>
      <c r="CR68" s="374">
        <v>0.86610102771625519</v>
      </c>
      <c r="CS68" s="374">
        <v>0.86610102771625519</v>
      </c>
      <c r="CT68" s="374">
        <v>1.01218690857881</v>
      </c>
      <c r="CU68" s="374">
        <v>1.01218690857881</v>
      </c>
      <c r="CV68" s="374">
        <v>1.01218690857881</v>
      </c>
      <c r="CW68" s="374">
        <v>1.01218690857881</v>
      </c>
      <c r="CX68" s="374">
        <v>2.2679078006234499</v>
      </c>
      <c r="CY68" s="374">
        <v>2.2679078006234499</v>
      </c>
      <c r="CZ68" s="374">
        <v>2.2679078006234499</v>
      </c>
      <c r="DA68" s="374">
        <v>2.2679078006234499</v>
      </c>
      <c r="DB68" s="374">
        <v>2.2679078006234499</v>
      </c>
      <c r="DC68" s="374">
        <v>2.2679078006234499</v>
      </c>
      <c r="DD68" s="374">
        <v>0.10017528882114229</v>
      </c>
      <c r="DE68" s="374">
        <v>0.10017528882114229</v>
      </c>
      <c r="DF68" s="373">
        <v>0.10017528882114229</v>
      </c>
      <c r="DG68" s="373">
        <v>0.242100501105348</v>
      </c>
      <c r="DH68" s="373">
        <v>5.75360201385769E-2</v>
      </c>
      <c r="DI68" s="373">
        <v>0.242100501105348</v>
      </c>
      <c r="DJ68" s="308" t="s">
        <v>605</v>
      </c>
      <c r="DK68" s="308" t="s">
        <v>605</v>
      </c>
      <c r="DL68" s="309" t="s">
        <v>606</v>
      </c>
      <c r="DM68" s="309" t="s">
        <v>606</v>
      </c>
      <c r="DN68" s="272"/>
      <c r="DO68" s="272"/>
    </row>
    <row r="69" spans="1:119" ht="15" x14ac:dyDescent="0.3">
      <c r="A69" t="s">
        <v>839</v>
      </c>
      <c r="B69">
        <v>2</v>
      </c>
      <c r="C69" t="s">
        <v>280</v>
      </c>
      <c r="D69">
        <v>2</v>
      </c>
      <c r="E69" t="s">
        <v>564</v>
      </c>
      <c r="F69" t="s">
        <v>564</v>
      </c>
      <c r="G69">
        <v>0.2888</v>
      </c>
      <c r="H69" s="231">
        <v>0.2888</v>
      </c>
      <c r="BT69" s="372"/>
      <c r="BU69" s="259" t="s">
        <v>812</v>
      </c>
      <c r="BV69" s="260">
        <v>43001020303</v>
      </c>
      <c r="BW69" s="261" t="s">
        <v>842</v>
      </c>
      <c r="BX69" s="261" t="s">
        <v>843</v>
      </c>
      <c r="BY69" s="152">
        <v>1.361131039986037</v>
      </c>
      <c r="BZ69" s="152">
        <v>2.1779398787696258</v>
      </c>
      <c r="CA69" s="152">
        <v>2.1779398787696258</v>
      </c>
      <c r="CB69" s="152">
        <v>2.1779398787696258</v>
      </c>
      <c r="CC69" s="152">
        <v>2.1779398787696258</v>
      </c>
      <c r="CD69" s="152">
        <v>2.1779398787696258</v>
      </c>
      <c r="CE69" s="152">
        <v>2.1779398787696258</v>
      </c>
      <c r="CF69" s="152">
        <v>2.8172809334878701E-2</v>
      </c>
      <c r="CG69" s="152">
        <v>0.12605325542356399</v>
      </c>
      <c r="CH69" s="152">
        <v>1.3252989938886059</v>
      </c>
      <c r="CI69" s="152">
        <v>1.3252989938886059</v>
      </c>
      <c r="CJ69" s="259" t="s">
        <v>812</v>
      </c>
      <c r="CK69" s="261" t="s">
        <v>843</v>
      </c>
      <c r="CL69" s="374">
        <v>1.006492955438826</v>
      </c>
      <c r="CM69" s="374">
        <v>1.006492955438826</v>
      </c>
      <c r="CN69" s="374">
        <v>1.006492955438826</v>
      </c>
      <c r="CO69" s="374">
        <v>1.006492955438826</v>
      </c>
      <c r="CP69" s="374">
        <v>0.86610102771625519</v>
      </c>
      <c r="CQ69" s="374">
        <v>0.86610102771625519</v>
      </c>
      <c r="CR69" s="374">
        <v>0.86610102771625519</v>
      </c>
      <c r="CS69" s="374">
        <v>0.86610102771625519</v>
      </c>
      <c r="CT69" s="374">
        <v>2.7118660220831332</v>
      </c>
      <c r="CU69" s="374">
        <v>2.7118660220831332</v>
      </c>
      <c r="CV69" s="374">
        <v>2.7118660220831332</v>
      </c>
      <c r="CW69" s="374">
        <v>2.7118660220831332</v>
      </c>
      <c r="CX69" s="374">
        <v>1.7402168198973049</v>
      </c>
      <c r="CY69" s="374">
        <v>1.7402168198973049</v>
      </c>
      <c r="CZ69" s="374">
        <v>1.7402168198973049</v>
      </c>
      <c r="DA69" s="374">
        <v>1.7402168198973049</v>
      </c>
      <c r="DB69" s="374">
        <v>1.7402168198973049</v>
      </c>
      <c r="DC69" s="374">
        <v>1.7402168198973049</v>
      </c>
      <c r="DD69" s="374">
        <v>0.10017528882114229</v>
      </c>
      <c r="DE69" s="374">
        <v>0.10017528882114229</v>
      </c>
      <c r="DF69" s="373">
        <v>0.10017528882114229</v>
      </c>
      <c r="DG69" s="373">
        <v>0.3373358621517622</v>
      </c>
      <c r="DH69" s="373">
        <v>0.14777044370874179</v>
      </c>
      <c r="DI69" s="373">
        <v>0.3373358621517622</v>
      </c>
      <c r="DJ69" s="308" t="s">
        <v>605</v>
      </c>
      <c r="DK69" s="308" t="s">
        <v>605</v>
      </c>
      <c r="DL69" s="309" t="s">
        <v>606</v>
      </c>
      <c r="DM69" s="309" t="s">
        <v>606</v>
      </c>
      <c r="DN69" s="272"/>
      <c r="DO69" s="272"/>
    </row>
    <row r="70" spans="1:119" ht="15" x14ac:dyDescent="0.3">
      <c r="A70" t="s">
        <v>839</v>
      </c>
      <c r="B70">
        <v>3</v>
      </c>
      <c r="C70" t="s">
        <v>607</v>
      </c>
      <c r="D70">
        <v>2</v>
      </c>
      <c r="E70" t="s">
        <v>564</v>
      </c>
      <c r="F70" t="s">
        <v>564</v>
      </c>
      <c r="G70">
        <v>0.94740000000000002</v>
      </c>
      <c r="H70" s="231">
        <v>0.94740000000000002</v>
      </c>
      <c r="BT70" s="372"/>
      <c r="BU70" s="259" t="s">
        <v>812</v>
      </c>
      <c r="BV70" s="260">
        <v>43001020304</v>
      </c>
      <c r="BW70" s="261" t="s">
        <v>844</v>
      </c>
      <c r="BX70" s="261" t="s">
        <v>845</v>
      </c>
      <c r="BY70" s="152">
        <v>0.48665274313683349</v>
      </c>
      <c r="BZ70" s="152">
        <v>0.60956683150026614</v>
      </c>
      <c r="CA70" s="152">
        <v>0.60956683150026614</v>
      </c>
      <c r="CB70" s="152">
        <v>0.60956683150026614</v>
      </c>
      <c r="CC70" s="152">
        <v>0.60956683150026614</v>
      </c>
      <c r="CD70" s="152">
        <v>0.60956683150026614</v>
      </c>
      <c r="CE70" s="152">
        <v>0.60956683150026614</v>
      </c>
      <c r="CF70" s="152">
        <v>3.072694126514838E-2</v>
      </c>
      <c r="CG70" s="152">
        <v>0.43915182158567079</v>
      </c>
      <c r="CH70" s="152">
        <v>0.41743365231630969</v>
      </c>
      <c r="CI70" s="152">
        <v>0.41743365231630969</v>
      </c>
      <c r="CJ70" s="259" t="s">
        <v>812</v>
      </c>
      <c r="CK70" s="261" t="s">
        <v>845</v>
      </c>
      <c r="CL70" s="374">
        <v>1.006492955438826</v>
      </c>
      <c r="CM70" s="374">
        <v>1.006492955438826</v>
      </c>
      <c r="CN70" s="374">
        <v>1.006492955438826</v>
      </c>
      <c r="CO70" s="374">
        <v>1.006492955438826</v>
      </c>
      <c r="CP70" s="374">
        <v>0.86610102771625519</v>
      </c>
      <c r="CQ70" s="374">
        <v>0.86610102771625519</v>
      </c>
      <c r="CR70" s="374">
        <v>0.86610102771625519</v>
      </c>
      <c r="CS70" s="374">
        <v>0.86610102771625519</v>
      </c>
      <c r="CT70" s="374">
        <v>1.01218690857881</v>
      </c>
      <c r="CU70" s="374">
        <v>1.01218690857881</v>
      </c>
      <c r="CV70" s="374">
        <v>1.01218690857881</v>
      </c>
      <c r="CW70" s="374">
        <v>1.01218690857881</v>
      </c>
      <c r="CX70" s="374">
        <v>1.7402168198973049</v>
      </c>
      <c r="CY70" s="374">
        <v>1.7402168198973049</v>
      </c>
      <c r="CZ70" s="374">
        <v>1.7402168198973049</v>
      </c>
      <c r="DA70" s="374">
        <v>1.7402168198973049</v>
      </c>
      <c r="DB70" s="374">
        <v>1.7402168198973049</v>
      </c>
      <c r="DC70" s="374">
        <v>1.7402168198973049</v>
      </c>
      <c r="DD70" s="374">
        <v>0.10017528882114229</v>
      </c>
      <c r="DE70" s="374">
        <v>0.10017528882114229</v>
      </c>
      <c r="DF70" s="373">
        <v>0.10017528882114229</v>
      </c>
      <c r="DG70" s="373">
        <v>0.33352953522600332</v>
      </c>
      <c r="DH70" s="373">
        <v>7.6090992536330199E-2</v>
      </c>
      <c r="DI70" s="373">
        <v>0.33352953522600332</v>
      </c>
      <c r="DJ70" s="308" t="s">
        <v>605</v>
      </c>
      <c r="DK70" s="308" t="s">
        <v>605</v>
      </c>
      <c r="DL70" s="309" t="s">
        <v>606</v>
      </c>
      <c r="DM70" s="309" t="s">
        <v>606</v>
      </c>
      <c r="DN70" s="272"/>
      <c r="DO70" s="272"/>
    </row>
    <row r="71" spans="1:119" ht="15" x14ac:dyDescent="0.3">
      <c r="A71" t="s">
        <v>839</v>
      </c>
      <c r="B71">
        <v>4</v>
      </c>
      <c r="C71" t="s">
        <v>621</v>
      </c>
      <c r="D71">
        <v>2</v>
      </c>
      <c r="E71" t="s">
        <v>564</v>
      </c>
      <c r="F71" t="s">
        <v>564</v>
      </c>
      <c r="G71">
        <v>0.37319999999999998</v>
      </c>
      <c r="H71" s="231">
        <v>0.37319999999999998</v>
      </c>
      <c r="BT71" s="372"/>
      <c r="BU71" s="259" t="s">
        <v>812</v>
      </c>
      <c r="BV71" s="260">
        <v>43001020305</v>
      </c>
      <c r="BW71" s="261" t="s">
        <v>846</v>
      </c>
      <c r="BX71" s="261" t="s">
        <v>847</v>
      </c>
      <c r="BY71" s="152">
        <v>0.85817432751525935</v>
      </c>
      <c r="BZ71" s="152">
        <v>1.388659643680126</v>
      </c>
      <c r="CA71" s="152">
        <v>1.388659643680126</v>
      </c>
      <c r="CB71" s="152">
        <v>1.388659643680126</v>
      </c>
      <c r="CC71" s="152">
        <v>1.388659643680126</v>
      </c>
      <c r="CD71" s="152">
        <v>1.388659643680126</v>
      </c>
      <c r="CE71" s="152">
        <v>1.388659643680126</v>
      </c>
      <c r="CF71" s="152">
        <v>7.8816953998443826E-3</v>
      </c>
      <c r="CG71" s="152">
        <v>0.30200210214427881</v>
      </c>
      <c r="CH71" s="152">
        <v>0.83915164051191715</v>
      </c>
      <c r="CI71" s="152">
        <v>0.83915164051191715</v>
      </c>
      <c r="CJ71" s="259" t="s">
        <v>812</v>
      </c>
      <c r="CK71" s="261" t="s">
        <v>847</v>
      </c>
      <c r="CL71" s="374">
        <v>1.006492955438826</v>
      </c>
      <c r="CM71" s="374">
        <v>1.006492955438826</v>
      </c>
      <c r="CN71" s="374">
        <v>1.006492955438826</v>
      </c>
      <c r="CO71" s="374">
        <v>1.006492955438826</v>
      </c>
      <c r="CP71" s="374">
        <v>0.86610102771625519</v>
      </c>
      <c r="CQ71" s="374">
        <v>0.86610102771625519</v>
      </c>
      <c r="CR71" s="374">
        <v>0.86610102771625519</v>
      </c>
      <c r="CS71" s="374">
        <v>0.86610102771625519</v>
      </c>
      <c r="CT71" s="374">
        <v>0.66284209190981069</v>
      </c>
      <c r="CU71" s="374">
        <v>0.66284209190981069</v>
      </c>
      <c r="CV71" s="374">
        <v>0.66284209190981069</v>
      </c>
      <c r="CW71" s="374">
        <v>0.66284209190981069</v>
      </c>
      <c r="CX71" s="374">
        <v>3.6062726619009231</v>
      </c>
      <c r="CY71" s="374">
        <v>3.6062726619009231</v>
      </c>
      <c r="CZ71" s="374">
        <v>3.6062726619009231</v>
      </c>
      <c r="DA71" s="374">
        <v>3.6062726619009231</v>
      </c>
      <c r="DB71" s="374">
        <v>3.6062726619009231</v>
      </c>
      <c r="DC71" s="374">
        <v>3.6062726619009231</v>
      </c>
      <c r="DD71" s="374">
        <v>0.10017528882114229</v>
      </c>
      <c r="DE71" s="374">
        <v>0.10017528882114229</v>
      </c>
      <c r="DF71" s="373">
        <v>0.10017528882114229</v>
      </c>
      <c r="DG71" s="373">
        <v>0.6801331723299332</v>
      </c>
      <c r="DH71" s="373">
        <v>0.23990941283967171</v>
      </c>
      <c r="DI71" s="373">
        <v>0.6801331723299332</v>
      </c>
      <c r="DJ71" s="308" t="s">
        <v>605</v>
      </c>
      <c r="DK71" s="308" t="s">
        <v>605</v>
      </c>
      <c r="DL71" s="309" t="s">
        <v>606</v>
      </c>
      <c r="DM71" s="309" t="s">
        <v>606</v>
      </c>
      <c r="DN71" s="272"/>
      <c r="DO71" s="272"/>
    </row>
    <row r="72" spans="1:119" ht="15" x14ac:dyDescent="0.3">
      <c r="A72" t="s">
        <v>839</v>
      </c>
      <c r="B72">
        <v>5</v>
      </c>
      <c r="C72" t="s">
        <v>631</v>
      </c>
      <c r="D72">
        <v>2</v>
      </c>
      <c r="E72" t="s">
        <v>564</v>
      </c>
      <c r="F72" t="s">
        <v>564</v>
      </c>
      <c r="G72">
        <v>0.50309999999999999</v>
      </c>
      <c r="H72" s="231">
        <v>0.50309999999999999</v>
      </c>
      <c r="BT72" s="372"/>
      <c r="BU72" s="259" t="s">
        <v>812</v>
      </c>
      <c r="BV72" s="260">
        <v>43001020306</v>
      </c>
      <c r="BW72" s="261" t="s">
        <v>848</v>
      </c>
      <c r="BX72" s="261" t="s">
        <v>849</v>
      </c>
      <c r="BY72" s="152">
        <v>0.69702154211996559</v>
      </c>
      <c r="BZ72" s="152">
        <v>0.86303236369282355</v>
      </c>
      <c r="CA72" s="152">
        <v>0.86303236369282355</v>
      </c>
      <c r="CB72" s="152">
        <v>0.86303236369282355</v>
      </c>
      <c r="CC72" s="152">
        <v>0.86303236369282355</v>
      </c>
      <c r="CD72" s="152">
        <v>0.86303236369282355</v>
      </c>
      <c r="CE72" s="152">
        <v>0.86303236369282355</v>
      </c>
      <c r="CF72" s="152">
        <v>1.362237214114932E-2</v>
      </c>
      <c r="CG72" s="152">
        <v>0.1784857888089256</v>
      </c>
      <c r="CH72" s="152">
        <v>0.49892527888195781</v>
      </c>
      <c r="CI72" s="152">
        <v>0.49892527888195781</v>
      </c>
      <c r="CJ72" s="259" t="s">
        <v>812</v>
      </c>
      <c r="CK72" s="261" t="s">
        <v>849</v>
      </c>
      <c r="CL72" s="374">
        <v>1.006492955438826</v>
      </c>
      <c r="CM72" s="374">
        <v>1.006492955438826</v>
      </c>
      <c r="CN72" s="374">
        <v>1.006492955438826</v>
      </c>
      <c r="CO72" s="374">
        <v>1.006492955438826</v>
      </c>
      <c r="CP72" s="374">
        <v>0.86610102771625519</v>
      </c>
      <c r="CQ72" s="374">
        <v>0.86610102771625519</v>
      </c>
      <c r="CR72" s="374">
        <v>0.86610102771625519</v>
      </c>
      <c r="CS72" s="374">
        <v>0.86610102771625519</v>
      </c>
      <c r="CT72" s="374">
        <v>0.66275914309201367</v>
      </c>
      <c r="CU72" s="374">
        <v>0.66275914309201367</v>
      </c>
      <c r="CV72" s="374">
        <v>0.66275914309201367</v>
      </c>
      <c r="CW72" s="374">
        <v>0.66275914309201367</v>
      </c>
      <c r="CX72" s="374">
        <v>2.733080180992332</v>
      </c>
      <c r="CY72" s="374">
        <v>2.733080180992332</v>
      </c>
      <c r="CZ72" s="374">
        <v>2.733080180992332</v>
      </c>
      <c r="DA72" s="374">
        <v>2.733080180992332</v>
      </c>
      <c r="DB72" s="374">
        <v>2.733080180992332</v>
      </c>
      <c r="DC72" s="374">
        <v>2.733080180992332</v>
      </c>
      <c r="DD72" s="374">
        <v>0.10017528882114229</v>
      </c>
      <c r="DE72" s="374">
        <v>0.10017528882114229</v>
      </c>
      <c r="DF72" s="373">
        <v>0.10017528882114229</v>
      </c>
      <c r="DG72" s="373">
        <v>0.43140719458349253</v>
      </c>
      <c r="DH72" s="373">
        <v>0.1512965733440097</v>
      </c>
      <c r="DI72" s="373">
        <v>0.43140719458349253</v>
      </c>
      <c r="DJ72" s="308" t="s">
        <v>605</v>
      </c>
      <c r="DK72" s="308" t="s">
        <v>605</v>
      </c>
      <c r="DL72" s="309" t="s">
        <v>606</v>
      </c>
      <c r="DM72" s="309" t="s">
        <v>606</v>
      </c>
      <c r="DN72" s="272"/>
      <c r="DO72" s="272"/>
    </row>
    <row r="73" spans="1:119" ht="15" x14ac:dyDescent="0.3">
      <c r="A73" t="s">
        <v>839</v>
      </c>
      <c r="B73">
        <v>6</v>
      </c>
      <c r="C73" t="s">
        <v>640</v>
      </c>
      <c r="D73">
        <v>3</v>
      </c>
      <c r="E73" t="s">
        <v>564</v>
      </c>
      <c r="F73" t="s">
        <v>564</v>
      </c>
      <c r="G73">
        <v>0.29010000000000002</v>
      </c>
      <c r="H73" s="231">
        <v>0.29010000000000002</v>
      </c>
      <c r="BT73" s="372"/>
      <c r="BU73" s="259" t="s">
        <v>812</v>
      </c>
      <c r="BV73" s="260">
        <v>43001020307</v>
      </c>
      <c r="BW73" s="261" t="s">
        <v>850</v>
      </c>
      <c r="BX73" s="261" t="s">
        <v>851</v>
      </c>
      <c r="BY73" s="152">
        <v>0.51663918995006919</v>
      </c>
      <c r="BZ73" s="152">
        <v>0.72673436817310155</v>
      </c>
      <c r="CA73" s="152">
        <v>0.72673436817310155</v>
      </c>
      <c r="CB73" s="152">
        <v>0.72673436817310155</v>
      </c>
      <c r="CC73" s="152">
        <v>0.72673436817310155</v>
      </c>
      <c r="CD73" s="152">
        <v>0.72673436817310155</v>
      </c>
      <c r="CE73" s="152">
        <v>0.72673436817310155</v>
      </c>
      <c r="CF73" s="152">
        <v>2.162355371136079E-2</v>
      </c>
      <c r="CG73" s="152">
        <v>0.46658656174260521</v>
      </c>
      <c r="CH73" s="152">
        <v>0.45226485707181102</v>
      </c>
      <c r="CI73" s="152">
        <v>0.45226485707181102</v>
      </c>
      <c r="CJ73" s="259" t="s">
        <v>812</v>
      </c>
      <c r="CK73" s="261" t="s">
        <v>851</v>
      </c>
      <c r="CL73" s="374">
        <v>1.006492955438826</v>
      </c>
      <c r="CM73" s="374">
        <v>1.006492955438826</v>
      </c>
      <c r="CN73" s="374">
        <v>1.006492955438826</v>
      </c>
      <c r="CO73" s="374">
        <v>1.006492955438826</v>
      </c>
      <c r="CP73" s="374">
        <v>0.86610102771625519</v>
      </c>
      <c r="CQ73" s="374">
        <v>0.86610102771625519</v>
      </c>
      <c r="CR73" s="374">
        <v>0.86610102771625519</v>
      </c>
      <c r="CS73" s="374">
        <v>0.86610102771625519</v>
      </c>
      <c r="CT73" s="374">
        <v>2.3268991616774728</v>
      </c>
      <c r="CU73" s="374">
        <v>2.3268991616774728</v>
      </c>
      <c r="CV73" s="374">
        <v>2.3268991616774728</v>
      </c>
      <c r="CW73" s="374">
        <v>2.3268991616774728</v>
      </c>
      <c r="CX73" s="374">
        <v>2.8117381465646591</v>
      </c>
      <c r="CY73" s="374">
        <v>2.8117381465646591</v>
      </c>
      <c r="CZ73" s="374">
        <v>2.8117381465646591</v>
      </c>
      <c r="DA73" s="374">
        <v>2.8117381465646591</v>
      </c>
      <c r="DB73" s="374">
        <v>2.8117381465646591</v>
      </c>
      <c r="DC73" s="374">
        <v>2.8117381465646591</v>
      </c>
      <c r="DD73" s="374">
        <v>0.10017528882114229</v>
      </c>
      <c r="DE73" s="374">
        <v>0.10017528882114229</v>
      </c>
      <c r="DF73" s="373">
        <v>0.10017528882114229</v>
      </c>
      <c r="DG73" s="373">
        <v>0.61675975993952592</v>
      </c>
      <c r="DH73" s="373">
        <v>0.1106915158040683</v>
      </c>
      <c r="DI73" s="373">
        <v>0.61675975993952592</v>
      </c>
      <c r="DJ73" s="308" t="s">
        <v>605</v>
      </c>
      <c r="DK73" s="308" t="s">
        <v>605</v>
      </c>
      <c r="DL73" s="309" t="s">
        <v>606</v>
      </c>
      <c r="DM73" s="309" t="s">
        <v>606</v>
      </c>
      <c r="DN73" s="272"/>
      <c r="DO73" s="272"/>
    </row>
    <row r="74" spans="1:119" ht="15" x14ac:dyDescent="0.3">
      <c r="A74" t="s">
        <v>839</v>
      </c>
      <c r="B74">
        <v>7</v>
      </c>
      <c r="C74" t="s">
        <v>649</v>
      </c>
      <c r="D74">
        <v>3</v>
      </c>
      <c r="E74" t="s">
        <v>564</v>
      </c>
      <c r="F74" t="s">
        <v>564</v>
      </c>
      <c r="G74">
        <v>0.36559999999999998</v>
      </c>
      <c r="H74" s="231">
        <v>0.36559999999999998</v>
      </c>
      <c r="BT74" s="372"/>
      <c r="BU74" s="259" t="s">
        <v>812</v>
      </c>
      <c r="BV74" s="260">
        <v>43001020401</v>
      </c>
      <c r="BW74" s="261" t="s">
        <v>852</v>
      </c>
      <c r="BX74" s="261" t="s">
        <v>853</v>
      </c>
      <c r="BY74" s="152">
        <v>0.52342456303468932</v>
      </c>
      <c r="BZ74" s="152">
        <v>0.69437009679995254</v>
      </c>
      <c r="CA74" s="152">
        <v>0.69437009679995254</v>
      </c>
      <c r="CB74" s="152">
        <v>0.69437009679995254</v>
      </c>
      <c r="CC74" s="152">
        <v>0.69437009679995254</v>
      </c>
      <c r="CD74" s="152">
        <v>0.69437009679995254</v>
      </c>
      <c r="CE74" s="152">
        <v>0.69437009679995254</v>
      </c>
      <c r="CF74" s="152">
        <v>6.1885539930664089E-3</v>
      </c>
      <c r="CG74" s="152">
        <v>0.10965296933287889</v>
      </c>
      <c r="CH74" s="152">
        <v>0.36551155505566502</v>
      </c>
      <c r="CI74" s="152">
        <v>0.36551155505566502</v>
      </c>
      <c r="CJ74" s="259" t="s">
        <v>812</v>
      </c>
      <c r="CK74" s="261" t="s">
        <v>853</v>
      </c>
      <c r="CL74" s="374">
        <v>1.006492955438826</v>
      </c>
      <c r="CM74" s="374">
        <v>1.006492955438826</v>
      </c>
      <c r="CN74" s="374">
        <v>1.006492955438826</v>
      </c>
      <c r="CO74" s="374">
        <v>1.006492955438826</v>
      </c>
      <c r="CP74" s="374">
        <v>0.86610102771625519</v>
      </c>
      <c r="CQ74" s="374">
        <v>0.86610102771625519</v>
      </c>
      <c r="CR74" s="374">
        <v>0.86610102771625519</v>
      </c>
      <c r="CS74" s="374">
        <v>0.86610102771625519</v>
      </c>
      <c r="CT74" s="374">
        <v>2.0017284232619978</v>
      </c>
      <c r="CU74" s="374">
        <v>2.0017284232619978</v>
      </c>
      <c r="CV74" s="374">
        <v>2.0017284232619978</v>
      </c>
      <c r="CW74" s="374">
        <v>2.0017284232619978</v>
      </c>
      <c r="CX74" s="374">
        <v>1.749789585263354</v>
      </c>
      <c r="CY74" s="374">
        <v>1.749789585263354</v>
      </c>
      <c r="CZ74" s="374">
        <v>1.749789585263354</v>
      </c>
      <c r="DA74" s="374">
        <v>1.749789585263354</v>
      </c>
      <c r="DB74" s="374">
        <v>1.749789585263354</v>
      </c>
      <c r="DC74" s="374">
        <v>1.749789585263354</v>
      </c>
      <c r="DD74" s="374">
        <v>0.10017528882114229</v>
      </c>
      <c r="DE74" s="374">
        <v>0.10017528882114229</v>
      </c>
      <c r="DF74" s="373">
        <v>0.10017528882114229</v>
      </c>
      <c r="DG74" s="373">
        <v>0.29204262405040382</v>
      </c>
      <c r="DH74" s="373">
        <v>0.10660779343472319</v>
      </c>
      <c r="DI74" s="373">
        <v>0.29204262405040382</v>
      </c>
      <c r="DJ74" s="308" t="s">
        <v>605</v>
      </c>
      <c r="DK74" s="308" t="s">
        <v>605</v>
      </c>
      <c r="DL74" s="309" t="s">
        <v>606</v>
      </c>
      <c r="DM74" s="309" t="s">
        <v>606</v>
      </c>
      <c r="DN74" s="272"/>
      <c r="DO74" s="272"/>
    </row>
    <row r="75" spans="1:119" ht="15" x14ac:dyDescent="0.3">
      <c r="A75" t="s">
        <v>839</v>
      </c>
      <c r="B75">
        <v>8</v>
      </c>
      <c r="C75" t="s">
        <v>655</v>
      </c>
      <c r="D75">
        <v>3</v>
      </c>
      <c r="E75" t="s">
        <v>564</v>
      </c>
      <c r="F75" t="s">
        <v>564</v>
      </c>
      <c r="G75">
        <v>0.29160000000000003</v>
      </c>
      <c r="H75" s="231">
        <v>0.29160000000000003</v>
      </c>
      <c r="BT75" s="372"/>
      <c r="BU75" s="259" t="s">
        <v>812</v>
      </c>
      <c r="BV75" s="260">
        <v>43001020402</v>
      </c>
      <c r="BW75" s="261" t="s">
        <v>854</v>
      </c>
      <c r="BX75" s="261" t="s">
        <v>855</v>
      </c>
      <c r="BY75" s="152">
        <v>0.43232257973031701</v>
      </c>
      <c r="BZ75" s="152">
        <v>0.60628439198841311</v>
      </c>
      <c r="CA75" s="152">
        <v>0.60628439198841311</v>
      </c>
      <c r="CB75" s="152">
        <v>0.60628439198841311</v>
      </c>
      <c r="CC75" s="152">
        <v>0.60628439198841311</v>
      </c>
      <c r="CD75" s="152">
        <v>0.60628439198841311</v>
      </c>
      <c r="CE75" s="152">
        <v>0.60628439198841311</v>
      </c>
      <c r="CF75" s="152">
        <v>6.5477570648584428E-3</v>
      </c>
      <c r="CG75" s="152">
        <v>0.1424327040291119</v>
      </c>
      <c r="CH75" s="152">
        <v>0.41067415844570709</v>
      </c>
      <c r="CI75" s="152">
        <v>0.41067415844570709</v>
      </c>
      <c r="CJ75" s="259" t="s">
        <v>812</v>
      </c>
      <c r="CK75" s="261" t="s">
        <v>855</v>
      </c>
      <c r="CL75" s="374">
        <v>1.006492955438826</v>
      </c>
      <c r="CM75" s="374">
        <v>1.006492955438826</v>
      </c>
      <c r="CN75" s="374">
        <v>1.006492955438826</v>
      </c>
      <c r="CO75" s="374">
        <v>1.006492955438826</v>
      </c>
      <c r="CP75" s="374">
        <v>0.86610102771625519</v>
      </c>
      <c r="CQ75" s="374">
        <v>0.86610102771625519</v>
      </c>
      <c r="CR75" s="374">
        <v>0.86610102771625519</v>
      </c>
      <c r="CS75" s="374">
        <v>0.86610102771625519</v>
      </c>
      <c r="CT75" s="374">
        <v>3.048615849401846</v>
      </c>
      <c r="CU75" s="374">
        <v>3.048615849401846</v>
      </c>
      <c r="CV75" s="374">
        <v>3.048615849401846</v>
      </c>
      <c r="CW75" s="374">
        <v>3.048615849401846</v>
      </c>
      <c r="CX75" s="374">
        <v>1.452220526064848</v>
      </c>
      <c r="CY75" s="374">
        <v>1.452220526064848</v>
      </c>
      <c r="CZ75" s="374">
        <v>1.452220526064848</v>
      </c>
      <c r="DA75" s="374">
        <v>1.452220526064848</v>
      </c>
      <c r="DB75" s="374">
        <v>1.452220526064848</v>
      </c>
      <c r="DC75" s="374">
        <v>1.452220526064848</v>
      </c>
      <c r="DD75" s="374">
        <v>0.10017528882114229</v>
      </c>
      <c r="DE75" s="374">
        <v>0.10017528882114229</v>
      </c>
      <c r="DF75" s="373">
        <v>0.10017528882114229</v>
      </c>
      <c r="DG75" s="373">
        <v>0.31612586337886911</v>
      </c>
      <c r="DH75" s="373">
        <v>0.1305143347857794</v>
      </c>
      <c r="DI75" s="373">
        <v>0.31612586337886911</v>
      </c>
      <c r="DJ75" s="308" t="s">
        <v>605</v>
      </c>
      <c r="DK75" s="308" t="s">
        <v>605</v>
      </c>
      <c r="DL75" s="309" t="s">
        <v>606</v>
      </c>
      <c r="DM75" s="309" t="s">
        <v>606</v>
      </c>
      <c r="DN75" s="272"/>
      <c r="DO75" s="272"/>
    </row>
    <row r="76" spans="1:119" ht="15" x14ac:dyDescent="0.3">
      <c r="A76" t="s">
        <v>839</v>
      </c>
      <c r="B76">
        <v>9</v>
      </c>
      <c r="C76" t="s">
        <v>664</v>
      </c>
      <c r="D76">
        <v>2</v>
      </c>
      <c r="E76" t="s">
        <v>564</v>
      </c>
      <c r="F76" t="s">
        <v>564</v>
      </c>
      <c r="G76">
        <v>0.34820000000000001</v>
      </c>
      <c r="H76" s="231">
        <v>0.34820000000000001</v>
      </c>
      <c r="BT76" s="372"/>
      <c r="BU76" s="259" t="s">
        <v>812</v>
      </c>
      <c r="BV76" s="260">
        <v>43001020501</v>
      </c>
      <c r="BW76" s="261" t="s">
        <v>773</v>
      </c>
      <c r="BX76" s="261" t="s">
        <v>856</v>
      </c>
      <c r="BY76" s="152">
        <v>0.31634479142995542</v>
      </c>
      <c r="BZ76" s="152">
        <v>0.518201558474643</v>
      </c>
      <c r="CA76" s="152">
        <v>0.518201558474643</v>
      </c>
      <c r="CB76" s="152">
        <v>0.518201558474643</v>
      </c>
      <c r="CC76" s="152">
        <v>0.518201558474643</v>
      </c>
      <c r="CD76" s="152">
        <v>0.518201558474643</v>
      </c>
      <c r="CE76" s="152">
        <v>0.518201558474643</v>
      </c>
      <c r="CF76" s="152">
        <v>2.162355371136079E-2</v>
      </c>
      <c r="CG76" s="152">
        <v>7.7546736659736534E-2</v>
      </c>
      <c r="CH76" s="152">
        <v>0.25849446666310077</v>
      </c>
      <c r="CI76" s="152">
        <v>0.25849446666310077</v>
      </c>
      <c r="CJ76" s="259" t="s">
        <v>812</v>
      </c>
      <c r="CK76" s="261" t="s">
        <v>856</v>
      </c>
      <c r="CL76" s="374">
        <v>1.006492955438826</v>
      </c>
      <c r="CM76" s="374">
        <v>1.006492955438826</v>
      </c>
      <c r="CN76" s="374">
        <v>1.006492955438826</v>
      </c>
      <c r="CO76" s="374">
        <v>1.006492955438826</v>
      </c>
      <c r="CP76" s="374">
        <v>0.86610102771625519</v>
      </c>
      <c r="CQ76" s="374">
        <v>0.86610102771625519</v>
      </c>
      <c r="CR76" s="374">
        <v>0.86610102771625519</v>
      </c>
      <c r="CS76" s="374">
        <v>0.86610102771625519</v>
      </c>
      <c r="CT76" s="374">
        <v>0.90777573639486986</v>
      </c>
      <c r="CU76" s="374">
        <v>0.90777573639486986</v>
      </c>
      <c r="CV76" s="374">
        <v>0.90777573639486986</v>
      </c>
      <c r="CW76" s="374">
        <v>0.90777573639486986</v>
      </c>
      <c r="CX76" s="374">
        <v>0.84615323214634097</v>
      </c>
      <c r="CY76" s="374">
        <v>0.84615323214634097</v>
      </c>
      <c r="CZ76" s="374">
        <v>0.84615323214634097</v>
      </c>
      <c r="DA76" s="374">
        <v>0.84615323214634097</v>
      </c>
      <c r="DB76" s="374">
        <v>0.84615323214634097</v>
      </c>
      <c r="DC76" s="374">
        <v>0.84615323214634097</v>
      </c>
      <c r="DD76" s="374">
        <v>0.10017528882114229</v>
      </c>
      <c r="DE76" s="374">
        <v>0.10017528882114229</v>
      </c>
      <c r="DF76" s="373">
        <v>0.10017528882114229</v>
      </c>
      <c r="DG76" s="373">
        <v>0.2065336095369579</v>
      </c>
      <c r="DH76" s="373">
        <v>8.7494339133113025E-2</v>
      </c>
      <c r="DI76" s="373">
        <v>0.2065336095369579</v>
      </c>
      <c r="DJ76" s="308" t="s">
        <v>605</v>
      </c>
      <c r="DK76" s="308" t="s">
        <v>605</v>
      </c>
      <c r="DL76" s="309" t="s">
        <v>606</v>
      </c>
      <c r="DM76" s="309" t="s">
        <v>606</v>
      </c>
      <c r="DN76" s="272"/>
      <c r="DO76" s="272"/>
    </row>
    <row r="77" spans="1:119" ht="15" x14ac:dyDescent="0.3">
      <c r="A77" t="s">
        <v>839</v>
      </c>
      <c r="B77">
        <v>10</v>
      </c>
      <c r="C77" t="s">
        <v>672</v>
      </c>
      <c r="D77">
        <v>5</v>
      </c>
      <c r="E77" t="s">
        <v>564</v>
      </c>
      <c r="F77" t="s">
        <v>564</v>
      </c>
      <c r="G77">
        <v>9.4600000000000004E-2</v>
      </c>
      <c r="H77" s="231">
        <v>9.4600000000000004E-2</v>
      </c>
      <c r="BT77" s="372"/>
      <c r="BU77" s="259" t="s">
        <v>812</v>
      </c>
      <c r="BV77" s="260">
        <v>43001020502</v>
      </c>
      <c r="BW77" s="261" t="s">
        <v>655</v>
      </c>
      <c r="BX77" s="261" t="s">
        <v>857</v>
      </c>
      <c r="BY77" s="152">
        <v>0.584876047561388</v>
      </c>
      <c r="BZ77" s="152">
        <v>0.78868094531982869</v>
      </c>
      <c r="CA77" s="152">
        <v>0.78868094531982869</v>
      </c>
      <c r="CB77" s="152">
        <v>0.78868094531982869</v>
      </c>
      <c r="CC77" s="152">
        <v>0.78868094531982869</v>
      </c>
      <c r="CD77" s="152">
        <v>0.78868094531982869</v>
      </c>
      <c r="CE77" s="152">
        <v>0.78868094531982869</v>
      </c>
      <c r="CF77" s="152">
        <v>1.3940593801175931E-2</v>
      </c>
      <c r="CG77" s="152">
        <v>0.44324206186074028</v>
      </c>
      <c r="CH77" s="152">
        <v>0.43585218707897078</v>
      </c>
      <c r="CI77" s="152">
        <v>0.43585218707897078</v>
      </c>
      <c r="CJ77" s="259" t="s">
        <v>812</v>
      </c>
      <c r="CK77" s="261" t="s">
        <v>857</v>
      </c>
      <c r="CL77" s="374">
        <v>1.006492955438826</v>
      </c>
      <c r="CM77" s="374">
        <v>1.006492955438826</v>
      </c>
      <c r="CN77" s="374">
        <v>1.006492955438826</v>
      </c>
      <c r="CO77" s="374">
        <v>1.006492955438826</v>
      </c>
      <c r="CP77" s="374">
        <v>0.86610102771625519</v>
      </c>
      <c r="CQ77" s="374">
        <v>0.86610102771625519</v>
      </c>
      <c r="CR77" s="374">
        <v>0.86610102771625519</v>
      </c>
      <c r="CS77" s="374">
        <v>0.86610102771625519</v>
      </c>
      <c r="CT77" s="374">
        <v>1.01218690857881</v>
      </c>
      <c r="CU77" s="374">
        <v>1.01218690857881</v>
      </c>
      <c r="CV77" s="374">
        <v>1.01218690857881</v>
      </c>
      <c r="CW77" s="374">
        <v>1.01218690857881</v>
      </c>
      <c r="CX77" s="374">
        <v>1.7402168198973049</v>
      </c>
      <c r="CY77" s="374">
        <v>1.7402168198973049</v>
      </c>
      <c r="CZ77" s="374">
        <v>1.7402168198973049</v>
      </c>
      <c r="DA77" s="374">
        <v>1.7402168198973049</v>
      </c>
      <c r="DB77" s="374">
        <v>1.7402168198973049</v>
      </c>
      <c r="DC77" s="374">
        <v>1.7402168198973049</v>
      </c>
      <c r="DD77" s="374">
        <v>0.10017528882114229</v>
      </c>
      <c r="DE77" s="374">
        <v>0.10017528882114229</v>
      </c>
      <c r="DF77" s="373">
        <v>0.10017528882114229</v>
      </c>
      <c r="DG77" s="373">
        <v>0.41375983854480691</v>
      </c>
      <c r="DH77" s="373">
        <v>9.9652585434448715E-2</v>
      </c>
      <c r="DI77" s="373">
        <v>0.41375983854480691</v>
      </c>
      <c r="DJ77" s="308" t="s">
        <v>605</v>
      </c>
      <c r="DK77" s="308" t="s">
        <v>605</v>
      </c>
      <c r="DL77" s="309" t="s">
        <v>606</v>
      </c>
      <c r="DM77" s="309" t="s">
        <v>606</v>
      </c>
      <c r="DN77" s="272"/>
      <c r="DO77" s="272"/>
    </row>
    <row r="78" spans="1:119" ht="15" x14ac:dyDescent="0.3">
      <c r="A78" t="s">
        <v>839</v>
      </c>
      <c r="B78">
        <v>11</v>
      </c>
      <c r="C78" t="s">
        <v>264</v>
      </c>
      <c r="D78">
        <v>8</v>
      </c>
      <c r="E78" t="s">
        <v>564</v>
      </c>
      <c r="F78" t="s">
        <v>564</v>
      </c>
      <c r="G78">
        <v>0.23050000000000001</v>
      </c>
      <c r="H78" s="231">
        <v>0.23050000000000001</v>
      </c>
      <c r="BT78" s="372"/>
      <c r="BU78" s="259" t="s">
        <v>812</v>
      </c>
      <c r="BV78" s="260">
        <v>43001080401</v>
      </c>
      <c r="BW78" s="261" t="s">
        <v>858</v>
      </c>
      <c r="BX78" s="261" t="s">
        <v>859</v>
      </c>
      <c r="BY78" s="152">
        <v>6.6369245299169655E-2</v>
      </c>
      <c r="BZ78" s="152">
        <v>0.1199257743547479</v>
      </c>
      <c r="CA78" s="152">
        <v>0.1199257743547479</v>
      </c>
      <c r="CB78" s="152">
        <v>0.1199257743547479</v>
      </c>
      <c r="CC78" s="152">
        <v>0.1199257743547479</v>
      </c>
      <c r="CD78" s="152">
        <v>0.1199257743547479</v>
      </c>
      <c r="CE78" s="152">
        <v>0.1199257743547479</v>
      </c>
      <c r="CF78" s="152">
        <v>2.162355371136079E-2</v>
      </c>
      <c r="CG78" s="152">
        <v>1.9216068813613121E-2</v>
      </c>
      <c r="CH78" s="152">
        <v>6.4054827154754343E-2</v>
      </c>
      <c r="CI78" s="152">
        <v>6.4054827154754343E-2</v>
      </c>
      <c r="CJ78" s="259" t="s">
        <v>812</v>
      </c>
      <c r="CK78" s="261" t="s">
        <v>859</v>
      </c>
      <c r="CL78" s="374">
        <v>1.006492955438826</v>
      </c>
      <c r="CM78" s="374">
        <v>1.006492955438826</v>
      </c>
      <c r="CN78" s="374">
        <v>1.006492955438826</v>
      </c>
      <c r="CO78" s="374">
        <v>1.006492955438826</v>
      </c>
      <c r="CP78" s="374">
        <v>0.86610102771625519</v>
      </c>
      <c r="CQ78" s="374">
        <v>0.86610102771625519</v>
      </c>
      <c r="CR78" s="374">
        <v>0.86610102771625519</v>
      </c>
      <c r="CS78" s="374">
        <v>0.86610102771625519</v>
      </c>
      <c r="CT78" s="374">
        <v>5.9754081775767208E-2</v>
      </c>
      <c r="CU78" s="374">
        <v>5.9754081775767208E-2</v>
      </c>
      <c r="CV78" s="374">
        <v>5.9754081775767208E-2</v>
      </c>
      <c r="CW78" s="374">
        <v>5.9754081775767208E-2</v>
      </c>
      <c r="CX78" s="374">
        <v>0.21684047124830211</v>
      </c>
      <c r="CY78" s="374">
        <v>0.21684047124830211</v>
      </c>
      <c r="CZ78" s="374">
        <v>0.21684047124830211</v>
      </c>
      <c r="DA78" s="374">
        <v>0.21684047124830211</v>
      </c>
      <c r="DB78" s="374">
        <v>0.21684047124830211</v>
      </c>
      <c r="DC78" s="374">
        <v>0.21684047124830211</v>
      </c>
      <c r="DD78" s="374">
        <v>0.10017528882114229</v>
      </c>
      <c r="DE78" s="374">
        <v>0.10017528882114229</v>
      </c>
      <c r="DF78" s="373">
        <v>0.10017528882114229</v>
      </c>
      <c r="DG78" s="373">
        <v>5.1172396576269708E-2</v>
      </c>
      <c r="DH78" s="373">
        <v>1.8682641599403249E-2</v>
      </c>
      <c r="DI78" s="373">
        <v>5.1172396576269708E-2</v>
      </c>
      <c r="DJ78" s="308" t="s">
        <v>605</v>
      </c>
      <c r="DK78" s="308" t="s">
        <v>605</v>
      </c>
      <c r="DL78" s="309" t="s">
        <v>606</v>
      </c>
      <c r="DM78" s="309" t="s">
        <v>606</v>
      </c>
      <c r="DN78" s="272"/>
      <c r="DO78" s="272"/>
    </row>
    <row r="79" spans="1:119" ht="15" x14ac:dyDescent="0.3">
      <c r="A79" t="s">
        <v>839</v>
      </c>
      <c r="B79">
        <v>12</v>
      </c>
      <c r="C79" t="s">
        <v>690</v>
      </c>
      <c r="D79">
        <v>5</v>
      </c>
      <c r="E79" t="s">
        <v>564</v>
      </c>
      <c r="F79" t="s">
        <v>564</v>
      </c>
      <c r="G79">
        <v>0.17199999999999999</v>
      </c>
      <c r="H79" s="231">
        <v>0.17199999999999999</v>
      </c>
      <c r="BT79" s="372"/>
      <c r="BU79" s="259" t="s">
        <v>812</v>
      </c>
      <c r="BV79" s="260">
        <v>43001080402</v>
      </c>
      <c r="BW79" s="261" t="s">
        <v>860</v>
      </c>
      <c r="BX79" s="261" t="s">
        <v>861</v>
      </c>
      <c r="BY79" s="152">
        <v>0.13687512173944599</v>
      </c>
      <c r="BZ79" s="152">
        <v>0.20682511495821421</v>
      </c>
      <c r="CA79" s="152">
        <v>0.20682511495821421</v>
      </c>
      <c r="CB79" s="152">
        <v>0.20682511495821421</v>
      </c>
      <c r="CC79" s="152">
        <v>0.20682511495821421</v>
      </c>
      <c r="CD79" s="152">
        <v>0.20682511495821421</v>
      </c>
      <c r="CE79" s="152">
        <v>0.20682511495821421</v>
      </c>
      <c r="CF79" s="152">
        <v>5.7456449437350877E-4</v>
      </c>
      <c r="CG79" s="152">
        <v>2.136215586563759E-2</v>
      </c>
      <c r="CH79" s="152">
        <v>7.120836632340731E-2</v>
      </c>
      <c r="CI79" s="152">
        <v>7.120836632340731E-2</v>
      </c>
      <c r="CJ79" s="259" t="s">
        <v>812</v>
      </c>
      <c r="CK79" s="261" t="s">
        <v>861</v>
      </c>
      <c r="CL79" s="374">
        <v>1.006492955438826</v>
      </c>
      <c r="CM79" s="374">
        <v>1.006492955438826</v>
      </c>
      <c r="CN79" s="374">
        <v>1.006492955438826</v>
      </c>
      <c r="CO79" s="374">
        <v>1.006492955438826</v>
      </c>
      <c r="CP79" s="374">
        <v>0.86610102771625519</v>
      </c>
      <c r="CQ79" s="374">
        <v>0.86610102771625519</v>
      </c>
      <c r="CR79" s="374">
        <v>0.86610102771625519</v>
      </c>
      <c r="CS79" s="374">
        <v>0.86610102771625519</v>
      </c>
      <c r="CT79" s="374">
        <v>0.17851443451941251</v>
      </c>
      <c r="CU79" s="374">
        <v>0.17851443451941251</v>
      </c>
      <c r="CV79" s="374">
        <v>0.17851443451941251</v>
      </c>
      <c r="CW79" s="374">
        <v>0.17851443451941251</v>
      </c>
      <c r="CX79" s="374">
        <v>0.26098263503857139</v>
      </c>
      <c r="CY79" s="374">
        <v>0.26098263503857139</v>
      </c>
      <c r="CZ79" s="374">
        <v>0.26098263503857139</v>
      </c>
      <c r="DA79" s="374">
        <v>0.26098263503857139</v>
      </c>
      <c r="DB79" s="374">
        <v>0.26098263503857139</v>
      </c>
      <c r="DC79" s="374">
        <v>0.26098263503857139</v>
      </c>
      <c r="DD79" s="374">
        <v>0.10017528882114229</v>
      </c>
      <c r="DE79" s="374">
        <v>0.10017528882114229</v>
      </c>
      <c r="DF79" s="373">
        <v>0.10017528882114229</v>
      </c>
      <c r="DG79" s="373">
        <v>5.6894645469623147E-2</v>
      </c>
      <c r="DH79" s="373">
        <v>2.449699010645244E-2</v>
      </c>
      <c r="DI79" s="373">
        <v>5.6894645469623147E-2</v>
      </c>
      <c r="DJ79" s="308" t="s">
        <v>605</v>
      </c>
      <c r="DK79" s="308" t="s">
        <v>605</v>
      </c>
      <c r="DL79" s="309" t="s">
        <v>606</v>
      </c>
      <c r="DM79" s="309" t="s">
        <v>606</v>
      </c>
      <c r="DN79" s="272"/>
      <c r="DO79" s="272"/>
    </row>
    <row r="80" spans="1:119" ht="15" x14ac:dyDescent="0.3">
      <c r="A80" t="s">
        <v>839</v>
      </c>
      <c r="B80">
        <v>13</v>
      </c>
      <c r="C80" t="s">
        <v>571</v>
      </c>
      <c r="D80">
        <v>5</v>
      </c>
      <c r="E80" t="s">
        <v>564</v>
      </c>
      <c r="F80" t="s">
        <v>564</v>
      </c>
      <c r="G80">
        <v>8.2299999999999998E-2</v>
      </c>
      <c r="H80" s="231">
        <v>8.2299999999999998E-2</v>
      </c>
      <c r="BT80" s="372"/>
      <c r="BU80" s="259" t="s">
        <v>812</v>
      </c>
      <c r="BV80" s="260">
        <v>43001080501</v>
      </c>
      <c r="BW80" s="261" t="s">
        <v>862</v>
      </c>
      <c r="BX80" s="261" t="s">
        <v>863</v>
      </c>
      <c r="BY80" s="152">
        <v>0.1985517395246047</v>
      </c>
      <c r="BZ80" s="152">
        <v>0.26863131799603579</v>
      </c>
      <c r="CA80" s="152">
        <v>0.26863131799603579</v>
      </c>
      <c r="CB80" s="152">
        <v>0.26863131799603579</v>
      </c>
      <c r="CC80" s="152">
        <v>0.26863131799603579</v>
      </c>
      <c r="CD80" s="152">
        <v>0.26863131799603579</v>
      </c>
      <c r="CE80" s="152">
        <v>0.26863131799603579</v>
      </c>
      <c r="CF80" s="152">
        <v>2.188829588631883E-3</v>
      </c>
      <c r="CG80" s="152">
        <v>5.6020196048515658E-2</v>
      </c>
      <c r="CH80" s="152">
        <v>0.14388909095265101</v>
      </c>
      <c r="CI80" s="152">
        <v>0.14388909095265101</v>
      </c>
      <c r="CJ80" s="259" t="s">
        <v>812</v>
      </c>
      <c r="CK80" s="261" t="s">
        <v>863</v>
      </c>
      <c r="CL80" s="374">
        <v>1.006492955438826</v>
      </c>
      <c r="CM80" s="374">
        <v>1.006492955438826</v>
      </c>
      <c r="CN80" s="374">
        <v>1.006492955438826</v>
      </c>
      <c r="CO80" s="374">
        <v>1.006492955438826</v>
      </c>
      <c r="CP80" s="374">
        <v>0.86610102771625519</v>
      </c>
      <c r="CQ80" s="374">
        <v>0.86610102771625519</v>
      </c>
      <c r="CR80" s="374">
        <v>0.86610102771625519</v>
      </c>
      <c r="CS80" s="374">
        <v>0.86610102771625519</v>
      </c>
      <c r="CT80" s="374">
        <v>0.1879323758225642</v>
      </c>
      <c r="CU80" s="374">
        <v>0.1879323758225642</v>
      </c>
      <c r="CV80" s="374">
        <v>0.1879323758225642</v>
      </c>
      <c r="CW80" s="374">
        <v>0.1879323758225642</v>
      </c>
      <c r="CX80" s="374">
        <v>0.56116140602974574</v>
      </c>
      <c r="CY80" s="374">
        <v>0.56116140602974574</v>
      </c>
      <c r="CZ80" s="374">
        <v>0.56116140602974574</v>
      </c>
      <c r="DA80" s="374">
        <v>0.56116140602974574</v>
      </c>
      <c r="DB80" s="374">
        <v>0.56116140602974574</v>
      </c>
      <c r="DC80" s="374">
        <v>0.56116140602974574</v>
      </c>
      <c r="DD80" s="374">
        <v>0.10017528882114229</v>
      </c>
      <c r="DE80" s="374">
        <v>0.10017528882114229</v>
      </c>
      <c r="DF80" s="373">
        <v>0.10017528882114229</v>
      </c>
      <c r="DG80" s="373">
        <v>0.12082752955081739</v>
      </c>
      <c r="DH80" s="373">
        <v>3.3406166763973441E-2</v>
      </c>
      <c r="DI80" s="373">
        <v>0.12082752955081739</v>
      </c>
      <c r="DJ80" s="308" t="s">
        <v>605</v>
      </c>
      <c r="DK80" s="308" t="s">
        <v>605</v>
      </c>
      <c r="DL80" s="309" t="s">
        <v>606</v>
      </c>
      <c r="DM80" s="309" t="s">
        <v>606</v>
      </c>
      <c r="DN80" s="272"/>
      <c r="DO80" s="272"/>
    </row>
    <row r="81" spans="1:119" ht="15" x14ac:dyDescent="0.3">
      <c r="A81" t="s">
        <v>839</v>
      </c>
      <c r="B81">
        <v>14</v>
      </c>
      <c r="C81" t="s">
        <v>697</v>
      </c>
      <c r="D81">
        <v>5</v>
      </c>
      <c r="E81" t="s">
        <v>564</v>
      </c>
      <c r="F81" t="s">
        <v>564</v>
      </c>
      <c r="G81">
        <v>6.4500000000000002E-2</v>
      </c>
      <c r="H81" s="231">
        <v>6.4500000000000002E-2</v>
      </c>
      <c r="BT81" s="372"/>
      <c r="BU81" s="259" t="s">
        <v>812</v>
      </c>
      <c r="BV81" s="260">
        <v>43001080502</v>
      </c>
      <c r="BW81" s="261" t="s">
        <v>864</v>
      </c>
      <c r="BX81" s="261" t="s">
        <v>865</v>
      </c>
      <c r="BY81" s="152">
        <v>0.20952227286409289</v>
      </c>
      <c r="BZ81" s="152">
        <v>0.27399594580170411</v>
      </c>
      <c r="CA81" s="152">
        <v>0.27399594580170411</v>
      </c>
      <c r="CB81" s="152">
        <v>0.27399594580170411</v>
      </c>
      <c r="CC81" s="152">
        <v>0.27399594580170411</v>
      </c>
      <c r="CD81" s="152">
        <v>0.27399594580170411</v>
      </c>
      <c r="CE81" s="152">
        <v>0.27399594580170411</v>
      </c>
      <c r="CF81" s="152">
        <v>2.162355371136079E-2</v>
      </c>
      <c r="CG81" s="152">
        <v>8.7851856769841946E-2</v>
      </c>
      <c r="CH81" s="152">
        <v>0.2247790368063334</v>
      </c>
      <c r="CI81" s="152">
        <v>0.2247790368063334</v>
      </c>
      <c r="CJ81" s="259" t="s">
        <v>812</v>
      </c>
      <c r="CK81" s="261" t="s">
        <v>865</v>
      </c>
      <c r="CL81" s="374">
        <v>1.006492955438826</v>
      </c>
      <c r="CM81" s="374">
        <v>1.006492955438826</v>
      </c>
      <c r="CN81" s="374">
        <v>1.006492955438826</v>
      </c>
      <c r="CO81" s="374">
        <v>1.006492955438826</v>
      </c>
      <c r="CP81" s="374">
        <v>0.86610102771625519</v>
      </c>
      <c r="CQ81" s="374">
        <v>0.86610102771625519</v>
      </c>
      <c r="CR81" s="374">
        <v>0.86610102771625519</v>
      </c>
      <c r="CS81" s="374">
        <v>0.86610102771625519</v>
      </c>
      <c r="CT81" s="374">
        <v>0.77972269839917563</v>
      </c>
      <c r="CU81" s="374">
        <v>0.77972269839917563</v>
      </c>
      <c r="CV81" s="374">
        <v>0.77972269839917563</v>
      </c>
      <c r="CW81" s="374">
        <v>0.77972269839917563</v>
      </c>
      <c r="CX81" s="374">
        <v>0.82692122069794372</v>
      </c>
      <c r="CY81" s="374">
        <v>0.82692122069794372</v>
      </c>
      <c r="CZ81" s="374">
        <v>0.82692122069794372</v>
      </c>
      <c r="DA81" s="374">
        <v>0.82692122069794372</v>
      </c>
      <c r="DB81" s="374">
        <v>0.82692122069794372</v>
      </c>
      <c r="DC81" s="374">
        <v>0.82692122069794372</v>
      </c>
      <c r="DD81" s="374">
        <v>0.10017528882114229</v>
      </c>
      <c r="DE81" s="374">
        <v>0.10017528882114229</v>
      </c>
      <c r="DF81" s="373">
        <v>0.10017528882114229</v>
      </c>
      <c r="DG81" s="373">
        <v>0.16927575145225901</v>
      </c>
      <c r="DH81" s="373">
        <v>5.0059413501071598E-2</v>
      </c>
      <c r="DI81" s="373">
        <v>0.16927575145225901</v>
      </c>
      <c r="DJ81" s="308" t="s">
        <v>605</v>
      </c>
      <c r="DK81" s="308" t="s">
        <v>605</v>
      </c>
      <c r="DL81" s="309" t="s">
        <v>606</v>
      </c>
      <c r="DM81" s="309" t="s">
        <v>606</v>
      </c>
      <c r="DN81" s="272"/>
      <c r="DO81" s="272"/>
    </row>
    <row r="82" spans="1:119" ht="15" x14ac:dyDescent="0.3">
      <c r="A82" t="s">
        <v>839</v>
      </c>
      <c r="B82">
        <v>17</v>
      </c>
      <c r="C82" t="s">
        <v>473</v>
      </c>
      <c r="D82">
        <v>7</v>
      </c>
      <c r="E82" t="s">
        <v>564</v>
      </c>
      <c r="F82" t="s">
        <v>564</v>
      </c>
      <c r="G82">
        <v>0.22800000000000001</v>
      </c>
      <c r="H82" s="231">
        <v>0.22800000000000001</v>
      </c>
      <c r="BT82" s="372"/>
      <c r="BU82" s="259" t="s">
        <v>866</v>
      </c>
      <c r="BV82" s="260">
        <v>43001010201</v>
      </c>
      <c r="BW82" s="261" t="s">
        <v>867</v>
      </c>
      <c r="BX82" s="261" t="s">
        <v>868</v>
      </c>
      <c r="BY82" s="152">
        <v>0.53716245447448419</v>
      </c>
      <c r="BZ82" s="152">
        <v>0.64781245344815663</v>
      </c>
      <c r="CA82" s="152">
        <v>0.64781245344815663</v>
      </c>
      <c r="CB82" s="152">
        <v>0.64781245344815663</v>
      </c>
      <c r="CC82" s="152">
        <v>0.64781245344815663</v>
      </c>
      <c r="CD82" s="152">
        <v>0.64781245344815663</v>
      </c>
      <c r="CE82" s="152">
        <v>0.64781245344815663</v>
      </c>
      <c r="CF82" s="152">
        <v>1.124796028677119E-2</v>
      </c>
      <c r="CG82" s="152">
        <v>0.24277019061862901</v>
      </c>
      <c r="CH82" s="152">
        <v>0.12027390116034049</v>
      </c>
      <c r="CI82" s="152">
        <v>0.12027390116034049</v>
      </c>
      <c r="CJ82" s="259" t="s">
        <v>866</v>
      </c>
      <c r="CK82" s="261" t="s">
        <v>868</v>
      </c>
      <c r="CL82" s="374">
        <v>1.02147546945046</v>
      </c>
      <c r="CM82" s="374">
        <v>1.02147546945046</v>
      </c>
      <c r="CN82" s="374">
        <v>1.02147546945046</v>
      </c>
      <c r="CO82" s="374">
        <v>1.02147546945046</v>
      </c>
      <c r="CP82" s="374">
        <v>0.91351380844110619</v>
      </c>
      <c r="CQ82" s="374">
        <v>0.91351380844110619</v>
      </c>
      <c r="CR82" s="374">
        <v>0.91351380844110619</v>
      </c>
      <c r="CS82" s="374">
        <v>0.91351380844110619</v>
      </c>
      <c r="CT82" s="374">
        <v>1.0901875613897221</v>
      </c>
      <c r="CU82" s="374">
        <v>1.0901875613897221</v>
      </c>
      <c r="CV82" s="374">
        <v>1.0901875613897221</v>
      </c>
      <c r="CW82" s="374">
        <v>1.0901875613897221</v>
      </c>
      <c r="CX82" s="374">
        <v>2.5779881598118601</v>
      </c>
      <c r="CY82" s="374">
        <v>2.5779881598118601</v>
      </c>
      <c r="CZ82" s="374">
        <v>2.5779881598118601</v>
      </c>
      <c r="DA82" s="374">
        <v>2.5779881598118601</v>
      </c>
      <c r="DB82" s="374">
        <v>2.5779881598118601</v>
      </c>
      <c r="DC82" s="374">
        <v>2.5779881598118601</v>
      </c>
      <c r="DD82" s="374">
        <v>1.834069401635837</v>
      </c>
      <c r="DE82" s="374">
        <v>1.834069401635837</v>
      </c>
      <c r="DF82" s="373">
        <v>1.834069401635837</v>
      </c>
      <c r="DG82" s="373">
        <v>0.34948164501598938</v>
      </c>
      <c r="DH82" s="373">
        <v>0.10771377656799069</v>
      </c>
      <c r="DI82" s="373">
        <v>0.34948164501598938</v>
      </c>
      <c r="DJ82" s="308" t="s">
        <v>605</v>
      </c>
      <c r="DK82" s="308" t="s">
        <v>605</v>
      </c>
      <c r="DL82" s="309" t="s">
        <v>606</v>
      </c>
      <c r="DM82" s="309" t="s">
        <v>606</v>
      </c>
      <c r="DN82" s="272"/>
      <c r="DO82" s="272"/>
    </row>
    <row r="83" spans="1:119" ht="15" x14ac:dyDescent="0.3">
      <c r="A83" t="s">
        <v>839</v>
      </c>
      <c r="B83">
        <v>18</v>
      </c>
      <c r="C83" t="s">
        <v>709</v>
      </c>
      <c r="D83">
        <v>5</v>
      </c>
      <c r="E83" t="s">
        <v>564</v>
      </c>
      <c r="F83" t="s">
        <v>564</v>
      </c>
      <c r="G83">
        <v>1.2E-2</v>
      </c>
      <c r="H83" s="231">
        <v>1.2E-2</v>
      </c>
      <c r="BT83" s="372"/>
      <c r="BU83" s="259" t="s">
        <v>866</v>
      </c>
      <c r="BV83" s="260">
        <v>43001010202</v>
      </c>
      <c r="BW83" s="261" t="s">
        <v>869</v>
      </c>
      <c r="BX83" s="261" t="s">
        <v>870</v>
      </c>
      <c r="BY83" s="152">
        <v>1.81903068873142</v>
      </c>
      <c r="BZ83" s="152">
        <v>2.060569495058203</v>
      </c>
      <c r="CA83" s="152">
        <v>2.060569495058203</v>
      </c>
      <c r="CB83" s="152">
        <v>2.060569495058203</v>
      </c>
      <c r="CC83" s="152">
        <v>2.060569495058203</v>
      </c>
      <c r="CD83" s="152">
        <v>2.060569495058203</v>
      </c>
      <c r="CE83" s="152">
        <v>2.060569495058203</v>
      </c>
      <c r="CF83" s="152">
        <v>2.293405595491969E-2</v>
      </c>
      <c r="CG83" s="152">
        <v>0.24277019061862901</v>
      </c>
      <c r="CH83" s="152">
        <v>0.77153781766047513</v>
      </c>
      <c r="CI83" s="152">
        <v>0.77153781766047513</v>
      </c>
      <c r="CJ83" s="259" t="s">
        <v>866</v>
      </c>
      <c r="CK83" s="261" t="s">
        <v>870</v>
      </c>
      <c r="CL83" s="374">
        <v>1.02147546945046</v>
      </c>
      <c r="CM83" s="374">
        <v>1.02147546945046</v>
      </c>
      <c r="CN83" s="374">
        <v>1.02147546945046</v>
      </c>
      <c r="CO83" s="374">
        <v>1.02147546945046</v>
      </c>
      <c r="CP83" s="374">
        <v>0.91351380844110619</v>
      </c>
      <c r="CQ83" s="374">
        <v>0.91351380844110619</v>
      </c>
      <c r="CR83" s="374">
        <v>0.91351380844110619</v>
      </c>
      <c r="CS83" s="374">
        <v>0.91351380844110619</v>
      </c>
      <c r="CT83" s="374">
        <v>0.77616581782910732</v>
      </c>
      <c r="CU83" s="374">
        <v>0.77616581782910732</v>
      </c>
      <c r="CV83" s="374">
        <v>0.77616581782910732</v>
      </c>
      <c r="CW83" s="374">
        <v>0.77616581782910732</v>
      </c>
      <c r="CX83" s="374">
        <v>2.383070027622245</v>
      </c>
      <c r="CY83" s="374">
        <v>2.383070027622245</v>
      </c>
      <c r="CZ83" s="374">
        <v>2.383070027622245</v>
      </c>
      <c r="DA83" s="374">
        <v>2.383070027622245</v>
      </c>
      <c r="DB83" s="374">
        <v>2.383070027622245</v>
      </c>
      <c r="DC83" s="374">
        <v>2.383070027622245</v>
      </c>
      <c r="DD83" s="374">
        <v>1.834069401635837</v>
      </c>
      <c r="DE83" s="374">
        <v>1.834069401635837</v>
      </c>
      <c r="DF83" s="373">
        <v>1.834069401635837</v>
      </c>
      <c r="DG83" s="373">
        <v>0.27848752856469611</v>
      </c>
      <c r="DH83" s="373">
        <v>0.1219905219834956</v>
      </c>
      <c r="DI83" s="373">
        <v>0.27848752856469611</v>
      </c>
      <c r="DJ83" s="308" t="s">
        <v>605</v>
      </c>
      <c r="DK83" s="308" t="s">
        <v>605</v>
      </c>
      <c r="DL83" s="309" t="s">
        <v>606</v>
      </c>
      <c r="DM83" s="309" t="s">
        <v>606</v>
      </c>
      <c r="DN83" s="272"/>
      <c r="DO83" s="272"/>
    </row>
    <row r="84" spans="1:119" ht="15" x14ac:dyDescent="0.3">
      <c r="A84" t="s">
        <v>839</v>
      </c>
      <c r="B84">
        <v>19</v>
      </c>
      <c r="C84" t="s">
        <v>714</v>
      </c>
      <c r="D84">
        <v>5</v>
      </c>
      <c r="E84" t="s">
        <v>564</v>
      </c>
      <c r="F84" t="s">
        <v>564</v>
      </c>
      <c r="G84">
        <v>0.29799999999999999</v>
      </c>
      <c r="H84" s="231">
        <v>0.29799999999999999</v>
      </c>
      <c r="BT84" s="372"/>
      <c r="BU84" s="259" t="s">
        <v>866</v>
      </c>
      <c r="BV84" s="260">
        <v>43001010203</v>
      </c>
      <c r="BW84" s="261" t="s">
        <v>871</v>
      </c>
      <c r="BX84" s="261" t="s">
        <v>872</v>
      </c>
      <c r="BY84" s="152">
        <v>0.77593239788048296</v>
      </c>
      <c r="BZ84" s="152">
        <v>1.1724080071502609</v>
      </c>
      <c r="CA84" s="152">
        <v>1.1724080071502609</v>
      </c>
      <c r="CB84" s="152">
        <v>1.1724080071502609</v>
      </c>
      <c r="CC84" s="152">
        <v>1.1724080071502609</v>
      </c>
      <c r="CD84" s="152">
        <v>1.1724080071502609</v>
      </c>
      <c r="CE84" s="152">
        <v>1.1724080071502609</v>
      </c>
      <c r="CF84" s="152">
        <v>1.124796028677119E-2</v>
      </c>
      <c r="CG84" s="152">
        <v>0.29850061708772618</v>
      </c>
      <c r="CH84" s="152">
        <v>0.61910573604592845</v>
      </c>
      <c r="CI84" s="152">
        <v>0.61910573604592845</v>
      </c>
      <c r="CJ84" s="259" t="s">
        <v>866</v>
      </c>
      <c r="CK84" s="261" t="s">
        <v>872</v>
      </c>
      <c r="CL84" s="374">
        <v>1.02147546945046</v>
      </c>
      <c r="CM84" s="374">
        <v>1.02147546945046</v>
      </c>
      <c r="CN84" s="374">
        <v>1.02147546945046</v>
      </c>
      <c r="CO84" s="374">
        <v>1.02147546945046</v>
      </c>
      <c r="CP84" s="374">
        <v>0.91351380844110619</v>
      </c>
      <c r="CQ84" s="374">
        <v>0.91351380844110619</v>
      </c>
      <c r="CR84" s="374">
        <v>0.91351380844110619</v>
      </c>
      <c r="CS84" s="374">
        <v>0.91351380844110619</v>
      </c>
      <c r="CT84" s="374">
        <v>0.65799413475197632</v>
      </c>
      <c r="CU84" s="374">
        <v>0.65799413475197632</v>
      </c>
      <c r="CV84" s="374">
        <v>0.65799413475197632</v>
      </c>
      <c r="CW84" s="374">
        <v>0.65799413475197632</v>
      </c>
      <c r="CX84" s="374">
        <v>2.199664804647262</v>
      </c>
      <c r="CY84" s="374">
        <v>2.199664804647262</v>
      </c>
      <c r="CZ84" s="374">
        <v>2.199664804647262</v>
      </c>
      <c r="DA84" s="374">
        <v>2.199664804647262</v>
      </c>
      <c r="DB84" s="374">
        <v>2.199664804647262</v>
      </c>
      <c r="DC84" s="374">
        <v>2.199664804647262</v>
      </c>
      <c r="DD84" s="374">
        <v>1.834069401635837</v>
      </c>
      <c r="DE84" s="374">
        <v>1.834069401635837</v>
      </c>
      <c r="DF84" s="373">
        <v>1.834069401635837</v>
      </c>
      <c r="DG84" s="373">
        <v>0.44576012040080792</v>
      </c>
      <c r="DH84" s="373">
        <v>0.14240211264612221</v>
      </c>
      <c r="DI84" s="373">
        <v>0.44576012040080792</v>
      </c>
      <c r="DJ84" s="308" t="s">
        <v>605</v>
      </c>
      <c r="DK84" s="308" t="s">
        <v>605</v>
      </c>
      <c r="DL84" s="309" t="s">
        <v>606</v>
      </c>
      <c r="DM84" s="309" t="s">
        <v>606</v>
      </c>
      <c r="DN84" s="272"/>
      <c r="DO84" s="272"/>
    </row>
    <row r="85" spans="1:119" ht="15" x14ac:dyDescent="0.3">
      <c r="A85" t="s">
        <v>839</v>
      </c>
      <c r="B85">
        <v>20</v>
      </c>
      <c r="C85" t="s">
        <v>720</v>
      </c>
      <c r="D85">
        <v>5</v>
      </c>
      <c r="E85" t="s">
        <v>564</v>
      </c>
      <c r="F85" t="s">
        <v>564</v>
      </c>
      <c r="G85">
        <v>0.17760000000000001</v>
      </c>
      <c r="H85" s="231">
        <v>0.17760000000000001</v>
      </c>
      <c r="BT85" s="372"/>
      <c r="BU85" s="259" t="s">
        <v>866</v>
      </c>
      <c r="BV85" s="260">
        <v>43001010204</v>
      </c>
      <c r="BW85" s="261" t="s">
        <v>873</v>
      </c>
      <c r="BX85" s="261" t="s">
        <v>874</v>
      </c>
      <c r="BY85" s="152">
        <v>0.16712248870617361</v>
      </c>
      <c r="BZ85" s="152">
        <v>0.18858360430012661</v>
      </c>
      <c r="CA85" s="152">
        <v>0.18858360430012661</v>
      </c>
      <c r="CB85" s="152">
        <v>0.18858360430012661</v>
      </c>
      <c r="CC85" s="152">
        <v>0.18858360430012661</v>
      </c>
      <c r="CD85" s="152">
        <v>0.18858360430012661</v>
      </c>
      <c r="CE85" s="152">
        <v>0.18858360430012661</v>
      </c>
      <c r="CF85" s="152">
        <v>1.124796028677119E-2</v>
      </c>
      <c r="CG85" s="152">
        <v>0.24277019061862901</v>
      </c>
      <c r="CH85" s="152">
        <v>6.1316849675585712E-2</v>
      </c>
      <c r="CI85" s="152">
        <v>6.1316849675585712E-2</v>
      </c>
      <c r="CJ85" s="259" t="s">
        <v>866</v>
      </c>
      <c r="CK85" s="261" t="s">
        <v>874</v>
      </c>
      <c r="CL85" s="374">
        <v>1.02147546945046</v>
      </c>
      <c r="CM85" s="374">
        <v>1.02147546945046</v>
      </c>
      <c r="CN85" s="374">
        <v>1.02147546945046</v>
      </c>
      <c r="CO85" s="374">
        <v>1.02147546945046</v>
      </c>
      <c r="CP85" s="374">
        <v>0.91351380844110619</v>
      </c>
      <c r="CQ85" s="374">
        <v>0.91351380844110619</v>
      </c>
      <c r="CR85" s="374">
        <v>0.91351380844110619</v>
      </c>
      <c r="CS85" s="374">
        <v>0.91351380844110619</v>
      </c>
      <c r="CT85" s="374">
        <v>0.21822784221518521</v>
      </c>
      <c r="CU85" s="374">
        <v>0.21822784221518521</v>
      </c>
      <c r="CV85" s="374">
        <v>0.21822784221518521</v>
      </c>
      <c r="CW85" s="374">
        <v>0.21822784221518521</v>
      </c>
      <c r="CX85" s="374">
        <v>0.30836786177284392</v>
      </c>
      <c r="CY85" s="374">
        <v>0.30836786177284392</v>
      </c>
      <c r="CZ85" s="374">
        <v>0.30836786177284392</v>
      </c>
      <c r="DA85" s="374">
        <v>0.30836786177284392</v>
      </c>
      <c r="DB85" s="374">
        <v>0.30836786177284392</v>
      </c>
      <c r="DC85" s="374">
        <v>0.30836786177284392</v>
      </c>
      <c r="DD85" s="374">
        <v>1.834069401635837</v>
      </c>
      <c r="DE85" s="374">
        <v>1.834069401635837</v>
      </c>
      <c r="DF85" s="373">
        <v>1.834069401635837</v>
      </c>
      <c r="DG85" s="373">
        <v>0.34948164501598938</v>
      </c>
      <c r="DH85" s="373">
        <v>0.10771377656799069</v>
      </c>
      <c r="DI85" s="373">
        <v>0.34948164501598938</v>
      </c>
      <c r="DJ85" s="308" t="s">
        <v>605</v>
      </c>
      <c r="DK85" s="308" t="s">
        <v>605</v>
      </c>
      <c r="DL85" s="309" t="s">
        <v>606</v>
      </c>
      <c r="DM85" s="309" t="s">
        <v>606</v>
      </c>
      <c r="DN85" s="272"/>
      <c r="DO85" s="272"/>
    </row>
    <row r="86" spans="1:119" ht="15" x14ac:dyDescent="0.3">
      <c r="A86" t="s">
        <v>839</v>
      </c>
      <c r="B86">
        <v>21</v>
      </c>
      <c r="C86" t="s">
        <v>726</v>
      </c>
      <c r="D86">
        <v>6</v>
      </c>
      <c r="E86" t="s">
        <v>564</v>
      </c>
      <c r="F86" t="s">
        <v>564</v>
      </c>
      <c r="G86">
        <v>0.41489999999999999</v>
      </c>
      <c r="H86" s="231">
        <v>0.41489999999999999</v>
      </c>
      <c r="BT86" s="372"/>
      <c r="BU86" s="259" t="s">
        <v>866</v>
      </c>
      <c r="BV86" s="260">
        <v>43001010205</v>
      </c>
      <c r="BW86" s="261" t="s">
        <v>563</v>
      </c>
      <c r="BX86" s="261" t="s">
        <v>875</v>
      </c>
      <c r="BY86" s="152">
        <v>0.57779968294636885</v>
      </c>
      <c r="BZ86" s="152">
        <v>0.82863843975240892</v>
      </c>
      <c r="CA86" s="152">
        <v>0.82863843975240892</v>
      </c>
      <c r="CB86" s="152">
        <v>0.82863843975240892</v>
      </c>
      <c r="CC86" s="152">
        <v>0.82863843975240892</v>
      </c>
      <c r="CD86" s="152">
        <v>0.82863843975240892</v>
      </c>
      <c r="CE86" s="152">
        <v>0.82863843975240892</v>
      </c>
      <c r="CF86" s="152">
        <v>2.379819833283092E-4</v>
      </c>
      <c r="CG86" s="152">
        <v>6.854923596673769E-2</v>
      </c>
      <c r="CH86" s="152">
        <v>0.22849819694180731</v>
      </c>
      <c r="CI86" s="152">
        <v>0.22849819694180731</v>
      </c>
      <c r="CJ86" s="259" t="s">
        <v>866</v>
      </c>
      <c r="CK86" s="261" t="s">
        <v>875</v>
      </c>
      <c r="CL86" s="374">
        <v>1.02147546945046</v>
      </c>
      <c r="CM86" s="374">
        <v>1.02147546945046</v>
      </c>
      <c r="CN86" s="374">
        <v>1.02147546945046</v>
      </c>
      <c r="CO86" s="374">
        <v>1.02147546945046</v>
      </c>
      <c r="CP86" s="374">
        <v>0.91351380844110619</v>
      </c>
      <c r="CQ86" s="374">
        <v>0.91351380844110619</v>
      </c>
      <c r="CR86" s="374">
        <v>0.91351380844110619</v>
      </c>
      <c r="CS86" s="374">
        <v>0.91351380844110619</v>
      </c>
      <c r="CT86" s="374">
        <v>0.77616581782910732</v>
      </c>
      <c r="CU86" s="374">
        <v>0.77616581782910732</v>
      </c>
      <c r="CV86" s="374">
        <v>0.77616581782910732</v>
      </c>
      <c r="CW86" s="374">
        <v>0.77616581782910732</v>
      </c>
      <c r="CX86" s="374">
        <v>0.60675062490278298</v>
      </c>
      <c r="CY86" s="374">
        <v>0.60675062490278298</v>
      </c>
      <c r="CZ86" s="374">
        <v>0.60675062490278298</v>
      </c>
      <c r="DA86" s="374">
        <v>0.60675062490278298</v>
      </c>
      <c r="DB86" s="374">
        <v>0.60675062490278298</v>
      </c>
      <c r="DC86" s="374">
        <v>0.60675062490278298</v>
      </c>
      <c r="DD86" s="374">
        <v>1.834069401635837</v>
      </c>
      <c r="DE86" s="374">
        <v>1.834069401635837</v>
      </c>
      <c r="DF86" s="373">
        <v>1.834069401635837</v>
      </c>
      <c r="DG86" s="373">
        <v>0.18257010657326281</v>
      </c>
      <c r="DH86" s="373">
        <v>7.9974264859543967E-2</v>
      </c>
      <c r="DI86" s="373">
        <v>0.18257010657326281</v>
      </c>
      <c r="DJ86" s="308" t="s">
        <v>605</v>
      </c>
      <c r="DK86" s="308" t="s">
        <v>605</v>
      </c>
      <c r="DL86" s="309" t="s">
        <v>606</v>
      </c>
      <c r="DM86" s="309" t="s">
        <v>606</v>
      </c>
      <c r="DN86" s="272"/>
      <c r="DO86" s="272"/>
    </row>
    <row r="87" spans="1:119" ht="15" x14ac:dyDescent="0.3">
      <c r="A87" t="s">
        <v>839</v>
      </c>
      <c r="B87">
        <v>22</v>
      </c>
      <c r="C87" t="s">
        <v>693</v>
      </c>
      <c r="D87">
        <v>6</v>
      </c>
      <c r="E87" t="s">
        <v>564</v>
      </c>
      <c r="F87" t="s">
        <v>564</v>
      </c>
      <c r="G87">
        <v>0.26079999999999998</v>
      </c>
      <c r="H87" s="231">
        <v>0.26079999999999998</v>
      </c>
      <c r="BT87" s="372"/>
      <c r="BU87" s="259" t="s">
        <v>866</v>
      </c>
      <c r="BV87" s="260">
        <v>43001010301</v>
      </c>
      <c r="BW87" s="261" t="s">
        <v>876</v>
      </c>
      <c r="BX87" s="261" t="s">
        <v>877</v>
      </c>
      <c r="BY87" s="152">
        <v>0.55526699914580147</v>
      </c>
      <c r="BZ87" s="152">
        <v>0.81664339941608188</v>
      </c>
      <c r="CA87" s="152">
        <v>0.81664339941608188</v>
      </c>
      <c r="CB87" s="152">
        <v>0.81664339941608188</v>
      </c>
      <c r="CC87" s="152">
        <v>0.81664339941608188</v>
      </c>
      <c r="CD87" s="152">
        <v>0.81664339941608188</v>
      </c>
      <c r="CE87" s="152">
        <v>0.81664339941608188</v>
      </c>
      <c r="CF87" s="152">
        <v>1.124796028677119E-2</v>
      </c>
      <c r="CG87" s="152">
        <v>3.1370004906770887E-2</v>
      </c>
      <c r="CH87" s="152">
        <v>0.2477291309099918</v>
      </c>
      <c r="CI87" s="152">
        <v>0.2477291309099918</v>
      </c>
      <c r="CJ87" s="259" t="s">
        <v>866</v>
      </c>
      <c r="CK87" s="261" t="s">
        <v>877</v>
      </c>
      <c r="CL87" s="374">
        <v>1.02147546945046</v>
      </c>
      <c r="CM87" s="374">
        <v>1.02147546945046</v>
      </c>
      <c r="CN87" s="374">
        <v>1.02147546945046</v>
      </c>
      <c r="CO87" s="374">
        <v>1.02147546945046</v>
      </c>
      <c r="CP87" s="374">
        <v>0.91351380844110619</v>
      </c>
      <c r="CQ87" s="374">
        <v>0.91351380844110619</v>
      </c>
      <c r="CR87" s="374">
        <v>0.91351380844110619</v>
      </c>
      <c r="CS87" s="374">
        <v>0.91351380844110619</v>
      </c>
      <c r="CT87" s="374">
        <v>1.4857088213437051</v>
      </c>
      <c r="CU87" s="374">
        <v>1.4857088213437051</v>
      </c>
      <c r="CV87" s="374">
        <v>1.4857088213437051</v>
      </c>
      <c r="CW87" s="374">
        <v>1.4857088213437051</v>
      </c>
      <c r="CX87" s="374">
        <v>1.453853152815662</v>
      </c>
      <c r="CY87" s="374">
        <v>1.453853152815662</v>
      </c>
      <c r="CZ87" s="374">
        <v>1.453853152815662</v>
      </c>
      <c r="DA87" s="374">
        <v>1.453853152815662</v>
      </c>
      <c r="DB87" s="374">
        <v>1.453853152815662</v>
      </c>
      <c r="DC87" s="374">
        <v>1.453853152815662</v>
      </c>
      <c r="DD87" s="374">
        <v>1.834069401635837</v>
      </c>
      <c r="DE87" s="374">
        <v>1.834069401635837</v>
      </c>
      <c r="DF87" s="373">
        <v>1.834069401635837</v>
      </c>
      <c r="DG87" s="373">
        <v>8.3549036289349038E-2</v>
      </c>
      <c r="DH87" s="373">
        <v>5.6596267218971048E-2</v>
      </c>
      <c r="DI87" s="373">
        <v>8.3549036289349038E-2</v>
      </c>
      <c r="DJ87" s="308" t="s">
        <v>605</v>
      </c>
      <c r="DK87" s="308" t="s">
        <v>605</v>
      </c>
      <c r="DL87" s="309" t="s">
        <v>606</v>
      </c>
      <c r="DM87" s="309" t="s">
        <v>606</v>
      </c>
      <c r="DN87" s="272"/>
      <c r="DO87" s="272"/>
    </row>
    <row r="88" spans="1:119" ht="15" x14ac:dyDescent="0.3">
      <c r="A88" t="s">
        <v>839</v>
      </c>
      <c r="B88">
        <v>23</v>
      </c>
      <c r="C88" t="s">
        <v>737</v>
      </c>
      <c r="D88">
        <v>5</v>
      </c>
      <c r="E88" t="s">
        <v>564</v>
      </c>
      <c r="F88" t="s">
        <v>564</v>
      </c>
      <c r="G88">
        <v>7.6899999999999996E-2</v>
      </c>
      <c r="H88" s="231">
        <v>7.6899999999999996E-2</v>
      </c>
      <c r="BT88" s="372"/>
      <c r="BU88" s="259" t="s">
        <v>866</v>
      </c>
      <c r="BV88" s="260">
        <v>43001010302</v>
      </c>
      <c r="BW88" s="261" t="s">
        <v>878</v>
      </c>
      <c r="BX88" s="261" t="s">
        <v>879</v>
      </c>
      <c r="BY88" s="152">
        <v>0.56048082778310448</v>
      </c>
      <c r="BZ88" s="152">
        <v>0.76937122985500528</v>
      </c>
      <c r="CA88" s="152">
        <v>0.76937122985500528</v>
      </c>
      <c r="CB88" s="152">
        <v>0.76937122985500528</v>
      </c>
      <c r="CC88" s="152">
        <v>0.76937122985500528</v>
      </c>
      <c r="CD88" s="152">
        <v>0.76937122985500528</v>
      </c>
      <c r="CE88" s="152">
        <v>0.76937122985500528</v>
      </c>
      <c r="CF88" s="152">
        <v>6.2807633010420376E-3</v>
      </c>
      <c r="CG88" s="152">
        <v>0.25044704429437092</v>
      </c>
      <c r="CH88" s="152">
        <v>0.42416164374548782</v>
      </c>
      <c r="CI88" s="152">
        <v>0.42416164374548782</v>
      </c>
      <c r="CJ88" s="259" t="s">
        <v>866</v>
      </c>
      <c r="CK88" s="261" t="s">
        <v>879</v>
      </c>
      <c r="CL88" s="374">
        <v>1.02147546945046</v>
      </c>
      <c r="CM88" s="374">
        <v>1.02147546945046</v>
      </c>
      <c r="CN88" s="374">
        <v>1.02147546945046</v>
      </c>
      <c r="CO88" s="374">
        <v>1.02147546945046</v>
      </c>
      <c r="CP88" s="374">
        <v>0.91351380844110619</v>
      </c>
      <c r="CQ88" s="374">
        <v>0.91351380844110619</v>
      </c>
      <c r="CR88" s="374">
        <v>0.91351380844110619</v>
      </c>
      <c r="CS88" s="374">
        <v>0.91351380844110619</v>
      </c>
      <c r="CT88" s="374">
        <v>0.32633503071898218</v>
      </c>
      <c r="CU88" s="374">
        <v>0.32633503071898218</v>
      </c>
      <c r="CV88" s="374">
        <v>0.32633503071898218</v>
      </c>
      <c r="CW88" s="374">
        <v>0.32633503071898218</v>
      </c>
      <c r="CX88" s="374">
        <v>0.77317044847397687</v>
      </c>
      <c r="CY88" s="374">
        <v>0.77317044847397687</v>
      </c>
      <c r="CZ88" s="374">
        <v>0.77317044847397687</v>
      </c>
      <c r="DA88" s="374">
        <v>0.77317044847397687</v>
      </c>
      <c r="DB88" s="374">
        <v>0.77317044847397687</v>
      </c>
      <c r="DC88" s="374">
        <v>0.77317044847397687</v>
      </c>
      <c r="DD88" s="374">
        <v>1.834069401635837</v>
      </c>
      <c r="DE88" s="374">
        <v>1.834069401635837</v>
      </c>
      <c r="DF88" s="373">
        <v>1.834069401635837</v>
      </c>
      <c r="DG88" s="373">
        <v>0.40557612597473708</v>
      </c>
      <c r="DH88" s="373">
        <v>0.1114832775443779</v>
      </c>
      <c r="DI88" s="373">
        <v>0.40557612597473708</v>
      </c>
      <c r="DJ88" s="308" t="s">
        <v>605</v>
      </c>
      <c r="DK88" s="308" t="s">
        <v>605</v>
      </c>
      <c r="DL88" s="309" t="s">
        <v>606</v>
      </c>
      <c r="DM88" s="309" t="s">
        <v>606</v>
      </c>
      <c r="DN88" s="272"/>
      <c r="DO88" s="272"/>
    </row>
    <row r="89" spans="1:119" ht="15" x14ac:dyDescent="0.3">
      <c r="A89" t="s">
        <v>839</v>
      </c>
      <c r="B89">
        <v>24</v>
      </c>
      <c r="C89" t="s">
        <v>565</v>
      </c>
      <c r="D89">
        <v>17</v>
      </c>
      <c r="E89" t="s">
        <v>564</v>
      </c>
      <c r="F89" t="s">
        <v>564</v>
      </c>
      <c r="G89">
        <v>0.24260000000000001</v>
      </c>
      <c r="H89" s="231">
        <v>0.2676</v>
      </c>
      <c r="BT89" s="372"/>
      <c r="BU89" s="259" t="s">
        <v>866</v>
      </c>
      <c r="BV89" s="260">
        <v>43001010303</v>
      </c>
      <c r="BW89" s="261" t="s">
        <v>880</v>
      </c>
      <c r="BX89" s="261" t="s">
        <v>881</v>
      </c>
      <c r="BY89" s="152">
        <v>0.28838324501244628</v>
      </c>
      <c r="BZ89" s="152">
        <v>0.41056747752659201</v>
      </c>
      <c r="CA89" s="152">
        <v>0.41056747752659201</v>
      </c>
      <c r="CB89" s="152">
        <v>0.41056747752659201</v>
      </c>
      <c r="CC89" s="152">
        <v>0.41056747752659201</v>
      </c>
      <c r="CD89" s="152">
        <v>0.41056747752659201</v>
      </c>
      <c r="CE89" s="152">
        <v>0.41056747752659201</v>
      </c>
      <c r="CF89" s="152">
        <v>5.1020413166883716E-3</v>
      </c>
      <c r="CG89" s="152">
        <v>2.4646415018793701E-2</v>
      </c>
      <c r="CH89" s="152">
        <v>0.20226306386518381</v>
      </c>
      <c r="CI89" s="152">
        <v>0.20226306386518381</v>
      </c>
      <c r="CJ89" s="259" t="s">
        <v>866</v>
      </c>
      <c r="CK89" s="261" t="s">
        <v>881</v>
      </c>
      <c r="CL89" s="374">
        <v>1.02147546945046</v>
      </c>
      <c r="CM89" s="374">
        <v>1.02147546945046</v>
      </c>
      <c r="CN89" s="374">
        <v>1.02147546945046</v>
      </c>
      <c r="CO89" s="374">
        <v>1.02147546945046</v>
      </c>
      <c r="CP89" s="374">
        <v>0.91351380844110619</v>
      </c>
      <c r="CQ89" s="374">
        <v>0.91351380844110619</v>
      </c>
      <c r="CR89" s="374">
        <v>0.91351380844110619</v>
      </c>
      <c r="CS89" s="374">
        <v>0.91351380844110619</v>
      </c>
      <c r="CT89" s="374">
        <v>0.56437767589864341</v>
      </c>
      <c r="CU89" s="374">
        <v>0.56437767589864341</v>
      </c>
      <c r="CV89" s="374">
        <v>0.56437767589864341</v>
      </c>
      <c r="CW89" s="374">
        <v>0.56437767589864341</v>
      </c>
      <c r="CX89" s="374">
        <v>1.172208229158848</v>
      </c>
      <c r="CY89" s="374">
        <v>1.172208229158848</v>
      </c>
      <c r="CZ89" s="374">
        <v>1.172208229158848</v>
      </c>
      <c r="DA89" s="374">
        <v>1.172208229158848</v>
      </c>
      <c r="DB89" s="374">
        <v>1.172208229158848</v>
      </c>
      <c r="DC89" s="374">
        <v>1.172208229158848</v>
      </c>
      <c r="DD89" s="374">
        <v>1.834069401635837</v>
      </c>
      <c r="DE89" s="374">
        <v>1.834069401635837</v>
      </c>
      <c r="DF89" s="373">
        <v>1.834069401635837</v>
      </c>
      <c r="DG89" s="373">
        <v>6.5641579720583154E-2</v>
      </c>
      <c r="DH89" s="373">
        <v>4.6047969153932361E-2</v>
      </c>
      <c r="DI89" s="373">
        <v>6.5641579720583154E-2</v>
      </c>
      <c r="DJ89" s="308" t="s">
        <v>605</v>
      </c>
      <c r="DK89" s="308" t="s">
        <v>605</v>
      </c>
      <c r="DL89" s="309" t="s">
        <v>606</v>
      </c>
      <c r="DM89" s="309" t="s">
        <v>606</v>
      </c>
      <c r="DN89" s="272"/>
      <c r="DO89" s="272"/>
    </row>
    <row r="90" spans="1:119" ht="15" x14ac:dyDescent="0.3">
      <c r="A90" t="s">
        <v>839</v>
      </c>
      <c r="B90">
        <v>25</v>
      </c>
      <c r="C90" t="s">
        <v>590</v>
      </c>
      <c r="D90">
        <v>17</v>
      </c>
      <c r="E90" t="s">
        <v>564</v>
      </c>
      <c r="F90" t="s">
        <v>564</v>
      </c>
      <c r="G90">
        <v>0.26740000000000003</v>
      </c>
      <c r="H90" s="231">
        <v>0.2676</v>
      </c>
      <c r="BT90" s="372"/>
      <c r="BU90" s="259" t="s">
        <v>866</v>
      </c>
      <c r="BV90" s="260">
        <v>43001010304</v>
      </c>
      <c r="BW90" s="261" t="s">
        <v>882</v>
      </c>
      <c r="BX90" s="261" t="s">
        <v>883</v>
      </c>
      <c r="BY90" s="152">
        <v>1.2053540624616941</v>
      </c>
      <c r="BZ90" s="152">
        <v>1.741753230171541</v>
      </c>
      <c r="CA90" s="152">
        <v>1.741753230171541</v>
      </c>
      <c r="CB90" s="152">
        <v>1.741753230171541</v>
      </c>
      <c r="CC90" s="152">
        <v>1.741753230171541</v>
      </c>
      <c r="CD90" s="152">
        <v>1.741753230171541</v>
      </c>
      <c r="CE90" s="152">
        <v>1.741753230171541</v>
      </c>
      <c r="CF90" s="152">
        <v>1.124796028677119E-2</v>
      </c>
      <c r="CG90" s="152">
        <v>0.33761162371158149</v>
      </c>
      <c r="CH90" s="152">
        <v>1.021720711794972</v>
      </c>
      <c r="CI90" s="152">
        <v>1.021720711794972</v>
      </c>
      <c r="CJ90" s="259" t="s">
        <v>866</v>
      </c>
      <c r="CK90" s="261" t="s">
        <v>883</v>
      </c>
      <c r="CL90" s="374">
        <v>1.02147546945046</v>
      </c>
      <c r="CM90" s="374">
        <v>1.02147546945046</v>
      </c>
      <c r="CN90" s="374">
        <v>1.02147546945046</v>
      </c>
      <c r="CO90" s="374">
        <v>1.02147546945046</v>
      </c>
      <c r="CP90" s="374">
        <v>0.91351380844110619</v>
      </c>
      <c r="CQ90" s="374">
        <v>0.91351380844110619</v>
      </c>
      <c r="CR90" s="374">
        <v>0.91351380844110619</v>
      </c>
      <c r="CS90" s="374">
        <v>0.91351380844110619</v>
      </c>
      <c r="CT90" s="374">
        <v>1.991997216631807</v>
      </c>
      <c r="CU90" s="374">
        <v>1.991997216631807</v>
      </c>
      <c r="CV90" s="374">
        <v>1.991997216631807</v>
      </c>
      <c r="CW90" s="374">
        <v>1.991997216631807</v>
      </c>
      <c r="CX90" s="374">
        <v>2.2062306770566842</v>
      </c>
      <c r="CY90" s="374">
        <v>2.2062306770566842</v>
      </c>
      <c r="CZ90" s="374">
        <v>2.2062306770566842</v>
      </c>
      <c r="DA90" s="374">
        <v>2.2062306770566842</v>
      </c>
      <c r="DB90" s="374">
        <v>2.2062306770566842</v>
      </c>
      <c r="DC90" s="374">
        <v>2.2062306770566842</v>
      </c>
      <c r="DD90" s="374">
        <v>1.834069401635837</v>
      </c>
      <c r="DE90" s="374">
        <v>1.834069401635837</v>
      </c>
      <c r="DF90" s="373">
        <v>1.834069401635837</v>
      </c>
      <c r="DG90" s="373">
        <v>0.8374509205613393</v>
      </c>
      <c r="DH90" s="373">
        <v>0.25231652832798079</v>
      </c>
      <c r="DI90" s="373">
        <v>0.8374509205613393</v>
      </c>
      <c r="DJ90" s="308" t="s">
        <v>605</v>
      </c>
      <c r="DK90" s="308" t="s">
        <v>605</v>
      </c>
      <c r="DL90" s="309" t="s">
        <v>606</v>
      </c>
      <c r="DM90" s="309" t="s">
        <v>606</v>
      </c>
      <c r="DN90" s="272"/>
      <c r="DO90" s="272"/>
    </row>
    <row r="91" spans="1:119" ht="15" x14ac:dyDescent="0.3">
      <c r="A91" t="s">
        <v>839</v>
      </c>
      <c r="B91">
        <v>26</v>
      </c>
      <c r="C91" t="s">
        <v>608</v>
      </c>
      <c r="D91">
        <v>17</v>
      </c>
      <c r="E91" t="s">
        <v>564</v>
      </c>
      <c r="F91" t="s">
        <v>564</v>
      </c>
      <c r="G91">
        <v>0.26129999999999998</v>
      </c>
      <c r="H91" s="231">
        <v>0.2676</v>
      </c>
      <c r="BT91" s="372"/>
      <c r="BU91" s="259" t="s">
        <v>866</v>
      </c>
      <c r="BV91" s="260">
        <v>43001010305</v>
      </c>
      <c r="BW91" s="261" t="s">
        <v>884</v>
      </c>
      <c r="BX91" s="261" t="s">
        <v>885</v>
      </c>
      <c r="BY91" s="152">
        <v>0.62624831518922408</v>
      </c>
      <c r="BZ91" s="152">
        <v>0.97089192628734133</v>
      </c>
      <c r="CA91" s="152">
        <v>0.97089192628734133</v>
      </c>
      <c r="CB91" s="152">
        <v>0.97089192628734133</v>
      </c>
      <c r="CC91" s="152">
        <v>0.97089192628734133</v>
      </c>
      <c r="CD91" s="152">
        <v>0.97089192628734133</v>
      </c>
      <c r="CE91" s="152">
        <v>0.97089192628734133</v>
      </c>
      <c r="CF91" s="152">
        <v>4.8413303668961294E-3</v>
      </c>
      <c r="CG91" s="152">
        <v>0.27870482450911588</v>
      </c>
      <c r="CH91" s="152">
        <v>0.50658922497112058</v>
      </c>
      <c r="CI91" s="152">
        <v>0.50658922497112058</v>
      </c>
      <c r="CJ91" s="259" t="s">
        <v>866</v>
      </c>
      <c r="CK91" s="261" t="s">
        <v>885</v>
      </c>
      <c r="CL91" s="374">
        <v>1.02147546945046</v>
      </c>
      <c r="CM91" s="374">
        <v>1.02147546945046</v>
      </c>
      <c r="CN91" s="374">
        <v>1.02147546945046</v>
      </c>
      <c r="CO91" s="374">
        <v>1.02147546945046</v>
      </c>
      <c r="CP91" s="374">
        <v>0.91351380844110619</v>
      </c>
      <c r="CQ91" s="374">
        <v>0.91351380844110619</v>
      </c>
      <c r="CR91" s="374">
        <v>0.91351380844110619</v>
      </c>
      <c r="CS91" s="374">
        <v>0.91351380844110619</v>
      </c>
      <c r="CT91" s="374">
        <v>0.77616581782910732</v>
      </c>
      <c r="CU91" s="374">
        <v>0.77616581782910732</v>
      </c>
      <c r="CV91" s="374">
        <v>0.77616581782910732</v>
      </c>
      <c r="CW91" s="374">
        <v>0.77616581782910732</v>
      </c>
      <c r="CX91" s="374">
        <v>3.6724762288003712</v>
      </c>
      <c r="CY91" s="374">
        <v>3.6724762288003712</v>
      </c>
      <c r="CZ91" s="374">
        <v>3.6724762288003712</v>
      </c>
      <c r="DA91" s="374">
        <v>3.6724762288003712</v>
      </c>
      <c r="DB91" s="374">
        <v>3.6724762288003712</v>
      </c>
      <c r="DC91" s="374">
        <v>3.6724762288003712</v>
      </c>
      <c r="DD91" s="374">
        <v>1.834069401635837</v>
      </c>
      <c r="DE91" s="374">
        <v>1.834069401635837</v>
      </c>
      <c r="DF91" s="373">
        <v>1.834069401635837</v>
      </c>
      <c r="DG91" s="373">
        <v>0.5149805410833691</v>
      </c>
      <c r="DH91" s="373">
        <v>0.12753270718445989</v>
      </c>
      <c r="DI91" s="373">
        <v>0.5149805410833691</v>
      </c>
      <c r="DJ91" s="308" t="s">
        <v>605</v>
      </c>
      <c r="DK91" s="308" t="s">
        <v>605</v>
      </c>
      <c r="DL91" s="309" t="s">
        <v>606</v>
      </c>
      <c r="DM91" s="309" t="s">
        <v>606</v>
      </c>
      <c r="DN91" s="272"/>
      <c r="DO91" s="272"/>
    </row>
    <row r="92" spans="1:119" ht="15" x14ac:dyDescent="0.3">
      <c r="A92" t="s">
        <v>839</v>
      </c>
      <c r="B92">
        <v>27</v>
      </c>
      <c r="C92" t="s">
        <v>622</v>
      </c>
      <c r="D92">
        <v>17</v>
      </c>
      <c r="E92" t="s">
        <v>564</v>
      </c>
      <c r="F92" t="s">
        <v>564</v>
      </c>
      <c r="G92">
        <v>0.2651</v>
      </c>
      <c r="H92" s="231">
        <v>0.2676</v>
      </c>
      <c r="BT92" s="372"/>
      <c r="BU92" s="259" t="s">
        <v>866</v>
      </c>
      <c r="BV92" s="260">
        <v>43001010306</v>
      </c>
      <c r="BW92" s="261" t="s">
        <v>886</v>
      </c>
      <c r="BX92" s="261" t="s">
        <v>887</v>
      </c>
      <c r="BY92" s="152">
        <v>0.67200839985700911</v>
      </c>
      <c r="BZ92" s="152">
        <v>0.99306336896427361</v>
      </c>
      <c r="CA92" s="152">
        <v>0.99306336896427361</v>
      </c>
      <c r="CB92" s="152">
        <v>0.99306336896427361</v>
      </c>
      <c r="CC92" s="152">
        <v>0.99306336896427361</v>
      </c>
      <c r="CD92" s="152">
        <v>0.99306336896427361</v>
      </c>
      <c r="CE92" s="152">
        <v>0.99306336896427361</v>
      </c>
      <c r="CF92" s="152">
        <v>1.124796028677119E-2</v>
      </c>
      <c r="CG92" s="152">
        <v>0.27422533061490673</v>
      </c>
      <c r="CH92" s="152">
        <v>0.54991693356899929</v>
      </c>
      <c r="CI92" s="152">
        <v>0.54991693356899929</v>
      </c>
      <c r="CJ92" s="259" t="s">
        <v>866</v>
      </c>
      <c r="CK92" s="261" t="s">
        <v>887</v>
      </c>
      <c r="CL92" s="374">
        <v>1.02147546945046</v>
      </c>
      <c r="CM92" s="374">
        <v>1.02147546945046</v>
      </c>
      <c r="CN92" s="374">
        <v>1.02147546945046</v>
      </c>
      <c r="CO92" s="374">
        <v>1.02147546945046</v>
      </c>
      <c r="CP92" s="374">
        <v>0.91351380844110619</v>
      </c>
      <c r="CQ92" s="374">
        <v>0.91351380844110619</v>
      </c>
      <c r="CR92" s="374">
        <v>0.91351380844110619</v>
      </c>
      <c r="CS92" s="374">
        <v>0.91351380844110619</v>
      </c>
      <c r="CT92" s="374">
        <v>0.77616581782910732</v>
      </c>
      <c r="CU92" s="374">
        <v>0.77616581782910732</v>
      </c>
      <c r="CV92" s="374">
        <v>0.77616581782910732</v>
      </c>
      <c r="CW92" s="374">
        <v>0.77616581782910732</v>
      </c>
      <c r="CX92" s="374">
        <v>2.2955105372881719</v>
      </c>
      <c r="CY92" s="374">
        <v>2.2955105372881719</v>
      </c>
      <c r="CZ92" s="374">
        <v>2.2955105372881719</v>
      </c>
      <c r="DA92" s="374">
        <v>2.2955105372881719</v>
      </c>
      <c r="DB92" s="374">
        <v>2.2955105372881719</v>
      </c>
      <c r="DC92" s="374">
        <v>2.2955105372881719</v>
      </c>
      <c r="DD92" s="374">
        <v>1.834069401635837</v>
      </c>
      <c r="DE92" s="374">
        <v>1.834069401635837</v>
      </c>
      <c r="DF92" s="373">
        <v>1.834069401635837</v>
      </c>
      <c r="DG92" s="373">
        <v>0.47245857875660707</v>
      </c>
      <c r="DH92" s="373">
        <v>0.1571779282369194</v>
      </c>
      <c r="DI92" s="373">
        <v>0.47245857875660707</v>
      </c>
      <c r="DJ92" s="308" t="s">
        <v>605</v>
      </c>
      <c r="DK92" s="308" t="s">
        <v>605</v>
      </c>
      <c r="DL92" s="309" t="s">
        <v>606</v>
      </c>
      <c r="DM92" s="309" t="s">
        <v>606</v>
      </c>
      <c r="DN92" s="272"/>
      <c r="DO92" s="272"/>
    </row>
    <row r="93" spans="1:119" ht="15" x14ac:dyDescent="0.3">
      <c r="A93" t="s">
        <v>839</v>
      </c>
      <c r="B93">
        <v>28</v>
      </c>
      <c r="C93" t="s">
        <v>232</v>
      </c>
      <c r="D93">
        <v>17</v>
      </c>
      <c r="E93" t="s">
        <v>564</v>
      </c>
      <c r="F93" t="s">
        <v>564</v>
      </c>
      <c r="G93">
        <v>0.20349999999999999</v>
      </c>
      <c r="H93" s="231">
        <v>0.2447</v>
      </c>
      <c r="BT93" s="372"/>
      <c r="BU93" s="259" t="s">
        <v>866</v>
      </c>
      <c r="BV93" s="260">
        <v>43001010307</v>
      </c>
      <c r="BW93" s="261" t="s">
        <v>888</v>
      </c>
      <c r="BX93" s="261" t="s">
        <v>889</v>
      </c>
      <c r="BY93" s="152">
        <v>0.63774521974424792</v>
      </c>
      <c r="BZ93" s="152">
        <v>0.82341740637187966</v>
      </c>
      <c r="CA93" s="152">
        <v>0.82341740637187966</v>
      </c>
      <c r="CB93" s="152">
        <v>0.82341740637187966</v>
      </c>
      <c r="CC93" s="152">
        <v>0.82341740637187966</v>
      </c>
      <c r="CD93" s="152">
        <v>0.82341740637187966</v>
      </c>
      <c r="CE93" s="152">
        <v>0.82341740637187966</v>
      </c>
      <c r="CF93" s="152">
        <v>1.124796028677119E-2</v>
      </c>
      <c r="CG93" s="152">
        <v>0.24277019061862901</v>
      </c>
      <c r="CH93" s="152">
        <v>0.62096810009943382</v>
      </c>
      <c r="CI93" s="152">
        <v>0.62096810009943382</v>
      </c>
      <c r="CJ93" s="259" t="s">
        <v>866</v>
      </c>
      <c r="CK93" s="261" t="s">
        <v>889</v>
      </c>
      <c r="CL93" s="374">
        <v>1.02147546945046</v>
      </c>
      <c r="CM93" s="374">
        <v>1.02147546945046</v>
      </c>
      <c r="CN93" s="374">
        <v>1.02147546945046</v>
      </c>
      <c r="CO93" s="374">
        <v>1.02147546945046</v>
      </c>
      <c r="CP93" s="374">
        <v>0.91351380844110619</v>
      </c>
      <c r="CQ93" s="374">
        <v>0.91351380844110619</v>
      </c>
      <c r="CR93" s="374">
        <v>0.91351380844110619</v>
      </c>
      <c r="CS93" s="374">
        <v>0.91351380844110619</v>
      </c>
      <c r="CT93" s="374">
        <v>0.77616581782910732</v>
      </c>
      <c r="CU93" s="374">
        <v>0.77616581782910732</v>
      </c>
      <c r="CV93" s="374">
        <v>0.77616581782910732</v>
      </c>
      <c r="CW93" s="374">
        <v>0.77616581782910732</v>
      </c>
      <c r="CX93" s="374">
        <v>2.0560617344667791</v>
      </c>
      <c r="CY93" s="374">
        <v>2.0560617344667791</v>
      </c>
      <c r="CZ93" s="374">
        <v>2.0560617344667791</v>
      </c>
      <c r="DA93" s="374">
        <v>2.0560617344667791</v>
      </c>
      <c r="DB93" s="374">
        <v>2.0560617344667791</v>
      </c>
      <c r="DC93" s="374">
        <v>2.0560617344667791</v>
      </c>
      <c r="DD93" s="374">
        <v>1.834069401635837</v>
      </c>
      <c r="DE93" s="374">
        <v>1.834069401635837</v>
      </c>
      <c r="DF93" s="373">
        <v>1.834069401635837</v>
      </c>
      <c r="DG93" s="373">
        <v>0.44924947259892678</v>
      </c>
      <c r="DH93" s="373">
        <v>0.14161581046211699</v>
      </c>
      <c r="DI93" s="373">
        <v>0.44924947259892678</v>
      </c>
      <c r="DJ93" s="308" t="s">
        <v>605</v>
      </c>
      <c r="DK93" s="308" t="s">
        <v>605</v>
      </c>
      <c r="DL93" s="309" t="s">
        <v>606</v>
      </c>
      <c r="DM93" s="309" t="s">
        <v>606</v>
      </c>
      <c r="DN93" s="272"/>
      <c r="DO93" s="272"/>
    </row>
    <row r="94" spans="1:119" ht="15" x14ac:dyDescent="0.3">
      <c r="A94" t="s">
        <v>839</v>
      </c>
      <c r="B94">
        <v>29</v>
      </c>
      <c r="C94" t="s">
        <v>641</v>
      </c>
      <c r="D94">
        <v>17</v>
      </c>
      <c r="E94" t="s">
        <v>564</v>
      </c>
      <c r="F94" t="s">
        <v>564</v>
      </c>
      <c r="G94">
        <v>0.15670000000000001</v>
      </c>
      <c r="H94" s="231">
        <v>0.2447</v>
      </c>
      <c r="BT94" s="372"/>
      <c r="BU94" s="259" t="s">
        <v>866</v>
      </c>
      <c r="BV94" s="260">
        <v>43001080104</v>
      </c>
      <c r="BW94" s="261" t="s">
        <v>890</v>
      </c>
      <c r="BX94" s="261" t="s">
        <v>891</v>
      </c>
      <c r="BY94" s="152">
        <v>0.57779968294636885</v>
      </c>
      <c r="BZ94" s="152">
        <v>0.82863843975240892</v>
      </c>
      <c r="CA94" s="152">
        <v>0.82863843975240892</v>
      </c>
      <c r="CB94" s="152">
        <v>0.82863843975240892</v>
      </c>
      <c r="CC94" s="152">
        <v>0.82863843975240892</v>
      </c>
      <c r="CD94" s="152">
        <v>0.82863843975240892</v>
      </c>
      <c r="CE94" s="152">
        <v>0.82863843975240892</v>
      </c>
      <c r="CF94" s="152">
        <v>1.124796028677119E-2</v>
      </c>
      <c r="CG94" s="152">
        <v>0.24277019061862901</v>
      </c>
      <c r="CH94" s="152">
        <v>0.34854551316773852</v>
      </c>
      <c r="CI94" s="152">
        <v>0.34854551316773852</v>
      </c>
      <c r="CJ94" s="259" t="s">
        <v>866</v>
      </c>
      <c r="CK94" s="261" t="s">
        <v>891</v>
      </c>
      <c r="CL94" s="374">
        <v>1.02147546945046</v>
      </c>
      <c r="CM94" s="374">
        <v>1.02147546945046</v>
      </c>
      <c r="CN94" s="374">
        <v>1.02147546945046</v>
      </c>
      <c r="CO94" s="374">
        <v>1.02147546945046</v>
      </c>
      <c r="CP94" s="374">
        <v>0.91351380844110619</v>
      </c>
      <c r="CQ94" s="374">
        <v>0.91351380844110619</v>
      </c>
      <c r="CR94" s="374">
        <v>0.91351380844110619</v>
      </c>
      <c r="CS94" s="374">
        <v>0.91351380844110619</v>
      </c>
      <c r="CT94" s="374">
        <v>0.77616581782910732</v>
      </c>
      <c r="CU94" s="374">
        <v>0.77616581782910732</v>
      </c>
      <c r="CV94" s="374">
        <v>0.77616581782910732</v>
      </c>
      <c r="CW94" s="374">
        <v>0.77616581782910732</v>
      </c>
      <c r="CX94" s="374">
        <v>2.00881451936141</v>
      </c>
      <c r="CY94" s="374">
        <v>2.00881451936141</v>
      </c>
      <c r="CZ94" s="374">
        <v>2.00881451936141</v>
      </c>
      <c r="DA94" s="374">
        <v>2.00881451936141</v>
      </c>
      <c r="DB94" s="374">
        <v>2.00881451936141</v>
      </c>
      <c r="DC94" s="374">
        <v>2.00881451936141</v>
      </c>
      <c r="DD94" s="374">
        <v>1.834069401635837</v>
      </c>
      <c r="DE94" s="374">
        <v>1.834069401635837</v>
      </c>
      <c r="DF94" s="373">
        <v>1.834069401635837</v>
      </c>
      <c r="DG94" s="373">
        <v>0.34948164501598938</v>
      </c>
      <c r="DH94" s="373">
        <v>0.10771377656799069</v>
      </c>
      <c r="DI94" s="373">
        <v>0.34948164501598938</v>
      </c>
      <c r="DJ94" s="308" t="s">
        <v>605</v>
      </c>
      <c r="DK94" s="308" t="s">
        <v>605</v>
      </c>
      <c r="DL94" s="309" t="s">
        <v>606</v>
      </c>
      <c r="DM94" s="309" t="s">
        <v>606</v>
      </c>
      <c r="DN94" s="272"/>
      <c r="DO94" s="272"/>
    </row>
    <row r="95" spans="1:119" ht="15" x14ac:dyDescent="0.3">
      <c r="A95" t="s">
        <v>839</v>
      </c>
      <c r="B95">
        <v>30</v>
      </c>
      <c r="C95" t="s">
        <v>650</v>
      </c>
      <c r="D95">
        <v>17</v>
      </c>
      <c r="E95" t="s">
        <v>564</v>
      </c>
      <c r="F95" t="s">
        <v>564</v>
      </c>
      <c r="G95">
        <v>0.18340000000000001</v>
      </c>
      <c r="H95" s="231">
        <v>0.24479999999999999</v>
      </c>
      <c r="BT95" s="372"/>
      <c r="BU95" s="259" t="s">
        <v>866</v>
      </c>
      <c r="BV95" s="260">
        <v>43001080301</v>
      </c>
      <c r="BW95" s="261" t="s">
        <v>825</v>
      </c>
      <c r="BX95" s="261" t="s">
        <v>892</v>
      </c>
      <c r="BY95" s="152">
        <v>0.57779968294636885</v>
      </c>
      <c r="BZ95" s="152">
        <v>0.82863843975240892</v>
      </c>
      <c r="CA95" s="152">
        <v>0.82863843975240892</v>
      </c>
      <c r="CB95" s="152">
        <v>0.82863843975240892</v>
      </c>
      <c r="CC95" s="152">
        <v>0.82863843975240892</v>
      </c>
      <c r="CD95" s="152">
        <v>0.82863843975240892</v>
      </c>
      <c r="CE95" s="152">
        <v>0.82863843975240892</v>
      </c>
      <c r="CF95" s="152">
        <v>1.124796028677119E-2</v>
      </c>
      <c r="CG95" s="152">
        <v>0.24277019061862901</v>
      </c>
      <c r="CH95" s="152">
        <v>0.34854551316773852</v>
      </c>
      <c r="CI95" s="152">
        <v>0.34854551316773852</v>
      </c>
      <c r="CJ95" s="259" t="s">
        <v>866</v>
      </c>
      <c r="CK95" s="261" t="s">
        <v>892</v>
      </c>
      <c r="CL95" s="374">
        <v>1.02147546945046</v>
      </c>
      <c r="CM95" s="374">
        <v>1.02147546945046</v>
      </c>
      <c r="CN95" s="374">
        <v>1.02147546945046</v>
      </c>
      <c r="CO95" s="374">
        <v>1.02147546945046</v>
      </c>
      <c r="CP95" s="374">
        <v>0.91351380844110619</v>
      </c>
      <c r="CQ95" s="374">
        <v>0.91351380844110619</v>
      </c>
      <c r="CR95" s="374">
        <v>0.91351380844110619</v>
      </c>
      <c r="CS95" s="374">
        <v>0.91351380844110619</v>
      </c>
      <c r="CT95" s="374">
        <v>0.77616581782910732</v>
      </c>
      <c r="CU95" s="374">
        <v>0.77616581782910732</v>
      </c>
      <c r="CV95" s="374">
        <v>0.77616581782910732</v>
      </c>
      <c r="CW95" s="374">
        <v>0.77616581782910732</v>
      </c>
      <c r="CX95" s="374">
        <v>2.00881451936141</v>
      </c>
      <c r="CY95" s="374">
        <v>2.00881451936141</v>
      </c>
      <c r="CZ95" s="374">
        <v>2.00881451936141</v>
      </c>
      <c r="DA95" s="374">
        <v>2.00881451936141</v>
      </c>
      <c r="DB95" s="374">
        <v>2.00881451936141</v>
      </c>
      <c r="DC95" s="374">
        <v>2.00881451936141</v>
      </c>
      <c r="DD95" s="374">
        <v>1.834069401635837</v>
      </c>
      <c r="DE95" s="374">
        <v>1.834069401635837</v>
      </c>
      <c r="DF95" s="373">
        <v>1.834069401635837</v>
      </c>
      <c r="DG95" s="373">
        <v>0.34948164501598938</v>
      </c>
      <c r="DH95" s="373">
        <v>0.10771377656799069</v>
      </c>
      <c r="DI95" s="373">
        <v>0.34948164501598938</v>
      </c>
      <c r="DJ95" s="308" t="s">
        <v>605</v>
      </c>
      <c r="DK95" s="308" t="s">
        <v>605</v>
      </c>
      <c r="DL95" s="309" t="s">
        <v>606</v>
      </c>
      <c r="DM95" s="309" t="s">
        <v>606</v>
      </c>
      <c r="DN95" s="272"/>
      <c r="DO95" s="272"/>
    </row>
    <row r="96" spans="1:119" ht="15" x14ac:dyDescent="0.3">
      <c r="A96" t="s">
        <v>839</v>
      </c>
      <c r="B96">
        <v>31</v>
      </c>
      <c r="C96" t="s">
        <v>656</v>
      </c>
      <c r="D96">
        <v>17</v>
      </c>
      <c r="E96" t="s">
        <v>564</v>
      </c>
      <c r="F96" t="s">
        <v>564</v>
      </c>
      <c r="G96">
        <v>0.23050000000000001</v>
      </c>
      <c r="H96" s="231">
        <v>0.2447</v>
      </c>
      <c r="BT96" s="372"/>
      <c r="BU96" s="259" t="s">
        <v>866</v>
      </c>
      <c r="BV96" s="260">
        <v>43001080304</v>
      </c>
      <c r="BW96" s="261" t="s">
        <v>893</v>
      </c>
      <c r="BX96" s="261" t="s">
        <v>894</v>
      </c>
      <c r="BY96" s="152">
        <v>0.57779968294636885</v>
      </c>
      <c r="BZ96" s="152">
        <v>0.82863843975240892</v>
      </c>
      <c r="CA96" s="152">
        <v>0.82863843975240892</v>
      </c>
      <c r="CB96" s="152">
        <v>0.82863843975240892</v>
      </c>
      <c r="CC96" s="152">
        <v>0.82863843975240892</v>
      </c>
      <c r="CD96" s="152">
        <v>0.82863843975240892</v>
      </c>
      <c r="CE96" s="152">
        <v>0.82863843975240892</v>
      </c>
      <c r="CF96" s="152">
        <v>1.124796028677119E-2</v>
      </c>
      <c r="CG96" s="152">
        <v>0.24277019061862901</v>
      </c>
      <c r="CH96" s="152">
        <v>0.34854551316773852</v>
      </c>
      <c r="CI96" s="152">
        <v>0.34854551316773852</v>
      </c>
      <c r="CJ96" s="259" t="s">
        <v>866</v>
      </c>
      <c r="CK96" s="261" t="s">
        <v>894</v>
      </c>
      <c r="CL96" s="374">
        <v>1.02147546945046</v>
      </c>
      <c r="CM96" s="374">
        <v>1.02147546945046</v>
      </c>
      <c r="CN96" s="374">
        <v>1.02147546945046</v>
      </c>
      <c r="CO96" s="374">
        <v>1.02147546945046</v>
      </c>
      <c r="CP96" s="374">
        <v>0.91351380844110619</v>
      </c>
      <c r="CQ96" s="374">
        <v>0.91351380844110619</v>
      </c>
      <c r="CR96" s="374">
        <v>0.91351380844110619</v>
      </c>
      <c r="CS96" s="374">
        <v>0.91351380844110619</v>
      </c>
      <c r="CT96" s="374">
        <v>0.77616581782910732</v>
      </c>
      <c r="CU96" s="374">
        <v>0.77616581782910732</v>
      </c>
      <c r="CV96" s="374">
        <v>0.77616581782910732</v>
      </c>
      <c r="CW96" s="374">
        <v>0.77616581782910732</v>
      </c>
      <c r="CX96" s="374">
        <v>2.00881451936141</v>
      </c>
      <c r="CY96" s="374">
        <v>2.00881451936141</v>
      </c>
      <c r="CZ96" s="374">
        <v>2.00881451936141</v>
      </c>
      <c r="DA96" s="374">
        <v>2.00881451936141</v>
      </c>
      <c r="DB96" s="374">
        <v>2.00881451936141</v>
      </c>
      <c r="DC96" s="374">
        <v>2.00881451936141</v>
      </c>
      <c r="DD96" s="374">
        <v>1.834069401635837</v>
      </c>
      <c r="DE96" s="374">
        <v>1.834069401635837</v>
      </c>
      <c r="DF96" s="373">
        <v>1.834069401635837</v>
      </c>
      <c r="DG96" s="373">
        <v>0.34948164501598938</v>
      </c>
      <c r="DH96" s="373">
        <v>0.10771377656799069</v>
      </c>
      <c r="DI96" s="373">
        <v>0.34948164501598938</v>
      </c>
      <c r="DJ96" s="308" t="s">
        <v>605</v>
      </c>
      <c r="DK96" s="308" t="s">
        <v>605</v>
      </c>
      <c r="DL96" s="309" t="s">
        <v>606</v>
      </c>
      <c r="DM96" s="309" t="s">
        <v>606</v>
      </c>
      <c r="DN96" s="272"/>
      <c r="DO96" s="272"/>
    </row>
    <row r="97" spans="1:119" ht="15" x14ac:dyDescent="0.3">
      <c r="A97" t="s">
        <v>839</v>
      </c>
      <c r="B97">
        <v>32</v>
      </c>
      <c r="C97" t="s">
        <v>665</v>
      </c>
      <c r="D97">
        <v>17</v>
      </c>
      <c r="E97" t="s">
        <v>564</v>
      </c>
      <c r="F97" t="s">
        <v>564</v>
      </c>
      <c r="G97">
        <v>8.5199999999999998E-2</v>
      </c>
      <c r="H97" s="231">
        <v>0.252</v>
      </c>
      <c r="BT97" s="372"/>
      <c r="BU97" s="259" t="s">
        <v>866</v>
      </c>
      <c r="BV97" s="260">
        <v>43001080602</v>
      </c>
      <c r="BW97" s="261" t="s">
        <v>895</v>
      </c>
      <c r="BX97" s="261" t="s">
        <v>896</v>
      </c>
      <c r="BY97" s="152">
        <v>0.57779968294636885</v>
      </c>
      <c r="BZ97" s="152">
        <v>0.82863843975240892</v>
      </c>
      <c r="CA97" s="152">
        <v>0.82863843975240892</v>
      </c>
      <c r="CB97" s="152">
        <v>0.82863843975240892</v>
      </c>
      <c r="CC97" s="152">
        <v>0.82863843975240892</v>
      </c>
      <c r="CD97" s="152">
        <v>0.82863843975240892</v>
      </c>
      <c r="CE97" s="152">
        <v>0.82863843975240892</v>
      </c>
      <c r="CF97" s="152">
        <v>1.124796028677119E-2</v>
      </c>
      <c r="CG97" s="152">
        <v>0.24277019061862901</v>
      </c>
      <c r="CH97" s="152">
        <v>0.34854551316773852</v>
      </c>
      <c r="CI97" s="152">
        <v>0.34854551316773852</v>
      </c>
      <c r="CJ97" s="259" t="s">
        <v>866</v>
      </c>
      <c r="CK97" s="261" t="s">
        <v>896</v>
      </c>
      <c r="CL97" s="374">
        <v>1.02147546945046</v>
      </c>
      <c r="CM97" s="374">
        <v>1.02147546945046</v>
      </c>
      <c r="CN97" s="374">
        <v>1.02147546945046</v>
      </c>
      <c r="CO97" s="374">
        <v>1.02147546945046</v>
      </c>
      <c r="CP97" s="374">
        <v>0.91351380844110619</v>
      </c>
      <c r="CQ97" s="374">
        <v>0.91351380844110619</v>
      </c>
      <c r="CR97" s="374">
        <v>0.91351380844110619</v>
      </c>
      <c r="CS97" s="374">
        <v>0.91351380844110619</v>
      </c>
      <c r="CT97" s="374">
        <v>0.77616581782910732</v>
      </c>
      <c r="CU97" s="374">
        <v>0.77616581782910732</v>
      </c>
      <c r="CV97" s="374">
        <v>0.77616581782910732</v>
      </c>
      <c r="CW97" s="374">
        <v>0.77616581782910732</v>
      </c>
      <c r="CX97" s="374">
        <v>2.00881451936141</v>
      </c>
      <c r="CY97" s="374">
        <v>2.00881451936141</v>
      </c>
      <c r="CZ97" s="374">
        <v>2.00881451936141</v>
      </c>
      <c r="DA97" s="374">
        <v>2.00881451936141</v>
      </c>
      <c r="DB97" s="374">
        <v>2.00881451936141</v>
      </c>
      <c r="DC97" s="374">
        <v>2.00881451936141</v>
      </c>
      <c r="DD97" s="374">
        <v>1.834069401635837</v>
      </c>
      <c r="DE97" s="374">
        <v>1.834069401635837</v>
      </c>
      <c r="DF97" s="373">
        <v>1.834069401635837</v>
      </c>
      <c r="DG97" s="373">
        <v>0.34948164501598938</v>
      </c>
      <c r="DH97" s="373">
        <v>0.10771377656799069</v>
      </c>
      <c r="DI97" s="373">
        <v>0.34948164501598938</v>
      </c>
      <c r="DJ97" s="308" t="s">
        <v>605</v>
      </c>
      <c r="DK97" s="308" t="s">
        <v>605</v>
      </c>
      <c r="DL97" s="309" t="s">
        <v>606</v>
      </c>
      <c r="DM97" s="309" t="s">
        <v>606</v>
      </c>
      <c r="DN97" s="272"/>
      <c r="DO97" s="272"/>
    </row>
    <row r="98" spans="1:119" ht="15" x14ac:dyDescent="0.3">
      <c r="A98" t="s">
        <v>839</v>
      </c>
      <c r="B98">
        <v>33</v>
      </c>
      <c r="C98" t="s">
        <v>673</v>
      </c>
      <c r="D98">
        <v>17</v>
      </c>
      <c r="E98" t="s">
        <v>564</v>
      </c>
      <c r="F98" t="s">
        <v>564</v>
      </c>
      <c r="G98">
        <v>2.6599999999999999E-2</v>
      </c>
      <c r="H98" s="231">
        <v>0.25209999999999999</v>
      </c>
      <c r="BT98" s="372"/>
      <c r="BU98" s="259" t="s">
        <v>897</v>
      </c>
      <c r="BV98" s="260">
        <v>43001030101</v>
      </c>
      <c r="BW98" s="261" t="s">
        <v>898</v>
      </c>
      <c r="BX98" s="261" t="s">
        <v>899</v>
      </c>
      <c r="BY98" s="152">
        <v>1.537269987143653</v>
      </c>
      <c r="BZ98" s="152">
        <v>2.2357175611405031</v>
      </c>
      <c r="CA98" s="152">
        <v>2.2357175611405031</v>
      </c>
      <c r="CB98" s="152">
        <v>2.2357175611405031</v>
      </c>
      <c r="CC98" s="152">
        <v>2.2357175611405031</v>
      </c>
      <c r="CD98" s="152">
        <v>2.2357175611405031</v>
      </c>
      <c r="CE98" s="152">
        <v>2.2357175611405031</v>
      </c>
      <c r="CF98" s="152">
        <v>1.0126230139919E-2</v>
      </c>
      <c r="CG98" s="152">
        <v>6.5296682249200308E-2</v>
      </c>
      <c r="CH98" s="152">
        <v>0.84221327239572508</v>
      </c>
      <c r="CI98" s="152">
        <v>0.84221327239572508</v>
      </c>
      <c r="CJ98" s="259" t="s">
        <v>897</v>
      </c>
      <c r="CK98" s="261" t="s">
        <v>899</v>
      </c>
      <c r="CL98" s="374">
        <v>1.5541674729730961</v>
      </c>
      <c r="CM98" s="374">
        <v>1.5541674729730961</v>
      </c>
      <c r="CN98" s="374">
        <v>1.5541674729730961</v>
      </c>
      <c r="CO98" s="374">
        <v>1.5541674729730961</v>
      </c>
      <c r="CP98" s="374">
        <v>2.6026641642760961</v>
      </c>
      <c r="CQ98" s="374">
        <v>2.6026641642760961</v>
      </c>
      <c r="CR98" s="374">
        <v>2.6026641642760961</v>
      </c>
      <c r="CS98" s="374">
        <v>2.6026641642760961</v>
      </c>
      <c r="CT98" s="374">
        <v>0.74752493535425224</v>
      </c>
      <c r="CU98" s="374">
        <v>0.74752493535425224</v>
      </c>
      <c r="CV98" s="374">
        <v>0.74752493535425224</v>
      </c>
      <c r="CW98" s="374">
        <v>0.74752493535425224</v>
      </c>
      <c r="CX98" s="374">
        <v>2.632958235216603</v>
      </c>
      <c r="CY98" s="374">
        <v>2.632958235216603</v>
      </c>
      <c r="CZ98" s="374">
        <v>2.632958235216603</v>
      </c>
      <c r="DA98" s="374">
        <v>2.632958235216603</v>
      </c>
      <c r="DB98" s="374">
        <v>2.632958235216603</v>
      </c>
      <c r="DC98" s="374">
        <v>2.632958235216603</v>
      </c>
      <c r="DD98" s="374">
        <v>0.8984903504094246</v>
      </c>
      <c r="DE98" s="374">
        <v>0.8984903504094246</v>
      </c>
      <c r="DF98" s="373">
        <v>0.8984903504094246</v>
      </c>
      <c r="DG98" s="373">
        <v>0.1739077465239782</v>
      </c>
      <c r="DH98" s="373">
        <v>0.18164390007203829</v>
      </c>
      <c r="DI98" s="373">
        <v>0.1739077465239782</v>
      </c>
      <c r="DJ98" s="308" t="s">
        <v>605</v>
      </c>
      <c r="DK98" s="308" t="s">
        <v>605</v>
      </c>
      <c r="DL98" s="309" t="s">
        <v>606</v>
      </c>
      <c r="DM98" s="309" t="s">
        <v>606</v>
      </c>
      <c r="DN98" s="272"/>
      <c r="DO98" s="272"/>
    </row>
    <row r="99" spans="1:119" ht="15" x14ac:dyDescent="0.3">
      <c r="A99" t="s">
        <v>839</v>
      </c>
      <c r="B99">
        <v>34</v>
      </c>
      <c r="C99" t="s">
        <v>681</v>
      </c>
      <c r="D99">
        <v>17</v>
      </c>
      <c r="E99" t="s">
        <v>564</v>
      </c>
      <c r="F99" t="s">
        <v>564</v>
      </c>
      <c r="G99">
        <v>0.1507</v>
      </c>
      <c r="H99" s="231">
        <v>0.252</v>
      </c>
      <c r="BT99" s="372"/>
      <c r="BU99" s="259" t="s">
        <v>897</v>
      </c>
      <c r="BV99" s="260">
        <v>43001030102</v>
      </c>
      <c r="BW99" s="261" t="s">
        <v>900</v>
      </c>
      <c r="BX99" s="261" t="s">
        <v>901</v>
      </c>
      <c r="BY99" s="152">
        <v>0.8794259686166106</v>
      </c>
      <c r="BZ99" s="152">
        <v>1.144465378613913</v>
      </c>
      <c r="CA99" s="152">
        <v>1.144465378613913</v>
      </c>
      <c r="CB99" s="152">
        <v>1.144465378613913</v>
      </c>
      <c r="CC99" s="152">
        <v>1.144465378613913</v>
      </c>
      <c r="CD99" s="152">
        <v>1.144465378613913</v>
      </c>
      <c r="CE99" s="152">
        <v>1.144465378613913</v>
      </c>
      <c r="CF99" s="152">
        <v>4.374405794069653E-2</v>
      </c>
      <c r="CG99" s="152">
        <v>5.941621617068514E-2</v>
      </c>
      <c r="CH99" s="152">
        <v>0.48937207391704018</v>
      </c>
      <c r="CI99" s="152">
        <v>0.48937207391704018</v>
      </c>
      <c r="CJ99" s="259" t="s">
        <v>897</v>
      </c>
      <c r="CK99" s="261" t="s">
        <v>901</v>
      </c>
      <c r="CL99" s="374">
        <v>1.5541674729730961</v>
      </c>
      <c r="CM99" s="374">
        <v>1.5541674729730961</v>
      </c>
      <c r="CN99" s="374">
        <v>1.5541674729730961</v>
      </c>
      <c r="CO99" s="374">
        <v>1.5541674729730961</v>
      </c>
      <c r="CP99" s="374">
        <v>2.6026641642760961</v>
      </c>
      <c r="CQ99" s="374">
        <v>2.6026641642760961</v>
      </c>
      <c r="CR99" s="374">
        <v>2.6026641642760961</v>
      </c>
      <c r="CS99" s="374">
        <v>2.6026641642760961</v>
      </c>
      <c r="CT99" s="374">
        <v>0.28805905236117751</v>
      </c>
      <c r="CU99" s="374">
        <v>0.28805905236117751</v>
      </c>
      <c r="CV99" s="374">
        <v>0.28805905236117751</v>
      </c>
      <c r="CW99" s="374">
        <v>0.28805905236117751</v>
      </c>
      <c r="CX99" s="374">
        <v>1.79366748479584</v>
      </c>
      <c r="CY99" s="374">
        <v>1.79366748479584</v>
      </c>
      <c r="CZ99" s="374">
        <v>1.79366748479584</v>
      </c>
      <c r="DA99" s="374">
        <v>1.79366748479584</v>
      </c>
      <c r="DB99" s="374">
        <v>1.79366748479584</v>
      </c>
      <c r="DC99" s="374">
        <v>1.79366748479584</v>
      </c>
      <c r="DD99" s="374">
        <v>0.8984903504094246</v>
      </c>
      <c r="DE99" s="374">
        <v>0.8984903504094246</v>
      </c>
      <c r="DF99" s="373">
        <v>0.8984903504094246</v>
      </c>
      <c r="DG99" s="373">
        <v>0.15824537001341721</v>
      </c>
      <c r="DH99" s="373">
        <v>0.1460555313541457</v>
      </c>
      <c r="DI99" s="373">
        <v>0.15824537001341721</v>
      </c>
      <c r="DJ99" s="308" t="s">
        <v>605</v>
      </c>
      <c r="DK99" s="308" t="s">
        <v>605</v>
      </c>
      <c r="DL99" s="309" t="s">
        <v>606</v>
      </c>
      <c r="DM99" s="309" t="s">
        <v>606</v>
      </c>
      <c r="DN99" s="272"/>
      <c r="DO99" s="272"/>
    </row>
    <row r="100" spans="1:119" ht="15" x14ac:dyDescent="0.3">
      <c r="A100" t="s">
        <v>839</v>
      </c>
      <c r="B100">
        <v>35</v>
      </c>
      <c r="C100" t="s">
        <v>691</v>
      </c>
      <c r="D100">
        <v>17</v>
      </c>
      <c r="E100" t="s">
        <v>564</v>
      </c>
      <c r="F100" t="s">
        <v>564</v>
      </c>
      <c r="G100">
        <v>0.24579999999999999</v>
      </c>
      <c r="H100" s="231">
        <v>0.255</v>
      </c>
      <c r="BT100" s="372"/>
      <c r="BU100" s="259" t="s">
        <v>897</v>
      </c>
      <c r="BV100" s="260">
        <v>43001030103</v>
      </c>
      <c r="BW100" s="261" t="s">
        <v>902</v>
      </c>
      <c r="BX100" s="261" t="s">
        <v>903</v>
      </c>
      <c r="BY100" s="152">
        <v>0.9745408090963128</v>
      </c>
      <c r="BZ100" s="152">
        <v>1.326110810029991</v>
      </c>
      <c r="CA100" s="152">
        <v>1.326110810029991</v>
      </c>
      <c r="CB100" s="152">
        <v>1.326110810029991</v>
      </c>
      <c r="CC100" s="152">
        <v>1.326110810029991</v>
      </c>
      <c r="CD100" s="152">
        <v>1.326110810029991</v>
      </c>
      <c r="CE100" s="152">
        <v>1.326110810029991</v>
      </c>
      <c r="CF100" s="152">
        <v>1.0342852040659749E-2</v>
      </c>
      <c r="CG100" s="152">
        <v>7.1516767397382275E-2</v>
      </c>
      <c r="CH100" s="152">
        <v>0.37574478479140311</v>
      </c>
      <c r="CI100" s="152">
        <v>0.37574478479140311</v>
      </c>
      <c r="CJ100" s="259" t="s">
        <v>897</v>
      </c>
      <c r="CK100" s="261" t="s">
        <v>903</v>
      </c>
      <c r="CL100" s="374">
        <v>1.5541674729730961</v>
      </c>
      <c r="CM100" s="374">
        <v>1.5541674729730961</v>
      </c>
      <c r="CN100" s="374">
        <v>1.5541674729730961</v>
      </c>
      <c r="CO100" s="374">
        <v>1.5541674729730961</v>
      </c>
      <c r="CP100" s="374">
        <v>2.6026641642760961</v>
      </c>
      <c r="CQ100" s="374">
        <v>2.6026641642760961</v>
      </c>
      <c r="CR100" s="374">
        <v>2.6026641642760961</v>
      </c>
      <c r="CS100" s="374">
        <v>2.6026641642760961</v>
      </c>
      <c r="CT100" s="374">
        <v>0.25998262430078739</v>
      </c>
      <c r="CU100" s="374">
        <v>0.25998262430078739</v>
      </c>
      <c r="CV100" s="374">
        <v>0.25998262430078739</v>
      </c>
      <c r="CW100" s="374">
        <v>0.25998262430078739</v>
      </c>
      <c r="CX100" s="374">
        <v>1.64397578228617</v>
      </c>
      <c r="CY100" s="374">
        <v>1.64397578228617</v>
      </c>
      <c r="CZ100" s="374">
        <v>1.64397578228617</v>
      </c>
      <c r="DA100" s="374">
        <v>1.64397578228617</v>
      </c>
      <c r="DB100" s="374">
        <v>1.64397578228617</v>
      </c>
      <c r="DC100" s="374">
        <v>1.64397578228617</v>
      </c>
      <c r="DD100" s="374">
        <v>0.8984903504094246</v>
      </c>
      <c r="DE100" s="374">
        <v>0.8984903504094246</v>
      </c>
      <c r="DF100" s="373">
        <v>0.8984903504094246</v>
      </c>
      <c r="DG100" s="373">
        <v>0.19047365799352731</v>
      </c>
      <c r="DH100" s="373">
        <v>8.8500856671446859E-2</v>
      </c>
      <c r="DI100" s="373">
        <v>0.19047365799352731</v>
      </c>
      <c r="DJ100" s="308" t="s">
        <v>605</v>
      </c>
      <c r="DK100" s="308" t="s">
        <v>605</v>
      </c>
      <c r="DL100" s="309" t="s">
        <v>606</v>
      </c>
      <c r="DM100" s="309" t="s">
        <v>606</v>
      </c>
      <c r="DN100" s="272"/>
      <c r="DO100" s="272"/>
    </row>
    <row r="101" spans="1:119" ht="15" x14ac:dyDescent="0.3">
      <c r="A101" t="s">
        <v>904</v>
      </c>
      <c r="B101">
        <v>1</v>
      </c>
      <c r="C101" t="s">
        <v>563</v>
      </c>
      <c r="D101">
        <v>2</v>
      </c>
      <c r="E101" t="s">
        <v>564</v>
      </c>
      <c r="F101" t="s">
        <v>564</v>
      </c>
      <c r="G101">
        <v>9.3297439999999995E-2</v>
      </c>
      <c r="H101" s="231">
        <v>9.3297439999999995E-2</v>
      </c>
      <c r="BT101" s="372"/>
      <c r="BU101" s="259" t="s">
        <v>897</v>
      </c>
      <c r="BV101" s="260">
        <v>43001030201</v>
      </c>
      <c r="BW101" s="261" t="s">
        <v>905</v>
      </c>
      <c r="BX101" s="261" t="s">
        <v>906</v>
      </c>
      <c r="BY101" s="152">
        <v>1.5687600156896611</v>
      </c>
      <c r="BZ101" s="152">
        <v>2.030995058803164</v>
      </c>
      <c r="CA101" s="152">
        <v>2.030995058803164</v>
      </c>
      <c r="CB101" s="152">
        <v>2.030995058803164</v>
      </c>
      <c r="CC101" s="152">
        <v>2.030995058803164</v>
      </c>
      <c r="CD101" s="152">
        <v>2.030995058803164</v>
      </c>
      <c r="CE101" s="152">
        <v>2.030995058803164</v>
      </c>
      <c r="CF101" s="152">
        <v>1.984217451723511E-2</v>
      </c>
      <c r="CG101" s="152">
        <v>0.67233691191779632</v>
      </c>
      <c r="CH101" s="152">
        <v>1.077037287186642</v>
      </c>
      <c r="CI101" s="152">
        <v>1.077037287186642</v>
      </c>
      <c r="CJ101" s="259" t="s">
        <v>897</v>
      </c>
      <c r="CK101" s="261" t="s">
        <v>906</v>
      </c>
      <c r="CL101" s="374">
        <v>1.5541674729730961</v>
      </c>
      <c r="CM101" s="374">
        <v>1.5541674729730961</v>
      </c>
      <c r="CN101" s="374">
        <v>1.5541674729730961</v>
      </c>
      <c r="CO101" s="374">
        <v>1.5541674729730961</v>
      </c>
      <c r="CP101" s="374">
        <v>2.6026641642760961</v>
      </c>
      <c r="CQ101" s="374">
        <v>2.6026641642760961</v>
      </c>
      <c r="CR101" s="374">
        <v>2.6026641642760961</v>
      </c>
      <c r="CS101" s="374">
        <v>2.6026641642760961</v>
      </c>
      <c r="CT101" s="374">
        <v>1.0057608142934811</v>
      </c>
      <c r="CU101" s="374">
        <v>1.0057608142934811</v>
      </c>
      <c r="CV101" s="374">
        <v>1.0057608142934811</v>
      </c>
      <c r="CW101" s="374">
        <v>1.0057608142934811</v>
      </c>
      <c r="CX101" s="374">
        <v>3.3921924693551762</v>
      </c>
      <c r="CY101" s="374">
        <v>3.3921924693551762</v>
      </c>
      <c r="CZ101" s="374">
        <v>3.3921924693551762</v>
      </c>
      <c r="DA101" s="374">
        <v>3.3921924693551762</v>
      </c>
      <c r="DB101" s="374">
        <v>3.3921924693551762</v>
      </c>
      <c r="DC101" s="374">
        <v>3.3921924693551762</v>
      </c>
      <c r="DD101" s="374">
        <v>0.8984903504094246</v>
      </c>
      <c r="DE101" s="374">
        <v>0.8984903504094246</v>
      </c>
      <c r="DF101" s="373">
        <v>0.8984903504094246</v>
      </c>
      <c r="DG101" s="373">
        <v>1.790663583904412</v>
      </c>
      <c r="DH101" s="373">
        <v>0.40929559880816252</v>
      </c>
      <c r="DI101" s="373">
        <v>1.790663583904412</v>
      </c>
      <c r="DJ101" s="308" t="s">
        <v>605</v>
      </c>
      <c r="DK101" s="308" t="s">
        <v>605</v>
      </c>
      <c r="DL101" s="309" t="s">
        <v>606</v>
      </c>
      <c r="DM101" s="309" t="s">
        <v>606</v>
      </c>
      <c r="DN101" s="272"/>
      <c r="DO101" s="272"/>
    </row>
    <row r="102" spans="1:119" ht="15" x14ac:dyDescent="0.3">
      <c r="A102" t="s">
        <v>904</v>
      </c>
      <c r="B102">
        <v>2</v>
      </c>
      <c r="C102" t="s">
        <v>280</v>
      </c>
      <c r="D102">
        <v>2</v>
      </c>
      <c r="E102" t="s">
        <v>564</v>
      </c>
      <c r="F102" t="s">
        <v>564</v>
      </c>
      <c r="G102">
        <v>9.4088119999999997E-2</v>
      </c>
      <c r="H102" s="231">
        <v>9.4088119999999997E-2</v>
      </c>
      <c r="BT102" s="372"/>
      <c r="BU102" s="259" t="s">
        <v>897</v>
      </c>
      <c r="BV102" s="260">
        <v>43001030202</v>
      </c>
      <c r="BW102" s="261" t="s">
        <v>907</v>
      </c>
      <c r="BX102" s="261" t="s">
        <v>908</v>
      </c>
      <c r="BY102" s="152">
        <v>1.094651535053907</v>
      </c>
      <c r="BZ102" s="152">
        <v>1.330575682317096</v>
      </c>
      <c r="CA102" s="152">
        <v>1.330575682317096</v>
      </c>
      <c r="CB102" s="152">
        <v>1.330575682317096</v>
      </c>
      <c r="CC102" s="152">
        <v>1.330575682317096</v>
      </c>
      <c r="CD102" s="152">
        <v>1.330575682317096</v>
      </c>
      <c r="CE102" s="152">
        <v>1.330575682317096</v>
      </c>
      <c r="CF102" s="152">
        <v>4.374405794069653E-2</v>
      </c>
      <c r="CG102" s="152">
        <v>0.37479257703344693</v>
      </c>
      <c r="CH102" s="152">
        <v>0.64018316007413034</v>
      </c>
      <c r="CI102" s="152">
        <v>0.64018316007413034</v>
      </c>
      <c r="CJ102" s="259" t="s">
        <v>897</v>
      </c>
      <c r="CK102" s="261" t="s">
        <v>908</v>
      </c>
      <c r="CL102" s="374">
        <v>1.5541674729730961</v>
      </c>
      <c r="CM102" s="374">
        <v>1.5541674729730961</v>
      </c>
      <c r="CN102" s="374">
        <v>1.5541674729730961</v>
      </c>
      <c r="CO102" s="374">
        <v>1.5541674729730961</v>
      </c>
      <c r="CP102" s="374">
        <v>2.6026641642760961</v>
      </c>
      <c r="CQ102" s="374">
        <v>2.6026641642760961</v>
      </c>
      <c r="CR102" s="374">
        <v>2.6026641642760961</v>
      </c>
      <c r="CS102" s="374">
        <v>2.6026641642760961</v>
      </c>
      <c r="CT102" s="374">
        <v>1.4164544510784189</v>
      </c>
      <c r="CU102" s="374">
        <v>1.4164544510784189</v>
      </c>
      <c r="CV102" s="374">
        <v>1.4164544510784189</v>
      </c>
      <c r="CW102" s="374">
        <v>1.4164544510784189</v>
      </c>
      <c r="CX102" s="374">
        <v>3.1272716523350641</v>
      </c>
      <c r="CY102" s="374">
        <v>3.1272716523350641</v>
      </c>
      <c r="CZ102" s="374">
        <v>3.1272716523350641</v>
      </c>
      <c r="DA102" s="374">
        <v>3.1272716523350641</v>
      </c>
      <c r="DB102" s="374">
        <v>3.1272716523350641</v>
      </c>
      <c r="DC102" s="374">
        <v>3.1272716523350641</v>
      </c>
      <c r="DD102" s="374">
        <v>0.8984903504094246</v>
      </c>
      <c r="DE102" s="374">
        <v>0.8984903504094246</v>
      </c>
      <c r="DF102" s="373">
        <v>0.8984903504094246</v>
      </c>
      <c r="DG102" s="373">
        <v>0.32890980066504089</v>
      </c>
      <c r="DH102" s="373">
        <v>0.14407567787360179</v>
      </c>
      <c r="DI102" s="373">
        <v>0.32890980066504089</v>
      </c>
      <c r="DJ102" s="308" t="s">
        <v>605</v>
      </c>
      <c r="DK102" s="308" t="s">
        <v>605</v>
      </c>
      <c r="DL102" s="309" t="s">
        <v>606</v>
      </c>
      <c r="DM102" s="309" t="s">
        <v>606</v>
      </c>
      <c r="DN102" s="272"/>
      <c r="DO102" s="272"/>
    </row>
    <row r="103" spans="1:119" ht="15" x14ac:dyDescent="0.3">
      <c r="A103" t="s">
        <v>904</v>
      </c>
      <c r="B103">
        <v>3</v>
      </c>
      <c r="C103" t="s">
        <v>607</v>
      </c>
      <c r="D103">
        <v>2</v>
      </c>
      <c r="E103" t="s">
        <v>564</v>
      </c>
      <c r="F103" t="s">
        <v>564</v>
      </c>
      <c r="G103">
        <v>4.708441E-2</v>
      </c>
      <c r="H103" s="231">
        <v>4.708441E-2</v>
      </c>
      <c r="BT103" s="372"/>
      <c r="BU103" s="259" t="s">
        <v>897</v>
      </c>
      <c r="BV103" s="260">
        <v>43001030203</v>
      </c>
      <c r="BW103" s="261" t="s">
        <v>909</v>
      </c>
      <c r="BX103" s="261" t="s">
        <v>910</v>
      </c>
      <c r="BY103" s="152">
        <v>1.5741355398934509</v>
      </c>
      <c r="BZ103" s="152">
        <v>2.3068220574155802</v>
      </c>
      <c r="CA103" s="152">
        <v>2.3068220574155802</v>
      </c>
      <c r="CB103" s="152">
        <v>2.3068220574155802</v>
      </c>
      <c r="CC103" s="152">
        <v>2.3068220574155802</v>
      </c>
      <c r="CD103" s="152">
        <v>2.3068220574155802</v>
      </c>
      <c r="CE103" s="152">
        <v>2.3068220574155802</v>
      </c>
      <c r="CF103" s="152">
        <v>2.0894135275495551E-2</v>
      </c>
      <c r="CG103" s="152">
        <v>0.11869126541400581</v>
      </c>
      <c r="CH103" s="152">
        <v>1.349310049323913</v>
      </c>
      <c r="CI103" s="152">
        <v>1.349310049323913</v>
      </c>
      <c r="CJ103" s="259" t="s">
        <v>897</v>
      </c>
      <c r="CK103" s="261" t="s">
        <v>910</v>
      </c>
      <c r="CL103" s="374">
        <v>1.5541674729730961</v>
      </c>
      <c r="CM103" s="374">
        <v>1.5541674729730961</v>
      </c>
      <c r="CN103" s="374">
        <v>1.5541674729730961</v>
      </c>
      <c r="CO103" s="374">
        <v>1.5541674729730961</v>
      </c>
      <c r="CP103" s="374">
        <v>2.6026641642760961</v>
      </c>
      <c r="CQ103" s="374">
        <v>2.6026641642760961</v>
      </c>
      <c r="CR103" s="374">
        <v>2.6026641642760961</v>
      </c>
      <c r="CS103" s="374">
        <v>2.6026641642760961</v>
      </c>
      <c r="CT103" s="374">
        <v>0.76206150651346383</v>
      </c>
      <c r="CU103" s="374">
        <v>0.76206150651346383</v>
      </c>
      <c r="CV103" s="374">
        <v>0.76206150651346383</v>
      </c>
      <c r="CW103" s="374">
        <v>0.76206150651346383</v>
      </c>
      <c r="CX103" s="374">
        <v>2.8617893108146228</v>
      </c>
      <c r="CY103" s="374">
        <v>2.8617893108146228</v>
      </c>
      <c r="CZ103" s="374">
        <v>2.8617893108146228</v>
      </c>
      <c r="DA103" s="374">
        <v>2.8617893108146228</v>
      </c>
      <c r="DB103" s="374">
        <v>2.8617893108146228</v>
      </c>
      <c r="DC103" s="374">
        <v>2.8617893108146228</v>
      </c>
      <c r="DD103" s="374">
        <v>0.8984903504094246</v>
      </c>
      <c r="DE103" s="374">
        <v>0.8984903504094246</v>
      </c>
      <c r="DF103" s="373">
        <v>0.8984903504094246</v>
      </c>
      <c r="DG103" s="373">
        <v>0.8700012702683656</v>
      </c>
      <c r="DH103" s="373">
        <v>0.34554956963342759</v>
      </c>
      <c r="DI103" s="373">
        <v>0.8700012702683656</v>
      </c>
      <c r="DJ103" s="308" t="s">
        <v>605</v>
      </c>
      <c r="DK103" s="308" t="s">
        <v>605</v>
      </c>
      <c r="DL103" s="309" t="s">
        <v>606</v>
      </c>
      <c r="DM103" s="309" t="s">
        <v>606</v>
      </c>
      <c r="DN103" s="272"/>
      <c r="DO103" s="272"/>
    </row>
    <row r="104" spans="1:119" ht="15" x14ac:dyDescent="0.3">
      <c r="A104" t="s">
        <v>904</v>
      </c>
      <c r="B104">
        <v>4</v>
      </c>
      <c r="C104" t="s">
        <v>621</v>
      </c>
      <c r="D104">
        <v>2</v>
      </c>
      <c r="E104" t="s">
        <v>564</v>
      </c>
      <c r="F104" t="s">
        <v>564</v>
      </c>
      <c r="G104">
        <v>4.7394940000000003E-2</v>
      </c>
      <c r="H104" s="231">
        <v>4.7394940000000003E-2</v>
      </c>
      <c r="BT104" s="372"/>
      <c r="BU104" s="259" t="s">
        <v>897</v>
      </c>
      <c r="BV104" s="260">
        <v>43001030204</v>
      </c>
      <c r="BW104" s="261" t="s">
        <v>911</v>
      </c>
      <c r="BX104" s="261" t="s">
        <v>912</v>
      </c>
      <c r="BY104" s="152">
        <v>1.249845294664311</v>
      </c>
      <c r="BZ104" s="152">
        <v>1.592632163627502</v>
      </c>
      <c r="CA104" s="152">
        <v>1.592632163627502</v>
      </c>
      <c r="CB104" s="152">
        <v>1.592632163627502</v>
      </c>
      <c r="CC104" s="152">
        <v>1.592632163627502</v>
      </c>
      <c r="CD104" s="152">
        <v>1.592632163627502</v>
      </c>
      <c r="CE104" s="152">
        <v>1.592632163627502</v>
      </c>
      <c r="CF104" s="152">
        <v>1.077894704290587E-2</v>
      </c>
      <c r="CG104" s="152">
        <v>0.1149195860650962</v>
      </c>
      <c r="CH104" s="152">
        <v>0.68030197304639428</v>
      </c>
      <c r="CI104" s="152">
        <v>0.68030197304639428</v>
      </c>
      <c r="CJ104" s="259" t="s">
        <v>897</v>
      </c>
      <c r="CK104" s="261" t="s">
        <v>912</v>
      </c>
      <c r="CL104" s="374">
        <v>1.5541674729730961</v>
      </c>
      <c r="CM104" s="374">
        <v>1.5541674729730961</v>
      </c>
      <c r="CN104" s="374">
        <v>1.5541674729730961</v>
      </c>
      <c r="CO104" s="374">
        <v>1.5541674729730961</v>
      </c>
      <c r="CP104" s="374">
        <v>2.6026641642760961</v>
      </c>
      <c r="CQ104" s="374">
        <v>2.6026641642760961</v>
      </c>
      <c r="CR104" s="374">
        <v>2.6026641642760961</v>
      </c>
      <c r="CS104" s="374">
        <v>2.6026641642760961</v>
      </c>
      <c r="CT104" s="374">
        <v>1.710143517870135</v>
      </c>
      <c r="CU104" s="374">
        <v>1.710143517870135</v>
      </c>
      <c r="CV104" s="374">
        <v>1.710143517870135</v>
      </c>
      <c r="CW104" s="374">
        <v>1.710143517870135</v>
      </c>
      <c r="CX104" s="374">
        <v>1.790414239099841</v>
      </c>
      <c r="CY104" s="374">
        <v>1.790414239099841</v>
      </c>
      <c r="CZ104" s="374">
        <v>1.790414239099841</v>
      </c>
      <c r="DA104" s="374">
        <v>1.790414239099841</v>
      </c>
      <c r="DB104" s="374">
        <v>1.790414239099841</v>
      </c>
      <c r="DC104" s="374">
        <v>1.790414239099841</v>
      </c>
      <c r="DD104" s="374">
        <v>0.8984903504094246</v>
      </c>
      <c r="DE104" s="374">
        <v>0.8984903504094246</v>
      </c>
      <c r="DF104" s="373">
        <v>0.8984903504094246</v>
      </c>
      <c r="DG104" s="373">
        <v>0.9471993378623248</v>
      </c>
      <c r="DH104" s="373">
        <v>0.23229774719283761</v>
      </c>
      <c r="DI104" s="373">
        <v>0.9471993378623248</v>
      </c>
      <c r="DJ104" s="308" t="s">
        <v>605</v>
      </c>
      <c r="DK104" s="308" t="s">
        <v>605</v>
      </c>
      <c r="DL104" s="309" t="s">
        <v>606</v>
      </c>
      <c r="DM104" s="309" t="s">
        <v>606</v>
      </c>
      <c r="DN104" s="272"/>
      <c r="DO104" s="272"/>
    </row>
    <row r="105" spans="1:119" ht="15" x14ac:dyDescent="0.3">
      <c r="A105" t="s">
        <v>904</v>
      </c>
      <c r="B105">
        <v>5</v>
      </c>
      <c r="C105" t="s">
        <v>631</v>
      </c>
      <c r="D105">
        <v>2</v>
      </c>
      <c r="E105" t="s">
        <v>564</v>
      </c>
      <c r="F105" t="s">
        <v>564</v>
      </c>
      <c r="G105">
        <v>2.6231210000000001E-2</v>
      </c>
      <c r="H105" s="231">
        <v>2.6231210000000001E-2</v>
      </c>
      <c r="BT105" s="372"/>
      <c r="BU105" s="259" t="s">
        <v>897</v>
      </c>
      <c r="BV105" s="260">
        <v>43001030301</v>
      </c>
      <c r="BW105" s="261" t="s">
        <v>913</v>
      </c>
      <c r="BX105" s="261" t="s">
        <v>315</v>
      </c>
      <c r="BY105" s="152">
        <v>2.3610735318176461</v>
      </c>
      <c r="BZ105" s="152">
        <v>2.8659986904672161</v>
      </c>
      <c r="CA105" s="152">
        <v>2.8659986904672161</v>
      </c>
      <c r="CB105" s="152">
        <v>2.8659986904672161</v>
      </c>
      <c r="CC105" s="152">
        <v>2.8659986904672161</v>
      </c>
      <c r="CD105" s="152">
        <v>2.8659986904672161</v>
      </c>
      <c r="CE105" s="152">
        <v>2.8659986904672161</v>
      </c>
      <c r="CF105" s="152">
        <v>4.374405794069653E-2</v>
      </c>
      <c r="CG105" s="152">
        <v>0.1021197048436405</v>
      </c>
      <c r="CH105" s="152">
        <v>1.442641514145975</v>
      </c>
      <c r="CI105" s="152">
        <v>1.442641514145975</v>
      </c>
      <c r="CJ105" s="259" t="s">
        <v>897</v>
      </c>
      <c r="CK105" s="261" t="s">
        <v>315</v>
      </c>
      <c r="CL105" s="374">
        <v>1.5541674729730961</v>
      </c>
      <c r="CM105" s="374">
        <v>1.5541674729730961</v>
      </c>
      <c r="CN105" s="374">
        <v>1.5541674729730961</v>
      </c>
      <c r="CO105" s="374">
        <v>1.5541674729730961</v>
      </c>
      <c r="CP105" s="374">
        <v>2.6026641642760961</v>
      </c>
      <c r="CQ105" s="374">
        <v>2.6026641642760961</v>
      </c>
      <c r="CR105" s="374">
        <v>2.6026641642760961</v>
      </c>
      <c r="CS105" s="374">
        <v>2.6026641642760961</v>
      </c>
      <c r="CT105" s="374">
        <v>2.403933333656088</v>
      </c>
      <c r="CU105" s="374">
        <v>2.403933333656088</v>
      </c>
      <c r="CV105" s="374">
        <v>2.403933333656088</v>
      </c>
      <c r="CW105" s="374">
        <v>2.403933333656088</v>
      </c>
      <c r="CX105" s="374">
        <v>3.3921924693551762</v>
      </c>
      <c r="CY105" s="374">
        <v>3.3921924693551762</v>
      </c>
      <c r="CZ105" s="374">
        <v>3.3921924693551762</v>
      </c>
      <c r="DA105" s="374">
        <v>3.3921924693551762</v>
      </c>
      <c r="DB105" s="374">
        <v>3.3921924693551762</v>
      </c>
      <c r="DC105" s="374">
        <v>3.3921924693551762</v>
      </c>
      <c r="DD105" s="374">
        <v>0.8984903504094246</v>
      </c>
      <c r="DE105" s="374">
        <v>0.8984903504094246</v>
      </c>
      <c r="DF105" s="373">
        <v>0.8984903504094246</v>
      </c>
      <c r="DG105" s="373">
        <v>0.27197976702033089</v>
      </c>
      <c r="DH105" s="373">
        <v>9.5177330105867722E-2</v>
      </c>
      <c r="DI105" s="373">
        <v>0.27197976702033089</v>
      </c>
      <c r="DJ105" s="308" t="s">
        <v>605</v>
      </c>
      <c r="DK105" s="308" t="s">
        <v>605</v>
      </c>
      <c r="DL105" s="309" t="s">
        <v>606</v>
      </c>
      <c r="DM105" s="309" t="s">
        <v>606</v>
      </c>
      <c r="DN105" s="272"/>
      <c r="DO105" s="272"/>
    </row>
    <row r="106" spans="1:119" ht="15" x14ac:dyDescent="0.3">
      <c r="A106" t="s">
        <v>904</v>
      </c>
      <c r="B106">
        <v>6</v>
      </c>
      <c r="C106" t="s">
        <v>640</v>
      </c>
      <c r="D106">
        <v>3</v>
      </c>
      <c r="E106" t="s">
        <v>564</v>
      </c>
      <c r="F106" t="s">
        <v>564</v>
      </c>
      <c r="G106">
        <v>2.560204E-2</v>
      </c>
      <c r="H106" s="231">
        <v>2.560204E-2</v>
      </c>
      <c r="BT106" s="372"/>
      <c r="BU106" s="259" t="s">
        <v>897</v>
      </c>
      <c r="BV106" s="260">
        <v>43001030302</v>
      </c>
      <c r="BW106" s="261" t="s">
        <v>914</v>
      </c>
      <c r="BX106" s="261" t="s">
        <v>915</v>
      </c>
      <c r="BY106" s="152">
        <v>2.0517355906831392</v>
      </c>
      <c r="BZ106" s="152">
        <v>2.4133013622010102</v>
      </c>
      <c r="CA106" s="152">
        <v>2.4133013622010102</v>
      </c>
      <c r="CB106" s="152">
        <v>2.4133013622010102</v>
      </c>
      <c r="CC106" s="152">
        <v>2.4133013622010102</v>
      </c>
      <c r="CD106" s="152">
        <v>2.4133013622010102</v>
      </c>
      <c r="CE106" s="152">
        <v>2.4133013622010102</v>
      </c>
      <c r="CF106" s="152">
        <v>4.374405794069653E-2</v>
      </c>
      <c r="CG106" s="152">
        <v>0.17047001959120731</v>
      </c>
      <c r="CH106" s="152">
        <v>0.63881531977824491</v>
      </c>
      <c r="CI106" s="152">
        <v>0.63881531977824491</v>
      </c>
      <c r="CJ106" s="259" t="s">
        <v>897</v>
      </c>
      <c r="CK106" s="261" t="s">
        <v>915</v>
      </c>
      <c r="CL106" s="374">
        <v>1.5541674729730961</v>
      </c>
      <c r="CM106" s="374">
        <v>1.5541674729730961</v>
      </c>
      <c r="CN106" s="374">
        <v>1.5541674729730961</v>
      </c>
      <c r="CO106" s="374">
        <v>1.5541674729730961</v>
      </c>
      <c r="CP106" s="374">
        <v>2.6026641642760961</v>
      </c>
      <c r="CQ106" s="374">
        <v>2.6026641642760961</v>
      </c>
      <c r="CR106" s="374">
        <v>2.6026641642760961</v>
      </c>
      <c r="CS106" s="374">
        <v>2.6026641642760961</v>
      </c>
      <c r="CT106" s="374">
        <v>3.4311747231719272</v>
      </c>
      <c r="CU106" s="374">
        <v>3.4311747231719272</v>
      </c>
      <c r="CV106" s="374">
        <v>3.4311747231719272</v>
      </c>
      <c r="CW106" s="374">
        <v>3.4311747231719272</v>
      </c>
      <c r="CX106" s="374">
        <v>3.3921924693551762</v>
      </c>
      <c r="CY106" s="374">
        <v>3.3921924693551762</v>
      </c>
      <c r="CZ106" s="374">
        <v>3.3921924693551762</v>
      </c>
      <c r="DA106" s="374">
        <v>3.3921924693551762</v>
      </c>
      <c r="DB106" s="374">
        <v>3.3921924693551762</v>
      </c>
      <c r="DC106" s="374">
        <v>3.3921924693551762</v>
      </c>
      <c r="DD106" s="374">
        <v>0.8984903504094246</v>
      </c>
      <c r="DE106" s="374">
        <v>0.8984903504094246</v>
      </c>
      <c r="DF106" s="373">
        <v>0.8984903504094246</v>
      </c>
      <c r="DG106" s="373">
        <v>0.45402223398082853</v>
      </c>
      <c r="DH106" s="373">
        <v>0.2394589584500238</v>
      </c>
      <c r="DI106" s="373">
        <v>0.45402223398082853</v>
      </c>
      <c r="DJ106" s="308" t="s">
        <v>605</v>
      </c>
      <c r="DK106" s="308" t="s">
        <v>605</v>
      </c>
      <c r="DL106" s="309" t="s">
        <v>606</v>
      </c>
      <c r="DM106" s="309" t="s">
        <v>606</v>
      </c>
      <c r="DN106" s="272"/>
      <c r="DO106" s="272"/>
    </row>
    <row r="107" spans="1:119" ht="15" x14ac:dyDescent="0.3">
      <c r="A107" t="s">
        <v>904</v>
      </c>
      <c r="B107">
        <v>7</v>
      </c>
      <c r="C107" t="s">
        <v>649</v>
      </c>
      <c r="D107">
        <v>3</v>
      </c>
      <c r="E107" t="s">
        <v>564</v>
      </c>
      <c r="F107" t="s">
        <v>564</v>
      </c>
      <c r="G107">
        <v>1.3152850000000001E-2</v>
      </c>
      <c r="H107" s="231">
        <v>1.3152850000000001E-2</v>
      </c>
      <c r="BT107" s="372"/>
      <c r="BU107" s="259" t="s">
        <v>897</v>
      </c>
      <c r="BV107" s="260">
        <v>43001030401</v>
      </c>
      <c r="BW107" s="261" t="s">
        <v>916</v>
      </c>
      <c r="BX107" s="261" t="s">
        <v>917</v>
      </c>
      <c r="BY107" s="152">
        <v>0.43929687463233402</v>
      </c>
      <c r="BZ107" s="152">
        <v>0.58630755072541274</v>
      </c>
      <c r="CA107" s="152">
        <v>0.58630755072541274</v>
      </c>
      <c r="CB107" s="152">
        <v>0.58630755072541274</v>
      </c>
      <c r="CC107" s="152">
        <v>0.58630755072541274</v>
      </c>
      <c r="CD107" s="152">
        <v>0.58630755072541274</v>
      </c>
      <c r="CE107" s="152">
        <v>0.58630755072541274</v>
      </c>
      <c r="CF107" s="152">
        <v>4.374405794069653E-2</v>
      </c>
      <c r="CG107" s="152">
        <v>4.7144851711899367E-2</v>
      </c>
      <c r="CH107" s="152">
        <v>0.36734423602918881</v>
      </c>
      <c r="CI107" s="152">
        <v>0.36734423602918881</v>
      </c>
      <c r="CJ107" s="259" t="s">
        <v>897</v>
      </c>
      <c r="CK107" s="261" t="s">
        <v>917</v>
      </c>
      <c r="CL107" s="374">
        <v>1.5541674729730961</v>
      </c>
      <c r="CM107" s="374">
        <v>1.5541674729730961</v>
      </c>
      <c r="CN107" s="374">
        <v>1.5541674729730961</v>
      </c>
      <c r="CO107" s="374">
        <v>1.5541674729730961</v>
      </c>
      <c r="CP107" s="374">
        <v>2.6026641642760961</v>
      </c>
      <c r="CQ107" s="374">
        <v>2.6026641642760961</v>
      </c>
      <c r="CR107" s="374">
        <v>2.6026641642760961</v>
      </c>
      <c r="CS107" s="374">
        <v>2.6026641642760961</v>
      </c>
      <c r="CT107" s="374">
        <v>0.3629383566810071</v>
      </c>
      <c r="CU107" s="374">
        <v>0.3629383566810071</v>
      </c>
      <c r="CV107" s="374">
        <v>0.3629383566810071</v>
      </c>
      <c r="CW107" s="374">
        <v>0.3629383566810071</v>
      </c>
      <c r="CX107" s="374">
        <v>1.173764085249424</v>
      </c>
      <c r="CY107" s="374">
        <v>1.173764085249424</v>
      </c>
      <c r="CZ107" s="374">
        <v>1.173764085249424</v>
      </c>
      <c r="DA107" s="374">
        <v>1.173764085249424</v>
      </c>
      <c r="DB107" s="374">
        <v>1.173764085249424</v>
      </c>
      <c r="DC107" s="374">
        <v>1.173764085249424</v>
      </c>
      <c r="DD107" s="374">
        <v>0.8984903504094246</v>
      </c>
      <c r="DE107" s="374">
        <v>0.8984903504094246</v>
      </c>
      <c r="DF107" s="373">
        <v>0.8984903504094246</v>
      </c>
      <c r="DG107" s="373">
        <v>0.12556287510840669</v>
      </c>
      <c r="DH107" s="373">
        <v>0.15419772919951</v>
      </c>
      <c r="DI107" s="373">
        <v>0.12556287510840669</v>
      </c>
      <c r="DJ107" s="308" t="s">
        <v>605</v>
      </c>
      <c r="DK107" s="308" t="s">
        <v>605</v>
      </c>
      <c r="DL107" s="309" t="s">
        <v>606</v>
      </c>
      <c r="DM107" s="309" t="s">
        <v>606</v>
      </c>
      <c r="DN107" s="272"/>
      <c r="DO107" s="272"/>
    </row>
    <row r="108" spans="1:119" ht="15" x14ac:dyDescent="0.3">
      <c r="A108" t="s">
        <v>904</v>
      </c>
      <c r="B108">
        <v>8</v>
      </c>
      <c r="C108" t="s">
        <v>655</v>
      </c>
      <c r="D108">
        <v>3</v>
      </c>
      <c r="E108" t="s">
        <v>564</v>
      </c>
      <c r="F108" t="s">
        <v>564</v>
      </c>
      <c r="G108">
        <v>8.9354130000000004E-2</v>
      </c>
      <c r="H108" s="231">
        <v>8.9354130000000004E-2</v>
      </c>
      <c r="BT108" s="372"/>
      <c r="BU108" s="259" t="s">
        <v>897</v>
      </c>
      <c r="BV108" s="260">
        <v>43001030402</v>
      </c>
      <c r="BW108" s="261" t="s">
        <v>918</v>
      </c>
      <c r="BX108" s="261" t="s">
        <v>919</v>
      </c>
      <c r="BY108" s="152">
        <v>1.7710145039362819</v>
      </c>
      <c r="BZ108" s="152">
        <v>2.4678331725627309</v>
      </c>
      <c r="CA108" s="152">
        <v>2.4678331725627309</v>
      </c>
      <c r="CB108" s="152">
        <v>2.4678331725627309</v>
      </c>
      <c r="CC108" s="152">
        <v>2.4678331725627309</v>
      </c>
      <c r="CD108" s="152">
        <v>2.4678331725627309</v>
      </c>
      <c r="CE108" s="152">
        <v>2.4678331725627309</v>
      </c>
      <c r="CF108" s="152">
        <v>3.078362412900127E-2</v>
      </c>
      <c r="CG108" s="152">
        <v>0.18919475711534459</v>
      </c>
      <c r="CH108" s="152">
        <v>1.298359731006931</v>
      </c>
      <c r="CI108" s="152">
        <v>1.298359731006931</v>
      </c>
      <c r="CJ108" s="259" t="s">
        <v>897</v>
      </c>
      <c r="CK108" s="261" t="s">
        <v>919</v>
      </c>
      <c r="CL108" s="374">
        <v>1.5541674729730961</v>
      </c>
      <c r="CM108" s="374">
        <v>1.5541674729730961</v>
      </c>
      <c r="CN108" s="374">
        <v>1.5541674729730961</v>
      </c>
      <c r="CO108" s="374">
        <v>1.5541674729730961</v>
      </c>
      <c r="CP108" s="374">
        <v>2.6026641642760961</v>
      </c>
      <c r="CQ108" s="374">
        <v>2.6026641642760961</v>
      </c>
      <c r="CR108" s="374">
        <v>2.6026641642760961</v>
      </c>
      <c r="CS108" s="374">
        <v>2.6026641642760961</v>
      </c>
      <c r="CT108" s="374">
        <v>3.5395949317474118</v>
      </c>
      <c r="CU108" s="374">
        <v>3.5395949317474118</v>
      </c>
      <c r="CV108" s="374">
        <v>3.5395949317474118</v>
      </c>
      <c r="CW108" s="374">
        <v>3.5395949317474118</v>
      </c>
      <c r="CX108" s="374">
        <v>3.3921924693551762</v>
      </c>
      <c r="CY108" s="374">
        <v>3.3921924693551762</v>
      </c>
      <c r="CZ108" s="374">
        <v>3.3921924693551762</v>
      </c>
      <c r="DA108" s="374">
        <v>3.3921924693551762</v>
      </c>
      <c r="DB108" s="374">
        <v>3.3921924693551762</v>
      </c>
      <c r="DC108" s="374">
        <v>3.3921924693551762</v>
      </c>
      <c r="DD108" s="374">
        <v>0.8984903504094246</v>
      </c>
      <c r="DE108" s="374">
        <v>0.8984903504094246</v>
      </c>
      <c r="DF108" s="373">
        <v>0.8984903504094246</v>
      </c>
      <c r="DG108" s="373">
        <v>0.50389130380223612</v>
      </c>
      <c r="DH108" s="373">
        <v>0.3619979925334309</v>
      </c>
      <c r="DI108" s="373">
        <v>0.50389130380223612</v>
      </c>
      <c r="DJ108" s="308" t="s">
        <v>605</v>
      </c>
      <c r="DK108" s="308" t="s">
        <v>605</v>
      </c>
      <c r="DL108" s="309" t="s">
        <v>606</v>
      </c>
      <c r="DM108" s="309" t="s">
        <v>606</v>
      </c>
      <c r="DN108" s="272"/>
      <c r="DO108" s="272"/>
    </row>
    <row r="109" spans="1:119" ht="15" x14ac:dyDescent="0.3">
      <c r="A109" t="s">
        <v>904</v>
      </c>
      <c r="B109">
        <v>9</v>
      </c>
      <c r="C109" t="s">
        <v>664</v>
      </c>
      <c r="D109">
        <v>2</v>
      </c>
      <c r="E109" t="s">
        <v>564</v>
      </c>
      <c r="F109" t="s">
        <v>564</v>
      </c>
      <c r="G109">
        <v>0.14383099999999999</v>
      </c>
      <c r="H109" s="231">
        <v>0.14383099999999999</v>
      </c>
      <c r="BT109" s="372"/>
      <c r="BU109" s="259" t="s">
        <v>897</v>
      </c>
      <c r="BV109" s="260">
        <v>43001030403</v>
      </c>
      <c r="BW109" s="261" t="s">
        <v>920</v>
      </c>
      <c r="BX109" s="261" t="s">
        <v>921</v>
      </c>
      <c r="BY109" s="152">
        <v>0.80367848719835067</v>
      </c>
      <c r="BZ109" s="152">
        <v>1.0753912999389561</v>
      </c>
      <c r="CA109" s="152">
        <v>1.0753912999389561</v>
      </c>
      <c r="CB109" s="152">
        <v>1.0753912999389561</v>
      </c>
      <c r="CC109" s="152">
        <v>1.0753912999389561</v>
      </c>
      <c r="CD109" s="152">
        <v>1.0753912999389561</v>
      </c>
      <c r="CE109" s="152">
        <v>1.0753912999389561</v>
      </c>
      <c r="CF109" s="152">
        <v>1.361203457803908E-2</v>
      </c>
      <c r="CG109" s="152">
        <v>0.14956417653917059</v>
      </c>
      <c r="CH109" s="152">
        <v>0.49854712905687593</v>
      </c>
      <c r="CI109" s="152">
        <v>0.49854712905687593</v>
      </c>
      <c r="CJ109" s="259" t="s">
        <v>897</v>
      </c>
      <c r="CK109" s="261" t="s">
        <v>921</v>
      </c>
      <c r="CL109" s="374">
        <v>1.5541674729730961</v>
      </c>
      <c r="CM109" s="374">
        <v>1.5541674729730961</v>
      </c>
      <c r="CN109" s="374">
        <v>1.5541674729730961</v>
      </c>
      <c r="CO109" s="374">
        <v>1.5541674729730961</v>
      </c>
      <c r="CP109" s="374">
        <v>2.6026641642760961</v>
      </c>
      <c r="CQ109" s="374">
        <v>2.6026641642760961</v>
      </c>
      <c r="CR109" s="374">
        <v>2.6026641642760961</v>
      </c>
      <c r="CS109" s="374">
        <v>2.6026641642760961</v>
      </c>
      <c r="CT109" s="374">
        <v>2.6719296137576571</v>
      </c>
      <c r="CU109" s="374">
        <v>2.6719296137576571</v>
      </c>
      <c r="CV109" s="374">
        <v>2.6719296137576571</v>
      </c>
      <c r="CW109" s="374">
        <v>2.6719296137576571</v>
      </c>
      <c r="CX109" s="374">
        <v>3.3921924693551762</v>
      </c>
      <c r="CY109" s="374">
        <v>3.3921924693551762</v>
      </c>
      <c r="CZ109" s="374">
        <v>3.3921924693551762</v>
      </c>
      <c r="DA109" s="374">
        <v>3.3921924693551762</v>
      </c>
      <c r="DB109" s="374">
        <v>3.3921924693551762</v>
      </c>
      <c r="DC109" s="374">
        <v>3.3921924693551762</v>
      </c>
      <c r="DD109" s="374">
        <v>0.8984903504094246</v>
      </c>
      <c r="DE109" s="374">
        <v>0.8984903504094246</v>
      </c>
      <c r="DF109" s="373">
        <v>0.8984903504094246</v>
      </c>
      <c r="DG109" s="373">
        <v>0.39834016829073182</v>
      </c>
      <c r="DH109" s="373">
        <v>0.14328299017304011</v>
      </c>
      <c r="DI109" s="373">
        <v>0.39834016829073182</v>
      </c>
      <c r="DJ109" s="308" t="s">
        <v>605</v>
      </c>
      <c r="DK109" s="308" t="s">
        <v>605</v>
      </c>
      <c r="DL109" s="309" t="s">
        <v>606</v>
      </c>
      <c r="DM109" s="309" t="s">
        <v>606</v>
      </c>
      <c r="DN109" s="272"/>
      <c r="DO109" s="272"/>
    </row>
    <row r="110" spans="1:119" ht="15" x14ac:dyDescent="0.3">
      <c r="A110" t="s">
        <v>904</v>
      </c>
      <c r="B110">
        <v>10</v>
      </c>
      <c r="C110" t="s">
        <v>672</v>
      </c>
      <c r="D110">
        <v>5</v>
      </c>
      <c r="E110" t="s">
        <v>564</v>
      </c>
      <c r="F110" t="s">
        <v>564</v>
      </c>
      <c r="G110">
        <v>9.6612089999999998E-2</v>
      </c>
      <c r="H110" s="231">
        <v>9.6612089999999998E-2</v>
      </c>
      <c r="BT110" s="372"/>
      <c r="BU110" s="259" t="s">
        <v>897</v>
      </c>
      <c r="BV110" s="260">
        <v>43001030501</v>
      </c>
      <c r="BW110" s="261" t="s">
        <v>922</v>
      </c>
      <c r="BX110" s="261" t="s">
        <v>923</v>
      </c>
      <c r="BY110" s="152">
        <v>1.112030143779404</v>
      </c>
      <c r="BZ110" s="152">
        <v>1.348716287930577</v>
      </c>
      <c r="CA110" s="152">
        <v>1.348716287930577</v>
      </c>
      <c r="CB110" s="152">
        <v>1.348716287930577</v>
      </c>
      <c r="CC110" s="152">
        <v>1.348716287930577</v>
      </c>
      <c r="CD110" s="152">
        <v>1.348716287930577</v>
      </c>
      <c r="CE110" s="152">
        <v>1.348716287930577</v>
      </c>
      <c r="CF110" s="152">
        <v>1.4122651122261191E-2</v>
      </c>
      <c r="CG110" s="152">
        <v>0.17722360706245091</v>
      </c>
      <c r="CH110" s="152">
        <v>0.46986409953577662</v>
      </c>
      <c r="CI110" s="152">
        <v>0.46986409953577662</v>
      </c>
      <c r="CJ110" s="259" t="s">
        <v>897</v>
      </c>
      <c r="CK110" s="261" t="s">
        <v>923</v>
      </c>
      <c r="CL110" s="374">
        <v>1.5541674729730961</v>
      </c>
      <c r="CM110" s="374">
        <v>1.5541674729730961</v>
      </c>
      <c r="CN110" s="374">
        <v>1.5541674729730961</v>
      </c>
      <c r="CO110" s="374">
        <v>1.5541674729730961</v>
      </c>
      <c r="CP110" s="374">
        <v>2.6026641642760961</v>
      </c>
      <c r="CQ110" s="374">
        <v>2.6026641642760961</v>
      </c>
      <c r="CR110" s="374">
        <v>2.6026641642760961</v>
      </c>
      <c r="CS110" s="374">
        <v>2.6026641642760961</v>
      </c>
      <c r="CT110" s="374">
        <v>0.92822509201057635</v>
      </c>
      <c r="CU110" s="374">
        <v>0.92822509201057635</v>
      </c>
      <c r="CV110" s="374">
        <v>0.92822509201057635</v>
      </c>
      <c r="CW110" s="374">
        <v>0.92822509201057635</v>
      </c>
      <c r="CX110" s="374">
        <v>1.8064334086889491</v>
      </c>
      <c r="CY110" s="374">
        <v>1.8064334086889491</v>
      </c>
      <c r="CZ110" s="374">
        <v>1.8064334086889491</v>
      </c>
      <c r="DA110" s="374">
        <v>1.8064334086889491</v>
      </c>
      <c r="DB110" s="374">
        <v>1.8064334086889491</v>
      </c>
      <c r="DC110" s="374">
        <v>1.8064334086889491</v>
      </c>
      <c r="DD110" s="374">
        <v>0.8984903504094246</v>
      </c>
      <c r="DE110" s="374">
        <v>0.8984903504094246</v>
      </c>
      <c r="DF110" s="373">
        <v>0.8984903504094246</v>
      </c>
      <c r="DG110" s="373">
        <v>0.4210164284986706</v>
      </c>
      <c r="DH110" s="373">
        <v>0.20675971921521299</v>
      </c>
      <c r="DI110" s="373">
        <v>0.4210164284986706</v>
      </c>
      <c r="DJ110" s="308" t="s">
        <v>605</v>
      </c>
      <c r="DK110" s="308" t="s">
        <v>605</v>
      </c>
      <c r="DL110" s="309" t="s">
        <v>606</v>
      </c>
      <c r="DM110" s="309" t="s">
        <v>606</v>
      </c>
      <c r="DN110" s="272"/>
      <c r="DO110" s="272"/>
    </row>
    <row r="111" spans="1:119" ht="15" x14ac:dyDescent="0.3">
      <c r="A111" t="s">
        <v>904</v>
      </c>
      <c r="B111">
        <v>11</v>
      </c>
      <c r="C111" t="s">
        <v>264</v>
      </c>
      <c r="D111">
        <v>8</v>
      </c>
      <c r="E111" t="s">
        <v>564</v>
      </c>
      <c r="F111" t="s">
        <v>564</v>
      </c>
      <c r="G111">
        <v>6.5302399999999997E-2</v>
      </c>
      <c r="H111" s="231">
        <v>6.5302399999999997E-2</v>
      </c>
      <c r="BT111" s="372"/>
      <c r="BU111" s="259" t="s">
        <v>897</v>
      </c>
      <c r="BV111" s="260">
        <v>43001030502</v>
      </c>
      <c r="BW111" s="261" t="s">
        <v>924</v>
      </c>
      <c r="BX111" s="261" t="s">
        <v>925</v>
      </c>
      <c r="BY111" s="152">
        <v>1.054881212767756</v>
      </c>
      <c r="BZ111" s="152">
        <v>1.2707203333435131</v>
      </c>
      <c r="CA111" s="152">
        <v>1.2707203333435131</v>
      </c>
      <c r="CB111" s="152">
        <v>1.2707203333435131</v>
      </c>
      <c r="CC111" s="152">
        <v>1.2707203333435131</v>
      </c>
      <c r="CD111" s="152">
        <v>1.2707203333435131</v>
      </c>
      <c r="CE111" s="152">
        <v>1.2707203333435131</v>
      </c>
      <c r="CF111" s="152">
        <v>1.193119627055418E-2</v>
      </c>
      <c r="CG111" s="152">
        <v>0.17722360706245091</v>
      </c>
      <c r="CH111" s="152">
        <v>0.26022591485339669</v>
      </c>
      <c r="CI111" s="152">
        <v>0.26022591485339669</v>
      </c>
      <c r="CJ111" s="259" t="s">
        <v>897</v>
      </c>
      <c r="CK111" s="261" t="s">
        <v>925</v>
      </c>
      <c r="CL111" s="374">
        <v>1.5541674729730961</v>
      </c>
      <c r="CM111" s="374">
        <v>1.5541674729730961</v>
      </c>
      <c r="CN111" s="374">
        <v>1.5541674729730961</v>
      </c>
      <c r="CO111" s="374">
        <v>1.5541674729730961</v>
      </c>
      <c r="CP111" s="374">
        <v>2.6026641642760961</v>
      </c>
      <c r="CQ111" s="374">
        <v>2.6026641642760961</v>
      </c>
      <c r="CR111" s="374">
        <v>2.6026641642760961</v>
      </c>
      <c r="CS111" s="374">
        <v>2.6026641642760961</v>
      </c>
      <c r="CT111" s="374">
        <v>3.2290110335616728</v>
      </c>
      <c r="CU111" s="374">
        <v>3.2290110335616728</v>
      </c>
      <c r="CV111" s="374">
        <v>3.2290110335616728</v>
      </c>
      <c r="CW111" s="374">
        <v>3.2290110335616728</v>
      </c>
      <c r="CX111" s="374">
        <v>2.0584967748054961</v>
      </c>
      <c r="CY111" s="374">
        <v>2.0584967748054961</v>
      </c>
      <c r="CZ111" s="374">
        <v>2.0584967748054961</v>
      </c>
      <c r="DA111" s="374">
        <v>2.0584967748054961</v>
      </c>
      <c r="DB111" s="374">
        <v>2.0584967748054961</v>
      </c>
      <c r="DC111" s="374">
        <v>2.0584967748054961</v>
      </c>
      <c r="DD111" s="374">
        <v>0.8984903504094246</v>
      </c>
      <c r="DE111" s="374">
        <v>0.8984903504094246</v>
      </c>
      <c r="DF111" s="373">
        <v>0.8984903504094246</v>
      </c>
      <c r="DG111" s="373">
        <v>0.4210164284986706</v>
      </c>
      <c r="DH111" s="373">
        <v>0.20675971921521299</v>
      </c>
      <c r="DI111" s="373">
        <v>0.4210164284986706</v>
      </c>
      <c r="DJ111" s="308" t="s">
        <v>605</v>
      </c>
      <c r="DK111" s="308" t="s">
        <v>605</v>
      </c>
      <c r="DL111" s="309" t="s">
        <v>606</v>
      </c>
      <c r="DM111" s="309" t="s">
        <v>606</v>
      </c>
      <c r="DN111" s="272"/>
      <c r="DO111" s="272"/>
    </row>
    <row r="112" spans="1:119" ht="15" x14ac:dyDescent="0.3">
      <c r="A112" t="s">
        <v>904</v>
      </c>
      <c r="B112">
        <v>12</v>
      </c>
      <c r="C112" t="s">
        <v>690</v>
      </c>
      <c r="D112">
        <v>5</v>
      </c>
      <c r="E112" t="s">
        <v>564</v>
      </c>
      <c r="F112" t="s">
        <v>564</v>
      </c>
      <c r="G112">
        <v>2.200908E-2</v>
      </c>
      <c r="H112" s="231">
        <v>2.200908E-2</v>
      </c>
      <c r="BT112" s="372"/>
      <c r="BU112" s="259" t="s">
        <v>897</v>
      </c>
      <c r="BV112" s="260">
        <v>43001030503</v>
      </c>
      <c r="BW112" s="261" t="s">
        <v>926</v>
      </c>
      <c r="BX112" s="261" t="s">
        <v>927</v>
      </c>
      <c r="BY112" s="152">
        <v>2.9430166103517279</v>
      </c>
      <c r="BZ112" s="152">
        <v>3.794184331544562</v>
      </c>
      <c r="CA112" s="152">
        <v>3.794184331544562</v>
      </c>
      <c r="CB112" s="152">
        <v>3.794184331544562</v>
      </c>
      <c r="CC112" s="152">
        <v>3.794184331544562</v>
      </c>
      <c r="CD112" s="152">
        <v>3.794184331544562</v>
      </c>
      <c r="CE112" s="152">
        <v>3.794184331544562</v>
      </c>
      <c r="CF112" s="152">
        <v>4.374405794069653E-2</v>
      </c>
      <c r="CG112" s="152">
        <v>0.17722360706245091</v>
      </c>
      <c r="CH112" s="152">
        <v>0.94353682929964411</v>
      </c>
      <c r="CI112" s="152">
        <v>0.94353682929964411</v>
      </c>
      <c r="CJ112" s="259" t="s">
        <v>897</v>
      </c>
      <c r="CK112" s="261" t="s">
        <v>927</v>
      </c>
      <c r="CL112" s="374">
        <v>1.5541674729730961</v>
      </c>
      <c r="CM112" s="374">
        <v>1.5541674729730961</v>
      </c>
      <c r="CN112" s="374">
        <v>1.5541674729730961</v>
      </c>
      <c r="CO112" s="374">
        <v>1.5541674729730961</v>
      </c>
      <c r="CP112" s="374">
        <v>2.6026641642760961</v>
      </c>
      <c r="CQ112" s="374">
        <v>2.6026641642760961</v>
      </c>
      <c r="CR112" s="374">
        <v>2.6026641642760961</v>
      </c>
      <c r="CS112" s="374">
        <v>2.6026641642760961</v>
      </c>
      <c r="CT112" s="374">
        <v>0.78003652951190072</v>
      </c>
      <c r="CU112" s="374">
        <v>0.78003652951190072</v>
      </c>
      <c r="CV112" s="374">
        <v>0.78003652951190072</v>
      </c>
      <c r="CW112" s="374">
        <v>0.78003652951190072</v>
      </c>
      <c r="CX112" s="374">
        <v>3.3921924693551762</v>
      </c>
      <c r="CY112" s="374">
        <v>3.3921924693551762</v>
      </c>
      <c r="CZ112" s="374">
        <v>3.3921924693551762</v>
      </c>
      <c r="DA112" s="374">
        <v>3.3921924693551762</v>
      </c>
      <c r="DB112" s="374">
        <v>3.3921924693551762</v>
      </c>
      <c r="DC112" s="374">
        <v>3.3921924693551762</v>
      </c>
      <c r="DD112" s="374">
        <v>0.8984903504094246</v>
      </c>
      <c r="DE112" s="374">
        <v>0.8984903504094246</v>
      </c>
      <c r="DF112" s="373">
        <v>0.8984903504094246</v>
      </c>
      <c r="DG112" s="373">
        <v>0.4210164284986706</v>
      </c>
      <c r="DH112" s="373">
        <v>0.3302337975643776</v>
      </c>
      <c r="DI112" s="373">
        <v>0.4210164284986706</v>
      </c>
      <c r="DJ112" s="308" t="s">
        <v>605</v>
      </c>
      <c r="DK112" s="308" t="s">
        <v>605</v>
      </c>
      <c r="DL112" s="309" t="s">
        <v>606</v>
      </c>
      <c r="DM112" s="309" t="s">
        <v>606</v>
      </c>
      <c r="DN112" s="272"/>
      <c r="DO112" s="272"/>
    </row>
    <row r="113" spans="1:119" ht="15" x14ac:dyDescent="0.3">
      <c r="A113" t="s">
        <v>904</v>
      </c>
      <c r="B113">
        <v>13</v>
      </c>
      <c r="C113" t="s">
        <v>571</v>
      </c>
      <c r="D113">
        <v>5</v>
      </c>
      <c r="E113" t="s">
        <v>564</v>
      </c>
      <c r="F113" t="s">
        <v>564</v>
      </c>
      <c r="G113">
        <v>3.473445E-2</v>
      </c>
      <c r="H113" s="231">
        <v>3.473445E-2</v>
      </c>
      <c r="BT113" s="372"/>
      <c r="BU113" s="259" t="s">
        <v>897</v>
      </c>
      <c r="BV113" s="260">
        <v>43001030504</v>
      </c>
      <c r="BW113" s="261" t="s">
        <v>928</v>
      </c>
      <c r="BX113" s="261" t="s">
        <v>929</v>
      </c>
      <c r="BY113" s="152">
        <v>1.6430160550627579</v>
      </c>
      <c r="BZ113" s="152">
        <v>2.0354477491010838</v>
      </c>
      <c r="CA113" s="152">
        <v>2.0354477491010838</v>
      </c>
      <c r="CB113" s="152">
        <v>2.0354477491010838</v>
      </c>
      <c r="CC113" s="152">
        <v>2.0354477491010838</v>
      </c>
      <c r="CD113" s="152">
        <v>2.0354477491010838</v>
      </c>
      <c r="CE113" s="152">
        <v>2.0354477491010838</v>
      </c>
      <c r="CF113" s="152">
        <v>2.742053546917772E-2</v>
      </c>
      <c r="CG113" s="152">
        <v>0.17722402055963621</v>
      </c>
      <c r="CH113" s="152">
        <v>0.83457108537469993</v>
      </c>
      <c r="CI113" s="152">
        <v>0.83457108537469993</v>
      </c>
      <c r="CJ113" s="259" t="s">
        <v>897</v>
      </c>
      <c r="CK113" s="261" t="s">
        <v>929</v>
      </c>
      <c r="CL113" s="374">
        <v>1.5541674729730961</v>
      </c>
      <c r="CM113" s="374">
        <v>1.5541674729730961</v>
      </c>
      <c r="CN113" s="374">
        <v>1.5541674729730961</v>
      </c>
      <c r="CO113" s="374">
        <v>1.5541674729730961</v>
      </c>
      <c r="CP113" s="374">
        <v>2.6026641642760961</v>
      </c>
      <c r="CQ113" s="374">
        <v>2.6026641642760961</v>
      </c>
      <c r="CR113" s="374">
        <v>2.6026641642760961</v>
      </c>
      <c r="CS113" s="374">
        <v>2.6026641642760961</v>
      </c>
      <c r="CT113" s="374">
        <v>0.53931739635640308</v>
      </c>
      <c r="CU113" s="374">
        <v>0.53931739635640308</v>
      </c>
      <c r="CV113" s="374">
        <v>0.53931739635640308</v>
      </c>
      <c r="CW113" s="374">
        <v>0.53931739635640308</v>
      </c>
      <c r="CX113" s="374">
        <v>3.3921924693551762</v>
      </c>
      <c r="CY113" s="374">
        <v>3.3921924693551762</v>
      </c>
      <c r="CZ113" s="374">
        <v>3.3921924693551762</v>
      </c>
      <c r="DA113" s="374">
        <v>3.3921924693551762</v>
      </c>
      <c r="DB113" s="374">
        <v>3.3921924693551762</v>
      </c>
      <c r="DC113" s="374">
        <v>3.3921924693551762</v>
      </c>
      <c r="DD113" s="374">
        <v>0.8984903504094246</v>
      </c>
      <c r="DE113" s="374">
        <v>0.8984903504094246</v>
      </c>
      <c r="DF113" s="373">
        <v>0.8984903504094246</v>
      </c>
      <c r="DG113" s="373">
        <v>0.47200774682618218</v>
      </c>
      <c r="DH113" s="373">
        <v>0.28400303610755923</v>
      </c>
      <c r="DI113" s="373">
        <v>0.47200774682618218</v>
      </c>
      <c r="DJ113" s="308" t="s">
        <v>605</v>
      </c>
      <c r="DK113" s="308" t="s">
        <v>605</v>
      </c>
      <c r="DL113" s="309" t="s">
        <v>606</v>
      </c>
      <c r="DM113" s="309" t="s">
        <v>606</v>
      </c>
      <c r="DN113" s="272"/>
      <c r="DO113" s="272"/>
    </row>
    <row r="114" spans="1:119" ht="15" x14ac:dyDescent="0.3">
      <c r="A114" t="s">
        <v>904</v>
      </c>
      <c r="B114">
        <v>14</v>
      </c>
      <c r="C114" t="s">
        <v>697</v>
      </c>
      <c r="D114">
        <v>5</v>
      </c>
      <c r="E114" t="s">
        <v>564</v>
      </c>
      <c r="F114" t="s">
        <v>564</v>
      </c>
      <c r="G114">
        <v>6.1098079999999999E-2</v>
      </c>
      <c r="H114" s="231">
        <v>6.1098079999999999E-2</v>
      </c>
      <c r="BT114" s="372"/>
      <c r="BU114" s="259" t="s">
        <v>897</v>
      </c>
      <c r="BV114" s="260">
        <v>43001030601</v>
      </c>
      <c r="BW114" s="261" t="s">
        <v>930</v>
      </c>
      <c r="BX114" s="261" t="s">
        <v>931</v>
      </c>
      <c r="BY114" s="152">
        <v>0.64244230634331756</v>
      </c>
      <c r="BZ114" s="152">
        <v>0.90824437520276258</v>
      </c>
      <c r="CA114" s="152">
        <v>0.90824437520276258</v>
      </c>
      <c r="CB114" s="152">
        <v>0.90824437520276258</v>
      </c>
      <c r="CC114" s="152">
        <v>0.90824437520276258</v>
      </c>
      <c r="CD114" s="152">
        <v>0.90824437520276258</v>
      </c>
      <c r="CE114" s="152">
        <v>0.90824437520276258</v>
      </c>
      <c r="CF114" s="152">
        <v>1.930706817945926E-2</v>
      </c>
      <c r="CG114" s="152">
        <v>0.27583484285947413</v>
      </c>
      <c r="CH114" s="152">
        <v>0.3650917206563411</v>
      </c>
      <c r="CI114" s="152">
        <v>0.3650917206563411</v>
      </c>
      <c r="CJ114" s="259" t="s">
        <v>897</v>
      </c>
      <c r="CK114" s="261" t="s">
        <v>931</v>
      </c>
      <c r="CL114" s="374">
        <v>1.5541674729730961</v>
      </c>
      <c r="CM114" s="374">
        <v>1.5541674729730961</v>
      </c>
      <c r="CN114" s="374">
        <v>1.5541674729730961</v>
      </c>
      <c r="CO114" s="374">
        <v>1.5541674729730961</v>
      </c>
      <c r="CP114" s="374">
        <v>2.6026641642760961</v>
      </c>
      <c r="CQ114" s="374">
        <v>2.6026641642760961</v>
      </c>
      <c r="CR114" s="374">
        <v>2.6026641642760961</v>
      </c>
      <c r="CS114" s="374">
        <v>2.6026641642760961</v>
      </c>
      <c r="CT114" s="374">
        <v>0.30980600615955078</v>
      </c>
      <c r="CU114" s="374">
        <v>0.30980600615955078</v>
      </c>
      <c r="CV114" s="374">
        <v>0.30980600615955078</v>
      </c>
      <c r="CW114" s="374">
        <v>0.30980600615955078</v>
      </c>
      <c r="CX114" s="374">
        <v>3.0524686935772012</v>
      </c>
      <c r="CY114" s="374">
        <v>3.0524686935772012</v>
      </c>
      <c r="CZ114" s="374">
        <v>3.0524686935772012</v>
      </c>
      <c r="DA114" s="374">
        <v>3.0524686935772012</v>
      </c>
      <c r="DB114" s="374">
        <v>3.0524686935772012</v>
      </c>
      <c r="DC114" s="374">
        <v>3.0524686935772012</v>
      </c>
      <c r="DD114" s="374">
        <v>0.8984903504094246</v>
      </c>
      <c r="DE114" s="374">
        <v>0.8984903504094246</v>
      </c>
      <c r="DF114" s="373">
        <v>0.8984903504094246</v>
      </c>
      <c r="DG114" s="373">
        <v>0.30303911683149809</v>
      </c>
      <c r="DH114" s="373">
        <v>0.12210265880940931</v>
      </c>
      <c r="DI114" s="373">
        <v>0.30303911683149809</v>
      </c>
      <c r="DJ114" s="308" t="s">
        <v>605</v>
      </c>
      <c r="DK114" s="308" t="s">
        <v>605</v>
      </c>
      <c r="DL114" s="309" t="s">
        <v>606</v>
      </c>
      <c r="DM114" s="309" t="s">
        <v>606</v>
      </c>
      <c r="DN114" s="272"/>
      <c r="DO114" s="272"/>
    </row>
    <row r="115" spans="1:119" ht="15" x14ac:dyDescent="0.3">
      <c r="A115" t="s">
        <v>904</v>
      </c>
      <c r="B115">
        <v>17</v>
      </c>
      <c r="C115" t="s">
        <v>473</v>
      </c>
      <c r="D115">
        <v>7</v>
      </c>
      <c r="E115" t="s">
        <v>564</v>
      </c>
      <c r="F115" t="s">
        <v>564</v>
      </c>
      <c r="G115">
        <v>2.48541E-2</v>
      </c>
      <c r="H115" s="231">
        <v>2.48541E-2</v>
      </c>
      <c r="BT115" s="372"/>
      <c r="BU115" s="259" t="s">
        <v>897</v>
      </c>
      <c r="BV115" s="260">
        <v>43001030602</v>
      </c>
      <c r="BW115" s="261" t="s">
        <v>932</v>
      </c>
      <c r="BX115" s="261" t="s">
        <v>933</v>
      </c>
      <c r="BY115" s="152">
        <v>1.0072032300763869</v>
      </c>
      <c r="BZ115" s="152">
        <v>1.214275111689002</v>
      </c>
      <c r="CA115" s="152">
        <v>1.214275111689002</v>
      </c>
      <c r="CB115" s="152">
        <v>1.214275111689002</v>
      </c>
      <c r="CC115" s="152">
        <v>1.214275111689002</v>
      </c>
      <c r="CD115" s="152">
        <v>1.214275111689002</v>
      </c>
      <c r="CE115" s="152">
        <v>1.214275111689002</v>
      </c>
      <c r="CF115" s="152">
        <v>2.1840048883104181E-2</v>
      </c>
      <c r="CG115" s="152">
        <v>7.9577112605318787E-2</v>
      </c>
      <c r="CH115" s="152">
        <v>0.35031325002223218</v>
      </c>
      <c r="CI115" s="152">
        <v>0.35031325002223218</v>
      </c>
      <c r="CJ115" s="259" t="s">
        <v>897</v>
      </c>
      <c r="CK115" s="261" t="s">
        <v>933</v>
      </c>
      <c r="CL115" s="374">
        <v>1.5541674729730961</v>
      </c>
      <c r="CM115" s="374">
        <v>1.5541674729730961</v>
      </c>
      <c r="CN115" s="374">
        <v>1.5541674729730961</v>
      </c>
      <c r="CO115" s="374">
        <v>1.5541674729730961</v>
      </c>
      <c r="CP115" s="374">
        <v>2.6026641642760961</v>
      </c>
      <c r="CQ115" s="374">
        <v>2.6026641642760961</v>
      </c>
      <c r="CR115" s="374">
        <v>2.6026641642760961</v>
      </c>
      <c r="CS115" s="374">
        <v>2.6026641642760961</v>
      </c>
      <c r="CT115" s="374">
        <v>0.73692145577219748</v>
      </c>
      <c r="CU115" s="374">
        <v>0.73692145577219748</v>
      </c>
      <c r="CV115" s="374">
        <v>0.73692145577219748</v>
      </c>
      <c r="CW115" s="374">
        <v>0.73692145577219748</v>
      </c>
      <c r="CX115" s="374">
        <v>3.4772282829212648</v>
      </c>
      <c r="CY115" s="374">
        <v>3.4772282829212648</v>
      </c>
      <c r="CZ115" s="374">
        <v>3.4772282829212648</v>
      </c>
      <c r="DA115" s="374">
        <v>3.4772282829212648</v>
      </c>
      <c r="DB115" s="374">
        <v>3.4772282829212648</v>
      </c>
      <c r="DC115" s="374">
        <v>3.4772282829212648</v>
      </c>
      <c r="DD115" s="374">
        <v>0.8984903504094246</v>
      </c>
      <c r="DE115" s="374">
        <v>0.8984903504094246</v>
      </c>
      <c r="DF115" s="373">
        <v>0.8984903504094246</v>
      </c>
      <c r="DG115" s="373">
        <v>0.21194063535657309</v>
      </c>
      <c r="DH115" s="373">
        <v>0.12566830175399801</v>
      </c>
      <c r="DI115" s="373">
        <v>0.21194063535657309</v>
      </c>
      <c r="DJ115" s="308" t="s">
        <v>605</v>
      </c>
      <c r="DK115" s="308" t="s">
        <v>605</v>
      </c>
      <c r="DL115" s="309" t="s">
        <v>606</v>
      </c>
      <c r="DM115" s="309" t="s">
        <v>606</v>
      </c>
      <c r="DN115" s="272"/>
      <c r="DO115" s="272"/>
    </row>
    <row r="116" spans="1:119" ht="15" x14ac:dyDescent="0.3">
      <c r="A116" t="s">
        <v>904</v>
      </c>
      <c r="B116">
        <v>18</v>
      </c>
      <c r="C116" t="s">
        <v>709</v>
      </c>
      <c r="D116">
        <v>5</v>
      </c>
      <c r="E116" t="s">
        <v>564</v>
      </c>
      <c r="F116" t="s">
        <v>564</v>
      </c>
      <c r="G116">
        <v>1.02297E-2</v>
      </c>
      <c r="H116" s="231">
        <v>1.02297E-2</v>
      </c>
      <c r="BT116" s="372"/>
      <c r="BU116" s="259" t="s">
        <v>897</v>
      </c>
      <c r="BV116" s="260">
        <v>43001030603</v>
      </c>
      <c r="BW116" s="261" t="s">
        <v>934</v>
      </c>
      <c r="BX116" s="261" t="s">
        <v>935</v>
      </c>
      <c r="BY116" s="152">
        <v>1.6504405553196679</v>
      </c>
      <c r="BZ116" s="152">
        <v>2.0826681052925058</v>
      </c>
      <c r="CA116" s="152">
        <v>2.0826681052925058</v>
      </c>
      <c r="CB116" s="152">
        <v>2.0826681052925058</v>
      </c>
      <c r="CC116" s="152">
        <v>2.0826681052925058</v>
      </c>
      <c r="CD116" s="152">
        <v>2.0826681052925058</v>
      </c>
      <c r="CE116" s="152">
        <v>2.0826681052925058</v>
      </c>
      <c r="CF116" s="152">
        <v>3.6336469870234873E-2</v>
      </c>
      <c r="CG116" s="152">
        <v>0.13023965494520029</v>
      </c>
      <c r="CH116" s="152">
        <v>0.64787070491820997</v>
      </c>
      <c r="CI116" s="152">
        <v>0.64787070491820997</v>
      </c>
      <c r="CJ116" s="259" t="s">
        <v>897</v>
      </c>
      <c r="CK116" s="261" t="s">
        <v>935</v>
      </c>
      <c r="CL116" s="374">
        <v>1.5541674729730961</v>
      </c>
      <c r="CM116" s="374">
        <v>1.5541674729730961</v>
      </c>
      <c r="CN116" s="374">
        <v>1.5541674729730961</v>
      </c>
      <c r="CO116" s="374">
        <v>1.5541674729730961</v>
      </c>
      <c r="CP116" s="374">
        <v>2.6026641642760961</v>
      </c>
      <c r="CQ116" s="374">
        <v>2.6026641642760961</v>
      </c>
      <c r="CR116" s="374">
        <v>2.6026641642760961</v>
      </c>
      <c r="CS116" s="374">
        <v>2.6026641642760961</v>
      </c>
      <c r="CT116" s="374">
        <v>0.78003652951190072</v>
      </c>
      <c r="CU116" s="374">
        <v>0.78003652951190072</v>
      </c>
      <c r="CV116" s="374">
        <v>0.78003652951190072</v>
      </c>
      <c r="CW116" s="374">
        <v>0.78003652951190072</v>
      </c>
      <c r="CX116" s="374">
        <v>3.5971956396186822</v>
      </c>
      <c r="CY116" s="374">
        <v>3.5971956396186822</v>
      </c>
      <c r="CZ116" s="374">
        <v>3.5971956396186822</v>
      </c>
      <c r="DA116" s="374">
        <v>3.5971956396186822</v>
      </c>
      <c r="DB116" s="374">
        <v>3.5971956396186822</v>
      </c>
      <c r="DC116" s="374">
        <v>3.5971956396186822</v>
      </c>
      <c r="DD116" s="374">
        <v>0.8984903504094246</v>
      </c>
      <c r="DE116" s="374">
        <v>0.8984903504094246</v>
      </c>
      <c r="DF116" s="373">
        <v>0.8984903504094246</v>
      </c>
      <c r="DG116" s="373">
        <v>0.34687378109213662</v>
      </c>
      <c r="DH116" s="373">
        <v>0.18553314208269461</v>
      </c>
      <c r="DI116" s="373">
        <v>0.34687378109213662</v>
      </c>
      <c r="DJ116" s="308" t="s">
        <v>605</v>
      </c>
      <c r="DK116" s="308" t="s">
        <v>605</v>
      </c>
      <c r="DL116" s="309" t="s">
        <v>606</v>
      </c>
      <c r="DM116" s="309" t="s">
        <v>606</v>
      </c>
      <c r="DN116" s="272"/>
      <c r="DO116" s="272"/>
    </row>
    <row r="117" spans="1:119" ht="15" x14ac:dyDescent="0.3">
      <c r="A117" t="s">
        <v>904</v>
      </c>
      <c r="B117">
        <v>19</v>
      </c>
      <c r="C117" t="s">
        <v>714</v>
      </c>
      <c r="D117">
        <v>5</v>
      </c>
      <c r="E117" t="s">
        <v>564</v>
      </c>
      <c r="F117" t="s">
        <v>564</v>
      </c>
      <c r="G117">
        <v>0.12323969999999999</v>
      </c>
      <c r="H117" s="231">
        <v>0.12323969999999999</v>
      </c>
      <c r="BT117" s="372"/>
      <c r="BU117" s="259" t="s">
        <v>897</v>
      </c>
      <c r="BV117" s="260">
        <v>43001030604</v>
      </c>
      <c r="BW117" s="261" t="s">
        <v>936</v>
      </c>
      <c r="BX117" s="261" t="s">
        <v>937</v>
      </c>
      <c r="BY117" s="152">
        <v>0.99726133834456498</v>
      </c>
      <c r="BZ117" s="152">
        <v>1.3643075464633609</v>
      </c>
      <c r="CA117" s="152">
        <v>1.3643075464633609</v>
      </c>
      <c r="CB117" s="152">
        <v>1.3643075464633609</v>
      </c>
      <c r="CC117" s="152">
        <v>1.3643075464633609</v>
      </c>
      <c r="CD117" s="152">
        <v>1.3643075464633609</v>
      </c>
      <c r="CE117" s="152">
        <v>1.3643075464633609</v>
      </c>
      <c r="CF117" s="152">
        <v>5.8669511210509888E-2</v>
      </c>
      <c r="CG117" s="152">
        <v>1.394820757049378</v>
      </c>
      <c r="CH117" s="152">
        <v>0.64755231548706671</v>
      </c>
      <c r="CI117" s="152">
        <v>0.64755231548706671</v>
      </c>
      <c r="CJ117" s="259" t="s">
        <v>897</v>
      </c>
      <c r="CK117" s="261" t="s">
        <v>937</v>
      </c>
      <c r="CL117" s="374">
        <v>1.5541674729730961</v>
      </c>
      <c r="CM117" s="374">
        <v>1.5541674729730961</v>
      </c>
      <c r="CN117" s="374">
        <v>1.5541674729730961</v>
      </c>
      <c r="CO117" s="374">
        <v>1.5541674729730961</v>
      </c>
      <c r="CP117" s="374">
        <v>2.6026641642760961</v>
      </c>
      <c r="CQ117" s="374">
        <v>2.6026641642760961</v>
      </c>
      <c r="CR117" s="374">
        <v>2.6026641642760961</v>
      </c>
      <c r="CS117" s="374">
        <v>2.6026641642760961</v>
      </c>
      <c r="CT117" s="374">
        <v>1.855248701976637</v>
      </c>
      <c r="CU117" s="374">
        <v>1.855248701976637</v>
      </c>
      <c r="CV117" s="374">
        <v>1.855248701976637</v>
      </c>
      <c r="CW117" s="374">
        <v>1.855248701976637</v>
      </c>
      <c r="CX117" s="374">
        <v>3.3921924693551762</v>
      </c>
      <c r="CY117" s="374">
        <v>3.3921924693551762</v>
      </c>
      <c r="CZ117" s="374">
        <v>3.3921924693551762</v>
      </c>
      <c r="DA117" s="374">
        <v>3.3921924693551762</v>
      </c>
      <c r="DB117" s="374">
        <v>3.3921924693551762</v>
      </c>
      <c r="DC117" s="374">
        <v>3.3921924693551762</v>
      </c>
      <c r="DD117" s="374">
        <v>0.8984903504094246</v>
      </c>
      <c r="DE117" s="374">
        <v>0.8984903504094246</v>
      </c>
      <c r="DF117" s="373">
        <v>0.8984903504094246</v>
      </c>
      <c r="DG117" s="373">
        <v>0.42768195377336438</v>
      </c>
      <c r="DH117" s="373">
        <v>0.1873443681889396</v>
      </c>
      <c r="DI117" s="373">
        <v>0.42768195377336438</v>
      </c>
      <c r="DJ117" s="308" t="s">
        <v>605</v>
      </c>
      <c r="DK117" s="308" t="s">
        <v>605</v>
      </c>
      <c r="DL117" s="309" t="s">
        <v>606</v>
      </c>
      <c r="DM117" s="309" t="s">
        <v>606</v>
      </c>
      <c r="DN117" s="272"/>
      <c r="DO117" s="272"/>
    </row>
    <row r="118" spans="1:119" ht="15" x14ac:dyDescent="0.3">
      <c r="A118" t="s">
        <v>904</v>
      </c>
      <c r="B118">
        <v>20</v>
      </c>
      <c r="C118" t="s">
        <v>720</v>
      </c>
      <c r="D118">
        <v>5</v>
      </c>
      <c r="E118" t="s">
        <v>564</v>
      </c>
      <c r="F118" t="s">
        <v>564</v>
      </c>
      <c r="G118">
        <v>2.481628E-2</v>
      </c>
      <c r="H118" s="231">
        <v>2.481628E-2</v>
      </c>
      <c r="BT118" s="372"/>
      <c r="BU118" s="259" t="s">
        <v>897</v>
      </c>
      <c r="BV118" s="260">
        <v>43001030701</v>
      </c>
      <c r="BW118" s="261" t="s">
        <v>938</v>
      </c>
      <c r="BX118" s="261" t="s">
        <v>939</v>
      </c>
      <c r="BY118" s="152">
        <v>1.3841639189016171</v>
      </c>
      <c r="BZ118" s="152">
        <v>1.835452666859142</v>
      </c>
      <c r="CA118" s="152">
        <v>1.835452666859142</v>
      </c>
      <c r="CB118" s="152">
        <v>1.835452666859142</v>
      </c>
      <c r="CC118" s="152">
        <v>1.835452666859142</v>
      </c>
      <c r="CD118" s="152">
        <v>1.835452666859142</v>
      </c>
      <c r="CE118" s="152">
        <v>1.835452666859142</v>
      </c>
      <c r="CF118" s="152">
        <v>5.5033546019790491E-2</v>
      </c>
      <c r="CG118" s="152">
        <v>0.96104230472015462</v>
      </c>
      <c r="CH118" s="152">
        <v>0.69750447356961287</v>
      </c>
      <c r="CI118" s="152">
        <v>0.69750447356961287</v>
      </c>
      <c r="CJ118" s="259" t="s">
        <v>897</v>
      </c>
      <c r="CK118" s="261" t="s">
        <v>939</v>
      </c>
      <c r="CL118" s="374">
        <v>1.5541674729730961</v>
      </c>
      <c r="CM118" s="374">
        <v>1.5541674729730961</v>
      </c>
      <c r="CN118" s="374">
        <v>1.5541674729730961</v>
      </c>
      <c r="CO118" s="374">
        <v>1.5541674729730961</v>
      </c>
      <c r="CP118" s="374">
        <v>2.6026641642760961</v>
      </c>
      <c r="CQ118" s="374">
        <v>2.6026641642760961</v>
      </c>
      <c r="CR118" s="374">
        <v>2.6026641642760961</v>
      </c>
      <c r="CS118" s="374">
        <v>2.6026641642760961</v>
      </c>
      <c r="CT118" s="374">
        <v>2.8520501402709009</v>
      </c>
      <c r="CU118" s="374">
        <v>2.8520501402709009</v>
      </c>
      <c r="CV118" s="374">
        <v>2.8520501402709009</v>
      </c>
      <c r="CW118" s="374">
        <v>2.8520501402709009</v>
      </c>
      <c r="CX118" s="374">
        <v>3.3921924693551762</v>
      </c>
      <c r="CY118" s="374">
        <v>3.3921924693551762</v>
      </c>
      <c r="CZ118" s="374">
        <v>3.3921924693551762</v>
      </c>
      <c r="DA118" s="374">
        <v>3.3921924693551762</v>
      </c>
      <c r="DB118" s="374">
        <v>3.3921924693551762</v>
      </c>
      <c r="DC118" s="374">
        <v>3.3921924693551762</v>
      </c>
      <c r="DD118" s="374">
        <v>0.8984903504094246</v>
      </c>
      <c r="DE118" s="374">
        <v>0.8984903504094246</v>
      </c>
      <c r="DF118" s="373">
        <v>0.8984903504094246</v>
      </c>
      <c r="DG118" s="373">
        <v>0.32679581618398229</v>
      </c>
      <c r="DH118" s="373">
        <v>0.1965202563024184</v>
      </c>
      <c r="DI118" s="373">
        <v>0.32679581618398229</v>
      </c>
      <c r="DJ118" s="308" t="s">
        <v>605</v>
      </c>
      <c r="DK118" s="308" t="s">
        <v>605</v>
      </c>
      <c r="DL118" s="309" t="s">
        <v>606</v>
      </c>
      <c r="DM118" s="309" t="s">
        <v>606</v>
      </c>
      <c r="DN118" s="272"/>
      <c r="DO118" s="272"/>
    </row>
    <row r="119" spans="1:119" ht="15" x14ac:dyDescent="0.3">
      <c r="A119" t="s">
        <v>904</v>
      </c>
      <c r="B119">
        <v>21</v>
      </c>
      <c r="C119" t="s">
        <v>726</v>
      </c>
      <c r="D119">
        <v>6</v>
      </c>
      <c r="E119" t="s">
        <v>564</v>
      </c>
      <c r="F119" t="s">
        <v>564</v>
      </c>
      <c r="G119">
        <v>3.155032E-2</v>
      </c>
      <c r="H119" s="231">
        <v>3.155032E-2</v>
      </c>
      <c r="BT119" s="372"/>
      <c r="BU119" s="259" t="s">
        <v>897</v>
      </c>
      <c r="BV119" s="260">
        <v>43001030702</v>
      </c>
      <c r="BW119" s="261" t="s">
        <v>940</v>
      </c>
      <c r="BX119" s="261" t="s">
        <v>941</v>
      </c>
      <c r="BY119" s="152">
        <v>0.80540861937131591</v>
      </c>
      <c r="BZ119" s="152">
        <v>0.92564165888963112</v>
      </c>
      <c r="CA119" s="152">
        <v>0.92564165888963112</v>
      </c>
      <c r="CB119" s="152">
        <v>0.92564165888963112</v>
      </c>
      <c r="CC119" s="152">
        <v>0.92564165888963112</v>
      </c>
      <c r="CD119" s="152">
        <v>0.92564165888963112</v>
      </c>
      <c r="CE119" s="152">
        <v>0.92564165888963112</v>
      </c>
      <c r="CF119" s="152">
        <v>4.374405794069653E-2</v>
      </c>
      <c r="CG119" s="152">
        <v>0.17722360706245091</v>
      </c>
      <c r="CH119" s="152">
        <v>0.50356323785360146</v>
      </c>
      <c r="CI119" s="152">
        <v>0.50356323785360146</v>
      </c>
      <c r="CJ119" s="259" t="s">
        <v>897</v>
      </c>
      <c r="CK119" s="261" t="s">
        <v>941</v>
      </c>
      <c r="CL119" s="374">
        <v>1.5541674729730961</v>
      </c>
      <c r="CM119" s="374">
        <v>1.5541674729730961</v>
      </c>
      <c r="CN119" s="374">
        <v>1.5541674729730961</v>
      </c>
      <c r="CO119" s="374">
        <v>1.5541674729730961</v>
      </c>
      <c r="CP119" s="374">
        <v>2.6026641642760961</v>
      </c>
      <c r="CQ119" s="374">
        <v>2.6026641642760961</v>
      </c>
      <c r="CR119" s="374">
        <v>2.6026641642760961</v>
      </c>
      <c r="CS119" s="374">
        <v>2.6026641642760961</v>
      </c>
      <c r="CT119" s="374">
        <v>0.37007657845539887</v>
      </c>
      <c r="CU119" s="374">
        <v>0.37007657845539887</v>
      </c>
      <c r="CV119" s="374">
        <v>0.37007657845539887</v>
      </c>
      <c r="CW119" s="374">
        <v>0.37007657845539887</v>
      </c>
      <c r="CX119" s="374">
        <v>3.1841663268582052</v>
      </c>
      <c r="CY119" s="374">
        <v>3.1841663268582052</v>
      </c>
      <c r="CZ119" s="374">
        <v>3.1841663268582052</v>
      </c>
      <c r="DA119" s="374">
        <v>3.1841663268582052</v>
      </c>
      <c r="DB119" s="374">
        <v>3.1841663268582052</v>
      </c>
      <c r="DC119" s="374">
        <v>3.1841663268582052</v>
      </c>
      <c r="DD119" s="374">
        <v>0.8984903504094246</v>
      </c>
      <c r="DE119" s="374">
        <v>0.8984903504094246</v>
      </c>
      <c r="DF119" s="373">
        <v>0.8984903504094246</v>
      </c>
      <c r="DG119" s="373">
        <v>0.4210164284986706</v>
      </c>
      <c r="DH119" s="373">
        <v>0.20675971921521299</v>
      </c>
      <c r="DI119" s="373">
        <v>0.4210164284986706</v>
      </c>
      <c r="DJ119" s="308" t="s">
        <v>605</v>
      </c>
      <c r="DK119" s="308" t="s">
        <v>605</v>
      </c>
      <c r="DL119" s="309" t="s">
        <v>606</v>
      </c>
      <c r="DM119" s="309" t="s">
        <v>606</v>
      </c>
      <c r="DN119" s="272"/>
      <c r="DO119" s="272"/>
    </row>
    <row r="120" spans="1:119" ht="15" x14ac:dyDescent="0.3">
      <c r="A120" t="s">
        <v>904</v>
      </c>
      <c r="B120">
        <v>22</v>
      </c>
      <c r="C120" t="s">
        <v>693</v>
      </c>
      <c r="D120">
        <v>6</v>
      </c>
      <c r="E120" t="s">
        <v>564</v>
      </c>
      <c r="F120" t="s">
        <v>564</v>
      </c>
      <c r="G120">
        <v>7.3373389999999997E-2</v>
      </c>
      <c r="H120" s="231">
        <v>7.3373389999999997E-2</v>
      </c>
      <c r="BT120" s="372"/>
      <c r="BU120" s="259" t="s">
        <v>897</v>
      </c>
      <c r="BV120" s="260">
        <v>43001030703</v>
      </c>
      <c r="BW120" s="261" t="s">
        <v>942</v>
      </c>
      <c r="BX120" s="261" t="s">
        <v>943</v>
      </c>
      <c r="BY120" s="152">
        <v>1.783552436105444</v>
      </c>
      <c r="BZ120" s="152">
        <v>2.434118888123832</v>
      </c>
      <c r="CA120" s="152">
        <v>2.434118888123832</v>
      </c>
      <c r="CB120" s="152">
        <v>2.434118888123832</v>
      </c>
      <c r="CC120" s="152">
        <v>2.434118888123832</v>
      </c>
      <c r="CD120" s="152">
        <v>2.434118888123832</v>
      </c>
      <c r="CE120" s="152">
        <v>2.434118888123832</v>
      </c>
      <c r="CF120" s="152">
        <v>1.5343115643425871E-2</v>
      </c>
      <c r="CG120" s="152">
        <v>0.6007471268633594</v>
      </c>
      <c r="CH120" s="152">
        <v>1.9948288907921929</v>
      </c>
      <c r="CI120" s="152">
        <v>1.9948288907921929</v>
      </c>
      <c r="CJ120" s="259" t="s">
        <v>897</v>
      </c>
      <c r="CK120" s="261" t="s">
        <v>943</v>
      </c>
      <c r="CL120" s="374">
        <v>1.5541674729730961</v>
      </c>
      <c r="CM120" s="374">
        <v>1.5541674729730961</v>
      </c>
      <c r="CN120" s="374">
        <v>1.5541674729730961</v>
      </c>
      <c r="CO120" s="374">
        <v>1.5541674729730961</v>
      </c>
      <c r="CP120" s="374">
        <v>2.6026641642760961</v>
      </c>
      <c r="CQ120" s="374">
        <v>2.6026641642760961</v>
      </c>
      <c r="CR120" s="374">
        <v>2.6026641642760961</v>
      </c>
      <c r="CS120" s="374">
        <v>2.6026641642760961</v>
      </c>
      <c r="CT120" s="374">
        <v>3.8288849964799132</v>
      </c>
      <c r="CU120" s="374">
        <v>3.8288849964799132</v>
      </c>
      <c r="CV120" s="374">
        <v>3.8288849964799132</v>
      </c>
      <c r="CW120" s="374">
        <v>3.8288849964799132</v>
      </c>
      <c r="CX120" s="374">
        <v>2.7192704729538129</v>
      </c>
      <c r="CY120" s="374">
        <v>2.7192704729538129</v>
      </c>
      <c r="CZ120" s="374">
        <v>2.7192704729538129</v>
      </c>
      <c r="DA120" s="374">
        <v>2.7192704729538129</v>
      </c>
      <c r="DB120" s="374">
        <v>2.7192704729538129</v>
      </c>
      <c r="DC120" s="374">
        <v>2.7192704729538129</v>
      </c>
      <c r="DD120" s="374">
        <v>0.8984903504094246</v>
      </c>
      <c r="DE120" s="374">
        <v>0.8984903504094246</v>
      </c>
      <c r="DF120" s="373">
        <v>0.8984903504094246</v>
      </c>
      <c r="DG120" s="373">
        <v>1.599995454869416</v>
      </c>
      <c r="DH120" s="373">
        <v>0.43565407448773952</v>
      </c>
      <c r="DI120" s="373">
        <v>1.599995454869416</v>
      </c>
      <c r="DJ120" s="308" t="s">
        <v>605</v>
      </c>
      <c r="DK120" s="308" t="s">
        <v>605</v>
      </c>
      <c r="DL120" s="309" t="s">
        <v>606</v>
      </c>
      <c r="DM120" s="309" t="s">
        <v>606</v>
      </c>
      <c r="DN120" s="272"/>
      <c r="DO120" s="272"/>
    </row>
    <row r="121" spans="1:119" ht="15" x14ac:dyDescent="0.3">
      <c r="A121" t="s">
        <v>904</v>
      </c>
      <c r="B121">
        <v>23</v>
      </c>
      <c r="C121" t="s">
        <v>737</v>
      </c>
      <c r="D121">
        <v>5</v>
      </c>
      <c r="E121" t="s">
        <v>564</v>
      </c>
      <c r="F121" t="s">
        <v>564</v>
      </c>
      <c r="G121">
        <v>2.4888199999999999E-2</v>
      </c>
      <c r="H121" s="231">
        <v>2.4888199999999999E-2</v>
      </c>
      <c r="BT121" s="372"/>
      <c r="BU121" s="259" t="s">
        <v>897</v>
      </c>
      <c r="BV121" s="260">
        <v>43001030704</v>
      </c>
      <c r="BW121" s="261" t="s">
        <v>264</v>
      </c>
      <c r="BX121" s="261" t="s">
        <v>944</v>
      </c>
      <c r="BY121" s="152">
        <v>1.1387320516141359</v>
      </c>
      <c r="BZ121" s="152">
        <v>1.533844175357808</v>
      </c>
      <c r="CA121" s="152">
        <v>1.533844175357808</v>
      </c>
      <c r="CB121" s="152">
        <v>1.533844175357808</v>
      </c>
      <c r="CC121" s="152">
        <v>1.533844175357808</v>
      </c>
      <c r="CD121" s="152">
        <v>1.533844175357808</v>
      </c>
      <c r="CE121" s="152">
        <v>1.533844175357808</v>
      </c>
      <c r="CF121" s="152">
        <v>3.6891799071658023E-2</v>
      </c>
      <c r="CG121" s="152">
        <v>0.49121806881729491</v>
      </c>
      <c r="CH121" s="152">
        <v>1.211797231811385</v>
      </c>
      <c r="CI121" s="152">
        <v>1.211797231811385</v>
      </c>
      <c r="CJ121" s="259" t="s">
        <v>897</v>
      </c>
      <c r="CK121" s="261" t="s">
        <v>944</v>
      </c>
      <c r="CL121" s="152">
        <v>1.5541674729730961</v>
      </c>
      <c r="CM121" s="152">
        <v>1.5541674729730961</v>
      </c>
      <c r="CN121" s="152">
        <v>1.5541674729730961</v>
      </c>
      <c r="CO121" s="152">
        <v>1.5541674729730961</v>
      </c>
      <c r="CP121" s="152">
        <v>2.6026641642760961</v>
      </c>
      <c r="CQ121" s="152">
        <v>2.6026641642760961</v>
      </c>
      <c r="CR121" s="152">
        <v>2.6026641642760961</v>
      </c>
      <c r="CS121" s="152">
        <v>2.6026641642760961</v>
      </c>
      <c r="CT121" s="152">
        <v>1.537482282243958</v>
      </c>
      <c r="CU121" s="152">
        <v>1.537482282243958</v>
      </c>
      <c r="CV121" s="152">
        <v>1.537482282243958</v>
      </c>
      <c r="CW121" s="152">
        <v>1.537482282243958</v>
      </c>
      <c r="CX121" s="152">
        <v>3.3921924693551762</v>
      </c>
      <c r="CY121" s="152">
        <v>3.3921924693551762</v>
      </c>
      <c r="CZ121" s="152">
        <v>3.3921924693551762</v>
      </c>
      <c r="DA121" s="152">
        <v>3.3921924693551762</v>
      </c>
      <c r="DB121" s="152">
        <v>3.3921924693551762</v>
      </c>
      <c r="DC121" s="152">
        <v>3.3921924693551762</v>
      </c>
      <c r="DD121" s="152">
        <v>0.8984903504094246</v>
      </c>
      <c r="DE121" s="152">
        <v>0.8984903504094246</v>
      </c>
      <c r="DF121" s="373">
        <v>0.8984903504094246</v>
      </c>
      <c r="DG121" s="373">
        <v>3.5317834681177449</v>
      </c>
      <c r="DH121" s="373">
        <v>0.34980572132990168</v>
      </c>
      <c r="DI121" s="373">
        <v>3.5317834681177449</v>
      </c>
      <c r="DJ121" s="308" t="s">
        <v>605</v>
      </c>
      <c r="DK121" s="308" t="s">
        <v>605</v>
      </c>
      <c r="DL121" s="309" t="s">
        <v>606</v>
      </c>
      <c r="DM121" s="309" t="s">
        <v>606</v>
      </c>
      <c r="DN121" s="272"/>
      <c r="DO121" s="272"/>
    </row>
    <row r="122" spans="1:119" ht="15" x14ac:dyDescent="0.3">
      <c r="A122" t="s">
        <v>904</v>
      </c>
      <c r="B122">
        <v>24</v>
      </c>
      <c r="C122" t="s">
        <v>565</v>
      </c>
      <c r="D122">
        <v>17</v>
      </c>
      <c r="E122" t="s">
        <v>564</v>
      </c>
      <c r="F122" t="s">
        <v>564</v>
      </c>
      <c r="G122">
        <v>2.9700000000000001E-2</v>
      </c>
      <c r="H122" s="231">
        <v>3.2800000000000003E-2</v>
      </c>
      <c r="BS122" t="s">
        <v>945</v>
      </c>
      <c r="BT122" s="372"/>
      <c r="BU122" s="259" t="s">
        <v>540</v>
      </c>
      <c r="BV122" s="260">
        <v>43002021203</v>
      </c>
      <c r="BW122" s="261" t="s">
        <v>608</v>
      </c>
      <c r="BX122" s="261" t="s">
        <v>946</v>
      </c>
      <c r="BY122" s="152">
        <v>0.66616487344643016</v>
      </c>
      <c r="BZ122" s="152">
        <v>0.87925443164292838</v>
      </c>
      <c r="CA122" s="152">
        <v>0.87925443164292838</v>
      </c>
      <c r="CB122" s="152">
        <v>0.87925443164292838</v>
      </c>
      <c r="CC122" s="152">
        <v>0.87925443164292838</v>
      </c>
      <c r="CD122" s="152">
        <v>0.87925443164292838</v>
      </c>
      <c r="CE122" s="152">
        <v>0.87925443164292838</v>
      </c>
      <c r="CF122" s="152">
        <v>2.2801850675859565E-2</v>
      </c>
      <c r="CG122" s="152">
        <v>0.11869126372130998</v>
      </c>
      <c r="CH122" s="152">
        <v>0.38336850675859568</v>
      </c>
      <c r="CI122" s="152">
        <v>0.38336850675859568</v>
      </c>
      <c r="CJ122" s="259" t="s">
        <v>540</v>
      </c>
      <c r="CK122" s="261" t="s">
        <v>946</v>
      </c>
      <c r="CL122" s="152">
        <v>1.0455516465571986</v>
      </c>
      <c r="CM122" s="152">
        <v>1.0455516465571986</v>
      </c>
      <c r="CN122" s="152">
        <v>1.0455516465571986</v>
      </c>
      <c r="CO122" s="152">
        <v>1.0455516465571986</v>
      </c>
      <c r="CP122" s="152">
        <v>1.067317046176177</v>
      </c>
      <c r="CQ122" s="152">
        <v>1.067317046176177</v>
      </c>
      <c r="CR122" s="152">
        <v>1.067317046176177</v>
      </c>
      <c r="CS122" s="152">
        <v>1.067317046176177</v>
      </c>
      <c r="CT122" s="152">
        <v>0.63549041549487428</v>
      </c>
      <c r="CU122" s="152">
        <v>0.63549041549487428</v>
      </c>
      <c r="CV122" s="152">
        <v>0.63549041549487428</v>
      </c>
      <c r="CW122" s="152">
        <v>0.63549041549487428</v>
      </c>
      <c r="CX122" s="152">
        <v>1.771925764310986</v>
      </c>
      <c r="CY122" s="152">
        <v>1.771925764310986</v>
      </c>
      <c r="CZ122" s="152">
        <v>1.771925764310986</v>
      </c>
      <c r="DA122" s="152">
        <v>1.771925764310986</v>
      </c>
      <c r="DB122" s="152">
        <v>1.771925764310986</v>
      </c>
      <c r="DC122" s="152">
        <v>1.771925764310986</v>
      </c>
      <c r="DD122" s="152">
        <v>0.59466554023405604</v>
      </c>
      <c r="DE122" s="152">
        <v>0.59466554023405604</v>
      </c>
      <c r="DF122" s="333">
        <f t="shared" ref="DF122:DM126" si="13">MEDIAN(DF$4:DF$121)</f>
        <v>0.8984903504094246</v>
      </c>
      <c r="DG122" s="333">
        <f t="shared" si="13"/>
        <v>0.3312196679455221</v>
      </c>
      <c r="DH122" s="333">
        <f t="shared" si="13"/>
        <v>0.12515655812724841</v>
      </c>
      <c r="DI122" s="333">
        <f t="shared" si="13"/>
        <v>0.3312196679455221</v>
      </c>
      <c r="DJ122" s="333" t="e">
        <f t="shared" si="13"/>
        <v>#NUM!</v>
      </c>
      <c r="DK122" s="333" t="e">
        <f t="shared" si="13"/>
        <v>#NUM!</v>
      </c>
      <c r="DL122" s="333" t="e">
        <f t="shared" si="13"/>
        <v>#NUM!</v>
      </c>
      <c r="DM122" s="333" t="e">
        <f t="shared" si="13"/>
        <v>#NUM!</v>
      </c>
      <c r="DN122" s="333"/>
      <c r="DO122" s="333"/>
    </row>
    <row r="123" spans="1:119" ht="15" x14ac:dyDescent="0.3">
      <c r="A123" t="s">
        <v>904</v>
      </c>
      <c r="B123">
        <v>25</v>
      </c>
      <c r="C123" t="s">
        <v>590</v>
      </c>
      <c r="D123">
        <v>17</v>
      </c>
      <c r="E123" t="s">
        <v>564</v>
      </c>
      <c r="F123" t="s">
        <v>564</v>
      </c>
      <c r="G123">
        <v>3.27E-2</v>
      </c>
      <c r="H123" s="231">
        <v>3.27E-2</v>
      </c>
      <c r="BS123" s="307" t="s">
        <v>947</v>
      </c>
      <c r="BT123" s="372"/>
      <c r="BU123" s="259" t="s">
        <v>540</v>
      </c>
      <c r="BV123" s="260">
        <v>43002021104</v>
      </c>
      <c r="BW123" s="261" t="s">
        <v>660</v>
      </c>
      <c r="BX123" s="261" t="s">
        <v>948</v>
      </c>
      <c r="BY123" s="152">
        <v>0.66616487344643016</v>
      </c>
      <c r="BZ123" s="152">
        <v>0.87925443164292838</v>
      </c>
      <c r="CA123" s="152">
        <v>0.87925443164292838</v>
      </c>
      <c r="CB123" s="152">
        <v>0.87925443164292838</v>
      </c>
      <c r="CC123" s="152">
        <v>0.87925443164292838</v>
      </c>
      <c r="CD123" s="152">
        <v>0.87925443164292838</v>
      </c>
      <c r="CE123" s="152">
        <v>0.87925443164292838</v>
      </c>
      <c r="CF123" s="152">
        <v>2.2801850675859565E-2</v>
      </c>
      <c r="CG123" s="152">
        <v>0.11869126372130998</v>
      </c>
      <c r="CH123" s="152">
        <v>0.38336850675859568</v>
      </c>
      <c r="CI123" s="152">
        <v>0.38336850675859568</v>
      </c>
      <c r="CJ123" s="259" t="s">
        <v>540</v>
      </c>
      <c r="CK123" s="261" t="s">
        <v>948</v>
      </c>
      <c r="CL123" s="152">
        <v>1.0455516465571986</v>
      </c>
      <c r="CM123" s="152">
        <v>1.0455516465571986</v>
      </c>
      <c r="CN123" s="152">
        <v>1.0455516465571986</v>
      </c>
      <c r="CO123" s="152">
        <v>1.0455516465571986</v>
      </c>
      <c r="CP123" s="152">
        <v>1.067317046176177</v>
      </c>
      <c r="CQ123" s="152">
        <v>1.067317046176177</v>
      </c>
      <c r="CR123" s="152">
        <v>1.067317046176177</v>
      </c>
      <c r="CS123" s="152">
        <v>1.067317046176177</v>
      </c>
      <c r="CT123" s="152">
        <v>0.63549041549487428</v>
      </c>
      <c r="CU123" s="152">
        <v>0.63549041549487428</v>
      </c>
      <c r="CV123" s="152">
        <v>0.63549041549487428</v>
      </c>
      <c r="CW123" s="152">
        <v>0.63549041549487428</v>
      </c>
      <c r="CX123" s="152">
        <v>1.771925764310986</v>
      </c>
      <c r="CY123" s="152">
        <v>1.771925764310986</v>
      </c>
      <c r="CZ123" s="152">
        <v>1.771925764310986</v>
      </c>
      <c r="DA123" s="152">
        <v>1.771925764310986</v>
      </c>
      <c r="DB123" s="152">
        <v>1.771925764310986</v>
      </c>
      <c r="DC123" s="152">
        <v>1.771925764310986</v>
      </c>
      <c r="DD123" s="152">
        <v>0.59466554023405604</v>
      </c>
      <c r="DE123" s="152">
        <v>0.59466554023405604</v>
      </c>
      <c r="DF123" s="333">
        <f t="shared" si="13"/>
        <v>0.8984903504094246</v>
      </c>
      <c r="DG123" s="333">
        <f t="shared" si="13"/>
        <v>0.3312196679455221</v>
      </c>
      <c r="DH123" s="333">
        <f t="shared" si="13"/>
        <v>0.12515655812724841</v>
      </c>
      <c r="DI123" s="333">
        <f t="shared" si="13"/>
        <v>0.3312196679455221</v>
      </c>
      <c r="DJ123" s="333" t="e">
        <f t="shared" si="13"/>
        <v>#NUM!</v>
      </c>
      <c r="DK123" s="333" t="e">
        <f t="shared" si="13"/>
        <v>#NUM!</v>
      </c>
      <c r="DL123" s="333" t="e">
        <f t="shared" si="13"/>
        <v>#NUM!</v>
      </c>
      <c r="DM123" s="333" t="e">
        <f t="shared" si="13"/>
        <v>#NUM!</v>
      </c>
      <c r="DN123" s="333"/>
      <c r="DO123" s="333"/>
    </row>
    <row r="124" spans="1:119" ht="15" x14ac:dyDescent="0.3">
      <c r="A124" t="s">
        <v>904</v>
      </c>
      <c r="B124">
        <v>26</v>
      </c>
      <c r="C124" t="s">
        <v>608</v>
      </c>
      <c r="D124">
        <v>17</v>
      </c>
      <c r="E124" t="s">
        <v>564</v>
      </c>
      <c r="F124" t="s">
        <v>564</v>
      </c>
      <c r="G124">
        <v>3.1899999999999998E-2</v>
      </c>
      <c r="H124" s="231">
        <v>3.27E-2</v>
      </c>
      <c r="BT124" s="372"/>
      <c r="BU124" s="259" t="s">
        <v>540</v>
      </c>
      <c r="BV124" s="260">
        <v>43002021201</v>
      </c>
      <c r="BW124" s="261" t="s">
        <v>572</v>
      </c>
      <c r="BX124" s="261" t="s">
        <v>949</v>
      </c>
      <c r="BY124" s="152">
        <v>0.66616487344643016</v>
      </c>
      <c r="BZ124" s="152">
        <v>0.87925443164292838</v>
      </c>
      <c r="CA124" s="152">
        <v>0.87925443164292838</v>
      </c>
      <c r="CB124" s="152">
        <v>0.87925443164292838</v>
      </c>
      <c r="CC124" s="152">
        <v>0.87925443164292838</v>
      </c>
      <c r="CD124" s="152">
        <v>0.87925443164292838</v>
      </c>
      <c r="CE124" s="152">
        <v>0.87925443164292838</v>
      </c>
      <c r="CF124" s="152">
        <v>2.2801850675859565E-2</v>
      </c>
      <c r="CG124" s="152">
        <v>0.11869126372130998</v>
      </c>
      <c r="CH124" s="152">
        <v>0.38336850675859568</v>
      </c>
      <c r="CI124" s="152">
        <v>0.38336850675859568</v>
      </c>
      <c r="CJ124" s="259" t="s">
        <v>540</v>
      </c>
      <c r="CK124" s="261" t="s">
        <v>949</v>
      </c>
      <c r="CL124" s="152">
        <v>1.0455516465571986</v>
      </c>
      <c r="CM124" s="152">
        <v>1.0455516465571986</v>
      </c>
      <c r="CN124" s="152">
        <v>1.0455516465571986</v>
      </c>
      <c r="CO124" s="152">
        <v>1.0455516465571986</v>
      </c>
      <c r="CP124" s="152">
        <v>1.067317046176177</v>
      </c>
      <c r="CQ124" s="152">
        <v>1.067317046176177</v>
      </c>
      <c r="CR124" s="152">
        <v>1.067317046176177</v>
      </c>
      <c r="CS124" s="152">
        <v>1.067317046176177</v>
      </c>
      <c r="CT124" s="152">
        <v>0.63549041549487428</v>
      </c>
      <c r="CU124" s="152">
        <v>0.63549041549487428</v>
      </c>
      <c r="CV124" s="152">
        <v>0.63549041549487428</v>
      </c>
      <c r="CW124" s="152">
        <v>0.63549041549487428</v>
      </c>
      <c r="CX124" s="152">
        <v>1.771925764310986</v>
      </c>
      <c r="CY124" s="152">
        <v>1.771925764310986</v>
      </c>
      <c r="CZ124" s="152">
        <v>1.771925764310986</v>
      </c>
      <c r="DA124" s="152">
        <v>1.771925764310986</v>
      </c>
      <c r="DB124" s="152">
        <v>1.771925764310986</v>
      </c>
      <c r="DC124" s="152">
        <v>1.771925764310986</v>
      </c>
      <c r="DD124" s="152">
        <v>0.59466554023405604</v>
      </c>
      <c r="DE124" s="152">
        <v>0.59466554023405604</v>
      </c>
      <c r="DF124" s="333">
        <f t="shared" si="13"/>
        <v>0.8984903504094246</v>
      </c>
      <c r="DG124" s="333">
        <f t="shared" si="13"/>
        <v>0.3312196679455221</v>
      </c>
      <c r="DH124" s="333">
        <f t="shared" si="13"/>
        <v>0.12515655812724841</v>
      </c>
      <c r="DI124" s="333">
        <f t="shared" si="13"/>
        <v>0.3312196679455221</v>
      </c>
      <c r="DJ124" s="333" t="e">
        <f t="shared" si="13"/>
        <v>#NUM!</v>
      </c>
      <c r="DK124" s="333" t="e">
        <f t="shared" si="13"/>
        <v>#NUM!</v>
      </c>
      <c r="DL124" s="333" t="e">
        <f t="shared" si="13"/>
        <v>#NUM!</v>
      </c>
      <c r="DM124" s="333" t="e">
        <f t="shared" si="13"/>
        <v>#NUM!</v>
      </c>
      <c r="DN124" s="333"/>
      <c r="DO124" s="333"/>
    </row>
    <row r="125" spans="1:119" ht="15" x14ac:dyDescent="0.3">
      <c r="A125" t="s">
        <v>904</v>
      </c>
      <c r="B125">
        <v>27</v>
      </c>
      <c r="C125" t="s">
        <v>622</v>
      </c>
      <c r="D125">
        <v>17</v>
      </c>
      <c r="E125" t="s">
        <v>564</v>
      </c>
      <c r="F125" t="s">
        <v>564</v>
      </c>
      <c r="G125">
        <v>3.2399999999999998E-2</v>
      </c>
      <c r="H125" s="231">
        <v>3.27E-2</v>
      </c>
      <c r="BT125" s="372"/>
      <c r="BU125" s="259" t="s">
        <v>540</v>
      </c>
      <c r="BV125" s="260">
        <v>43002021202</v>
      </c>
      <c r="BW125" s="261" t="s">
        <v>597</v>
      </c>
      <c r="BX125" s="261" t="s">
        <v>950</v>
      </c>
      <c r="BY125" s="152">
        <v>0.66616487344643016</v>
      </c>
      <c r="BZ125" s="152">
        <v>0.87925443164292838</v>
      </c>
      <c r="CA125" s="152">
        <v>0.87925443164292838</v>
      </c>
      <c r="CB125" s="152">
        <v>0.87925443164292838</v>
      </c>
      <c r="CC125" s="152">
        <v>0.87925443164292838</v>
      </c>
      <c r="CD125" s="152">
        <v>0.87925443164292838</v>
      </c>
      <c r="CE125" s="152">
        <v>0.87925443164292838</v>
      </c>
      <c r="CF125" s="152">
        <v>2.2801850675859565E-2</v>
      </c>
      <c r="CG125" s="152">
        <v>0.11869126372130998</v>
      </c>
      <c r="CH125" s="152">
        <v>0.38336850675859568</v>
      </c>
      <c r="CI125" s="152">
        <v>0.38336850675859568</v>
      </c>
      <c r="CJ125" s="259" t="s">
        <v>540</v>
      </c>
      <c r="CK125" s="261" t="s">
        <v>950</v>
      </c>
      <c r="CL125" s="152">
        <v>1.0455516465571986</v>
      </c>
      <c r="CM125" s="152">
        <v>1.0455516465571986</v>
      </c>
      <c r="CN125" s="152">
        <v>1.0455516465571986</v>
      </c>
      <c r="CO125" s="152">
        <v>1.0455516465571986</v>
      </c>
      <c r="CP125" s="152">
        <v>1.067317046176177</v>
      </c>
      <c r="CQ125" s="152">
        <v>1.067317046176177</v>
      </c>
      <c r="CR125" s="152">
        <v>1.067317046176177</v>
      </c>
      <c r="CS125" s="152">
        <v>1.067317046176177</v>
      </c>
      <c r="CT125" s="152">
        <v>0.63549041549487428</v>
      </c>
      <c r="CU125" s="152">
        <v>0.63549041549487428</v>
      </c>
      <c r="CV125" s="152">
        <v>0.63549041549487428</v>
      </c>
      <c r="CW125" s="152">
        <v>0.63549041549487428</v>
      </c>
      <c r="CX125" s="152">
        <v>1.771925764310986</v>
      </c>
      <c r="CY125" s="152">
        <v>1.771925764310986</v>
      </c>
      <c r="CZ125" s="152">
        <v>1.771925764310986</v>
      </c>
      <c r="DA125" s="152">
        <v>1.771925764310986</v>
      </c>
      <c r="DB125" s="152">
        <v>1.771925764310986</v>
      </c>
      <c r="DC125" s="152">
        <v>1.771925764310986</v>
      </c>
      <c r="DD125" s="152">
        <v>0.59466554023405604</v>
      </c>
      <c r="DE125" s="152">
        <v>0.59466554023405604</v>
      </c>
      <c r="DF125" s="333">
        <f t="shared" si="13"/>
        <v>0.8984903504094246</v>
      </c>
      <c r="DG125" s="333">
        <f t="shared" si="13"/>
        <v>0.3312196679455221</v>
      </c>
      <c r="DH125" s="333">
        <f t="shared" si="13"/>
        <v>0.12515655812724841</v>
      </c>
      <c r="DI125" s="333">
        <f t="shared" si="13"/>
        <v>0.3312196679455221</v>
      </c>
      <c r="DJ125" s="333" t="e">
        <f t="shared" si="13"/>
        <v>#NUM!</v>
      </c>
      <c r="DK125" s="333" t="e">
        <f t="shared" si="13"/>
        <v>#NUM!</v>
      </c>
      <c r="DL125" s="333" t="e">
        <f t="shared" si="13"/>
        <v>#NUM!</v>
      </c>
      <c r="DM125" s="333" t="e">
        <f t="shared" si="13"/>
        <v>#NUM!</v>
      </c>
      <c r="DN125" s="333"/>
      <c r="DO125" s="333"/>
    </row>
    <row r="126" spans="1:119" ht="15" x14ac:dyDescent="0.3">
      <c r="A126" t="s">
        <v>904</v>
      </c>
      <c r="B126">
        <v>28</v>
      </c>
      <c r="C126" t="s">
        <v>232</v>
      </c>
      <c r="D126">
        <v>17</v>
      </c>
      <c r="E126" t="s">
        <v>564</v>
      </c>
      <c r="F126" t="s">
        <v>564</v>
      </c>
      <c r="G126">
        <v>2.4899999999999999E-2</v>
      </c>
      <c r="H126" s="231">
        <v>2.9899999999999999E-2</v>
      </c>
      <c r="BT126" s="372"/>
      <c r="BU126" s="259" t="s">
        <v>540</v>
      </c>
      <c r="BV126" s="260">
        <v>43002021102</v>
      </c>
      <c r="BW126" s="261" t="s">
        <v>644</v>
      </c>
      <c r="BX126" s="261" t="s">
        <v>951</v>
      </c>
      <c r="BY126" s="152">
        <v>0.66616487344643016</v>
      </c>
      <c r="BZ126" s="152">
        <v>0.87925443164292838</v>
      </c>
      <c r="CA126" s="152">
        <v>0.87925443164292838</v>
      </c>
      <c r="CB126" s="152">
        <v>0.87925443164292838</v>
      </c>
      <c r="CC126" s="152">
        <v>0.87925443164292838</v>
      </c>
      <c r="CD126" s="152">
        <v>0.87925443164292838</v>
      </c>
      <c r="CE126" s="152">
        <v>0.87925443164292838</v>
      </c>
      <c r="CF126" s="152">
        <v>2.2801850675859565E-2</v>
      </c>
      <c r="CG126" s="152">
        <v>0.11869126372130998</v>
      </c>
      <c r="CH126" s="152">
        <v>0.38336850675859568</v>
      </c>
      <c r="CI126" s="152">
        <v>0.38336850675859568</v>
      </c>
      <c r="CJ126" s="259" t="s">
        <v>540</v>
      </c>
      <c r="CK126" s="261" t="s">
        <v>951</v>
      </c>
      <c r="CL126" s="152">
        <v>1.0455516465571986</v>
      </c>
      <c r="CM126" s="152">
        <v>1.0455516465571986</v>
      </c>
      <c r="CN126" s="152">
        <v>1.0455516465571986</v>
      </c>
      <c r="CO126" s="152">
        <v>1.0455516465571986</v>
      </c>
      <c r="CP126" s="152">
        <v>1.067317046176177</v>
      </c>
      <c r="CQ126" s="152">
        <v>1.067317046176177</v>
      </c>
      <c r="CR126" s="152">
        <v>1.067317046176177</v>
      </c>
      <c r="CS126" s="152">
        <v>1.067317046176177</v>
      </c>
      <c r="CT126" s="152">
        <v>0.63549041549487428</v>
      </c>
      <c r="CU126" s="152">
        <v>0.63549041549487428</v>
      </c>
      <c r="CV126" s="152">
        <v>0.63549041549487428</v>
      </c>
      <c r="CW126" s="152">
        <v>0.63549041549487428</v>
      </c>
      <c r="CX126" s="152">
        <v>1.771925764310986</v>
      </c>
      <c r="CY126" s="152">
        <v>1.771925764310986</v>
      </c>
      <c r="CZ126" s="152">
        <v>1.771925764310986</v>
      </c>
      <c r="DA126" s="152">
        <v>1.771925764310986</v>
      </c>
      <c r="DB126" s="152">
        <v>1.771925764310986</v>
      </c>
      <c r="DC126" s="152">
        <v>1.771925764310986</v>
      </c>
      <c r="DD126" s="152">
        <v>0.59466554023405604</v>
      </c>
      <c r="DE126" s="152">
        <v>0.59466554023405604</v>
      </c>
      <c r="DF126" s="333">
        <f t="shared" si="13"/>
        <v>0.8984903504094246</v>
      </c>
      <c r="DG126" s="333">
        <f t="shared" si="13"/>
        <v>0.3312196679455221</v>
      </c>
      <c r="DH126" s="333">
        <f t="shared" si="13"/>
        <v>0.12515655812724841</v>
      </c>
      <c r="DI126" s="333">
        <f t="shared" si="13"/>
        <v>0.3312196679455221</v>
      </c>
      <c r="DJ126" s="333" t="e">
        <f t="shared" si="13"/>
        <v>#NUM!</v>
      </c>
      <c r="DK126" s="333" t="e">
        <f t="shared" si="13"/>
        <v>#NUM!</v>
      </c>
      <c r="DL126" s="333" t="e">
        <f t="shared" si="13"/>
        <v>#NUM!</v>
      </c>
      <c r="DM126" s="333" t="e">
        <f t="shared" si="13"/>
        <v>#NUM!</v>
      </c>
      <c r="DN126" s="333"/>
      <c r="DO126" s="333"/>
    </row>
    <row r="127" spans="1:119" ht="15" x14ac:dyDescent="0.3">
      <c r="A127" t="s">
        <v>904</v>
      </c>
      <c r="B127">
        <v>29</v>
      </c>
      <c r="C127" t="s">
        <v>641</v>
      </c>
      <c r="D127">
        <v>17</v>
      </c>
      <c r="E127" t="s">
        <v>564</v>
      </c>
      <c r="F127" t="s">
        <v>564</v>
      </c>
      <c r="G127">
        <v>1.9199999999999998E-2</v>
      </c>
      <c r="H127" s="231">
        <v>0.03</v>
      </c>
      <c r="BT127" s="372"/>
      <c r="BU127" s="259" t="s">
        <v>540</v>
      </c>
      <c r="BV127" s="260">
        <v>43002021101</v>
      </c>
      <c r="BW127" s="261" t="s">
        <v>636</v>
      </c>
      <c r="BX127" s="261" t="s">
        <v>952</v>
      </c>
      <c r="BY127" s="152">
        <v>0.66616487344643016</v>
      </c>
      <c r="BZ127" s="152">
        <v>0.87925443164292838</v>
      </c>
      <c r="CA127" s="152">
        <v>0.87925443164292838</v>
      </c>
      <c r="CB127" s="152">
        <v>0.87925443164292838</v>
      </c>
      <c r="CC127" s="152">
        <v>0.87925443164292838</v>
      </c>
      <c r="CD127" s="152">
        <v>0.87925443164292838</v>
      </c>
      <c r="CE127" s="152">
        <v>0.87925443164292838</v>
      </c>
      <c r="CF127" s="152">
        <v>2.2801850675859565E-2</v>
      </c>
      <c r="CG127" s="152">
        <v>0.11869126372130998</v>
      </c>
      <c r="CH127" s="152">
        <v>0.38336850675859568</v>
      </c>
      <c r="CI127" s="152">
        <v>0.38336850675859568</v>
      </c>
      <c r="CJ127" s="259" t="s">
        <v>540</v>
      </c>
      <c r="CK127" s="261" t="s">
        <v>952</v>
      </c>
      <c r="CL127" s="152">
        <v>1.0455516465571986</v>
      </c>
      <c r="CM127" s="152">
        <v>1.0455516465571986</v>
      </c>
      <c r="CN127" s="152">
        <v>1.0455516465571986</v>
      </c>
      <c r="CO127" s="152">
        <v>1.0455516465571986</v>
      </c>
      <c r="CP127" s="152">
        <v>1.067317046176177</v>
      </c>
      <c r="CQ127" s="152">
        <v>1.067317046176177</v>
      </c>
      <c r="CR127" s="152">
        <v>1.067317046176177</v>
      </c>
      <c r="CS127" s="152">
        <v>1.067317046176177</v>
      </c>
      <c r="CT127" s="152">
        <v>0.63549041549487428</v>
      </c>
      <c r="CU127" s="152">
        <v>0.63549041549487428</v>
      </c>
      <c r="CV127" s="152">
        <v>0.63549041549487428</v>
      </c>
      <c r="CW127" s="152">
        <v>0.63549041549487428</v>
      </c>
      <c r="CX127" s="152">
        <v>1.771925764310986</v>
      </c>
      <c r="CY127" s="152">
        <v>1.771925764310986</v>
      </c>
      <c r="CZ127" s="152">
        <v>1.771925764310986</v>
      </c>
      <c r="DA127" s="152">
        <v>1.771925764310986</v>
      </c>
      <c r="DB127" s="152">
        <v>1.771925764310986</v>
      </c>
      <c r="DC127" s="152">
        <v>1.771925764310986</v>
      </c>
      <c r="DD127" s="152">
        <v>0.59466554023405604</v>
      </c>
      <c r="DE127" s="152">
        <v>0.59466554023405604</v>
      </c>
      <c r="DF127" s="333">
        <f t="shared" ref="DF127:DM131" si="14">MEDIAN(DF$4:DF$121)</f>
        <v>0.8984903504094246</v>
      </c>
      <c r="DG127" s="333">
        <f t="shared" si="14"/>
        <v>0.3312196679455221</v>
      </c>
      <c r="DH127" s="333">
        <f t="shared" si="14"/>
        <v>0.12515655812724841</v>
      </c>
      <c r="DI127" s="333">
        <f t="shared" si="14"/>
        <v>0.3312196679455221</v>
      </c>
      <c r="DJ127" s="333" t="e">
        <f t="shared" si="14"/>
        <v>#NUM!</v>
      </c>
      <c r="DK127" s="333" t="e">
        <f t="shared" si="14"/>
        <v>#NUM!</v>
      </c>
      <c r="DL127" s="333" t="e">
        <f t="shared" si="14"/>
        <v>#NUM!</v>
      </c>
      <c r="DM127" s="333" t="e">
        <f t="shared" si="14"/>
        <v>#NUM!</v>
      </c>
      <c r="DN127" s="333"/>
      <c r="DO127" s="333"/>
    </row>
    <row r="128" spans="1:119" ht="15" x14ac:dyDescent="0.3">
      <c r="A128" t="s">
        <v>904</v>
      </c>
      <c r="B128">
        <v>30</v>
      </c>
      <c r="C128" t="s">
        <v>650</v>
      </c>
      <c r="D128">
        <v>17</v>
      </c>
      <c r="E128" t="s">
        <v>564</v>
      </c>
      <c r="F128" t="s">
        <v>564</v>
      </c>
      <c r="G128">
        <v>2.24E-2</v>
      </c>
      <c r="H128" s="231">
        <v>2.9899999999999999E-2</v>
      </c>
      <c r="BT128" s="372"/>
      <c r="BU128" s="259" t="s">
        <v>540</v>
      </c>
      <c r="BV128" s="260">
        <v>43002021302</v>
      </c>
      <c r="BW128" s="261" t="s">
        <v>953</v>
      </c>
      <c r="BX128" s="261" t="s">
        <v>954</v>
      </c>
      <c r="BY128" s="152">
        <v>0.66616487344643016</v>
      </c>
      <c r="BZ128" s="152">
        <v>0.87925443164292838</v>
      </c>
      <c r="CA128" s="152">
        <v>0.87925443164292838</v>
      </c>
      <c r="CB128" s="152">
        <v>0.87925443164292838</v>
      </c>
      <c r="CC128" s="152">
        <v>0.87925443164292838</v>
      </c>
      <c r="CD128" s="152">
        <v>0.87925443164292838</v>
      </c>
      <c r="CE128" s="152">
        <v>0.87925443164292838</v>
      </c>
      <c r="CF128" s="152">
        <v>2.2801850675859565E-2</v>
      </c>
      <c r="CG128" s="152">
        <v>0.11869126372130998</v>
      </c>
      <c r="CH128" s="152">
        <v>0.38336850675859568</v>
      </c>
      <c r="CI128" s="152">
        <v>0.38336850675859568</v>
      </c>
      <c r="CJ128" s="259" t="s">
        <v>540</v>
      </c>
      <c r="CK128" s="261" t="s">
        <v>954</v>
      </c>
      <c r="CL128" s="152">
        <v>1.0455516465571986</v>
      </c>
      <c r="CM128" s="152">
        <v>1.0455516465571986</v>
      </c>
      <c r="CN128" s="152">
        <v>1.0455516465571986</v>
      </c>
      <c r="CO128" s="152">
        <v>1.0455516465571986</v>
      </c>
      <c r="CP128" s="152">
        <v>1.067317046176177</v>
      </c>
      <c r="CQ128" s="152">
        <v>1.067317046176177</v>
      </c>
      <c r="CR128" s="152">
        <v>1.067317046176177</v>
      </c>
      <c r="CS128" s="152">
        <v>1.067317046176177</v>
      </c>
      <c r="CT128" s="152">
        <v>0.63549041549487428</v>
      </c>
      <c r="CU128" s="152">
        <v>0.63549041549487428</v>
      </c>
      <c r="CV128" s="152">
        <v>0.63549041549487428</v>
      </c>
      <c r="CW128" s="152">
        <v>0.63549041549487428</v>
      </c>
      <c r="CX128" s="152">
        <v>1.771925764310986</v>
      </c>
      <c r="CY128" s="152">
        <v>1.771925764310986</v>
      </c>
      <c r="CZ128" s="152">
        <v>1.771925764310986</v>
      </c>
      <c r="DA128" s="152">
        <v>1.771925764310986</v>
      </c>
      <c r="DB128" s="152">
        <v>1.771925764310986</v>
      </c>
      <c r="DC128" s="152">
        <v>1.771925764310986</v>
      </c>
      <c r="DD128" s="152">
        <v>0.59466554023405604</v>
      </c>
      <c r="DE128" s="152">
        <v>0.59466554023405604</v>
      </c>
      <c r="DF128" s="333">
        <f t="shared" si="14"/>
        <v>0.8984903504094246</v>
      </c>
      <c r="DG128" s="333">
        <f t="shared" si="14"/>
        <v>0.3312196679455221</v>
      </c>
      <c r="DH128" s="333">
        <f t="shared" si="14"/>
        <v>0.12515655812724841</v>
      </c>
      <c r="DI128" s="333">
        <f t="shared" si="14"/>
        <v>0.3312196679455221</v>
      </c>
      <c r="DJ128" s="333" t="e">
        <f t="shared" si="14"/>
        <v>#NUM!</v>
      </c>
      <c r="DK128" s="333" t="e">
        <f t="shared" si="14"/>
        <v>#NUM!</v>
      </c>
      <c r="DL128" s="333" t="e">
        <f t="shared" si="14"/>
        <v>#NUM!</v>
      </c>
      <c r="DM128" s="333" t="e">
        <f t="shared" si="14"/>
        <v>#NUM!</v>
      </c>
      <c r="DN128" s="333"/>
      <c r="DO128" s="333"/>
    </row>
    <row r="129" spans="1:119" ht="15" x14ac:dyDescent="0.3">
      <c r="A129" t="s">
        <v>904</v>
      </c>
      <c r="B129">
        <v>31</v>
      </c>
      <c r="C129" t="s">
        <v>656</v>
      </c>
      <c r="D129">
        <v>17</v>
      </c>
      <c r="E129" t="s">
        <v>564</v>
      </c>
      <c r="F129" t="s">
        <v>564</v>
      </c>
      <c r="G129">
        <v>2.8199999999999999E-2</v>
      </c>
      <c r="H129" s="231">
        <v>2.9899999999999999E-2</v>
      </c>
      <c r="BT129" s="372"/>
      <c r="BU129" s="259" t="s">
        <v>540</v>
      </c>
      <c r="BV129" s="260">
        <v>43002021303</v>
      </c>
      <c r="BW129" s="261" t="s">
        <v>686</v>
      </c>
      <c r="BX129" s="261" t="s">
        <v>955</v>
      </c>
      <c r="BY129" s="152">
        <v>0.66616487344643016</v>
      </c>
      <c r="BZ129" s="152">
        <v>0.87925443164292838</v>
      </c>
      <c r="CA129" s="152">
        <v>0.87925443164292838</v>
      </c>
      <c r="CB129" s="152">
        <v>0.87925443164292838</v>
      </c>
      <c r="CC129" s="152">
        <v>0.87925443164292838</v>
      </c>
      <c r="CD129" s="152">
        <v>0.87925443164292838</v>
      </c>
      <c r="CE129" s="152">
        <v>0.87925443164292838</v>
      </c>
      <c r="CF129" s="152">
        <v>2.2801850675859565E-2</v>
      </c>
      <c r="CG129" s="152">
        <v>0.11869126372130998</v>
      </c>
      <c r="CH129" s="152">
        <v>0.38336850675859568</v>
      </c>
      <c r="CI129" s="152">
        <v>0.38336850675859568</v>
      </c>
      <c r="CJ129" s="259" t="s">
        <v>540</v>
      </c>
      <c r="CK129" s="261" t="s">
        <v>955</v>
      </c>
      <c r="CL129" s="152">
        <v>1.0455516465571986</v>
      </c>
      <c r="CM129" s="152">
        <v>1.0455516465571986</v>
      </c>
      <c r="CN129" s="152">
        <v>1.0455516465571986</v>
      </c>
      <c r="CO129" s="152">
        <v>1.0455516465571986</v>
      </c>
      <c r="CP129" s="152">
        <v>1.067317046176177</v>
      </c>
      <c r="CQ129" s="152">
        <v>1.067317046176177</v>
      </c>
      <c r="CR129" s="152">
        <v>1.067317046176177</v>
      </c>
      <c r="CS129" s="152">
        <v>1.067317046176177</v>
      </c>
      <c r="CT129" s="152">
        <v>0.63549041549487428</v>
      </c>
      <c r="CU129" s="152">
        <v>0.63549041549487428</v>
      </c>
      <c r="CV129" s="152">
        <v>0.63549041549487428</v>
      </c>
      <c r="CW129" s="152">
        <v>0.63549041549487428</v>
      </c>
      <c r="CX129" s="152">
        <v>1.771925764310986</v>
      </c>
      <c r="CY129" s="152">
        <v>1.771925764310986</v>
      </c>
      <c r="CZ129" s="152">
        <v>1.771925764310986</v>
      </c>
      <c r="DA129" s="152">
        <v>1.771925764310986</v>
      </c>
      <c r="DB129" s="152">
        <v>1.771925764310986</v>
      </c>
      <c r="DC129" s="152">
        <v>1.771925764310986</v>
      </c>
      <c r="DD129" s="152">
        <v>0.59466554023405604</v>
      </c>
      <c r="DE129" s="152">
        <v>0.59466554023405604</v>
      </c>
      <c r="DF129" s="333">
        <f t="shared" si="14"/>
        <v>0.8984903504094246</v>
      </c>
      <c r="DG129" s="333">
        <f t="shared" si="14"/>
        <v>0.3312196679455221</v>
      </c>
      <c r="DH129" s="333">
        <f t="shared" si="14"/>
        <v>0.12515655812724841</v>
      </c>
      <c r="DI129" s="333">
        <f t="shared" si="14"/>
        <v>0.3312196679455221</v>
      </c>
      <c r="DJ129" s="333" t="e">
        <f t="shared" si="14"/>
        <v>#NUM!</v>
      </c>
      <c r="DK129" s="333" t="e">
        <f t="shared" si="14"/>
        <v>#NUM!</v>
      </c>
      <c r="DL129" s="333" t="e">
        <f t="shared" si="14"/>
        <v>#NUM!</v>
      </c>
      <c r="DM129" s="333" t="e">
        <f t="shared" si="14"/>
        <v>#NUM!</v>
      </c>
      <c r="DN129" s="333"/>
      <c r="DO129" s="333"/>
    </row>
    <row r="130" spans="1:119" ht="15" x14ac:dyDescent="0.3">
      <c r="A130" t="s">
        <v>904</v>
      </c>
      <c r="B130">
        <v>32</v>
      </c>
      <c r="C130" t="s">
        <v>665</v>
      </c>
      <c r="D130">
        <v>17</v>
      </c>
      <c r="E130" t="s">
        <v>564</v>
      </c>
      <c r="F130" t="s">
        <v>564</v>
      </c>
      <c r="G130">
        <v>1.04E-2</v>
      </c>
      <c r="H130" s="231">
        <v>3.0800000000000001E-2</v>
      </c>
      <c r="BT130" s="372"/>
      <c r="BU130" s="259" t="s">
        <v>540</v>
      </c>
      <c r="BV130" s="260">
        <v>43002021301</v>
      </c>
      <c r="BW130" s="261" t="s">
        <v>668</v>
      </c>
      <c r="BX130" s="261" t="s">
        <v>956</v>
      </c>
      <c r="BY130" s="152">
        <v>0.66616487344643016</v>
      </c>
      <c r="BZ130" s="152">
        <v>0.87925443164292838</v>
      </c>
      <c r="CA130" s="152">
        <v>0.87925443164292838</v>
      </c>
      <c r="CB130" s="152">
        <v>0.87925443164292838</v>
      </c>
      <c r="CC130" s="152">
        <v>0.87925443164292838</v>
      </c>
      <c r="CD130" s="152">
        <v>0.87925443164292838</v>
      </c>
      <c r="CE130" s="152">
        <v>0.87925443164292838</v>
      </c>
      <c r="CF130" s="152">
        <v>2.2801850675859565E-2</v>
      </c>
      <c r="CG130" s="152">
        <v>0.11869126372130998</v>
      </c>
      <c r="CH130" s="152">
        <v>0.38336850675859568</v>
      </c>
      <c r="CI130" s="152">
        <v>0.38336850675859568</v>
      </c>
      <c r="CJ130" s="259" t="s">
        <v>540</v>
      </c>
      <c r="CK130" s="261" t="s">
        <v>956</v>
      </c>
      <c r="CL130" s="152">
        <v>1.0455516465571986</v>
      </c>
      <c r="CM130" s="152">
        <v>1.0455516465571986</v>
      </c>
      <c r="CN130" s="152">
        <v>1.0455516465571986</v>
      </c>
      <c r="CO130" s="152">
        <v>1.0455516465571986</v>
      </c>
      <c r="CP130" s="152">
        <v>1.067317046176177</v>
      </c>
      <c r="CQ130" s="152">
        <v>1.067317046176177</v>
      </c>
      <c r="CR130" s="152">
        <v>1.067317046176177</v>
      </c>
      <c r="CS130" s="152">
        <v>1.067317046176177</v>
      </c>
      <c r="CT130" s="152">
        <v>0.63549041549487428</v>
      </c>
      <c r="CU130" s="152">
        <v>0.63549041549487428</v>
      </c>
      <c r="CV130" s="152">
        <v>0.63549041549487428</v>
      </c>
      <c r="CW130" s="152">
        <v>0.63549041549487428</v>
      </c>
      <c r="CX130" s="152">
        <v>1.771925764310986</v>
      </c>
      <c r="CY130" s="152">
        <v>1.771925764310986</v>
      </c>
      <c r="CZ130" s="152">
        <v>1.771925764310986</v>
      </c>
      <c r="DA130" s="152">
        <v>1.771925764310986</v>
      </c>
      <c r="DB130" s="152">
        <v>1.771925764310986</v>
      </c>
      <c r="DC130" s="152">
        <v>1.771925764310986</v>
      </c>
      <c r="DD130" s="152">
        <v>0.59466554023405604</v>
      </c>
      <c r="DE130" s="152">
        <v>0.59466554023405604</v>
      </c>
      <c r="DF130" s="333">
        <f t="shared" si="14"/>
        <v>0.8984903504094246</v>
      </c>
      <c r="DG130" s="333">
        <f t="shared" si="14"/>
        <v>0.3312196679455221</v>
      </c>
      <c r="DH130" s="333">
        <f t="shared" si="14"/>
        <v>0.12515655812724841</v>
      </c>
      <c r="DI130" s="333">
        <f t="shared" si="14"/>
        <v>0.3312196679455221</v>
      </c>
      <c r="DJ130" s="333" t="e">
        <f t="shared" si="14"/>
        <v>#NUM!</v>
      </c>
      <c r="DK130" s="333" t="e">
        <f t="shared" si="14"/>
        <v>#NUM!</v>
      </c>
      <c r="DL130" s="333" t="e">
        <f t="shared" si="14"/>
        <v>#NUM!</v>
      </c>
      <c r="DM130" s="333" t="e">
        <f t="shared" si="14"/>
        <v>#NUM!</v>
      </c>
      <c r="DN130" s="333"/>
      <c r="DO130" s="333"/>
    </row>
    <row r="131" spans="1:119" ht="15" x14ac:dyDescent="0.3">
      <c r="A131" t="s">
        <v>904</v>
      </c>
      <c r="B131">
        <v>33</v>
      </c>
      <c r="C131" t="s">
        <v>673</v>
      </c>
      <c r="D131">
        <v>17</v>
      </c>
      <c r="E131" t="s">
        <v>564</v>
      </c>
      <c r="F131" t="s">
        <v>564</v>
      </c>
      <c r="G131">
        <v>3.3E-3</v>
      </c>
      <c r="H131" s="231">
        <v>3.1300000000000001E-2</v>
      </c>
      <c r="BT131" s="372"/>
      <c r="BU131" s="259" t="s">
        <v>540</v>
      </c>
      <c r="BV131" s="260">
        <v>43002021103</v>
      </c>
      <c r="BW131" s="261" t="s">
        <v>650</v>
      </c>
      <c r="BX131" s="261" t="s">
        <v>957</v>
      </c>
      <c r="BY131" s="152">
        <v>0.66616487344643016</v>
      </c>
      <c r="BZ131" s="152">
        <v>0.87925443164292838</v>
      </c>
      <c r="CA131" s="152">
        <v>0.87925443164292838</v>
      </c>
      <c r="CB131" s="152">
        <v>0.87925443164292838</v>
      </c>
      <c r="CC131" s="152">
        <v>0.87925443164292838</v>
      </c>
      <c r="CD131" s="152">
        <v>0.87925443164292838</v>
      </c>
      <c r="CE131" s="152">
        <v>0.87925443164292838</v>
      </c>
      <c r="CF131" s="152">
        <v>2.2801850675859565E-2</v>
      </c>
      <c r="CG131" s="152">
        <v>0.11869126372130998</v>
      </c>
      <c r="CH131" s="152">
        <v>0.38336850675859568</v>
      </c>
      <c r="CI131" s="152">
        <v>0.38336850675859568</v>
      </c>
      <c r="CJ131" s="259" t="s">
        <v>540</v>
      </c>
      <c r="CK131" s="261" t="s">
        <v>957</v>
      </c>
      <c r="CL131" s="152">
        <v>1.0455516465571986</v>
      </c>
      <c r="CM131" s="152">
        <v>1.0455516465571986</v>
      </c>
      <c r="CN131" s="152">
        <v>1.0455516465571986</v>
      </c>
      <c r="CO131" s="152">
        <v>1.0455516465571986</v>
      </c>
      <c r="CP131" s="152">
        <v>1.067317046176177</v>
      </c>
      <c r="CQ131" s="152">
        <v>1.067317046176177</v>
      </c>
      <c r="CR131" s="152">
        <v>1.067317046176177</v>
      </c>
      <c r="CS131" s="152">
        <v>1.067317046176177</v>
      </c>
      <c r="CT131" s="152">
        <v>0.63549041549487428</v>
      </c>
      <c r="CU131" s="152">
        <v>0.63549041549487428</v>
      </c>
      <c r="CV131" s="152">
        <v>0.63549041549487428</v>
      </c>
      <c r="CW131" s="152">
        <v>0.63549041549487428</v>
      </c>
      <c r="CX131" s="152">
        <v>1.771925764310986</v>
      </c>
      <c r="CY131" s="152">
        <v>1.771925764310986</v>
      </c>
      <c r="CZ131" s="152">
        <v>1.771925764310986</v>
      </c>
      <c r="DA131" s="152">
        <v>1.771925764310986</v>
      </c>
      <c r="DB131" s="152">
        <v>1.771925764310986</v>
      </c>
      <c r="DC131" s="152">
        <v>1.771925764310986</v>
      </c>
      <c r="DD131" s="152">
        <v>0.59466554023405604</v>
      </c>
      <c r="DE131" s="152">
        <v>0.59466554023405604</v>
      </c>
      <c r="DF131" s="333">
        <f t="shared" si="14"/>
        <v>0.8984903504094246</v>
      </c>
      <c r="DG131" s="333">
        <f t="shared" si="14"/>
        <v>0.3312196679455221</v>
      </c>
      <c r="DH131" s="333">
        <f t="shared" si="14"/>
        <v>0.12515655812724841</v>
      </c>
      <c r="DI131" s="333">
        <f t="shared" si="14"/>
        <v>0.3312196679455221</v>
      </c>
      <c r="DJ131" s="333" t="e">
        <f t="shared" si="14"/>
        <v>#NUM!</v>
      </c>
      <c r="DK131" s="333" t="e">
        <f t="shared" si="14"/>
        <v>#NUM!</v>
      </c>
      <c r="DL131" s="333" t="e">
        <f t="shared" si="14"/>
        <v>#NUM!</v>
      </c>
      <c r="DM131" s="333" t="e">
        <f t="shared" si="14"/>
        <v>#NUM!</v>
      </c>
      <c r="DN131" s="333"/>
      <c r="DO131" s="333"/>
    </row>
    <row r="132" spans="1:119" ht="15" x14ac:dyDescent="0.3">
      <c r="A132" t="s">
        <v>904</v>
      </c>
      <c r="B132">
        <v>34</v>
      </c>
      <c r="C132" t="s">
        <v>681</v>
      </c>
      <c r="D132">
        <v>17</v>
      </c>
      <c r="E132" t="s">
        <v>564</v>
      </c>
      <c r="F132" t="s">
        <v>564</v>
      </c>
      <c r="G132">
        <v>1.84E-2</v>
      </c>
      <c r="H132" s="231">
        <v>3.0800000000000001E-2</v>
      </c>
      <c r="BT132" s="372"/>
      <c r="BU132" s="259" t="s">
        <v>540</v>
      </c>
      <c r="BV132" s="260">
        <v>43002021204</v>
      </c>
      <c r="BW132" s="261" t="s">
        <v>958</v>
      </c>
      <c r="BX132" s="261" t="s">
        <v>959</v>
      </c>
      <c r="BY132" s="152">
        <v>0.66616487344643016</v>
      </c>
      <c r="BZ132" s="152">
        <v>0.87925443164292838</v>
      </c>
      <c r="CA132" s="152">
        <v>0.87925443164292838</v>
      </c>
      <c r="CB132" s="152">
        <v>0.87925443164292838</v>
      </c>
      <c r="CC132" s="152">
        <v>0.87925443164292838</v>
      </c>
      <c r="CD132" s="152">
        <v>0.87925443164292838</v>
      </c>
      <c r="CE132" s="152">
        <v>0.87925443164292838</v>
      </c>
      <c r="CF132" s="152">
        <v>2.2801850675859565E-2</v>
      </c>
      <c r="CG132" s="152">
        <v>0.11869126372130998</v>
      </c>
      <c r="CH132" s="152">
        <v>0.38336850675859568</v>
      </c>
      <c r="CI132" s="152">
        <v>0.38336850675859568</v>
      </c>
      <c r="CJ132" s="259" t="s">
        <v>540</v>
      </c>
      <c r="CK132" s="261" t="s">
        <v>959</v>
      </c>
      <c r="CL132" s="152">
        <v>1.0455516465571986</v>
      </c>
      <c r="CM132" s="152">
        <v>1.0455516465571986</v>
      </c>
      <c r="CN132" s="152">
        <v>1.0455516465571986</v>
      </c>
      <c r="CO132" s="152">
        <v>1.0455516465571986</v>
      </c>
      <c r="CP132" s="152">
        <v>1.067317046176177</v>
      </c>
      <c r="CQ132" s="152">
        <v>1.067317046176177</v>
      </c>
      <c r="CR132" s="152">
        <v>1.067317046176177</v>
      </c>
      <c r="CS132" s="152">
        <v>1.067317046176177</v>
      </c>
      <c r="CT132" s="152">
        <v>0.63549041549487428</v>
      </c>
      <c r="CU132" s="152">
        <v>0.63549041549487428</v>
      </c>
      <c r="CV132" s="152">
        <v>0.63549041549487428</v>
      </c>
      <c r="CW132" s="152">
        <v>0.63549041549487428</v>
      </c>
      <c r="CX132" s="152">
        <v>1.771925764310986</v>
      </c>
      <c r="CY132" s="152">
        <v>1.771925764310986</v>
      </c>
      <c r="CZ132" s="152">
        <v>1.771925764310986</v>
      </c>
      <c r="DA132" s="152">
        <v>1.771925764310986</v>
      </c>
      <c r="DB132" s="152">
        <v>1.771925764310986</v>
      </c>
      <c r="DC132" s="152">
        <v>1.771925764310986</v>
      </c>
      <c r="DD132" s="152">
        <v>0.59466554023405604</v>
      </c>
      <c r="DE132" s="152">
        <v>0.59466554023405604</v>
      </c>
      <c r="DF132" s="333">
        <f t="shared" ref="DF132:DM133" si="15">MEDIAN(DF$4:DF$121)</f>
        <v>0.8984903504094246</v>
      </c>
      <c r="DG132" s="333">
        <f t="shared" si="15"/>
        <v>0.3312196679455221</v>
      </c>
      <c r="DH132" s="333">
        <f t="shared" si="15"/>
        <v>0.12515655812724841</v>
      </c>
      <c r="DI132" s="333">
        <f t="shared" si="15"/>
        <v>0.3312196679455221</v>
      </c>
      <c r="DJ132" s="333" t="e">
        <f t="shared" si="15"/>
        <v>#NUM!</v>
      </c>
      <c r="DK132" s="333" t="e">
        <f t="shared" si="15"/>
        <v>#NUM!</v>
      </c>
      <c r="DL132" s="333" t="e">
        <f t="shared" si="15"/>
        <v>#NUM!</v>
      </c>
      <c r="DM132" s="333" t="e">
        <f t="shared" si="15"/>
        <v>#NUM!</v>
      </c>
      <c r="DN132" s="333"/>
      <c r="DO132" s="333"/>
    </row>
    <row r="133" spans="1:119" ht="15" x14ac:dyDescent="0.3">
      <c r="A133" t="s">
        <v>904</v>
      </c>
      <c r="B133">
        <v>35</v>
      </c>
      <c r="C133" t="s">
        <v>691</v>
      </c>
      <c r="D133">
        <v>17</v>
      </c>
      <c r="E133" t="s">
        <v>564</v>
      </c>
      <c r="F133" t="s">
        <v>564</v>
      </c>
      <c r="G133">
        <v>0.03</v>
      </c>
      <c r="H133" s="231">
        <v>3.1099999999999999E-2</v>
      </c>
      <c r="BT133" s="372"/>
      <c r="BU133" s="259" t="s">
        <v>540</v>
      </c>
      <c r="BV133" s="260">
        <v>43002021404</v>
      </c>
      <c r="BW133" s="261" t="s">
        <v>11</v>
      </c>
      <c r="BX133" s="261" t="s">
        <v>960</v>
      </c>
      <c r="BY133" s="152">
        <v>0.66616487344643016</v>
      </c>
      <c r="BZ133" s="152">
        <v>0.87925443164292838</v>
      </c>
      <c r="CA133" s="152">
        <v>0.87925443164292838</v>
      </c>
      <c r="CB133" s="152">
        <v>0.87925443164292838</v>
      </c>
      <c r="CC133" s="152">
        <v>0.87925443164292838</v>
      </c>
      <c r="CD133" s="152">
        <v>0.87925443164292838</v>
      </c>
      <c r="CE133" s="152">
        <v>0.87925443164292838</v>
      </c>
      <c r="CF133" s="152">
        <v>2.2801850675859565E-2</v>
      </c>
      <c r="CG133" s="152">
        <v>0.11869126372130998</v>
      </c>
      <c r="CH133" s="152">
        <v>0.38336850675859568</v>
      </c>
      <c r="CI133" s="152">
        <v>0.38336850675859568</v>
      </c>
      <c r="CJ133" s="259" t="s">
        <v>540</v>
      </c>
      <c r="CK133" s="261" t="s">
        <v>960</v>
      </c>
      <c r="CL133" s="152">
        <v>1.0455516465571986</v>
      </c>
      <c r="CM133" s="152">
        <v>1.0455516465571986</v>
      </c>
      <c r="CN133" s="152">
        <v>1.0455516465571986</v>
      </c>
      <c r="CO133" s="152">
        <v>1.0455516465571986</v>
      </c>
      <c r="CP133" s="152">
        <v>1.067317046176177</v>
      </c>
      <c r="CQ133" s="152">
        <v>1.067317046176177</v>
      </c>
      <c r="CR133" s="152">
        <v>1.067317046176177</v>
      </c>
      <c r="CS133" s="152">
        <v>1.067317046176177</v>
      </c>
      <c r="CT133" s="152">
        <v>0.63549041549487428</v>
      </c>
      <c r="CU133" s="152">
        <v>0.63549041549487428</v>
      </c>
      <c r="CV133" s="152">
        <v>0.63549041549487428</v>
      </c>
      <c r="CW133" s="152">
        <v>0.63549041549487428</v>
      </c>
      <c r="CX133" s="152">
        <v>1.771925764310986</v>
      </c>
      <c r="CY133" s="152">
        <v>1.771925764310986</v>
      </c>
      <c r="CZ133" s="152">
        <v>1.771925764310986</v>
      </c>
      <c r="DA133" s="152">
        <v>1.771925764310986</v>
      </c>
      <c r="DB133" s="152">
        <v>1.771925764310986</v>
      </c>
      <c r="DC133" s="152">
        <v>1.771925764310986</v>
      </c>
      <c r="DD133" s="152">
        <v>0.59466554023405604</v>
      </c>
      <c r="DE133" s="152">
        <v>0.59466554023405604</v>
      </c>
      <c r="DF133" s="333">
        <f t="shared" si="15"/>
        <v>0.8984903504094246</v>
      </c>
      <c r="DG133" s="333">
        <f t="shared" si="15"/>
        <v>0.3312196679455221</v>
      </c>
      <c r="DH133" s="333">
        <f t="shared" si="15"/>
        <v>0.12515655812724841</v>
      </c>
      <c r="DI133" s="333">
        <f t="shared" si="15"/>
        <v>0.3312196679455221</v>
      </c>
      <c r="DJ133" s="333" t="e">
        <f t="shared" si="15"/>
        <v>#NUM!</v>
      </c>
      <c r="DK133" s="333" t="e">
        <f t="shared" si="15"/>
        <v>#NUM!</v>
      </c>
      <c r="DL133" s="333" t="e">
        <f t="shared" si="15"/>
        <v>#NUM!</v>
      </c>
      <c r="DM133" s="333" t="e">
        <f t="shared" si="15"/>
        <v>#NUM!</v>
      </c>
      <c r="DN133" s="333"/>
      <c r="DO133" s="333"/>
    </row>
    <row r="134" spans="1:119" ht="15" x14ac:dyDescent="0.3">
      <c r="A134" t="s">
        <v>623</v>
      </c>
      <c r="B134">
        <v>1</v>
      </c>
      <c r="C134" t="s">
        <v>563</v>
      </c>
      <c r="D134">
        <v>2</v>
      </c>
      <c r="E134" t="s">
        <v>564</v>
      </c>
      <c r="F134" t="s">
        <v>564</v>
      </c>
      <c r="G134">
        <v>1.0978000000000001</v>
      </c>
      <c r="H134" s="231">
        <v>1.0978000000000001</v>
      </c>
      <c r="BT134" s="372"/>
      <c r="DN134" s="333"/>
      <c r="DO134" s="333"/>
    </row>
    <row r="135" spans="1:119" ht="15" x14ac:dyDescent="0.3">
      <c r="A135" t="s">
        <v>623</v>
      </c>
      <c r="B135">
        <v>2</v>
      </c>
      <c r="C135" t="s">
        <v>280</v>
      </c>
      <c r="D135">
        <v>2</v>
      </c>
      <c r="E135" t="s">
        <v>564</v>
      </c>
      <c r="F135" t="s">
        <v>564</v>
      </c>
      <c r="G135">
        <v>1.0318000000000001</v>
      </c>
      <c r="H135" s="231">
        <v>1.0318000000000001</v>
      </c>
      <c r="BT135" s="372"/>
      <c r="DN135" s="333"/>
      <c r="DO135" s="333"/>
    </row>
    <row r="136" spans="1:119" ht="15" x14ac:dyDescent="0.3">
      <c r="A136" t="s">
        <v>623</v>
      </c>
      <c r="B136">
        <v>3</v>
      </c>
      <c r="C136" t="s">
        <v>607</v>
      </c>
      <c r="D136">
        <v>2</v>
      </c>
      <c r="E136" t="s">
        <v>564</v>
      </c>
      <c r="F136" t="s">
        <v>564</v>
      </c>
      <c r="G136">
        <v>4.6947999999999999</v>
      </c>
      <c r="H136" s="231">
        <v>4.6947999999999999</v>
      </c>
      <c r="BT136" s="372"/>
    </row>
    <row r="137" spans="1:119" ht="15" x14ac:dyDescent="0.3">
      <c r="A137" t="s">
        <v>623</v>
      </c>
      <c r="B137">
        <v>4</v>
      </c>
      <c r="C137" t="s">
        <v>621</v>
      </c>
      <c r="D137">
        <v>2</v>
      </c>
      <c r="E137" t="s">
        <v>564</v>
      </c>
      <c r="F137" t="s">
        <v>564</v>
      </c>
      <c r="G137">
        <v>3.5272999999999999</v>
      </c>
      <c r="H137" s="231">
        <v>3.5272999999999999</v>
      </c>
    </row>
    <row r="138" spans="1:119" ht="15" x14ac:dyDescent="0.3">
      <c r="A138" t="s">
        <v>623</v>
      </c>
      <c r="B138">
        <v>5</v>
      </c>
      <c r="C138" t="s">
        <v>631</v>
      </c>
      <c r="D138">
        <v>2</v>
      </c>
      <c r="E138" t="s">
        <v>564</v>
      </c>
      <c r="F138" t="s">
        <v>564</v>
      </c>
      <c r="G138">
        <v>3.0438000000000001</v>
      </c>
      <c r="H138" s="231">
        <v>3.0438000000000001</v>
      </c>
    </row>
    <row r="139" spans="1:119" ht="15" x14ac:dyDescent="0.3">
      <c r="A139" t="s">
        <v>623</v>
      </c>
      <c r="B139">
        <v>6</v>
      </c>
      <c r="C139" t="s">
        <v>640</v>
      </c>
      <c r="D139">
        <v>3</v>
      </c>
      <c r="E139" t="s">
        <v>564</v>
      </c>
      <c r="F139" t="s">
        <v>564</v>
      </c>
      <c r="G139">
        <v>1.4027000000000001</v>
      </c>
      <c r="H139" s="231">
        <v>1.4027000000000001</v>
      </c>
    </row>
    <row r="140" spans="1:119" ht="15" x14ac:dyDescent="0.3">
      <c r="A140" t="s">
        <v>623</v>
      </c>
      <c r="B140">
        <v>7</v>
      </c>
      <c r="C140" t="s">
        <v>649</v>
      </c>
      <c r="D140">
        <v>3</v>
      </c>
      <c r="E140" t="s">
        <v>564</v>
      </c>
      <c r="F140" t="s">
        <v>564</v>
      </c>
      <c r="G140">
        <v>1.9489000000000001</v>
      </c>
      <c r="H140" s="231">
        <v>1.9489000000000001</v>
      </c>
    </row>
    <row r="141" spans="1:119" ht="15" x14ac:dyDescent="0.3">
      <c r="A141" t="s">
        <v>623</v>
      </c>
      <c r="B141">
        <v>8</v>
      </c>
      <c r="C141" t="s">
        <v>655</v>
      </c>
      <c r="D141">
        <v>3</v>
      </c>
      <c r="E141" t="s">
        <v>564</v>
      </c>
      <c r="F141" t="s">
        <v>564</v>
      </c>
      <c r="G141">
        <v>1.0961000000000001</v>
      </c>
      <c r="H141" s="231">
        <v>1.0961000000000001</v>
      </c>
    </row>
    <row r="142" spans="1:119" ht="15" x14ac:dyDescent="0.3">
      <c r="A142" t="s">
        <v>623</v>
      </c>
      <c r="B142">
        <v>9</v>
      </c>
      <c r="C142" t="s">
        <v>664</v>
      </c>
      <c r="D142">
        <v>2</v>
      </c>
      <c r="E142" t="s">
        <v>564</v>
      </c>
      <c r="F142" t="s">
        <v>564</v>
      </c>
      <c r="G142">
        <v>3.0053999999999998</v>
      </c>
      <c r="H142" s="231">
        <v>3.0053999999999998</v>
      </c>
    </row>
    <row r="143" spans="1:119" ht="15" x14ac:dyDescent="0.3">
      <c r="A143" t="s">
        <v>623</v>
      </c>
      <c r="B143">
        <v>10</v>
      </c>
      <c r="C143" t="s">
        <v>672</v>
      </c>
      <c r="D143">
        <v>5</v>
      </c>
      <c r="E143" t="s">
        <v>564</v>
      </c>
      <c r="F143" t="s">
        <v>564</v>
      </c>
      <c r="G143">
        <v>1.5588</v>
      </c>
      <c r="H143" s="231">
        <v>1.5588</v>
      </c>
    </row>
    <row r="144" spans="1:119" ht="15" x14ac:dyDescent="0.3">
      <c r="A144" t="s">
        <v>623</v>
      </c>
      <c r="B144">
        <v>11</v>
      </c>
      <c r="C144" t="s">
        <v>264</v>
      </c>
      <c r="D144">
        <v>8</v>
      </c>
      <c r="E144" t="s">
        <v>564</v>
      </c>
      <c r="F144" t="s">
        <v>564</v>
      </c>
      <c r="G144">
        <v>0.83709999999999996</v>
      </c>
      <c r="H144" s="231">
        <v>0.83709999999999996</v>
      </c>
    </row>
    <row r="145" spans="1:8" ht="15" x14ac:dyDescent="0.3">
      <c r="A145" t="s">
        <v>623</v>
      </c>
      <c r="B145">
        <v>12</v>
      </c>
      <c r="C145" t="s">
        <v>690</v>
      </c>
      <c r="D145">
        <v>5</v>
      </c>
      <c r="E145" t="s">
        <v>564</v>
      </c>
      <c r="F145" t="s">
        <v>564</v>
      </c>
      <c r="G145">
        <v>0.6613</v>
      </c>
      <c r="H145" s="231">
        <v>0.6613</v>
      </c>
    </row>
    <row r="146" spans="1:8" ht="15" x14ac:dyDescent="0.3">
      <c r="A146" t="s">
        <v>623</v>
      </c>
      <c r="B146">
        <v>14</v>
      </c>
      <c r="C146" t="s">
        <v>697</v>
      </c>
      <c r="D146">
        <v>5</v>
      </c>
      <c r="E146" t="s">
        <v>564</v>
      </c>
      <c r="F146" t="s">
        <v>564</v>
      </c>
      <c r="G146">
        <v>0.72460000000000002</v>
      </c>
      <c r="H146" s="231">
        <v>0.72460000000000002</v>
      </c>
    </row>
    <row r="147" spans="1:8" ht="15" x14ac:dyDescent="0.3">
      <c r="A147" t="s">
        <v>623</v>
      </c>
      <c r="B147">
        <v>17</v>
      </c>
      <c r="C147" t="s">
        <v>473</v>
      </c>
      <c r="D147">
        <v>7</v>
      </c>
      <c r="E147" t="s">
        <v>564</v>
      </c>
      <c r="F147" t="s">
        <v>564</v>
      </c>
      <c r="G147">
        <v>0.85319999999999996</v>
      </c>
      <c r="H147" s="231">
        <v>0.85319999999999996</v>
      </c>
    </row>
    <row r="148" spans="1:8" ht="15" x14ac:dyDescent="0.3">
      <c r="A148" t="s">
        <v>623</v>
      </c>
      <c r="B148">
        <v>18</v>
      </c>
      <c r="C148" t="s">
        <v>709</v>
      </c>
      <c r="D148">
        <v>5</v>
      </c>
      <c r="E148" t="s">
        <v>564</v>
      </c>
      <c r="F148" t="s">
        <v>564</v>
      </c>
      <c r="G148">
        <v>0.75260000000000005</v>
      </c>
      <c r="H148" s="231">
        <v>0.75260000000000005</v>
      </c>
    </row>
    <row r="149" spans="1:8" ht="15" x14ac:dyDescent="0.3">
      <c r="A149" t="s">
        <v>623</v>
      </c>
      <c r="B149">
        <v>19</v>
      </c>
      <c r="C149" t="s">
        <v>714</v>
      </c>
      <c r="D149">
        <v>5</v>
      </c>
      <c r="E149" t="s">
        <v>564</v>
      </c>
      <c r="F149" t="s">
        <v>564</v>
      </c>
      <c r="G149">
        <v>0.36709999999999998</v>
      </c>
      <c r="H149" s="231">
        <v>0.36709999999999998</v>
      </c>
    </row>
    <row r="150" spans="1:8" ht="15" x14ac:dyDescent="0.3">
      <c r="A150" t="s">
        <v>623</v>
      </c>
      <c r="B150">
        <v>20</v>
      </c>
      <c r="C150" t="s">
        <v>720</v>
      </c>
      <c r="D150">
        <v>5</v>
      </c>
      <c r="E150" t="s">
        <v>564</v>
      </c>
      <c r="F150" t="s">
        <v>564</v>
      </c>
      <c r="G150">
        <v>0.96519999999999995</v>
      </c>
      <c r="H150" s="231">
        <v>0.96519999999999995</v>
      </c>
    </row>
    <row r="151" spans="1:8" ht="15" x14ac:dyDescent="0.3">
      <c r="A151" t="s">
        <v>623</v>
      </c>
      <c r="B151">
        <v>21</v>
      </c>
      <c r="C151" t="s">
        <v>726</v>
      </c>
      <c r="D151">
        <v>6</v>
      </c>
      <c r="E151" t="s">
        <v>564</v>
      </c>
      <c r="F151" t="s">
        <v>564</v>
      </c>
      <c r="G151">
        <v>2.4283000000000001</v>
      </c>
      <c r="H151" s="231">
        <v>2.4283000000000001</v>
      </c>
    </row>
    <row r="152" spans="1:8" ht="15" x14ac:dyDescent="0.3">
      <c r="A152" t="s">
        <v>623</v>
      </c>
      <c r="B152">
        <v>22</v>
      </c>
      <c r="C152" t="s">
        <v>693</v>
      </c>
      <c r="D152">
        <v>6</v>
      </c>
      <c r="E152" t="s">
        <v>564</v>
      </c>
      <c r="F152" t="s">
        <v>564</v>
      </c>
      <c r="G152">
        <v>1.1076999999999999</v>
      </c>
      <c r="H152" s="231">
        <v>1.1076999999999999</v>
      </c>
    </row>
    <row r="153" spans="1:8" ht="15" x14ac:dyDescent="0.3">
      <c r="A153" t="s">
        <v>623</v>
      </c>
      <c r="B153">
        <v>23</v>
      </c>
      <c r="C153" t="s">
        <v>737</v>
      </c>
      <c r="D153">
        <v>5</v>
      </c>
      <c r="E153" t="s">
        <v>564</v>
      </c>
      <c r="F153" t="s">
        <v>564</v>
      </c>
      <c r="G153">
        <v>6.9900000000000004E-2</v>
      </c>
      <c r="H153" s="231">
        <v>6.9900000000000004E-2</v>
      </c>
    </row>
    <row r="154" spans="1:8" ht="15" x14ac:dyDescent="0.3">
      <c r="A154" t="s">
        <v>623</v>
      </c>
      <c r="B154">
        <v>24</v>
      </c>
      <c r="C154" t="s">
        <v>565</v>
      </c>
      <c r="D154">
        <v>17</v>
      </c>
      <c r="E154" t="s">
        <v>564</v>
      </c>
      <c r="F154" t="s">
        <v>564</v>
      </c>
      <c r="G154">
        <v>0.30809999999999998</v>
      </c>
      <c r="H154" s="231">
        <v>0.33979999999999999</v>
      </c>
    </row>
    <row r="155" spans="1:8" ht="15" x14ac:dyDescent="0.3">
      <c r="A155" t="s">
        <v>623</v>
      </c>
      <c r="B155">
        <v>25</v>
      </c>
      <c r="C155" t="s">
        <v>590</v>
      </c>
      <c r="D155">
        <v>17</v>
      </c>
      <c r="E155" t="s">
        <v>564</v>
      </c>
      <c r="F155" t="s">
        <v>564</v>
      </c>
      <c r="G155">
        <v>0.33960000000000001</v>
      </c>
      <c r="H155" s="231">
        <v>0.33979999999999999</v>
      </c>
    </row>
    <row r="156" spans="1:8" ht="15" x14ac:dyDescent="0.3">
      <c r="A156" t="s">
        <v>623</v>
      </c>
      <c r="B156">
        <v>26</v>
      </c>
      <c r="C156" t="s">
        <v>608</v>
      </c>
      <c r="D156">
        <v>17</v>
      </c>
      <c r="E156" t="s">
        <v>564</v>
      </c>
      <c r="F156" t="s">
        <v>564</v>
      </c>
      <c r="G156">
        <v>0.33179999999999998</v>
      </c>
      <c r="H156" s="231">
        <v>0.33979999999999999</v>
      </c>
    </row>
    <row r="157" spans="1:8" ht="15" x14ac:dyDescent="0.3">
      <c r="A157" t="s">
        <v>623</v>
      </c>
      <c r="B157">
        <v>27</v>
      </c>
      <c r="C157" t="s">
        <v>622</v>
      </c>
      <c r="D157">
        <v>17</v>
      </c>
      <c r="E157" t="s">
        <v>564</v>
      </c>
      <c r="F157" t="s">
        <v>564</v>
      </c>
      <c r="G157">
        <v>0.3367</v>
      </c>
      <c r="H157" s="231">
        <v>0.33989999999999998</v>
      </c>
    </row>
    <row r="158" spans="1:8" ht="15" x14ac:dyDescent="0.3">
      <c r="A158" t="s">
        <v>623</v>
      </c>
      <c r="B158">
        <v>28</v>
      </c>
      <c r="C158" t="s">
        <v>232</v>
      </c>
      <c r="D158">
        <v>17</v>
      </c>
      <c r="E158" t="s">
        <v>564</v>
      </c>
      <c r="F158" t="s">
        <v>564</v>
      </c>
      <c r="G158">
        <v>0.25840000000000002</v>
      </c>
      <c r="H158" s="231">
        <v>0.31069999999999998</v>
      </c>
    </row>
    <row r="159" spans="1:8" ht="15" x14ac:dyDescent="0.3">
      <c r="A159" t="s">
        <v>623</v>
      </c>
      <c r="B159">
        <v>29</v>
      </c>
      <c r="C159" t="s">
        <v>641</v>
      </c>
      <c r="D159">
        <v>17</v>
      </c>
      <c r="E159" t="s">
        <v>564</v>
      </c>
      <c r="F159" t="s">
        <v>564</v>
      </c>
      <c r="G159">
        <v>0.19900000000000001</v>
      </c>
      <c r="H159" s="231">
        <v>0.31069999999999998</v>
      </c>
    </row>
    <row r="160" spans="1:8" ht="15" x14ac:dyDescent="0.3">
      <c r="A160" t="s">
        <v>623</v>
      </c>
      <c r="B160">
        <v>30</v>
      </c>
      <c r="C160" t="s">
        <v>650</v>
      </c>
      <c r="D160">
        <v>17</v>
      </c>
      <c r="E160" t="s">
        <v>564</v>
      </c>
      <c r="F160" t="s">
        <v>564</v>
      </c>
      <c r="G160">
        <v>0.23280000000000001</v>
      </c>
      <c r="H160" s="231">
        <v>0.31069999999999998</v>
      </c>
    </row>
    <row r="161" spans="1:8" ht="15" x14ac:dyDescent="0.3">
      <c r="A161" t="s">
        <v>623</v>
      </c>
      <c r="B161">
        <v>31</v>
      </c>
      <c r="C161" t="s">
        <v>656</v>
      </c>
      <c r="D161">
        <v>17</v>
      </c>
      <c r="E161" t="s">
        <v>564</v>
      </c>
      <c r="F161" t="s">
        <v>564</v>
      </c>
      <c r="G161">
        <v>0.29270000000000002</v>
      </c>
      <c r="H161" s="231">
        <v>0.31080000000000002</v>
      </c>
    </row>
    <row r="162" spans="1:8" ht="15" x14ac:dyDescent="0.3">
      <c r="A162" t="s">
        <v>623</v>
      </c>
      <c r="B162">
        <v>32</v>
      </c>
      <c r="C162" t="s">
        <v>665</v>
      </c>
      <c r="D162">
        <v>17</v>
      </c>
      <c r="E162" t="s">
        <v>564</v>
      </c>
      <c r="F162" t="s">
        <v>564</v>
      </c>
      <c r="G162">
        <v>0.1082</v>
      </c>
      <c r="H162" s="231">
        <v>0.32</v>
      </c>
    </row>
    <row r="163" spans="1:8" ht="15" x14ac:dyDescent="0.3">
      <c r="A163" t="s">
        <v>623</v>
      </c>
      <c r="B163">
        <v>33</v>
      </c>
      <c r="C163" t="s">
        <v>673</v>
      </c>
      <c r="D163">
        <v>17</v>
      </c>
      <c r="E163" t="s">
        <v>564</v>
      </c>
      <c r="F163" t="s">
        <v>564</v>
      </c>
      <c r="G163">
        <v>3.3799999999999997E-2</v>
      </c>
      <c r="H163" s="231">
        <v>0.32040000000000002</v>
      </c>
    </row>
    <row r="164" spans="1:8" ht="15" x14ac:dyDescent="0.3">
      <c r="A164" t="s">
        <v>623</v>
      </c>
      <c r="B164">
        <v>34</v>
      </c>
      <c r="C164" t="s">
        <v>681</v>
      </c>
      <c r="D164">
        <v>17</v>
      </c>
      <c r="E164" t="s">
        <v>564</v>
      </c>
      <c r="F164" t="s">
        <v>564</v>
      </c>
      <c r="G164">
        <v>0.19139999999999999</v>
      </c>
      <c r="H164" s="231">
        <v>0.32</v>
      </c>
    </row>
    <row r="165" spans="1:8" ht="15" x14ac:dyDescent="0.3">
      <c r="A165" t="s">
        <v>623</v>
      </c>
      <c r="B165">
        <v>35</v>
      </c>
      <c r="C165" t="s">
        <v>691</v>
      </c>
      <c r="D165">
        <v>17</v>
      </c>
      <c r="E165" t="s">
        <v>564</v>
      </c>
      <c r="F165" t="s">
        <v>564</v>
      </c>
      <c r="G165">
        <v>0.31209999999999999</v>
      </c>
      <c r="H165" s="231">
        <v>0.32379999999999998</v>
      </c>
    </row>
    <row r="166" spans="1:8" ht="15" x14ac:dyDescent="0.3">
      <c r="A166" s="279" t="s">
        <v>961</v>
      </c>
      <c r="B166" s="280">
        <v>1</v>
      </c>
      <c r="C166" s="280" t="s">
        <v>563</v>
      </c>
      <c r="D166" s="280">
        <v>2</v>
      </c>
      <c r="E166" s="280" t="s">
        <v>564</v>
      </c>
      <c r="F166" s="280" t="s">
        <v>564</v>
      </c>
      <c r="H166" s="231">
        <v>5.7700000000000001E-2</v>
      </c>
    </row>
    <row r="167" spans="1:8" ht="15" x14ac:dyDescent="0.3">
      <c r="A167" s="279" t="s">
        <v>961</v>
      </c>
      <c r="B167" s="280">
        <v>2</v>
      </c>
      <c r="C167" s="280" t="s">
        <v>280</v>
      </c>
      <c r="D167" s="280">
        <v>2</v>
      </c>
      <c r="E167" s="280" t="s">
        <v>564</v>
      </c>
      <c r="F167" s="280" t="s">
        <v>564</v>
      </c>
      <c r="H167" s="231">
        <v>0.1013</v>
      </c>
    </row>
    <row r="168" spans="1:8" ht="15" x14ac:dyDescent="0.3">
      <c r="A168" s="279" t="s">
        <v>961</v>
      </c>
      <c r="B168" s="280">
        <v>3</v>
      </c>
      <c r="C168" s="280" t="s">
        <v>607</v>
      </c>
      <c r="D168" s="280">
        <v>2</v>
      </c>
      <c r="E168" s="280" t="s">
        <v>564</v>
      </c>
      <c r="F168" s="280" t="s">
        <v>564</v>
      </c>
      <c r="H168" s="231">
        <v>7.9399999999999998E-2</v>
      </c>
    </row>
    <row r="169" spans="1:8" ht="15" x14ac:dyDescent="0.3">
      <c r="A169" s="279" t="s">
        <v>961</v>
      </c>
      <c r="B169" s="280">
        <v>4</v>
      </c>
      <c r="C169" s="280" t="s">
        <v>621</v>
      </c>
      <c r="D169" s="280">
        <v>2</v>
      </c>
      <c r="E169" s="280" t="s">
        <v>564</v>
      </c>
      <c r="F169" s="280" t="s">
        <v>564</v>
      </c>
      <c r="H169" s="231">
        <v>8.1299999999999997E-2</v>
      </c>
    </row>
    <row r="170" spans="1:8" ht="15" x14ac:dyDescent="0.3">
      <c r="A170" s="279" t="s">
        <v>961</v>
      </c>
      <c r="B170" s="280">
        <v>8</v>
      </c>
      <c r="C170" s="280" t="s">
        <v>655</v>
      </c>
      <c r="D170" s="280">
        <v>3</v>
      </c>
      <c r="E170" s="280" t="s">
        <v>564</v>
      </c>
      <c r="F170" s="280" t="s">
        <v>564</v>
      </c>
      <c r="H170" s="231">
        <v>9.1499999999999998E-2</v>
      </c>
    </row>
    <row r="171" spans="1:8" ht="15" x14ac:dyDescent="0.3">
      <c r="A171" s="279" t="s">
        <v>961</v>
      </c>
      <c r="B171" s="280">
        <v>12</v>
      </c>
      <c r="C171" s="280" t="s">
        <v>690</v>
      </c>
      <c r="D171" s="280">
        <v>5</v>
      </c>
      <c r="E171" s="280" t="s">
        <v>564</v>
      </c>
      <c r="F171" s="280" t="s">
        <v>564</v>
      </c>
      <c r="H171" s="231">
        <v>5.5500000000000001E-2</v>
      </c>
    </row>
    <row r="172" spans="1:8" ht="15" x14ac:dyDescent="0.3">
      <c r="A172" s="279" t="s">
        <v>961</v>
      </c>
      <c r="B172" s="280">
        <v>21</v>
      </c>
      <c r="C172" s="280" t="s">
        <v>726</v>
      </c>
      <c r="D172" s="280">
        <v>6</v>
      </c>
      <c r="E172" s="280" t="s">
        <v>564</v>
      </c>
      <c r="F172" s="280" t="s">
        <v>564</v>
      </c>
      <c r="H172" s="231">
        <v>2.69E-2</v>
      </c>
    </row>
    <row r="173" spans="1:8" ht="15" x14ac:dyDescent="0.3">
      <c r="A173" s="279" t="s">
        <v>961</v>
      </c>
      <c r="B173" s="280">
        <v>24</v>
      </c>
      <c r="C173" s="280" t="s">
        <v>565</v>
      </c>
      <c r="D173" s="280">
        <v>17</v>
      </c>
      <c r="E173" s="280" t="s">
        <v>564</v>
      </c>
      <c r="F173" s="280" t="s">
        <v>564</v>
      </c>
      <c r="H173" s="231">
        <v>7.6399999999999996E-2</v>
      </c>
    </row>
    <row r="174" spans="1:8" ht="15" x14ac:dyDescent="0.3">
      <c r="A174" s="279" t="s">
        <v>961</v>
      </c>
      <c r="B174" s="280">
        <v>25</v>
      </c>
      <c r="C174" s="280" t="s">
        <v>590</v>
      </c>
      <c r="D174" s="280">
        <v>17</v>
      </c>
      <c r="E174" s="280" t="s">
        <v>564</v>
      </c>
      <c r="F174" s="280" t="s">
        <v>564</v>
      </c>
      <c r="H174" s="231">
        <v>7.6499999999999999E-2</v>
      </c>
    </row>
    <row r="175" spans="1:8" ht="15" x14ac:dyDescent="0.3">
      <c r="A175" s="279" t="s">
        <v>961</v>
      </c>
      <c r="B175" s="280">
        <v>26</v>
      </c>
      <c r="C175" s="280" t="s">
        <v>608</v>
      </c>
      <c r="D175" s="280">
        <v>17</v>
      </c>
      <c r="E175" s="280" t="s">
        <v>564</v>
      </c>
      <c r="F175" s="280" t="s">
        <v>564</v>
      </c>
      <c r="H175" s="231">
        <v>7.6499999999999999E-2</v>
      </c>
    </row>
    <row r="176" spans="1:8" ht="15" x14ac:dyDescent="0.3">
      <c r="A176" s="279" t="s">
        <v>961</v>
      </c>
      <c r="B176" s="280">
        <v>27</v>
      </c>
      <c r="C176" s="280" t="s">
        <v>622</v>
      </c>
      <c r="D176" s="280">
        <v>17</v>
      </c>
      <c r="E176" s="280" t="s">
        <v>564</v>
      </c>
      <c r="F176" s="280" t="s">
        <v>564</v>
      </c>
      <c r="H176" s="231">
        <v>7.6499999999999999E-2</v>
      </c>
    </row>
    <row r="177" spans="1:8" ht="15" x14ac:dyDescent="0.3">
      <c r="A177" s="279" t="s">
        <v>961</v>
      </c>
      <c r="B177" s="280">
        <v>28</v>
      </c>
      <c r="C177" s="280" t="s">
        <v>232</v>
      </c>
      <c r="D177" s="280">
        <v>17</v>
      </c>
      <c r="E177" s="280" t="s">
        <v>564</v>
      </c>
      <c r="F177" s="280" t="s">
        <v>564</v>
      </c>
      <c r="H177" s="231">
        <v>6.9900000000000004E-2</v>
      </c>
    </row>
    <row r="178" spans="1:8" ht="15" x14ac:dyDescent="0.3">
      <c r="A178" s="279" t="s">
        <v>961</v>
      </c>
      <c r="B178" s="280">
        <v>29</v>
      </c>
      <c r="C178" s="280" t="s">
        <v>641</v>
      </c>
      <c r="D178" s="280">
        <v>17</v>
      </c>
      <c r="E178" s="280" t="s">
        <v>564</v>
      </c>
      <c r="F178" s="280" t="s">
        <v>564</v>
      </c>
      <c r="H178" s="231">
        <v>6.9900000000000004E-2</v>
      </c>
    </row>
    <row r="179" spans="1:8" ht="15" x14ac:dyDescent="0.3">
      <c r="A179" s="279" t="s">
        <v>961</v>
      </c>
      <c r="B179" s="280">
        <v>30</v>
      </c>
      <c r="C179" s="280" t="s">
        <v>650</v>
      </c>
      <c r="D179" s="280">
        <v>17</v>
      </c>
      <c r="E179" s="280" t="s">
        <v>564</v>
      </c>
      <c r="F179" s="280" t="s">
        <v>564</v>
      </c>
      <c r="H179" s="231">
        <v>6.9900000000000004E-2</v>
      </c>
    </row>
    <row r="180" spans="1:8" ht="15" x14ac:dyDescent="0.3">
      <c r="A180" s="279" t="s">
        <v>961</v>
      </c>
      <c r="B180" s="280">
        <v>31</v>
      </c>
      <c r="C180" s="280" t="s">
        <v>656</v>
      </c>
      <c r="D180" s="280">
        <v>17</v>
      </c>
      <c r="E180" s="280" t="s">
        <v>564</v>
      </c>
      <c r="F180" s="280" t="s">
        <v>564</v>
      </c>
      <c r="H180" s="231">
        <v>7.0000000000000007E-2</v>
      </c>
    </row>
    <row r="181" spans="1:8" ht="15" x14ac:dyDescent="0.3">
      <c r="A181" s="279" t="s">
        <v>961</v>
      </c>
      <c r="B181" s="280">
        <v>32</v>
      </c>
      <c r="C181" s="280" t="s">
        <v>665</v>
      </c>
      <c r="D181" s="280">
        <v>17</v>
      </c>
      <c r="E181" s="280" t="s">
        <v>564</v>
      </c>
      <c r="F181" s="280" t="s">
        <v>564</v>
      </c>
      <c r="H181" s="231">
        <v>7.1900000000000006E-2</v>
      </c>
    </row>
    <row r="182" spans="1:8" ht="15" x14ac:dyDescent="0.3">
      <c r="A182" s="279" t="s">
        <v>961</v>
      </c>
      <c r="B182" s="280">
        <v>33</v>
      </c>
      <c r="C182" s="280" t="s">
        <v>673</v>
      </c>
      <c r="D182" s="280">
        <v>17</v>
      </c>
      <c r="E182" s="280" t="s">
        <v>564</v>
      </c>
      <c r="F182" s="280" t="s">
        <v>564</v>
      </c>
      <c r="H182" s="231">
        <v>7.1999999999999995E-2</v>
      </c>
    </row>
    <row r="183" spans="1:8" ht="15" x14ac:dyDescent="0.3">
      <c r="A183" s="279" t="s">
        <v>961</v>
      </c>
      <c r="B183" s="280">
        <v>34</v>
      </c>
      <c r="C183" s="280" t="s">
        <v>681</v>
      </c>
      <c r="D183" s="280">
        <v>17</v>
      </c>
      <c r="E183" s="280" t="s">
        <v>564</v>
      </c>
      <c r="F183" s="280" t="s">
        <v>564</v>
      </c>
      <c r="H183" s="231">
        <v>7.2099999999999997E-2</v>
      </c>
    </row>
    <row r="184" spans="1:8" ht="30" x14ac:dyDescent="0.3">
      <c r="A184" s="279" t="s">
        <v>961</v>
      </c>
      <c r="B184" s="280">
        <v>35</v>
      </c>
      <c r="C184" s="280" t="s">
        <v>691</v>
      </c>
      <c r="D184" s="280">
        <v>17</v>
      </c>
      <c r="E184" s="280" t="s">
        <v>564</v>
      </c>
      <c r="F184" s="280" t="s">
        <v>564</v>
      </c>
      <c r="H184" s="231">
        <v>7.2800000000000004E-2</v>
      </c>
    </row>
    <row r="185" spans="1:8" ht="15" x14ac:dyDescent="0.3">
      <c r="A185" t="s">
        <v>962</v>
      </c>
      <c r="B185">
        <v>5</v>
      </c>
      <c r="C185" t="s">
        <v>631</v>
      </c>
      <c r="D185">
        <v>2</v>
      </c>
      <c r="E185" t="s">
        <v>564</v>
      </c>
      <c r="F185" t="s">
        <v>564</v>
      </c>
      <c r="G185">
        <v>2.6231210000000001E-2</v>
      </c>
      <c r="H185" s="231">
        <v>2.6231210000000001E-2</v>
      </c>
    </row>
    <row r="186" spans="1:8" ht="15" x14ac:dyDescent="0.3">
      <c r="A186" t="s">
        <v>962</v>
      </c>
      <c r="B186">
        <v>6</v>
      </c>
      <c r="C186" t="s">
        <v>640</v>
      </c>
      <c r="D186">
        <v>3</v>
      </c>
      <c r="E186" t="s">
        <v>564</v>
      </c>
      <c r="F186" t="s">
        <v>564</v>
      </c>
      <c r="G186">
        <v>2.560204E-2</v>
      </c>
      <c r="H186" s="231">
        <v>2.560204E-2</v>
      </c>
    </row>
    <row r="187" spans="1:8" ht="15" x14ac:dyDescent="0.3">
      <c r="A187" t="s">
        <v>962</v>
      </c>
      <c r="B187">
        <v>7</v>
      </c>
      <c r="C187" t="s">
        <v>649</v>
      </c>
      <c r="D187">
        <v>3</v>
      </c>
      <c r="E187" t="s">
        <v>564</v>
      </c>
      <c r="F187" t="s">
        <v>564</v>
      </c>
      <c r="G187">
        <v>1.3152850000000001E-2</v>
      </c>
      <c r="H187" s="231">
        <v>1.3152850000000001E-2</v>
      </c>
    </row>
    <row r="188" spans="1:8" ht="15" x14ac:dyDescent="0.3">
      <c r="A188" t="s">
        <v>962</v>
      </c>
      <c r="B188">
        <v>9</v>
      </c>
      <c r="C188" t="s">
        <v>664</v>
      </c>
      <c r="D188">
        <v>2</v>
      </c>
      <c r="E188" t="s">
        <v>564</v>
      </c>
      <c r="F188" t="s">
        <v>564</v>
      </c>
      <c r="G188">
        <v>0.14383099999999999</v>
      </c>
      <c r="H188" s="231">
        <v>0.14383099999999999</v>
      </c>
    </row>
    <row r="189" spans="1:8" ht="15" x14ac:dyDescent="0.3">
      <c r="A189" t="s">
        <v>962</v>
      </c>
      <c r="B189">
        <v>10</v>
      </c>
      <c r="C189" t="s">
        <v>672</v>
      </c>
      <c r="D189">
        <v>5</v>
      </c>
      <c r="E189" t="s">
        <v>564</v>
      </c>
      <c r="F189" t="s">
        <v>564</v>
      </c>
      <c r="G189">
        <v>9.6612089999999998E-2</v>
      </c>
      <c r="H189" s="231">
        <v>9.6612089999999998E-2</v>
      </c>
    </row>
    <row r="190" spans="1:8" ht="15" x14ac:dyDescent="0.3">
      <c r="A190" t="s">
        <v>962</v>
      </c>
      <c r="B190">
        <v>11</v>
      </c>
      <c r="C190" t="s">
        <v>264</v>
      </c>
      <c r="D190">
        <v>8</v>
      </c>
      <c r="E190" t="s">
        <v>564</v>
      </c>
      <c r="F190" t="s">
        <v>564</v>
      </c>
      <c r="G190">
        <v>6.5302399999999997E-2</v>
      </c>
      <c r="H190" s="231">
        <v>6.5302399999999997E-2</v>
      </c>
    </row>
    <row r="191" spans="1:8" ht="15" x14ac:dyDescent="0.3">
      <c r="A191" t="s">
        <v>962</v>
      </c>
      <c r="B191">
        <v>13</v>
      </c>
      <c r="C191" t="s">
        <v>571</v>
      </c>
      <c r="D191">
        <v>5</v>
      </c>
      <c r="E191" t="s">
        <v>564</v>
      </c>
      <c r="F191" t="s">
        <v>564</v>
      </c>
      <c r="G191">
        <v>3.473445E-2</v>
      </c>
      <c r="H191" s="231">
        <v>3.473445E-2</v>
      </c>
    </row>
    <row r="192" spans="1:8" ht="15" x14ac:dyDescent="0.3">
      <c r="A192" t="s">
        <v>962</v>
      </c>
      <c r="B192">
        <v>14</v>
      </c>
      <c r="C192" t="s">
        <v>697</v>
      </c>
      <c r="D192">
        <v>5</v>
      </c>
      <c r="E192" t="s">
        <v>564</v>
      </c>
      <c r="F192" t="s">
        <v>564</v>
      </c>
      <c r="G192">
        <v>6.1098079999999999E-2</v>
      </c>
      <c r="H192" s="231">
        <v>6.1098079999999999E-2</v>
      </c>
    </row>
    <row r="193" spans="1:8" ht="15" x14ac:dyDescent="0.3">
      <c r="A193" t="s">
        <v>962</v>
      </c>
      <c r="B193">
        <v>17</v>
      </c>
      <c r="C193" t="s">
        <v>473</v>
      </c>
      <c r="D193">
        <v>7</v>
      </c>
      <c r="E193" t="s">
        <v>564</v>
      </c>
      <c r="F193" t="s">
        <v>564</v>
      </c>
      <c r="G193">
        <v>2.48541E-2</v>
      </c>
      <c r="H193" s="231">
        <v>2.48541E-2</v>
      </c>
    </row>
    <row r="194" spans="1:8" ht="15" x14ac:dyDescent="0.3">
      <c r="A194" t="s">
        <v>962</v>
      </c>
      <c r="B194">
        <v>18</v>
      </c>
      <c r="C194" t="s">
        <v>709</v>
      </c>
      <c r="D194">
        <v>5</v>
      </c>
      <c r="E194" t="s">
        <v>564</v>
      </c>
      <c r="F194" t="s">
        <v>564</v>
      </c>
      <c r="G194">
        <v>1.02297E-2</v>
      </c>
      <c r="H194" s="231">
        <v>1.02297E-2</v>
      </c>
    </row>
    <row r="195" spans="1:8" ht="15" x14ac:dyDescent="0.3">
      <c r="A195" t="s">
        <v>962</v>
      </c>
      <c r="B195">
        <v>19</v>
      </c>
      <c r="C195" t="s">
        <v>714</v>
      </c>
      <c r="D195">
        <v>5</v>
      </c>
      <c r="E195" t="s">
        <v>564</v>
      </c>
      <c r="F195" t="s">
        <v>564</v>
      </c>
      <c r="G195">
        <v>0.12323969999999999</v>
      </c>
      <c r="H195" s="231">
        <v>0.12323969999999999</v>
      </c>
    </row>
    <row r="196" spans="1:8" ht="15" x14ac:dyDescent="0.3">
      <c r="A196" t="s">
        <v>962</v>
      </c>
      <c r="B196">
        <v>20</v>
      </c>
      <c r="C196" t="s">
        <v>720</v>
      </c>
      <c r="D196">
        <v>5</v>
      </c>
      <c r="E196" t="s">
        <v>564</v>
      </c>
      <c r="F196" t="s">
        <v>564</v>
      </c>
      <c r="G196">
        <v>2.481628E-2</v>
      </c>
      <c r="H196" s="231">
        <v>2.481628E-2</v>
      </c>
    </row>
    <row r="197" spans="1:8" ht="15" x14ac:dyDescent="0.3">
      <c r="A197" t="s">
        <v>962</v>
      </c>
      <c r="B197">
        <v>22</v>
      </c>
      <c r="C197" t="s">
        <v>693</v>
      </c>
      <c r="D197">
        <v>6</v>
      </c>
      <c r="E197" t="s">
        <v>564</v>
      </c>
      <c r="F197" t="s">
        <v>564</v>
      </c>
      <c r="G197">
        <v>7.3373389999999997E-2</v>
      </c>
      <c r="H197" s="231">
        <v>7.3373389999999997E-2</v>
      </c>
    </row>
    <row r="198" spans="1:8" ht="15" x14ac:dyDescent="0.3">
      <c r="A198" t="s">
        <v>962</v>
      </c>
      <c r="B198">
        <v>23</v>
      </c>
      <c r="C198" t="s">
        <v>737</v>
      </c>
      <c r="D198">
        <v>5</v>
      </c>
      <c r="E198" t="s">
        <v>564</v>
      </c>
      <c r="F198" t="s">
        <v>564</v>
      </c>
      <c r="G198">
        <v>2.4888199999999999E-2</v>
      </c>
      <c r="H198" s="231">
        <v>2.4888199999999999E-2</v>
      </c>
    </row>
  </sheetData>
  <sheetProtection algorithmName="SHA-512" hashValue="GuCFrRkU59WMCZazGfDoM9rQgRM0naUbDYXfu8piqdYhuNr1asHB0rvGX0yc1FGNdIuoEbAFLjKC2NOCwr5OMw==" saltValue="VkPAIC1jUGLETxv2wlvoXw==" spinCount="100000" sheet="1" objects="1" scenarios="1"/>
  <phoneticPr fontId="40" type="noConversion"/>
  <conditionalFormatting sqref="BY4:CI133 CL121:DE133">
    <cfRule type="expression" dxfId="4" priority="20">
      <formula>BY4&gt;3.9</formula>
    </cfRule>
  </conditionalFormatting>
  <conditionalFormatting sqref="CL4:DC120">
    <cfRule type="expression" dxfId="3" priority="15">
      <formula>CL4&gt;3.9</formula>
    </cfRule>
  </conditionalFormatting>
  <conditionalFormatting sqref="CM121:CV121">
    <cfRule type="expression" dxfId="2" priority="1">
      <formula>CM121&gt;3.9</formula>
    </cfRule>
  </conditionalFormatting>
  <conditionalFormatting sqref="CX121:DC121">
    <cfRule type="expression" dxfId="1" priority="4">
      <formula>CX121&gt;3.9</formula>
    </cfRule>
  </conditionalFormatting>
  <conditionalFormatting sqref="DD4:DI121">
    <cfRule type="expression" dxfId="0" priority="2">
      <formula>DD4&gt;3.9</formula>
    </cfRule>
  </conditionalFormatting>
  <hyperlinks>
    <hyperlink ref="G2" r:id="rId1" display="../../../../:x:/r/teams/ANR-VTAgriculturalTracking-AccountingTeam-AgriculturalWorkgroup/Shared Documents/Agricultural Workgroup/Tracking %26 Accounting SOP/P Land Loading Rates.xlsx?d=wba16b7faf6744601976195d832c78a9b&amp;csf=1&amp;web=1&amp;e=x4zS1T" xr:uid="{D75D38C2-DC34-4345-A146-56A72D83D615}"/>
    <hyperlink ref="H2" r:id="rId2" xr:uid="{9B68E4EC-950F-40DB-9842-34640733FD7D}"/>
    <hyperlink ref="BN2" r:id="rId3" xr:uid="{628565D7-1AFA-465F-A5E4-743B6CC3A91D}"/>
    <hyperlink ref="BS123" r:id="rId4" display="../../../../../:x:/r/teams/ANR-VTAgriculturalTracking-AccountingTeam-FunctioningFloodplainsInitiativeWorkgroup/Shared Documents/Functioning Floodplains Initiative Workgroup/LakeChamplainBasin_Simulation_Results.xlsx?d=wb99ba703ee524186b36a54fb84ef84dd&amp;csf=1&amp;web=1&amp;e=71xmar" xr:uid="{18AC68B0-DBE8-44AD-B08F-4A2F6A0FF674}"/>
    <hyperlink ref="BS5" r:id="rId5" display="../../../../../:x:/r/teams/ANR-VTAgriculturalTracking-AccountingTeam-FunctioningFloodplainsInitiativeWorkgroup/Shared Documents/Functioning Floodplains Initiative Workgroup/HUC12_Simulation_Results_20250116.xlsx?d=wffc0f321280642aabfabefa533c320f3&amp;csf=1&amp;web=1&amp;e=2nQ5lw" xr:uid="{8B1FAA0F-8EE5-4B39-9597-DBFA4F638DD0}"/>
  </hyperlinks>
  <pageMargins left="0.7" right="0.7" top="0.75" bottom="0.75" header="0.3" footer="0.3"/>
  <pageSetup orientation="portrait" r:id="rId6"/>
  <legacyDrawing r:id="rId7"/>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72610-4385-4D8A-A0DF-7E701064F23B}">
  <sheetPr codeName="Sheet15"/>
  <dimension ref="A1:R91"/>
  <sheetViews>
    <sheetView zoomScale="85" zoomScaleNormal="85" workbookViewId="0">
      <selection activeCell="I30" sqref="I30"/>
    </sheetView>
  </sheetViews>
  <sheetFormatPr defaultRowHeight="14.4" x14ac:dyDescent="0.3"/>
  <cols>
    <col min="1" max="1" width="52.44140625" customWidth="1"/>
    <col min="2" max="2" width="14" bestFit="1" customWidth="1"/>
    <col min="3" max="3" width="15.88671875" customWidth="1"/>
    <col min="4" max="4" width="14.109375" customWidth="1"/>
    <col min="5" max="5" width="15.88671875" bestFit="1" customWidth="1"/>
    <col min="6" max="10" width="17.109375" customWidth="1"/>
    <col min="11" max="11" width="14.109375" customWidth="1"/>
    <col min="12" max="12" width="11.88671875" customWidth="1"/>
    <col min="13" max="14" width="10.44140625" customWidth="1"/>
    <col min="15" max="15" width="11.88671875" customWidth="1"/>
    <col min="16" max="16" width="10.109375" bestFit="1" customWidth="1"/>
    <col min="17" max="17" width="14.44140625" customWidth="1"/>
  </cols>
  <sheetData>
    <row r="1" spans="1:15" x14ac:dyDescent="0.3">
      <c r="B1" s="1"/>
      <c r="C1" s="1"/>
      <c r="D1" s="2"/>
      <c r="E1" s="1"/>
      <c r="F1" s="3"/>
      <c r="G1" s="4" t="s">
        <v>963</v>
      </c>
    </row>
    <row r="2" spans="1:15" x14ac:dyDescent="0.3">
      <c r="A2" s="5" t="s">
        <v>964</v>
      </c>
      <c r="B2" s="6" t="s">
        <v>965</v>
      </c>
      <c r="C2" s="6" t="s">
        <v>966</v>
      </c>
      <c r="D2" s="6" t="s">
        <v>967</v>
      </c>
      <c r="E2" s="6" t="s">
        <v>968</v>
      </c>
      <c r="F2" s="6" t="s">
        <v>12</v>
      </c>
      <c r="I2" s="40" t="s">
        <v>969</v>
      </c>
      <c r="J2" s="41" t="s">
        <v>970</v>
      </c>
      <c r="K2" s="41" t="s">
        <v>971</v>
      </c>
      <c r="L2" s="40" t="s">
        <v>972</v>
      </c>
      <c r="M2" s="40" t="s">
        <v>973</v>
      </c>
      <c r="N2" s="40" t="s">
        <v>12</v>
      </c>
      <c r="O2" s="40" t="s">
        <v>974</v>
      </c>
    </row>
    <row r="3" spans="1:15" x14ac:dyDescent="0.3">
      <c r="A3" s="7" t="s">
        <v>5</v>
      </c>
      <c r="B3" s="8">
        <v>33731</v>
      </c>
      <c r="C3" s="8">
        <v>2999</v>
      </c>
      <c r="D3" s="60">
        <v>5860</v>
      </c>
      <c r="E3" s="8">
        <v>4694</v>
      </c>
      <c r="F3" s="8">
        <f t="shared" ref="F3:F9" si="0">SUM(B3:E3)</f>
        <v>47284</v>
      </c>
      <c r="G3" s="9" t="s">
        <v>975</v>
      </c>
      <c r="H3" t="s">
        <v>976</v>
      </c>
      <c r="I3" s="37" t="s">
        <v>977</v>
      </c>
      <c r="J3" s="38">
        <v>84.1</v>
      </c>
      <c r="K3" s="38">
        <v>1031.4000000000001</v>
      </c>
      <c r="L3" s="39">
        <v>158.19999999999999</v>
      </c>
      <c r="M3" s="37"/>
      <c r="N3" s="7">
        <f>SUM(J3:M3)</f>
        <v>1273.7</v>
      </c>
      <c r="O3" s="21">
        <f>N3/C3</f>
        <v>0.4247082360786929</v>
      </c>
    </row>
    <row r="4" spans="1:15" x14ac:dyDescent="0.3">
      <c r="A4" s="7" t="s">
        <v>6</v>
      </c>
      <c r="B4" s="8">
        <v>48390</v>
      </c>
      <c r="C4" s="8">
        <v>5085</v>
      </c>
      <c r="D4" s="60">
        <v>1331</v>
      </c>
      <c r="E4" s="8">
        <v>14314</v>
      </c>
      <c r="F4" s="8">
        <f t="shared" si="0"/>
        <v>69120</v>
      </c>
      <c r="G4" s="11" t="s">
        <v>978</v>
      </c>
      <c r="H4" t="s">
        <v>979</v>
      </c>
      <c r="I4" s="37" t="s">
        <v>980</v>
      </c>
      <c r="J4" s="38">
        <v>318.7</v>
      </c>
      <c r="K4" s="38">
        <v>1504.6</v>
      </c>
      <c r="L4" s="39">
        <v>248.3</v>
      </c>
      <c r="M4" s="39">
        <v>30.5</v>
      </c>
      <c r="N4" s="7">
        <f t="shared" ref="N4:N9" si="1">SUM(J4:M4)</f>
        <v>2102.1</v>
      </c>
      <c r="O4" s="21">
        <f t="shared" ref="O4:O8" si="2">N4/C4</f>
        <v>0.41339233038348083</v>
      </c>
    </row>
    <row r="5" spans="1:15" x14ac:dyDescent="0.3">
      <c r="A5" s="7" t="s">
        <v>7</v>
      </c>
      <c r="B5" s="8">
        <v>10992</v>
      </c>
      <c r="C5" s="8">
        <v>3108</v>
      </c>
      <c r="D5" s="60">
        <v>137</v>
      </c>
      <c r="E5" s="8">
        <v>1516</v>
      </c>
      <c r="F5" s="8">
        <f t="shared" si="0"/>
        <v>15753</v>
      </c>
      <c r="I5" s="37" t="s">
        <v>981</v>
      </c>
      <c r="J5" s="38">
        <v>390.1</v>
      </c>
      <c r="K5" s="38">
        <v>206.1</v>
      </c>
      <c r="L5" s="39">
        <v>103.8</v>
      </c>
      <c r="M5" s="39">
        <v>451</v>
      </c>
      <c r="N5" s="7">
        <f t="shared" si="1"/>
        <v>1151</v>
      </c>
      <c r="O5" s="21">
        <f t="shared" si="2"/>
        <v>0.37033462033462033</v>
      </c>
    </row>
    <row r="6" spans="1:15" x14ac:dyDescent="0.3">
      <c r="A6" s="7" t="s">
        <v>8</v>
      </c>
      <c r="B6" s="8">
        <v>49114</v>
      </c>
      <c r="C6" s="8">
        <v>7371</v>
      </c>
      <c r="D6" s="60">
        <v>11415</v>
      </c>
      <c r="E6" s="8">
        <v>30695</v>
      </c>
      <c r="F6" s="8">
        <f t="shared" si="0"/>
        <v>98595</v>
      </c>
      <c r="I6" s="37" t="s">
        <v>982</v>
      </c>
      <c r="J6" s="38">
        <v>62.4</v>
      </c>
      <c r="K6" s="38">
        <v>1335.5</v>
      </c>
      <c r="L6" s="39">
        <v>412.1</v>
      </c>
      <c r="M6" s="39">
        <v>0</v>
      </c>
      <c r="N6" s="7">
        <f t="shared" si="1"/>
        <v>1810</v>
      </c>
      <c r="O6" s="21">
        <f t="shared" si="2"/>
        <v>0.24555691222357889</v>
      </c>
    </row>
    <row r="7" spans="1:15" x14ac:dyDescent="0.3">
      <c r="A7" s="7" t="s">
        <v>9</v>
      </c>
      <c r="B7" s="8">
        <v>7455</v>
      </c>
      <c r="C7" s="8">
        <v>4499</v>
      </c>
      <c r="D7" s="8">
        <v>491</v>
      </c>
      <c r="E7" s="8">
        <v>3278</v>
      </c>
      <c r="F7" s="8">
        <f t="shared" si="0"/>
        <v>15723</v>
      </c>
      <c r="I7" s="37" t="s">
        <v>983</v>
      </c>
      <c r="J7" s="38">
        <v>189.6</v>
      </c>
      <c r="K7" s="38">
        <v>1546.8</v>
      </c>
      <c r="L7" s="39">
        <v>247.9</v>
      </c>
      <c r="M7" s="39">
        <v>71.400000000000006</v>
      </c>
      <c r="N7" s="7">
        <f t="shared" si="1"/>
        <v>2055.6999999999998</v>
      </c>
      <c r="O7" s="21">
        <f t="shared" si="2"/>
        <v>0.45692376083574121</v>
      </c>
    </row>
    <row r="8" spans="1:15" x14ac:dyDescent="0.3">
      <c r="A8" s="7" t="s">
        <v>10</v>
      </c>
      <c r="B8" s="8">
        <v>13937</v>
      </c>
      <c r="C8" s="8">
        <v>8632</v>
      </c>
      <c r="D8" s="8">
        <v>1904</v>
      </c>
      <c r="E8" s="8">
        <v>16638</v>
      </c>
      <c r="F8" s="8">
        <f t="shared" si="0"/>
        <v>41111</v>
      </c>
      <c r="H8" s="35"/>
      <c r="I8" s="37" t="s">
        <v>984</v>
      </c>
      <c r="J8" s="38">
        <v>677.8</v>
      </c>
      <c r="K8" s="38">
        <v>3676.2</v>
      </c>
      <c r="L8" s="39">
        <v>463.4</v>
      </c>
      <c r="M8" s="39">
        <v>209.6</v>
      </c>
      <c r="N8" s="7">
        <f t="shared" si="1"/>
        <v>5027</v>
      </c>
      <c r="O8" s="21">
        <f t="shared" si="2"/>
        <v>0.58236793327154768</v>
      </c>
    </row>
    <row r="9" spans="1:15" x14ac:dyDescent="0.3">
      <c r="A9" s="7" t="s">
        <v>11</v>
      </c>
      <c r="B9" s="8">
        <v>10557</v>
      </c>
      <c r="C9" s="8">
        <v>2580</v>
      </c>
      <c r="D9" s="8">
        <v>327</v>
      </c>
      <c r="E9" s="8">
        <v>2489.3397198463367</v>
      </c>
      <c r="F9" s="8">
        <f t="shared" si="0"/>
        <v>15953.339719846337</v>
      </c>
      <c r="G9" s="12"/>
      <c r="I9" s="37" t="s">
        <v>985</v>
      </c>
      <c r="J9" s="38">
        <v>1722.7</v>
      </c>
      <c r="K9" s="38">
        <v>9300.5</v>
      </c>
      <c r="L9" s="39">
        <v>1633.7</v>
      </c>
      <c r="M9" s="39">
        <v>762.4</v>
      </c>
      <c r="N9" s="7">
        <f t="shared" si="1"/>
        <v>13419.300000000001</v>
      </c>
      <c r="O9" s="21">
        <f>N9/SUM(C3:C8)</f>
        <v>0.4234019057234808</v>
      </c>
    </row>
    <row r="10" spans="1:15" x14ac:dyDescent="0.3">
      <c r="A10" s="7" t="s">
        <v>12</v>
      </c>
      <c r="B10" s="8">
        <f>SUM(B3:B9)</f>
        <v>174176</v>
      </c>
      <c r="C10" s="8">
        <f t="shared" ref="C10:F10" si="3">SUM(C3:C9)</f>
        <v>34274</v>
      </c>
      <c r="D10" s="8">
        <f t="shared" si="3"/>
        <v>21465</v>
      </c>
      <c r="E10" s="8">
        <f t="shared" si="3"/>
        <v>73624.339719846335</v>
      </c>
      <c r="F10" s="8">
        <f t="shared" si="3"/>
        <v>303539.33971984632</v>
      </c>
      <c r="G10" s="3"/>
    </row>
    <row r="11" spans="1:15" x14ac:dyDescent="0.3">
      <c r="A11" s="7" t="s">
        <v>986</v>
      </c>
      <c r="B11" s="13">
        <v>0.1</v>
      </c>
      <c r="C11" s="13" t="s">
        <v>987</v>
      </c>
      <c r="D11" s="13">
        <v>0</v>
      </c>
      <c r="E11" s="13">
        <v>0.33</v>
      </c>
      <c r="F11" s="13"/>
      <c r="H11" s="10"/>
    </row>
    <row r="13" spans="1:15" x14ac:dyDescent="0.3">
      <c r="A13" s="5" t="s">
        <v>988</v>
      </c>
      <c r="B13" s="6" t="s">
        <v>965</v>
      </c>
      <c r="C13" s="6" t="s">
        <v>966</v>
      </c>
      <c r="D13" s="6" t="s">
        <v>967</v>
      </c>
      <c r="E13" s="6" t="s">
        <v>968</v>
      </c>
      <c r="F13" s="6" t="s">
        <v>12</v>
      </c>
    </row>
    <row r="14" spans="1:15" x14ac:dyDescent="0.3">
      <c r="A14" s="7" t="s">
        <v>5</v>
      </c>
      <c r="B14" s="8">
        <f t="shared" ref="B14:B20" si="4">B3*(1-B$11)</f>
        <v>30357.9</v>
      </c>
      <c r="C14" s="14">
        <v>1273.6808171783598</v>
      </c>
      <c r="D14" s="8">
        <f>D3*0.05/0.4</f>
        <v>732.5</v>
      </c>
      <c r="E14" s="8">
        <f t="shared" ref="E14:E20" si="5">E3*(1-E$11)</f>
        <v>3144.9799999999996</v>
      </c>
      <c r="F14" s="8">
        <f t="shared" ref="F14:F20" si="6">SUM(B14:E14)</f>
        <v>35509.060817178361</v>
      </c>
    </row>
    <row r="15" spans="1:15" x14ac:dyDescent="0.3">
      <c r="A15" s="7" t="s">
        <v>6</v>
      </c>
      <c r="B15" s="8">
        <f t="shared" si="4"/>
        <v>43551</v>
      </c>
      <c r="C15" s="14">
        <v>2102.1042756187994</v>
      </c>
      <c r="D15" s="8">
        <f>D4*(1-D$11)</f>
        <v>1331</v>
      </c>
      <c r="E15" s="8">
        <f t="shared" si="5"/>
        <v>9590.3799999999992</v>
      </c>
      <c r="F15" s="8">
        <f t="shared" si="6"/>
        <v>56574.484275618794</v>
      </c>
    </row>
    <row r="16" spans="1:15" x14ac:dyDescent="0.3">
      <c r="A16" s="7" t="s">
        <v>7</v>
      </c>
      <c r="B16" s="8">
        <f t="shared" si="4"/>
        <v>9892.8000000000011</v>
      </c>
      <c r="C16" s="14">
        <v>1150.92884394732</v>
      </c>
      <c r="D16" s="8">
        <f>D5*(1-D$11)</f>
        <v>137</v>
      </c>
      <c r="E16" s="8">
        <f t="shared" si="5"/>
        <v>1015.7199999999999</v>
      </c>
      <c r="F16" s="8">
        <f t="shared" si="6"/>
        <v>12196.448843947321</v>
      </c>
    </row>
    <row r="17" spans="1:12" x14ac:dyDescent="0.3">
      <c r="A17" s="7" t="s">
        <v>8</v>
      </c>
      <c r="B17" s="8">
        <f t="shared" si="4"/>
        <v>44202.6</v>
      </c>
      <c r="C17" s="14">
        <v>1809.9881754979176</v>
      </c>
      <c r="D17" s="8">
        <f>D6*0.05/0.5</f>
        <v>1141.5</v>
      </c>
      <c r="E17" s="8">
        <f t="shared" si="5"/>
        <v>20565.649999999998</v>
      </c>
      <c r="F17" s="8">
        <f t="shared" si="6"/>
        <v>67719.738175497914</v>
      </c>
    </row>
    <row r="18" spans="1:12" x14ac:dyDescent="0.3">
      <c r="A18" s="7" t="s">
        <v>9</v>
      </c>
      <c r="B18" s="8">
        <f t="shared" si="4"/>
        <v>6709.5</v>
      </c>
      <c r="C18" s="14">
        <v>2055.7156337519045</v>
      </c>
      <c r="D18" s="8">
        <f>D7*(1-D$11)</f>
        <v>491</v>
      </c>
      <c r="E18" s="8">
        <f t="shared" si="5"/>
        <v>2196.2599999999998</v>
      </c>
      <c r="F18" s="8">
        <f t="shared" si="6"/>
        <v>11452.475633751905</v>
      </c>
    </row>
    <row r="19" spans="1:12" x14ac:dyDescent="0.3">
      <c r="A19" s="7" t="s">
        <v>10</v>
      </c>
      <c r="B19" s="8">
        <f t="shared" si="4"/>
        <v>12543.300000000001</v>
      </c>
      <c r="C19" s="14">
        <v>5026.9613289764138</v>
      </c>
      <c r="D19" s="8">
        <f>D8*(1-D$11)</f>
        <v>1904</v>
      </c>
      <c r="E19" s="8">
        <f t="shared" si="5"/>
        <v>11147.46</v>
      </c>
      <c r="F19" s="8">
        <f t="shared" si="6"/>
        <v>30621.721328976415</v>
      </c>
    </row>
    <row r="20" spans="1:12" ht="16.2" x14ac:dyDescent="0.3">
      <c r="A20" s="7" t="s">
        <v>989</v>
      </c>
      <c r="B20" s="8">
        <f t="shared" si="4"/>
        <v>9501.3000000000011</v>
      </c>
      <c r="C20" s="15">
        <f>C9*0.446</f>
        <v>1150.68</v>
      </c>
      <c r="D20" s="8">
        <f>D9*(1-D$11)</f>
        <v>327</v>
      </c>
      <c r="E20" s="8">
        <f t="shared" si="5"/>
        <v>1667.8576122970455</v>
      </c>
      <c r="F20" s="8">
        <f t="shared" si="6"/>
        <v>12646.837612297048</v>
      </c>
    </row>
    <row r="21" spans="1:12" x14ac:dyDescent="0.3">
      <c r="A21" s="7" t="s">
        <v>990</v>
      </c>
      <c r="B21" s="8">
        <f>SUM(B14:B20)</f>
        <v>156758.39999999997</v>
      </c>
      <c r="C21" s="8">
        <f t="shared" ref="C21:F21" si="7">SUM(C14:C20)</f>
        <v>14570.059074970715</v>
      </c>
      <c r="D21" s="8">
        <f t="shared" si="7"/>
        <v>6064</v>
      </c>
      <c r="E21" s="8">
        <f t="shared" si="7"/>
        <v>49328.307612297045</v>
      </c>
      <c r="F21" s="8">
        <f t="shared" si="7"/>
        <v>226720.76668726772</v>
      </c>
    </row>
    <row r="22" spans="1:12" ht="16.2" x14ac:dyDescent="0.3">
      <c r="A22" s="46" t="s">
        <v>991</v>
      </c>
      <c r="B22" s="16"/>
      <c r="C22" s="34"/>
      <c r="D22" s="34"/>
      <c r="E22" s="16"/>
      <c r="F22" s="16"/>
    </row>
    <row r="23" spans="1:12" x14ac:dyDescent="0.3">
      <c r="B23" s="17"/>
      <c r="C23" s="18"/>
      <c r="E23" s="17"/>
      <c r="F23" s="17"/>
    </row>
    <row r="24" spans="1:12" x14ac:dyDescent="0.3">
      <c r="A24" s="5" t="s">
        <v>992</v>
      </c>
      <c r="B24" s="6" t="s">
        <v>965</v>
      </c>
      <c r="C24" s="6" t="s">
        <v>966</v>
      </c>
      <c r="D24" s="6" t="s">
        <v>967</v>
      </c>
      <c r="E24" s="6" t="s">
        <v>968</v>
      </c>
      <c r="F24" s="6" t="s">
        <v>12</v>
      </c>
      <c r="G24" s="6" t="s">
        <v>993</v>
      </c>
    </row>
    <row r="25" spans="1:12" x14ac:dyDescent="0.3">
      <c r="A25" s="7" t="s">
        <v>5</v>
      </c>
      <c r="B25" s="19">
        <f>B3*B$11</f>
        <v>3373.1000000000004</v>
      </c>
      <c r="C25" s="19">
        <f t="shared" ref="C25:D31" si="8">C3-C14</f>
        <v>1725.3191828216402</v>
      </c>
      <c r="D25" s="20">
        <f t="shared" si="8"/>
        <v>5127.5</v>
      </c>
      <c r="E25" s="19">
        <f t="shared" ref="E25:E31" si="9">E3*E$11</f>
        <v>1549.02</v>
      </c>
      <c r="F25" s="19">
        <f t="shared" ref="F25:F31" si="10">SUM(B25:E25)</f>
        <v>11774.939182821641</v>
      </c>
      <c r="G25" s="21">
        <f>F25/F$32</f>
        <v>0.1532824513393124</v>
      </c>
      <c r="H25" s="35"/>
      <c r="L25" s="31"/>
    </row>
    <row r="26" spans="1:12" x14ac:dyDescent="0.3">
      <c r="A26" s="7" t="s">
        <v>6</v>
      </c>
      <c r="B26" s="19">
        <f t="shared" ref="B26:B31" si="11">B4*B$11</f>
        <v>4839</v>
      </c>
      <c r="C26" s="19">
        <f t="shared" si="8"/>
        <v>2982.8957243812006</v>
      </c>
      <c r="D26" s="19">
        <f t="shared" si="8"/>
        <v>0</v>
      </c>
      <c r="E26" s="19">
        <f t="shared" si="9"/>
        <v>4723.62</v>
      </c>
      <c r="F26" s="19">
        <f t="shared" si="10"/>
        <v>12545.515724381199</v>
      </c>
      <c r="G26" s="21">
        <f t="shared" ref="G26:G31" si="12">F26/F$32</f>
        <v>0.16331357416728734</v>
      </c>
      <c r="H26" s="35"/>
    </row>
    <row r="27" spans="1:12" x14ac:dyDescent="0.3">
      <c r="A27" s="7" t="s">
        <v>7</v>
      </c>
      <c r="B27" s="19">
        <f t="shared" si="11"/>
        <v>1099.2</v>
      </c>
      <c r="C27" s="19">
        <f t="shared" si="8"/>
        <v>1957.07115605268</v>
      </c>
      <c r="D27" s="19">
        <f t="shared" si="8"/>
        <v>0</v>
      </c>
      <c r="E27" s="19">
        <f t="shared" si="9"/>
        <v>500.28000000000003</v>
      </c>
      <c r="F27" s="19">
        <f t="shared" si="10"/>
        <v>3556.5511560526802</v>
      </c>
      <c r="G27" s="21">
        <f t="shared" si="12"/>
        <v>4.6298063289256307E-2</v>
      </c>
      <c r="H27" s="35"/>
    </row>
    <row r="28" spans="1:12" x14ac:dyDescent="0.3">
      <c r="A28" s="7" t="s">
        <v>8</v>
      </c>
      <c r="B28" s="19">
        <f t="shared" si="11"/>
        <v>4911.4000000000005</v>
      </c>
      <c r="C28" s="19">
        <f t="shared" si="8"/>
        <v>5561.0118245020822</v>
      </c>
      <c r="D28" s="20">
        <f t="shared" si="8"/>
        <v>10273.5</v>
      </c>
      <c r="E28" s="19">
        <f t="shared" si="9"/>
        <v>10129.35</v>
      </c>
      <c r="F28" s="19">
        <f t="shared" si="10"/>
        <v>30875.261824502086</v>
      </c>
      <c r="G28" s="21">
        <f t="shared" si="12"/>
        <v>0.40192443839601083</v>
      </c>
      <c r="H28" s="35"/>
    </row>
    <row r="29" spans="1:12" x14ac:dyDescent="0.3">
      <c r="A29" s="7" t="s">
        <v>9</v>
      </c>
      <c r="B29" s="19">
        <f t="shared" si="11"/>
        <v>745.5</v>
      </c>
      <c r="C29" s="19">
        <f t="shared" si="8"/>
        <v>2443.2843662480955</v>
      </c>
      <c r="D29" s="19">
        <f t="shared" si="8"/>
        <v>0</v>
      </c>
      <c r="E29" s="19">
        <f t="shared" si="9"/>
        <v>1081.74</v>
      </c>
      <c r="F29" s="19">
        <f t="shared" si="10"/>
        <v>4270.5243662480952</v>
      </c>
      <c r="G29" s="21">
        <f t="shared" si="12"/>
        <v>5.5592341769183561E-2</v>
      </c>
      <c r="H29" s="35"/>
    </row>
    <row r="30" spans="1:12" x14ac:dyDescent="0.3">
      <c r="A30" s="7" t="s">
        <v>10</v>
      </c>
      <c r="B30" s="19">
        <f t="shared" si="11"/>
        <v>1393.7</v>
      </c>
      <c r="C30" s="19">
        <f t="shared" si="8"/>
        <v>3605.0386710235862</v>
      </c>
      <c r="D30" s="19">
        <f t="shared" si="8"/>
        <v>0</v>
      </c>
      <c r="E30" s="19">
        <f t="shared" si="9"/>
        <v>5490.54</v>
      </c>
      <c r="F30" s="19">
        <f t="shared" si="10"/>
        <v>10489.278671023585</v>
      </c>
      <c r="G30" s="21">
        <f t="shared" si="12"/>
        <v>0.13654612754359688</v>
      </c>
      <c r="H30" s="35"/>
    </row>
    <row r="31" spans="1:12" x14ac:dyDescent="0.3">
      <c r="A31" s="7" t="s">
        <v>11</v>
      </c>
      <c r="B31" s="19">
        <f t="shared" si="11"/>
        <v>1055.7</v>
      </c>
      <c r="C31" s="19">
        <f t="shared" si="8"/>
        <v>1429.32</v>
      </c>
      <c r="D31" s="19">
        <f t="shared" si="8"/>
        <v>0</v>
      </c>
      <c r="E31" s="19">
        <f t="shared" si="9"/>
        <v>821.48210754929119</v>
      </c>
      <c r="F31" s="19">
        <f t="shared" si="10"/>
        <v>3306.5021075492914</v>
      </c>
      <c r="G31" s="21">
        <f t="shared" si="12"/>
        <v>4.3043003495352769E-2</v>
      </c>
      <c r="H31" s="35"/>
    </row>
    <row r="32" spans="1:12" x14ac:dyDescent="0.3">
      <c r="A32" s="7" t="s">
        <v>12</v>
      </c>
      <c r="B32" s="19">
        <f>SUM(B25:B31)</f>
        <v>17417.600000000002</v>
      </c>
      <c r="C32" s="19">
        <f t="shared" ref="C32:F32" si="13">SUM(C25:C31)</f>
        <v>19703.940925029285</v>
      </c>
      <c r="D32" s="19">
        <f t="shared" si="13"/>
        <v>15401</v>
      </c>
      <c r="E32" s="19">
        <f t="shared" si="13"/>
        <v>24296.032107549294</v>
      </c>
      <c r="F32" s="19">
        <f t="shared" si="13"/>
        <v>76818.57303257857</v>
      </c>
      <c r="G32" s="7"/>
    </row>
    <row r="33" spans="1:11" x14ac:dyDescent="0.3">
      <c r="A33" s="7" t="s">
        <v>994</v>
      </c>
      <c r="B33" s="22">
        <f>B32/$F32</f>
        <v>0.22673683345580034</v>
      </c>
      <c r="C33" s="22">
        <f t="shared" ref="C33:E33" si="14">C32/$F32</f>
        <v>0.25649969984046556</v>
      </c>
      <c r="D33" s="22">
        <f t="shared" si="14"/>
        <v>0.20048536951432921</v>
      </c>
      <c r="E33" s="22">
        <f t="shared" si="14"/>
        <v>0.31627809718940503</v>
      </c>
      <c r="F33" s="7"/>
      <c r="G33" s="7"/>
      <c r="H33" s="23"/>
    </row>
    <row r="34" spans="1:11" x14ac:dyDescent="0.3">
      <c r="B34" s="23"/>
      <c r="C34" s="23"/>
      <c r="D34" s="23"/>
      <c r="E34" s="23"/>
    </row>
    <row r="35" spans="1:11" x14ac:dyDescent="0.3">
      <c r="A35" s="5" t="s">
        <v>995</v>
      </c>
      <c r="B35" s="27">
        <v>15</v>
      </c>
    </row>
    <row r="36" spans="1:11" ht="28.8" x14ac:dyDescent="0.3">
      <c r="A36" s="24" t="s">
        <v>996</v>
      </c>
      <c r="B36" s="25" t="s">
        <v>997</v>
      </c>
      <c r="C36" s="25" t="s">
        <v>966</v>
      </c>
      <c r="D36" s="25" t="s">
        <v>967</v>
      </c>
      <c r="E36" s="25" t="s">
        <v>968</v>
      </c>
      <c r="F36" s="26" t="s">
        <v>998</v>
      </c>
      <c r="G36" s="6" t="s">
        <v>993</v>
      </c>
    </row>
    <row r="37" spans="1:11" x14ac:dyDescent="0.3">
      <c r="A37" s="7" t="s">
        <v>5</v>
      </c>
      <c r="B37" s="14">
        <f>B25/$B$35</f>
        <v>224.87333333333336</v>
      </c>
      <c r="C37" s="14">
        <f t="shared" ref="B37:E43" si="15">C25/$B$35</f>
        <v>115.02127885477601</v>
      </c>
      <c r="D37" s="14">
        <f t="shared" si="15"/>
        <v>341.83333333333331</v>
      </c>
      <c r="E37" s="14">
        <f t="shared" si="15"/>
        <v>103.268</v>
      </c>
      <c r="F37" s="14">
        <f t="shared" ref="F37:F43" si="16">SUM(B37:E37)</f>
        <v>784.99594552144276</v>
      </c>
      <c r="G37" s="22">
        <f>F37/$F$44</f>
        <v>0.15328245133931237</v>
      </c>
    </row>
    <row r="38" spans="1:11" x14ac:dyDescent="0.3">
      <c r="A38" s="7" t="s">
        <v>6</v>
      </c>
      <c r="B38" s="14">
        <f t="shared" si="15"/>
        <v>322.60000000000002</v>
      </c>
      <c r="C38" s="14">
        <f t="shared" si="15"/>
        <v>198.85971495874671</v>
      </c>
      <c r="D38" s="14">
        <f t="shared" si="15"/>
        <v>0</v>
      </c>
      <c r="E38" s="14">
        <f t="shared" si="15"/>
        <v>314.90800000000002</v>
      </c>
      <c r="F38" s="14">
        <f t="shared" si="16"/>
        <v>836.36771495874677</v>
      </c>
      <c r="G38" s="22">
        <f t="shared" ref="G38:G43" si="17">F38/$F$44</f>
        <v>0.16331357416728734</v>
      </c>
    </row>
    <row r="39" spans="1:11" x14ac:dyDescent="0.3">
      <c r="A39" s="7" t="s">
        <v>7</v>
      </c>
      <c r="B39" s="14">
        <f t="shared" si="15"/>
        <v>73.28</v>
      </c>
      <c r="C39" s="14">
        <f t="shared" si="15"/>
        <v>130.47141040351201</v>
      </c>
      <c r="D39" s="14">
        <f t="shared" si="15"/>
        <v>0</v>
      </c>
      <c r="E39" s="14">
        <f t="shared" si="15"/>
        <v>33.352000000000004</v>
      </c>
      <c r="F39" s="14">
        <f t="shared" si="16"/>
        <v>237.10341040351202</v>
      </c>
      <c r="G39" s="22">
        <f t="shared" si="17"/>
        <v>4.6298063289256293E-2</v>
      </c>
    </row>
    <row r="40" spans="1:11" x14ac:dyDescent="0.3">
      <c r="A40" s="7" t="s">
        <v>8</v>
      </c>
      <c r="B40" s="14">
        <f t="shared" si="15"/>
        <v>327.42666666666668</v>
      </c>
      <c r="C40" s="14">
        <f t="shared" si="15"/>
        <v>370.73412163347217</v>
      </c>
      <c r="D40" s="14">
        <f t="shared" si="15"/>
        <v>684.9</v>
      </c>
      <c r="E40" s="14">
        <f t="shared" si="15"/>
        <v>675.29000000000008</v>
      </c>
      <c r="F40" s="62">
        <f t="shared" si="16"/>
        <v>2058.3507883001389</v>
      </c>
      <c r="G40" s="22">
        <f t="shared" si="17"/>
        <v>0.40192443839601072</v>
      </c>
    </row>
    <row r="41" spans="1:11" x14ac:dyDescent="0.3">
      <c r="A41" s="7" t="s">
        <v>9</v>
      </c>
      <c r="B41" s="14">
        <f t="shared" si="15"/>
        <v>49.7</v>
      </c>
      <c r="C41" s="14">
        <f t="shared" si="15"/>
        <v>162.88562441653968</v>
      </c>
      <c r="D41" s="14">
        <f t="shared" si="15"/>
        <v>0</v>
      </c>
      <c r="E41" s="14">
        <f t="shared" si="15"/>
        <v>72.116</v>
      </c>
      <c r="F41" s="14">
        <f t="shared" si="16"/>
        <v>284.70162441653969</v>
      </c>
      <c r="G41" s="22">
        <f t="shared" si="17"/>
        <v>5.5592341769183547E-2</v>
      </c>
    </row>
    <row r="42" spans="1:11" x14ac:dyDescent="0.3">
      <c r="A42" s="7" t="s">
        <v>10</v>
      </c>
      <c r="B42" s="14">
        <f t="shared" si="15"/>
        <v>92.913333333333341</v>
      </c>
      <c r="C42" s="14">
        <f t="shared" si="15"/>
        <v>240.33591140157242</v>
      </c>
      <c r="D42" s="14">
        <f t="shared" si="15"/>
        <v>0</v>
      </c>
      <c r="E42" s="14">
        <f t="shared" si="15"/>
        <v>366.036</v>
      </c>
      <c r="F42" s="14">
        <f t="shared" si="16"/>
        <v>699.28524473490575</v>
      </c>
      <c r="G42" s="22">
        <f t="shared" si="17"/>
        <v>0.13654612754359685</v>
      </c>
    </row>
    <row r="43" spans="1:11" x14ac:dyDescent="0.3">
      <c r="A43" s="7" t="s">
        <v>11</v>
      </c>
      <c r="B43" s="14">
        <f t="shared" si="15"/>
        <v>70.38000000000001</v>
      </c>
      <c r="C43" s="14">
        <f t="shared" si="15"/>
        <v>95.287999999999997</v>
      </c>
      <c r="D43" s="14">
        <f t="shared" si="15"/>
        <v>0</v>
      </c>
      <c r="E43" s="14">
        <f t="shared" si="15"/>
        <v>54.765473836619414</v>
      </c>
      <c r="F43" s="14">
        <f t="shared" si="16"/>
        <v>220.43347383661941</v>
      </c>
      <c r="G43" s="22">
        <f t="shared" si="17"/>
        <v>4.3043003495352755E-2</v>
      </c>
    </row>
    <row r="44" spans="1:11" x14ac:dyDescent="0.3">
      <c r="A44" s="7" t="s">
        <v>12</v>
      </c>
      <c r="B44" s="62">
        <f>SUM(B37:B43)</f>
        <v>1161.1733333333336</v>
      </c>
      <c r="C44" s="62">
        <f t="shared" ref="C44:G44" si="18">SUM(C37:C43)</f>
        <v>1313.5960616686191</v>
      </c>
      <c r="D44" s="62">
        <f t="shared" si="18"/>
        <v>1026.7333333333333</v>
      </c>
      <c r="E44" s="62">
        <f t="shared" si="18"/>
        <v>1619.7354738366196</v>
      </c>
      <c r="F44" s="62">
        <f>SUM(F37:F43)</f>
        <v>5121.2382021719059</v>
      </c>
      <c r="G44" s="21">
        <f t="shared" si="18"/>
        <v>0.99999999999999989</v>
      </c>
    </row>
    <row r="45" spans="1:11" x14ac:dyDescent="0.3">
      <c r="G45" s="31"/>
      <c r="H45" s="50"/>
    </row>
    <row r="47" spans="1:11" ht="43.2" x14ac:dyDescent="0.3">
      <c r="A47" s="5" t="s">
        <v>999</v>
      </c>
      <c r="B47" s="25" t="s">
        <v>997</v>
      </c>
      <c r="C47" s="25" t="s">
        <v>966</v>
      </c>
      <c r="D47" s="25" t="s">
        <v>967</v>
      </c>
      <c r="E47" s="25" t="s">
        <v>968</v>
      </c>
      <c r="F47" s="51" t="s">
        <v>1000</v>
      </c>
      <c r="G47" s="51" t="s">
        <v>1001</v>
      </c>
      <c r="H47" s="51" t="s">
        <v>1002</v>
      </c>
      <c r="I47" s="51" t="s">
        <v>1003</v>
      </c>
      <c r="J47" s="51" t="s">
        <v>1004</v>
      </c>
      <c r="K47" s="25" t="s">
        <v>1005</v>
      </c>
    </row>
    <row r="48" spans="1:11" ht="16.2" x14ac:dyDescent="0.3">
      <c r="A48" s="5" t="s">
        <v>1006</v>
      </c>
      <c r="B48" s="28">
        <f>B61</f>
        <v>6724.5</v>
      </c>
      <c r="C48" s="28">
        <f t="shared" ref="C48:E48" si="19">C61</f>
        <v>15822</v>
      </c>
      <c r="D48" s="28">
        <f t="shared" si="19"/>
        <v>9564.6666666666661</v>
      </c>
      <c r="E48" s="28">
        <f t="shared" si="19"/>
        <v>10601.333333333334</v>
      </c>
      <c r="F48" s="26"/>
      <c r="G48" s="26"/>
      <c r="H48" s="26"/>
      <c r="I48" s="26"/>
      <c r="J48" s="26"/>
      <c r="K48" s="26"/>
    </row>
    <row r="49" spans="1:18" x14ac:dyDescent="0.3">
      <c r="A49" s="7" t="s">
        <v>5</v>
      </c>
      <c r="B49" s="29">
        <f>B37*B$48</f>
        <v>1512160.7300000002</v>
      </c>
      <c r="C49" s="29">
        <f t="shared" ref="B49:E55" si="20">C37*C$48</f>
        <v>1819866.6740402661</v>
      </c>
      <c r="D49" s="29">
        <f t="shared" si="20"/>
        <v>3269521.8888888885</v>
      </c>
      <c r="E49" s="29">
        <f t="shared" si="20"/>
        <v>1094778.4906666668</v>
      </c>
      <c r="F49" s="29">
        <f t="shared" ref="F49:F55" si="21">SUM(B49:E49)</f>
        <v>7696327.7835958218</v>
      </c>
      <c r="G49" s="29">
        <f>(F49/0.93)-F49</f>
        <v>579293.48908785731</v>
      </c>
      <c r="H49" s="29">
        <f>F49+G49</f>
        <v>8275621.2726836791</v>
      </c>
      <c r="I49" s="29">
        <f>J49-H49</f>
        <v>1460403.7540030023</v>
      </c>
      <c r="J49" s="29">
        <f>H49*(1+(0.15/0.85))</f>
        <v>9736025.0266866814</v>
      </c>
      <c r="K49" s="30">
        <f>J49/J$56</f>
        <v>0.13846364294912211</v>
      </c>
      <c r="L49" s="44"/>
      <c r="M49" s="45"/>
    </row>
    <row r="50" spans="1:18" x14ac:dyDescent="0.3">
      <c r="A50" s="7" t="s">
        <v>6</v>
      </c>
      <c r="B50" s="29">
        <f t="shared" si="20"/>
        <v>2169323.7000000002</v>
      </c>
      <c r="C50" s="29">
        <f t="shared" si="20"/>
        <v>3146358.4100772906</v>
      </c>
      <c r="D50" s="29">
        <f t="shared" si="20"/>
        <v>0</v>
      </c>
      <c r="E50" s="29">
        <f t="shared" si="20"/>
        <v>3338444.6773333335</v>
      </c>
      <c r="F50" s="29">
        <f t="shared" si="21"/>
        <v>8654126.7874106243</v>
      </c>
      <c r="G50" s="29">
        <f t="shared" ref="G50:G55" si="22">(F50/0.93)-F50</f>
        <v>651385.88722445443</v>
      </c>
      <c r="H50" s="29">
        <f t="shared" ref="H50:H56" si="23">F50+G50</f>
        <v>9305512.6746350788</v>
      </c>
      <c r="I50" s="29">
        <f t="shared" ref="I50:I56" si="24">J50-H50</f>
        <v>1642149.2955238372</v>
      </c>
      <c r="J50" s="29">
        <f t="shared" ref="J50:J56" si="25">H50*(1+(0.15/0.85))</f>
        <v>10947661.970158916</v>
      </c>
      <c r="K50" s="30">
        <f t="shared" ref="K50:K56" si="26">J50/J$56</f>
        <v>0.15569528159682997</v>
      </c>
      <c r="L50" s="31"/>
    </row>
    <row r="51" spans="1:18" x14ac:dyDescent="0.3">
      <c r="A51" s="7" t="s">
        <v>7</v>
      </c>
      <c r="B51" s="29">
        <f t="shared" si="20"/>
        <v>492771.36</v>
      </c>
      <c r="C51" s="29">
        <f t="shared" si="20"/>
        <v>2064318.655404367</v>
      </c>
      <c r="D51" s="29">
        <f t="shared" si="20"/>
        <v>0</v>
      </c>
      <c r="E51" s="29">
        <f t="shared" si="20"/>
        <v>353575.66933333338</v>
      </c>
      <c r="F51" s="29">
        <f t="shared" si="21"/>
        <v>2910665.6847377</v>
      </c>
      <c r="G51" s="29">
        <f t="shared" si="22"/>
        <v>219082.36336735357</v>
      </c>
      <c r="H51" s="29">
        <f t="shared" si="23"/>
        <v>3129748.0481050536</v>
      </c>
      <c r="I51" s="29">
        <f t="shared" si="24"/>
        <v>552308.47907736246</v>
      </c>
      <c r="J51" s="29">
        <f t="shared" si="25"/>
        <v>3682056.5271824161</v>
      </c>
      <c r="K51" s="30">
        <f t="shared" si="26"/>
        <v>5.2365411849375029E-2</v>
      </c>
      <c r="L51" s="31"/>
    </row>
    <row r="52" spans="1:18" x14ac:dyDescent="0.3">
      <c r="A52" s="7" t="s">
        <v>8</v>
      </c>
      <c r="B52" s="29">
        <f t="shared" si="20"/>
        <v>2201780.62</v>
      </c>
      <c r="C52" s="29">
        <f t="shared" si="20"/>
        <v>5865755.2724847971</v>
      </c>
      <c r="D52" s="29">
        <f t="shared" si="20"/>
        <v>6550840.1999999993</v>
      </c>
      <c r="E52" s="29">
        <f t="shared" si="20"/>
        <v>7158974.3866666676</v>
      </c>
      <c r="F52" s="29">
        <f t="shared" si="21"/>
        <v>21777350.479151465</v>
      </c>
      <c r="G52" s="29">
        <f t="shared" si="22"/>
        <v>1639155.4124092497</v>
      </c>
      <c r="H52" s="29">
        <f t="shared" si="23"/>
        <v>23416505.891560715</v>
      </c>
      <c r="I52" s="29">
        <f t="shared" si="24"/>
        <v>4132324.5690989494</v>
      </c>
      <c r="J52" s="29">
        <f t="shared" si="25"/>
        <v>27548830.460659664</v>
      </c>
      <c r="K52" s="30">
        <f t="shared" si="26"/>
        <v>0.39179351060776962</v>
      </c>
      <c r="L52" s="31"/>
    </row>
    <row r="53" spans="1:18" x14ac:dyDescent="0.3">
      <c r="A53" s="7" t="s">
        <v>9</v>
      </c>
      <c r="B53" s="29">
        <f t="shared" si="20"/>
        <v>334207.65000000002</v>
      </c>
      <c r="C53" s="29">
        <f t="shared" si="20"/>
        <v>2577176.349518491</v>
      </c>
      <c r="D53" s="29">
        <f t="shared" si="20"/>
        <v>0</v>
      </c>
      <c r="E53" s="29">
        <f t="shared" si="20"/>
        <v>764525.75466666673</v>
      </c>
      <c r="F53" s="29">
        <f t="shared" si="21"/>
        <v>3675909.7541851578</v>
      </c>
      <c r="G53" s="29">
        <f t="shared" si="22"/>
        <v>276681.37934726989</v>
      </c>
      <c r="H53" s="29">
        <f t="shared" si="23"/>
        <v>3952591.1335324277</v>
      </c>
      <c r="I53" s="29">
        <f t="shared" si="24"/>
        <v>697516.08238807553</v>
      </c>
      <c r="J53" s="29">
        <f t="shared" si="25"/>
        <v>4650107.2159205033</v>
      </c>
      <c r="K53" s="30">
        <f t="shared" si="26"/>
        <v>6.6132819446898222E-2</v>
      </c>
      <c r="L53" s="31"/>
    </row>
    <row r="54" spans="1:18" x14ac:dyDescent="0.3">
      <c r="A54" s="7" t="s">
        <v>10</v>
      </c>
      <c r="B54" s="29">
        <f t="shared" si="20"/>
        <v>624795.71000000008</v>
      </c>
      <c r="C54" s="29">
        <f t="shared" si="20"/>
        <v>3802594.7901956788</v>
      </c>
      <c r="D54" s="29">
        <f t="shared" si="20"/>
        <v>0</v>
      </c>
      <c r="E54" s="29">
        <f t="shared" si="20"/>
        <v>3880469.648</v>
      </c>
      <c r="F54" s="29">
        <f t="shared" si="21"/>
        <v>8307860.1481956793</v>
      </c>
      <c r="G54" s="29">
        <f t="shared" si="22"/>
        <v>625322.80685343686</v>
      </c>
      <c r="H54" s="29">
        <f t="shared" si="23"/>
        <v>8933182.9550491162</v>
      </c>
      <c r="I54" s="29">
        <f t="shared" si="24"/>
        <v>1576444.0508910213</v>
      </c>
      <c r="J54" s="29">
        <f t="shared" si="25"/>
        <v>10509627.005940137</v>
      </c>
      <c r="K54" s="30">
        <f t="shared" si="26"/>
        <v>0.14946564304120052</v>
      </c>
      <c r="L54" s="31"/>
    </row>
    <row r="55" spans="1:18" x14ac:dyDescent="0.3">
      <c r="A55" s="7" t="s">
        <v>11</v>
      </c>
      <c r="B55" s="29">
        <f t="shared" si="20"/>
        <v>473270.31000000006</v>
      </c>
      <c r="C55" s="29">
        <f t="shared" si="20"/>
        <v>1507646.736</v>
      </c>
      <c r="D55" s="29">
        <f t="shared" si="20"/>
        <v>0</v>
      </c>
      <c r="E55" s="29">
        <f t="shared" si="20"/>
        <v>580587.04329994798</v>
      </c>
      <c r="F55" s="29">
        <f t="shared" si="21"/>
        <v>2561504.089299948</v>
      </c>
      <c r="G55" s="29">
        <f t="shared" si="22"/>
        <v>192801.38306558738</v>
      </c>
      <c r="H55" s="29">
        <f t="shared" si="23"/>
        <v>2754305.4723655353</v>
      </c>
      <c r="I55" s="29">
        <f t="shared" si="24"/>
        <v>486053.90688803559</v>
      </c>
      <c r="J55" s="29">
        <f t="shared" si="25"/>
        <v>3240359.3792535709</v>
      </c>
      <c r="K55" s="30">
        <f t="shared" si="26"/>
        <v>4.6083690508804634E-2</v>
      </c>
      <c r="L55" s="31"/>
    </row>
    <row r="56" spans="1:18" x14ac:dyDescent="0.3">
      <c r="A56" s="7" t="s">
        <v>12</v>
      </c>
      <c r="B56" s="29">
        <f>SUM(B49:B55)</f>
        <v>7808310.0800000001</v>
      </c>
      <c r="C56" s="29">
        <f t="shared" ref="C56:D56" si="27">SUM(C49:C55)</f>
        <v>20783716.887720894</v>
      </c>
      <c r="D56" s="29">
        <f t="shared" si="27"/>
        <v>9820362.0888888873</v>
      </c>
      <c r="E56" s="29">
        <f>SUM(E49:E55)</f>
        <v>17171355.669966616</v>
      </c>
      <c r="F56" s="29">
        <f>SUM(F49:F55)</f>
        <v>55583744.726576395</v>
      </c>
      <c r="G56" s="29">
        <f>(F56/0.93)-F56</f>
        <v>4183722.7213552073</v>
      </c>
      <c r="H56" s="29">
        <f t="shared" si="23"/>
        <v>59767467.447931603</v>
      </c>
      <c r="I56" s="29">
        <f t="shared" si="24"/>
        <v>10547200.137870282</v>
      </c>
      <c r="J56" s="29">
        <f t="shared" si="25"/>
        <v>70314667.585801885</v>
      </c>
      <c r="K56" s="30">
        <f t="shared" si="26"/>
        <v>1</v>
      </c>
      <c r="L56" s="31"/>
    </row>
    <row r="57" spans="1:18" x14ac:dyDescent="0.3">
      <c r="A57" s="47"/>
      <c r="F57" s="48" t="s">
        <v>1007</v>
      </c>
      <c r="G57" s="63"/>
      <c r="H57" s="48"/>
      <c r="I57" s="48"/>
      <c r="J57" s="33">
        <f>B59/J56</f>
        <v>9.9552486562753201E-2</v>
      </c>
      <c r="K57" s="32"/>
    </row>
    <row r="58" spans="1:18" x14ac:dyDescent="0.3">
      <c r="J58" s="33"/>
      <c r="K58" s="32"/>
    </row>
    <row r="59" spans="1:18" x14ac:dyDescent="0.3">
      <c r="A59" t="s">
        <v>1008</v>
      </c>
      <c r="B59" s="36">
        <v>7000000</v>
      </c>
      <c r="G59" s="31"/>
      <c r="J59" s="33"/>
      <c r="K59" s="32"/>
    </row>
    <row r="60" spans="1:18" ht="43.2" x14ac:dyDescent="0.3">
      <c r="A60" s="5" t="s">
        <v>1009</v>
      </c>
      <c r="B60" s="25" t="s">
        <v>997</v>
      </c>
      <c r="C60" s="25" t="s">
        <v>966</v>
      </c>
      <c r="D60" s="25" t="s">
        <v>967</v>
      </c>
      <c r="E60" s="25" t="s">
        <v>968</v>
      </c>
      <c r="F60" s="51" t="s">
        <v>1000</v>
      </c>
      <c r="G60" s="51" t="s">
        <v>1001</v>
      </c>
      <c r="H60" s="51" t="s">
        <v>1002</v>
      </c>
      <c r="I60" s="51" t="s">
        <v>1003</v>
      </c>
      <c r="J60" s="51" t="s">
        <v>1004</v>
      </c>
      <c r="K60" s="25" t="s">
        <v>1005</v>
      </c>
    </row>
    <row r="61" spans="1:18" x14ac:dyDescent="0.3">
      <c r="A61" s="5" t="s">
        <v>1010</v>
      </c>
      <c r="B61" s="28">
        <f>'Cost Rates'!C15</f>
        <v>6724.5</v>
      </c>
      <c r="C61" s="28">
        <f>'Cost Rates'!C12</f>
        <v>15822</v>
      </c>
      <c r="D61" s="28">
        <f>'Cost Rates'!C19</f>
        <v>9564.6666666666661</v>
      </c>
      <c r="E61" s="28">
        <f>'Cost Rates'!C6</f>
        <v>10601.333333333334</v>
      </c>
      <c r="F61" s="26"/>
      <c r="G61" s="26"/>
      <c r="H61" s="26"/>
      <c r="I61" s="26"/>
      <c r="J61" s="26"/>
      <c r="K61" s="26"/>
    </row>
    <row r="62" spans="1:18" x14ac:dyDescent="0.3">
      <c r="A62" s="7" t="s">
        <v>5</v>
      </c>
      <c r="B62" s="29">
        <f t="shared" ref="B62:E68" si="28">B49*$J$57</f>
        <v>150539.3607540481</v>
      </c>
      <c r="C62" s="29">
        <f t="shared" si="28"/>
        <v>181172.25261339595</v>
      </c>
      <c r="D62" s="29">
        <f t="shared" si="28"/>
        <v>325489.03391023853</v>
      </c>
      <c r="E62" s="29">
        <f t="shared" si="28"/>
        <v>108987.92098128458</v>
      </c>
      <c r="F62" s="29">
        <f t="shared" ref="F62:F68" si="29">SUM(B62:E62)</f>
        <v>766188.56825896713</v>
      </c>
      <c r="G62" s="29">
        <f>(F62/0.93)-F62</f>
        <v>57670.107288309257</v>
      </c>
      <c r="H62" s="29">
        <f>F62+G62</f>
        <v>823858.67554727639</v>
      </c>
      <c r="I62" s="29">
        <f>J62-H62</f>
        <v>145386.82509657822</v>
      </c>
      <c r="J62" s="29">
        <f>H62*(1+(0.15/0.85))</f>
        <v>969245.50064385461</v>
      </c>
      <c r="K62" s="30">
        <f t="shared" ref="K62:K69" si="30">J62/J$80</f>
        <v>0.13846364294912206</v>
      </c>
      <c r="L62" s="31"/>
    </row>
    <row r="63" spans="1:18" x14ac:dyDescent="0.3">
      <c r="A63" s="7" t="s">
        <v>6</v>
      </c>
      <c r="B63" s="29">
        <f t="shared" si="28"/>
        <v>215961.56849451209</v>
      </c>
      <c r="C63" s="29">
        <f t="shared" si="28"/>
        <v>313227.80334082502</v>
      </c>
      <c r="D63" s="29">
        <f t="shared" si="28"/>
        <v>0</v>
      </c>
      <c r="E63" s="29">
        <f t="shared" si="28"/>
        <v>332350.46888072166</v>
      </c>
      <c r="F63" s="29">
        <f t="shared" si="29"/>
        <v>861539.84071605885</v>
      </c>
      <c r="G63" s="29">
        <f t="shared" ref="G63:G69" si="31">(F63/0.93)-F63</f>
        <v>64847.0847850797</v>
      </c>
      <c r="H63" s="29">
        <f t="shared" ref="H63:H69" si="32">F63+G63</f>
        <v>926386.92550113855</v>
      </c>
      <c r="I63" s="29">
        <f t="shared" ref="I63:I69" si="33">J63-H63</f>
        <v>163480.04567667155</v>
      </c>
      <c r="J63" s="29">
        <f t="shared" ref="J63:J69" si="34">H63*(1+(0.15/0.85))</f>
        <v>1089866.9711778101</v>
      </c>
      <c r="K63" s="30">
        <f t="shared" si="30"/>
        <v>0.15569528159682999</v>
      </c>
      <c r="L63" s="31"/>
    </row>
    <row r="64" spans="1:18" x14ac:dyDescent="0.3">
      <c r="A64" s="7" t="s">
        <v>7</v>
      </c>
      <c r="B64" s="29">
        <f t="shared" si="28"/>
        <v>49056.61419490962</v>
      </c>
      <c r="C64" s="29">
        <f t="shared" si="28"/>
        <v>205508.05520338399</v>
      </c>
      <c r="D64" s="29">
        <f t="shared" si="28"/>
        <v>0</v>
      </c>
      <c r="E64" s="29">
        <f t="shared" si="28"/>
        <v>35199.33707022314</v>
      </c>
      <c r="F64" s="29">
        <f t="shared" si="29"/>
        <v>289764.00646851672</v>
      </c>
      <c r="G64" s="29">
        <f t="shared" si="31"/>
        <v>21810.194035264663</v>
      </c>
      <c r="H64" s="29">
        <f t="shared" si="32"/>
        <v>311574.20050378138</v>
      </c>
      <c r="I64" s="29">
        <f t="shared" si="33"/>
        <v>54983.68244184379</v>
      </c>
      <c r="J64" s="29">
        <f t="shared" si="34"/>
        <v>366557.88294562517</v>
      </c>
      <c r="K64" s="30">
        <f t="shared" si="30"/>
        <v>5.2365411849375015E-2</v>
      </c>
      <c r="L64" s="31"/>
      <c r="R64" s="31"/>
    </row>
    <row r="65" spans="1:18" x14ac:dyDescent="0.3">
      <c r="A65" s="7" t="s">
        <v>8</v>
      </c>
      <c r="B65" s="29">
        <f t="shared" si="28"/>
        <v>219192.73558668041</v>
      </c>
      <c r="C65" s="29">
        <f t="shared" si="28"/>
        <v>583950.52294444153</v>
      </c>
      <c r="D65" s="29">
        <f t="shared" si="28"/>
        <v>652152.43098524341</v>
      </c>
      <c r="E65" s="29">
        <f t="shared" si="28"/>
        <v>712693.70143172774</v>
      </c>
      <c r="F65" s="29">
        <f t="shared" si="29"/>
        <v>2167989.3909480935</v>
      </c>
      <c r="G65" s="29">
        <f t="shared" si="31"/>
        <v>163181.99716813583</v>
      </c>
      <c r="H65" s="29">
        <f t="shared" si="32"/>
        <v>2331171.3881162293</v>
      </c>
      <c r="I65" s="29">
        <f t="shared" si="33"/>
        <v>411383.1861381582</v>
      </c>
      <c r="J65" s="29">
        <f t="shared" si="34"/>
        <v>2742554.5742543875</v>
      </c>
      <c r="K65" s="30">
        <f t="shared" si="30"/>
        <v>0.39179351060776957</v>
      </c>
      <c r="L65" s="31"/>
    </row>
    <row r="66" spans="1:18" x14ac:dyDescent="0.3">
      <c r="A66" s="7" t="s">
        <v>9</v>
      </c>
      <c r="B66" s="29">
        <f t="shared" si="28"/>
        <v>33271.20258579433</v>
      </c>
      <c r="C66" s="29">
        <f t="shared" si="28"/>
        <v>256564.31390528491</v>
      </c>
      <c r="D66" s="29">
        <f t="shared" si="28"/>
        <v>0</v>
      </c>
      <c r="E66" s="29">
        <f t="shared" si="28"/>
        <v>76110.439918332093</v>
      </c>
      <c r="F66" s="29">
        <f t="shared" si="29"/>
        <v>365945.95640941133</v>
      </c>
      <c r="G66" s="29">
        <f t="shared" si="31"/>
        <v>27544.319299633091</v>
      </c>
      <c r="H66" s="29">
        <f t="shared" si="32"/>
        <v>393490.27570904442</v>
      </c>
      <c r="I66" s="29">
        <f t="shared" si="33"/>
        <v>69439.460419243143</v>
      </c>
      <c r="J66" s="29">
        <f t="shared" si="34"/>
        <v>462929.73612828756</v>
      </c>
      <c r="K66" s="30">
        <f t="shared" si="30"/>
        <v>6.6132819446898208E-2</v>
      </c>
      <c r="L66" s="31"/>
    </row>
    <row r="67" spans="1:18" x14ac:dyDescent="0.3">
      <c r="A67" s="7" t="s">
        <v>10</v>
      </c>
      <c r="B67" s="29">
        <f t="shared" si="28"/>
        <v>62199.966524240852</v>
      </c>
      <c r="C67" s="29">
        <f t="shared" si="28"/>
        <v>378557.76675455063</v>
      </c>
      <c r="D67" s="29">
        <f t="shared" si="28"/>
        <v>0</v>
      </c>
      <c r="E67" s="29">
        <f t="shared" si="28"/>
        <v>386310.40248969162</v>
      </c>
      <c r="F67" s="29">
        <f t="shared" si="29"/>
        <v>827068.13576848316</v>
      </c>
      <c r="G67" s="29">
        <f t="shared" si="31"/>
        <v>62252.44032665994</v>
      </c>
      <c r="H67" s="29">
        <f t="shared" si="32"/>
        <v>889320.5760951431</v>
      </c>
      <c r="I67" s="29">
        <f t="shared" si="33"/>
        <v>156938.92519326054</v>
      </c>
      <c r="J67" s="29">
        <f t="shared" si="34"/>
        <v>1046259.5012884036</v>
      </c>
      <c r="K67" s="30">
        <f t="shared" si="30"/>
        <v>0.1494656430412005</v>
      </c>
      <c r="L67" s="31"/>
    </row>
    <row r="68" spans="1:18" x14ac:dyDescent="0.3">
      <c r="A68" s="7" t="s">
        <v>11</v>
      </c>
      <c r="B68" s="29">
        <f t="shared" si="28"/>
        <v>47115.236176825048</v>
      </c>
      <c r="C68" s="29">
        <f t="shared" si="28"/>
        <v>150089.98142701873</v>
      </c>
      <c r="D68" s="29">
        <f t="shared" si="28"/>
        <v>0</v>
      </c>
      <c r="E68" s="29">
        <f t="shared" si="28"/>
        <v>57798.883826626683</v>
      </c>
      <c r="F68" s="29">
        <f t="shared" si="29"/>
        <v>255004.10143047047</v>
      </c>
      <c r="G68" s="29">
        <f t="shared" si="31"/>
        <v>19193.857096917112</v>
      </c>
      <c r="H68" s="29">
        <f t="shared" si="32"/>
        <v>274197.95852738759</v>
      </c>
      <c r="I68" s="29">
        <f t="shared" si="33"/>
        <v>48387.875034244906</v>
      </c>
      <c r="J68" s="29">
        <f t="shared" si="34"/>
        <v>322585.83356163249</v>
      </c>
      <c r="K68" s="30">
        <f t="shared" si="30"/>
        <v>4.6083690508804634E-2</v>
      </c>
      <c r="L68" s="31"/>
    </row>
    <row r="69" spans="1:18" x14ac:dyDescent="0.3">
      <c r="A69" s="7" t="s">
        <v>12</v>
      </c>
      <c r="B69" s="29">
        <f>SUM(B62:B68)</f>
        <v>777336.68431701057</v>
      </c>
      <c r="C69" s="29">
        <f t="shared" ref="C69:D69" si="35">SUM(C62:C68)</f>
        <v>2069070.6961889009</v>
      </c>
      <c r="D69" s="29">
        <f t="shared" si="35"/>
        <v>977641.46489548194</v>
      </c>
      <c r="E69" s="29">
        <f>SUM(E62:E68)</f>
        <v>1709451.1545986074</v>
      </c>
      <c r="F69" s="29">
        <f>SUM(F62:F68)</f>
        <v>5533500.0000000009</v>
      </c>
      <c r="G69" s="29">
        <f t="shared" si="31"/>
        <v>416500</v>
      </c>
      <c r="H69" s="29">
        <f t="shared" si="32"/>
        <v>5950000.0000000009</v>
      </c>
      <c r="I69" s="29">
        <f t="shared" si="33"/>
        <v>1050000</v>
      </c>
      <c r="J69" s="29">
        <f t="shared" si="34"/>
        <v>7000000.0000000009</v>
      </c>
      <c r="K69" s="30">
        <f t="shared" si="30"/>
        <v>1</v>
      </c>
      <c r="L69" s="31"/>
    </row>
    <row r="70" spans="1:18" x14ac:dyDescent="0.3">
      <c r="C70" s="49" t="s">
        <v>1011</v>
      </c>
      <c r="D70" s="49" t="s">
        <v>1012</v>
      </c>
      <c r="E70" s="49" t="s">
        <v>1013</v>
      </c>
      <c r="F70" s="49" t="s">
        <v>1014</v>
      </c>
      <c r="G70" s="49"/>
      <c r="H70" s="49"/>
      <c r="I70" s="49"/>
    </row>
    <row r="71" spans="1:18" x14ac:dyDescent="0.3">
      <c r="A71" t="s">
        <v>1015</v>
      </c>
      <c r="B71" s="36">
        <v>650000</v>
      </c>
      <c r="C71" s="33">
        <f>$B71/J64</f>
        <v>1.7732533666351962</v>
      </c>
      <c r="D71" s="33">
        <f>$B71/J66</f>
        <v>1.4041007722603314</v>
      </c>
      <c r="E71" s="33">
        <f>$B71/J68</f>
        <v>2.0149675911785274</v>
      </c>
      <c r="F71" s="33">
        <f>(J65-(B71*3-(J64+J66+J68)))/J65</f>
        <v>0.70905718527720263</v>
      </c>
      <c r="G71" s="52" t="s">
        <v>1016</v>
      </c>
    </row>
    <row r="72" spans="1:18" ht="115.2" x14ac:dyDescent="0.3">
      <c r="A72" s="5" t="s">
        <v>1017</v>
      </c>
      <c r="B72" s="25" t="s">
        <v>997</v>
      </c>
      <c r="C72" s="25" t="s">
        <v>966</v>
      </c>
      <c r="D72" s="25" t="s">
        <v>967</v>
      </c>
      <c r="E72" s="25" t="s">
        <v>968</v>
      </c>
      <c r="F72" s="51" t="s">
        <v>1000</v>
      </c>
      <c r="G72" s="51" t="s">
        <v>1018</v>
      </c>
      <c r="H72" s="51" t="s">
        <v>1019</v>
      </c>
      <c r="I72" s="51" t="s">
        <v>1003</v>
      </c>
      <c r="J72" s="51" t="s">
        <v>1004</v>
      </c>
      <c r="K72" s="25" t="s">
        <v>1005</v>
      </c>
      <c r="L72" s="25" t="s">
        <v>1020</v>
      </c>
    </row>
    <row r="73" spans="1:18" x14ac:dyDescent="0.3">
      <c r="A73" s="7" t="s">
        <v>5</v>
      </c>
      <c r="B73" s="42">
        <f t="shared" ref="B73:E74" si="36">B49*$J$57</f>
        <v>150539.3607540481</v>
      </c>
      <c r="C73" s="42">
        <f t="shared" si="36"/>
        <v>181172.25261339595</v>
      </c>
      <c r="D73" s="42">
        <f t="shared" si="36"/>
        <v>325489.03391023853</v>
      </c>
      <c r="E73" s="42">
        <f t="shared" si="36"/>
        <v>108987.92098128458</v>
      </c>
      <c r="F73" s="42">
        <f t="shared" ref="F73:F79" si="37">SUM(B73:E73)</f>
        <v>766188.56825896713</v>
      </c>
      <c r="G73" s="42">
        <f>$G$69*I84</f>
        <v>64813.351706986861</v>
      </c>
      <c r="H73" s="42">
        <f t="shared" ref="H73:H80" si="38">F73+G73</f>
        <v>831001.91996595403</v>
      </c>
      <c r="I73" s="42">
        <f>J73-H73</f>
        <v>146647.39764105075</v>
      </c>
      <c r="J73" s="42">
        <f>H73*(1+(0.15/0.85))</f>
        <v>977649.31760700478</v>
      </c>
      <c r="K73" s="30">
        <f>J73/J$80</f>
        <v>0.13966418822957211</v>
      </c>
      <c r="L73" s="42">
        <f>J73-H73</f>
        <v>146647.39764105075</v>
      </c>
    </row>
    <row r="74" spans="1:18" x14ac:dyDescent="0.3">
      <c r="A74" s="64" t="s">
        <v>6</v>
      </c>
      <c r="B74" s="65">
        <f t="shared" si="36"/>
        <v>215961.56849451209</v>
      </c>
      <c r="C74" s="65">
        <f t="shared" si="36"/>
        <v>313227.80334082502</v>
      </c>
      <c r="D74" s="65">
        <f t="shared" si="36"/>
        <v>0</v>
      </c>
      <c r="E74" s="65">
        <f t="shared" si="36"/>
        <v>332350.46888072166</v>
      </c>
      <c r="F74" s="65">
        <f t="shared" si="37"/>
        <v>861539.84071605885</v>
      </c>
      <c r="G74" s="65">
        <f t="shared" ref="G74:G79" si="39">$G$69*I85</f>
        <v>69054.872417184306</v>
      </c>
      <c r="H74" s="65">
        <f t="shared" si="38"/>
        <v>930594.71313324315</v>
      </c>
      <c r="I74" s="65">
        <f t="shared" ref="I74:I79" si="40">J74-H74</f>
        <v>164222.59643527819</v>
      </c>
      <c r="J74" s="65">
        <f t="shared" ref="J74:J79" si="41">H74*(1+(0.15/0.85))</f>
        <v>1094817.3095685213</v>
      </c>
      <c r="K74" s="66">
        <f t="shared" ref="K74:K78" si="42">J74/J$80</f>
        <v>0.15640247279550304</v>
      </c>
      <c r="L74" s="65">
        <f t="shared" ref="L74:L79" si="43">J74-H74</f>
        <v>164222.59643527819</v>
      </c>
    </row>
    <row r="75" spans="1:18" x14ac:dyDescent="0.3">
      <c r="A75" s="7" t="s">
        <v>7</v>
      </c>
      <c r="B75" s="42">
        <f>B64*$C$71</f>
        <v>86989.806276847434</v>
      </c>
      <c r="C75" s="42">
        <f>C64*$C$71</f>
        <v>364417.85076005239</v>
      </c>
      <c r="D75" s="42">
        <f>D64*$C$71</f>
        <v>0</v>
      </c>
      <c r="E75" s="42">
        <f>E64*$C$71</f>
        <v>62417.342963100244</v>
      </c>
      <c r="F75" s="42">
        <f t="shared" si="37"/>
        <v>513825.00000000006</v>
      </c>
      <c r="G75" s="42">
        <f t="shared" si="39"/>
        <v>34714.080079072563</v>
      </c>
      <c r="H75" s="42">
        <f t="shared" si="38"/>
        <v>548539.08007907262</v>
      </c>
      <c r="I75" s="42">
        <f t="shared" si="40"/>
        <v>96801.014131601085</v>
      </c>
      <c r="J75" s="42">
        <f t="shared" si="41"/>
        <v>645340.09421067371</v>
      </c>
      <c r="K75" s="30">
        <f t="shared" si="42"/>
        <v>9.219144203009623E-2</v>
      </c>
      <c r="L75" s="42">
        <f t="shared" si="43"/>
        <v>96801.014131601085</v>
      </c>
      <c r="R75" s="31"/>
    </row>
    <row r="76" spans="1:18" x14ac:dyDescent="0.3">
      <c r="A76" s="7" t="s">
        <v>8</v>
      </c>
      <c r="B76" s="42">
        <f>B65*$F$71</f>
        <v>155420.18412830174</v>
      </c>
      <c r="C76" s="42">
        <f>C65*$F$71</f>
        <v>414054.31414013624</v>
      </c>
      <c r="D76" s="42">
        <f>D65*$F$71</f>
        <v>462413.36708608182</v>
      </c>
      <c r="E76" s="42">
        <f>E65*$F$71</f>
        <v>505340.58990197192</v>
      </c>
      <c r="F76" s="42">
        <f t="shared" si="37"/>
        <v>1537228.4552564917</v>
      </c>
      <c r="G76" s="42">
        <f t="shared" si="39"/>
        <v>120502.96128960866</v>
      </c>
      <c r="H76" s="42">
        <f t="shared" si="38"/>
        <v>1657731.4165461003</v>
      </c>
      <c r="I76" s="42">
        <f t="shared" si="40"/>
        <v>292540.83821401768</v>
      </c>
      <c r="J76" s="42">
        <f t="shared" si="41"/>
        <v>1950272.254760118</v>
      </c>
      <c r="K76" s="30">
        <f t="shared" si="42"/>
        <v>0.27861032210858827</v>
      </c>
      <c r="L76" s="42">
        <f t="shared" si="43"/>
        <v>292540.83821401768</v>
      </c>
    </row>
    <row r="77" spans="1:18" x14ac:dyDescent="0.3">
      <c r="A77" s="7" t="s">
        <v>9</v>
      </c>
      <c r="B77" s="42">
        <f>B66*$D$71</f>
        <v>46716.12124474375</v>
      </c>
      <c r="C77" s="42">
        <f>C66*$D$71</f>
        <v>360242.15128885262</v>
      </c>
      <c r="D77" s="42">
        <f>D66*$D$71</f>
        <v>0</v>
      </c>
      <c r="E77" s="42">
        <f>E66*$D$71</f>
        <v>106866.72746640364</v>
      </c>
      <c r="F77" s="42">
        <f t="shared" si="37"/>
        <v>513825</v>
      </c>
      <c r="G77" s="42">
        <f t="shared" si="39"/>
        <v>33005.422042545615</v>
      </c>
      <c r="H77" s="42">
        <f t="shared" si="38"/>
        <v>546830.42204254563</v>
      </c>
      <c r="I77" s="42">
        <f t="shared" si="40"/>
        <v>96499.486242802232</v>
      </c>
      <c r="J77" s="42">
        <f t="shared" si="41"/>
        <v>643329.90828534786</v>
      </c>
      <c r="K77" s="30">
        <f t="shared" si="42"/>
        <v>9.1904272612192542E-2</v>
      </c>
      <c r="L77" s="42">
        <f t="shared" si="43"/>
        <v>96499.486242802232</v>
      </c>
    </row>
    <row r="78" spans="1:18" x14ac:dyDescent="0.3">
      <c r="A78" s="7" t="s">
        <v>10</v>
      </c>
      <c r="B78" s="42">
        <f>B54*$J$57</f>
        <v>62199.966524240852</v>
      </c>
      <c r="C78" s="42">
        <f>C54*$J$57</f>
        <v>378557.76675455063</v>
      </c>
      <c r="D78" s="42">
        <f>D54*$J$57</f>
        <v>0</v>
      </c>
      <c r="E78" s="42">
        <f>E54*$J$57</f>
        <v>386310.40248969162</v>
      </c>
      <c r="F78" s="42">
        <f t="shared" si="37"/>
        <v>827068.13576848316</v>
      </c>
      <c r="G78" s="42">
        <f t="shared" si="39"/>
        <v>57736.630066800506</v>
      </c>
      <c r="H78" s="42">
        <f t="shared" si="38"/>
        <v>884804.76583528367</v>
      </c>
      <c r="I78" s="42">
        <f t="shared" si="40"/>
        <v>156142.0175003442</v>
      </c>
      <c r="J78" s="42">
        <f t="shared" si="41"/>
        <v>1040946.7833356279</v>
      </c>
      <c r="K78" s="30">
        <f t="shared" si="42"/>
        <v>0.1487066833336611</v>
      </c>
      <c r="L78" s="42">
        <f t="shared" si="43"/>
        <v>156142.0175003442</v>
      </c>
    </row>
    <row r="79" spans="1:18" x14ac:dyDescent="0.3">
      <c r="A79" s="7" t="s">
        <v>11</v>
      </c>
      <c r="B79" s="42">
        <f>B68*$E$71</f>
        <v>94935.673947024581</v>
      </c>
      <c r="C79" s="42">
        <f>C68*$E$71</f>
        <v>302426.44833602983</v>
      </c>
      <c r="D79" s="42">
        <f>D68*$E$71</f>
        <v>0</v>
      </c>
      <c r="E79" s="42">
        <f>E68*$E$71</f>
        <v>116462.87771694551</v>
      </c>
      <c r="F79" s="42">
        <f t="shared" si="37"/>
        <v>513824.99999999988</v>
      </c>
      <c r="G79" s="42">
        <f t="shared" si="39"/>
        <v>36672.682397801487</v>
      </c>
      <c r="H79" s="42">
        <f t="shared" si="38"/>
        <v>550497.68239780143</v>
      </c>
      <c r="I79" s="42">
        <f t="shared" si="40"/>
        <v>97146.6498349061</v>
      </c>
      <c r="J79" s="42">
        <f t="shared" si="41"/>
        <v>647644.33223270753</v>
      </c>
      <c r="K79" s="30">
        <f>J79/J$80</f>
        <v>9.2520618890386777E-2</v>
      </c>
      <c r="L79" s="42">
        <f t="shared" si="43"/>
        <v>97146.6498349061</v>
      </c>
    </row>
    <row r="80" spans="1:18" x14ac:dyDescent="0.3">
      <c r="A80" s="7" t="s">
        <v>12</v>
      </c>
      <c r="B80" s="42">
        <f>SUM(B73:B79)</f>
        <v>812762.68136971863</v>
      </c>
      <c r="C80" s="42">
        <f t="shared" ref="C80:D80" si="44">SUM(C73:C79)</f>
        <v>2314098.5872338424</v>
      </c>
      <c r="D80" s="42">
        <f t="shared" si="44"/>
        <v>787902.40099632042</v>
      </c>
      <c r="E80" s="42">
        <f>SUM(E73:E79)</f>
        <v>1618736.3304001191</v>
      </c>
      <c r="F80" s="42">
        <f>SUM(F73:F79)</f>
        <v>5533500.0000000009</v>
      </c>
      <c r="G80" s="42">
        <f>SUM(G73:G79)</f>
        <v>416500</v>
      </c>
      <c r="H80" s="42">
        <f t="shared" si="38"/>
        <v>5950000.0000000009</v>
      </c>
      <c r="I80" s="42">
        <f>J80-H80</f>
        <v>1050000</v>
      </c>
      <c r="J80" s="42">
        <f>H80*(1+(0.15/0.85))</f>
        <v>7000000.0000000009</v>
      </c>
      <c r="K80" s="30">
        <f>J80/J$80</f>
        <v>1</v>
      </c>
      <c r="L80" s="42">
        <f>SUM(L73:L79)</f>
        <v>1050000.0000000002</v>
      </c>
    </row>
    <row r="81" spans="1:13" x14ac:dyDescent="0.3">
      <c r="A81" s="7"/>
      <c r="B81" s="7"/>
      <c r="C81" s="7"/>
      <c r="D81" s="7"/>
      <c r="E81" s="7"/>
      <c r="F81" s="59">
        <f t="shared" ref="F81:G81" si="45">F80/$J$80</f>
        <v>0.79049999999999998</v>
      </c>
      <c r="G81" s="59">
        <f t="shared" si="45"/>
        <v>5.949999999999999E-2</v>
      </c>
      <c r="H81" s="59">
        <f>H80/$J$80</f>
        <v>0.85</v>
      </c>
      <c r="I81" s="59">
        <f>I80/$J$80</f>
        <v>0.14999999999999997</v>
      </c>
      <c r="J81" s="59">
        <f>J80/$J$80</f>
        <v>1</v>
      </c>
      <c r="K81" s="59"/>
      <c r="L81" s="30">
        <f>L80/B59</f>
        <v>0.15000000000000002</v>
      </c>
    </row>
    <row r="82" spans="1:13" x14ac:dyDescent="0.3">
      <c r="F82" s="32"/>
      <c r="G82" s="58"/>
      <c r="H82" s="32"/>
      <c r="I82" s="32"/>
      <c r="J82" s="61"/>
      <c r="K82" s="61"/>
      <c r="L82" s="61"/>
      <c r="M82" s="61"/>
    </row>
    <row r="83" spans="1:13" ht="26.4" customHeight="1" x14ac:dyDescent="0.3">
      <c r="A83" s="24" t="s">
        <v>1021</v>
      </c>
      <c r="B83" s="25" t="s">
        <v>997</v>
      </c>
      <c r="C83" s="25" t="s">
        <v>966</v>
      </c>
      <c r="D83" s="25" t="s">
        <v>967</v>
      </c>
      <c r="E83" s="25" t="s">
        <v>968</v>
      </c>
      <c r="F83" s="6" t="s">
        <v>998</v>
      </c>
      <c r="G83" s="25" t="s">
        <v>1022</v>
      </c>
      <c r="H83" s="25" t="s">
        <v>1023</v>
      </c>
      <c r="I83" s="25" t="s">
        <v>1005</v>
      </c>
    </row>
    <row r="84" spans="1:13" x14ac:dyDescent="0.3">
      <c r="A84" s="7" t="s">
        <v>5</v>
      </c>
      <c r="B84" s="14">
        <f>B73/B$48</f>
        <v>22.386699494988193</v>
      </c>
      <c r="C84" s="14">
        <f t="shared" ref="C84:E84" si="46">C73/C$48</f>
        <v>11.450654317620778</v>
      </c>
      <c r="D84" s="14">
        <f t="shared" si="46"/>
        <v>34.0303583233678</v>
      </c>
      <c r="E84" s="14">
        <f t="shared" si="46"/>
        <v>10.280586182362399</v>
      </c>
      <c r="F84" s="14">
        <f>SUM(B84:E84)</f>
        <v>78.148298318339172</v>
      </c>
      <c r="G84" s="43">
        <f t="shared" ref="G84:G91" si="47">J73</f>
        <v>977649.31760700478</v>
      </c>
      <c r="H84" s="42">
        <f>J73/F84</f>
        <v>12510.180498422682</v>
      </c>
      <c r="I84" s="30">
        <f>F84/$F$91</f>
        <v>0.15561428981269354</v>
      </c>
    </row>
    <row r="85" spans="1:13" x14ac:dyDescent="0.3">
      <c r="A85" s="7" t="s">
        <v>6</v>
      </c>
      <c r="B85" s="14">
        <f t="shared" ref="B85:E85" si="48">B74/B$48</f>
        <v>32.115632165144184</v>
      </c>
      <c r="C85" s="14">
        <f t="shared" si="48"/>
        <v>19.796979101303567</v>
      </c>
      <c r="D85" s="14">
        <f t="shared" si="48"/>
        <v>0</v>
      </c>
      <c r="E85" s="14">
        <f t="shared" si="48"/>
        <v>31.349874438503488</v>
      </c>
      <c r="F85" s="14">
        <f t="shared" ref="F85:F90" si="49">SUM(B85:E85)</f>
        <v>83.262485704951246</v>
      </c>
      <c r="G85" s="43">
        <f t="shared" si="47"/>
        <v>1094817.3095685213</v>
      </c>
      <c r="H85" s="42">
        <f t="shared" ref="H85:H90" si="50">J74/F85</f>
        <v>13148.986609024783</v>
      </c>
      <c r="I85" s="30">
        <f t="shared" ref="I85:I89" si="51">F85/$F$91</f>
        <v>0.16579801300644492</v>
      </c>
    </row>
    <row r="86" spans="1:13" x14ac:dyDescent="0.3">
      <c r="A86" s="7" t="s">
        <v>7</v>
      </c>
      <c r="B86" s="14">
        <f t="shared" ref="B86:E86" si="52">B75/B$48</f>
        <v>12.936248981611634</v>
      </c>
      <c r="C86" s="14">
        <f t="shared" si="52"/>
        <v>23.032350572623713</v>
      </c>
      <c r="D86" s="14">
        <f t="shared" si="52"/>
        <v>0</v>
      </c>
      <c r="E86" s="14">
        <f t="shared" si="52"/>
        <v>5.8876879917400551</v>
      </c>
      <c r="F86" s="14">
        <f t="shared" si="49"/>
        <v>41.856287545975405</v>
      </c>
      <c r="G86" s="43">
        <f t="shared" si="47"/>
        <v>645340.09421067371</v>
      </c>
      <c r="H86" s="42">
        <f t="shared" si="50"/>
        <v>15417.996483845469</v>
      </c>
      <c r="I86" s="30">
        <f t="shared" si="51"/>
        <v>8.3347131042191033E-2</v>
      </c>
    </row>
    <row r="87" spans="1:13" x14ac:dyDescent="0.3">
      <c r="A87" s="7" t="s">
        <v>8</v>
      </c>
      <c r="B87" s="14">
        <f t="shared" ref="B87:E87" si="53">B76/B$48</f>
        <v>23.112526452271805</v>
      </c>
      <c r="C87" s="14">
        <f t="shared" si="53"/>
        <v>26.169530662377465</v>
      </c>
      <c r="D87" s="14">
        <f t="shared" si="53"/>
        <v>48.34599920743868</v>
      </c>
      <c r="E87" s="14">
        <f t="shared" si="53"/>
        <v>47.667644626648084</v>
      </c>
      <c r="F87" s="14">
        <f t="shared" si="49"/>
        <v>145.29570094873606</v>
      </c>
      <c r="G87" s="43">
        <f t="shared" si="47"/>
        <v>1950272.254760118</v>
      </c>
      <c r="H87" s="42">
        <f t="shared" si="50"/>
        <v>13422.780178803932</v>
      </c>
      <c r="I87" s="30">
        <f t="shared" si="51"/>
        <v>0.28932283622955263</v>
      </c>
    </row>
    <row r="88" spans="1:13" x14ac:dyDescent="0.3">
      <c r="A88" s="7" t="s">
        <v>9</v>
      </c>
      <c r="B88" s="14">
        <f t="shared" ref="B88:E88" si="54">B77/B$48</f>
        <v>6.9471516461809433</v>
      </c>
      <c r="C88" s="14">
        <f t="shared" si="54"/>
        <v>22.768433275745963</v>
      </c>
      <c r="D88" s="14">
        <f t="shared" si="54"/>
        <v>0</v>
      </c>
      <c r="E88" s="14">
        <f t="shared" si="54"/>
        <v>10.08049875484879</v>
      </c>
      <c r="F88" s="14">
        <f t="shared" si="49"/>
        <v>39.796083676775694</v>
      </c>
      <c r="G88" s="43">
        <f t="shared" si="47"/>
        <v>643329.90828534786</v>
      </c>
      <c r="H88" s="42">
        <f t="shared" si="50"/>
        <v>16165.658749501124</v>
      </c>
      <c r="I88" s="30">
        <f t="shared" si="51"/>
        <v>7.9244710786424047E-2</v>
      </c>
    </row>
    <row r="89" spans="1:13" x14ac:dyDescent="0.3">
      <c r="A89" s="7" t="s">
        <v>10</v>
      </c>
      <c r="B89" s="14">
        <f t="shared" ref="B89:E89" si="55">B78/B$48</f>
        <v>9.2497533681672763</v>
      </c>
      <c r="C89" s="14">
        <f t="shared" si="55"/>
        <v>23.926037590352081</v>
      </c>
      <c r="D89" s="14">
        <f t="shared" si="55"/>
        <v>0</v>
      </c>
      <c r="E89" s="14">
        <f t="shared" si="55"/>
        <v>36.43979397148393</v>
      </c>
      <c r="F89" s="14">
        <f t="shared" si="49"/>
        <v>69.61558493000328</v>
      </c>
      <c r="G89" s="43">
        <f t="shared" si="47"/>
        <v>1040946.7833356279</v>
      </c>
      <c r="H89" s="42">
        <f t="shared" si="50"/>
        <v>14952.783696097271</v>
      </c>
      <c r="I89" s="30">
        <f t="shared" si="51"/>
        <v>0.13862336150492319</v>
      </c>
    </row>
    <row r="90" spans="1:13" x14ac:dyDescent="0.3">
      <c r="A90" s="7" t="s">
        <v>11</v>
      </c>
      <c r="B90" s="14">
        <f t="shared" ref="B90:E90" si="56">B79/B$48</f>
        <v>14.117878496100019</v>
      </c>
      <c r="C90" s="14">
        <f t="shared" si="56"/>
        <v>19.11429960409745</v>
      </c>
      <c r="D90" s="14">
        <f t="shared" si="56"/>
        <v>0</v>
      </c>
      <c r="E90" s="14">
        <f t="shared" si="56"/>
        <v>10.985682088757279</v>
      </c>
      <c r="F90" s="14">
        <f t="shared" si="49"/>
        <v>44.217860188954752</v>
      </c>
      <c r="G90" s="43">
        <f t="shared" si="47"/>
        <v>647644.33223270753</v>
      </c>
      <c r="H90" s="42">
        <f t="shared" si="50"/>
        <v>14646.668325087418</v>
      </c>
      <c r="I90" s="30">
        <f>F90/$F$91</f>
        <v>8.8049657617770685E-2</v>
      </c>
    </row>
    <row r="91" spans="1:13" x14ac:dyDescent="0.3">
      <c r="A91" s="7" t="s">
        <v>12</v>
      </c>
      <c r="B91" s="14">
        <f t="shared" ref="B91:E91" si="57">B80/B$48</f>
        <v>120.86589060446407</v>
      </c>
      <c r="C91" s="14">
        <f t="shared" si="57"/>
        <v>146.25828512412099</v>
      </c>
      <c r="D91" s="14">
        <f t="shared" si="57"/>
        <v>82.376357530806487</v>
      </c>
      <c r="E91" s="14">
        <f t="shared" si="57"/>
        <v>152.69176805434401</v>
      </c>
      <c r="F91" s="14">
        <f>SUM(B91:E91)</f>
        <v>502.19230131373558</v>
      </c>
      <c r="G91" s="43">
        <f t="shared" si="47"/>
        <v>7000000.0000000009</v>
      </c>
      <c r="H91" s="42">
        <f>J80/F91</f>
        <v>13938.883534630048</v>
      </c>
      <c r="I91" s="7"/>
    </row>
  </sheetData>
  <sheetProtection algorithmName="SHA-512" hashValue="OnOZO3DasG1U+8qtWie3LFzlKX/QuSwtBb5t+xzSlMG4WAFl9Wxqw1ZoZxHY8MyP2D3CWSmXRhyP8TqdTt1CEA==" saltValue="8ow4WWTSPuKnECTHU6KFbQ==" spinCount="100000" sheet="1" objects="1" scenarios="1"/>
  <protectedRanges>
    <protectedRange sqref="B11:F11 B35 B48:E48 B59 B61:E61 B71" name="User Input"/>
  </protectedRanges>
  <hyperlinks>
    <hyperlink ref="G1" r:id="rId1" xr:uid="{BE0331B2-1C73-4D54-A9D8-6FE64C805CA1}"/>
  </hyperlinks>
  <pageMargins left="0.7" right="0.7" top="0.75" bottom="0.75" header="0.3" footer="0.3"/>
  <pageSetup orientation="portrait"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3B12C-37F4-4BE9-9896-96B44E6BD100}">
  <sheetPr codeName="Sheet16"/>
  <dimension ref="A1:R39"/>
  <sheetViews>
    <sheetView topLeftCell="C1" workbookViewId="0">
      <selection activeCell="D2" sqref="D2"/>
    </sheetView>
  </sheetViews>
  <sheetFormatPr defaultRowHeight="14.4" x14ac:dyDescent="0.3"/>
  <cols>
    <col min="2" max="2" width="22" customWidth="1"/>
    <col min="3" max="10" width="10.5546875" customWidth="1"/>
    <col min="11" max="11" width="11.6640625" customWidth="1"/>
    <col min="12" max="12" width="10.44140625" customWidth="1"/>
    <col min="13" max="13" width="15.6640625" customWidth="1"/>
    <col min="14" max="16" width="15.88671875" customWidth="1"/>
  </cols>
  <sheetData>
    <row r="1" spans="1:18" x14ac:dyDescent="0.3">
      <c r="A1" t="s">
        <v>1024</v>
      </c>
    </row>
    <row r="2" spans="1:18" ht="91.5" customHeight="1" x14ac:dyDescent="0.35">
      <c r="A2" s="93" t="s">
        <v>1025</v>
      </c>
      <c r="M2" s="500" t="s">
        <v>1026</v>
      </c>
      <c r="N2" s="500"/>
      <c r="O2" s="500"/>
      <c r="P2" s="500"/>
    </row>
    <row r="3" spans="1:18" ht="77.25" customHeight="1" thickBot="1" x14ac:dyDescent="0.35">
      <c r="A3" s="81" t="s">
        <v>1027</v>
      </c>
      <c r="B3" s="82" t="s">
        <v>1028</v>
      </c>
      <c r="C3" s="82" t="s">
        <v>1029</v>
      </c>
      <c r="D3" s="82" t="s">
        <v>534</v>
      </c>
      <c r="E3" s="82" t="s">
        <v>535</v>
      </c>
      <c r="F3" s="82" t="s">
        <v>536</v>
      </c>
      <c r="G3" s="82" t="s">
        <v>537</v>
      </c>
      <c r="H3" s="82" t="s">
        <v>538</v>
      </c>
      <c r="I3" s="82" t="s">
        <v>539</v>
      </c>
      <c r="J3" s="83" t="s">
        <v>1030</v>
      </c>
      <c r="K3" s="94" t="s">
        <v>1031</v>
      </c>
      <c r="L3" s="94" t="s">
        <v>1032</v>
      </c>
      <c r="M3" s="97"/>
      <c r="N3" s="493" t="s">
        <v>1033</v>
      </c>
      <c r="O3" s="494"/>
      <c r="P3" s="495"/>
      <c r="Q3" s="94" t="s">
        <v>1034</v>
      </c>
      <c r="R3" s="94" t="s">
        <v>1035</v>
      </c>
    </row>
    <row r="4" spans="1:18" ht="31.2" thickTop="1" thickBot="1" x14ac:dyDescent="0.35">
      <c r="A4" s="487" t="s">
        <v>1036</v>
      </c>
      <c r="B4" s="497" t="s">
        <v>1037</v>
      </c>
      <c r="C4" s="74" t="s">
        <v>1038</v>
      </c>
      <c r="D4" s="75" t="s">
        <v>1039</v>
      </c>
      <c r="E4" s="75" t="s">
        <v>1040</v>
      </c>
      <c r="F4" s="75" t="s">
        <v>1041</v>
      </c>
      <c r="G4" s="75" t="s">
        <v>1042</v>
      </c>
      <c r="H4" s="75" t="s">
        <v>1042</v>
      </c>
      <c r="I4" s="75" t="s">
        <v>1040</v>
      </c>
      <c r="J4" s="84" t="s">
        <v>1043</v>
      </c>
      <c r="M4" s="98"/>
      <c r="N4" s="95" t="s">
        <v>541</v>
      </c>
      <c r="O4" s="95" t="s">
        <v>542</v>
      </c>
      <c r="P4" s="99" t="s">
        <v>543</v>
      </c>
    </row>
    <row r="5" spans="1:18" ht="16.2" thickTop="1" thickBot="1" x14ac:dyDescent="0.35">
      <c r="A5" s="488"/>
      <c r="B5" s="498"/>
      <c r="C5" s="74" t="s">
        <v>1044</v>
      </c>
      <c r="D5" s="74">
        <v>0.4</v>
      </c>
      <c r="E5" s="74">
        <v>2.9</v>
      </c>
      <c r="F5" s="74">
        <v>0.7</v>
      </c>
      <c r="G5" s="74">
        <v>1.4</v>
      </c>
      <c r="H5" s="74">
        <v>1.2</v>
      </c>
      <c r="I5" s="74">
        <v>2.7</v>
      </c>
      <c r="J5" s="85">
        <v>1.6</v>
      </c>
      <c r="M5" s="100" t="s">
        <v>567</v>
      </c>
      <c r="N5" s="96">
        <v>20</v>
      </c>
      <c r="O5" s="96">
        <v>15</v>
      </c>
      <c r="P5" s="101">
        <v>10</v>
      </c>
    </row>
    <row r="6" spans="1:18" ht="16.2" thickTop="1" thickBot="1" x14ac:dyDescent="0.35">
      <c r="A6" s="488"/>
      <c r="B6" s="499"/>
      <c r="C6" s="74" t="s">
        <v>1045</v>
      </c>
      <c r="D6" s="76" t="s">
        <v>1046</v>
      </c>
      <c r="E6" s="76" t="s">
        <v>1047</v>
      </c>
      <c r="F6" s="76" t="s">
        <v>1048</v>
      </c>
      <c r="G6" s="76" t="s">
        <v>1049</v>
      </c>
      <c r="H6" s="76" t="s">
        <v>1050</v>
      </c>
      <c r="I6" s="76" t="s">
        <v>1051</v>
      </c>
      <c r="J6" s="86" t="s">
        <v>1052</v>
      </c>
      <c r="M6" s="102" t="s">
        <v>595</v>
      </c>
      <c r="N6" s="103">
        <v>10</v>
      </c>
      <c r="O6" s="103">
        <v>7</v>
      </c>
      <c r="P6" s="104">
        <v>5</v>
      </c>
    </row>
    <row r="7" spans="1:18" ht="15.6" thickTop="1" thickBot="1" x14ac:dyDescent="0.35">
      <c r="A7" s="488"/>
      <c r="B7" s="497" t="s">
        <v>1053</v>
      </c>
      <c r="C7" s="74" t="s">
        <v>1038</v>
      </c>
      <c r="D7" s="75" t="s">
        <v>1054</v>
      </c>
      <c r="E7" s="75" t="s">
        <v>1055</v>
      </c>
      <c r="F7" s="75" t="s">
        <v>1056</v>
      </c>
      <c r="G7" s="75" t="s">
        <v>1043</v>
      </c>
      <c r="H7" s="75" t="s">
        <v>1043</v>
      </c>
      <c r="I7" s="75" t="s">
        <v>1057</v>
      </c>
      <c r="J7" s="84" t="s">
        <v>1058</v>
      </c>
    </row>
    <row r="8" spans="1:18" ht="15.6" thickTop="1" thickBot="1" x14ac:dyDescent="0.35">
      <c r="A8" s="488"/>
      <c r="B8" s="498"/>
      <c r="C8" s="74" t="s">
        <v>1044</v>
      </c>
      <c r="D8" s="74">
        <v>0.6</v>
      </c>
      <c r="E8" s="74">
        <v>3.8</v>
      </c>
      <c r="F8" s="74">
        <v>0.9</v>
      </c>
      <c r="G8" s="74">
        <v>1.9</v>
      </c>
      <c r="H8" s="74">
        <v>1.5</v>
      </c>
      <c r="I8" s="74">
        <v>3.4</v>
      </c>
      <c r="J8" s="85">
        <v>2.1</v>
      </c>
    </row>
    <row r="9" spans="1:18" ht="15.6" thickTop="1" thickBot="1" x14ac:dyDescent="0.35">
      <c r="A9" s="496"/>
      <c r="B9" s="499"/>
      <c r="C9" s="74" t="s">
        <v>1045</v>
      </c>
      <c r="D9" s="76" t="s">
        <v>1059</v>
      </c>
      <c r="E9" s="76" t="s">
        <v>1060</v>
      </c>
      <c r="F9" s="76" t="s">
        <v>1061</v>
      </c>
      <c r="G9" s="76" t="s">
        <v>1062</v>
      </c>
      <c r="H9" s="76" t="s">
        <v>1063</v>
      </c>
      <c r="I9" s="76" t="s">
        <v>1064</v>
      </c>
      <c r="J9" s="86" t="s">
        <v>1065</v>
      </c>
    </row>
    <row r="10" spans="1:18" ht="15.6" thickTop="1" thickBot="1" x14ac:dyDescent="0.35">
      <c r="A10" s="481" t="s">
        <v>1066</v>
      </c>
      <c r="B10" s="501" t="s">
        <v>1067</v>
      </c>
      <c r="C10" s="77" t="s">
        <v>1038</v>
      </c>
      <c r="D10" s="78" t="s">
        <v>1068</v>
      </c>
      <c r="E10" s="78" t="s">
        <v>1069</v>
      </c>
      <c r="F10" s="78" t="s">
        <v>1068</v>
      </c>
      <c r="G10" s="78" t="s">
        <v>1070</v>
      </c>
      <c r="H10" s="78" t="s">
        <v>1056</v>
      </c>
      <c r="I10" s="78" t="s">
        <v>1071</v>
      </c>
      <c r="J10" s="87" t="s">
        <v>1072</v>
      </c>
    </row>
    <row r="11" spans="1:18" ht="15.6" thickTop="1" thickBot="1" x14ac:dyDescent="0.35">
      <c r="A11" s="482"/>
      <c r="B11" s="502"/>
      <c r="C11" s="77" t="s">
        <v>1044</v>
      </c>
      <c r="D11" s="77">
        <v>0.6</v>
      </c>
      <c r="E11" s="77">
        <v>3.3</v>
      </c>
      <c r="F11" s="77">
        <v>0.7</v>
      </c>
      <c r="G11" s="77">
        <v>2</v>
      </c>
      <c r="H11" s="77">
        <v>1.5</v>
      </c>
      <c r="I11" s="77">
        <v>3</v>
      </c>
      <c r="J11" s="88">
        <v>2</v>
      </c>
    </row>
    <row r="12" spans="1:18" ht="15.6" thickTop="1" thickBot="1" x14ac:dyDescent="0.35">
      <c r="A12" s="483"/>
      <c r="B12" s="503"/>
      <c r="C12" s="77" t="s">
        <v>1045</v>
      </c>
      <c r="D12" s="79" t="s">
        <v>1073</v>
      </c>
      <c r="E12" s="79" t="s">
        <v>1074</v>
      </c>
      <c r="F12" s="79" t="s">
        <v>1075</v>
      </c>
      <c r="G12" s="79" t="s">
        <v>1076</v>
      </c>
      <c r="H12" s="79" t="s">
        <v>1077</v>
      </c>
      <c r="I12" s="79" t="s">
        <v>1078</v>
      </c>
      <c r="J12" s="89" t="s">
        <v>1079</v>
      </c>
    </row>
    <row r="13" spans="1:18" ht="15.6" thickTop="1" thickBot="1" x14ac:dyDescent="0.35">
      <c r="A13" s="487" t="s">
        <v>1077</v>
      </c>
      <c r="B13" s="497" t="s">
        <v>1080</v>
      </c>
      <c r="C13" s="74" t="s">
        <v>1038</v>
      </c>
      <c r="D13" s="75" t="s">
        <v>1081</v>
      </c>
      <c r="E13" s="75" t="s">
        <v>1082</v>
      </c>
      <c r="F13" s="75" t="s">
        <v>1081</v>
      </c>
      <c r="G13" s="75" t="s">
        <v>1083</v>
      </c>
      <c r="H13" s="75" t="s">
        <v>1056</v>
      </c>
      <c r="I13" s="75" t="s">
        <v>1084</v>
      </c>
      <c r="J13" s="84" t="s">
        <v>1085</v>
      </c>
    </row>
    <row r="14" spans="1:18" ht="15.6" thickTop="1" thickBot="1" x14ac:dyDescent="0.35">
      <c r="A14" s="488"/>
      <c r="B14" s="498"/>
      <c r="C14" s="74" t="s">
        <v>1044</v>
      </c>
      <c r="D14" s="74">
        <v>0.4</v>
      </c>
      <c r="E14" s="74">
        <v>3.3</v>
      </c>
      <c r="F14" s="74">
        <v>0.8</v>
      </c>
      <c r="G14" s="74">
        <v>1.5</v>
      </c>
      <c r="H14" s="74">
        <v>1.2</v>
      </c>
      <c r="I14" s="74">
        <v>4.7</v>
      </c>
      <c r="J14" s="85">
        <v>2.1</v>
      </c>
    </row>
    <row r="15" spans="1:18" ht="15.6" thickTop="1" thickBot="1" x14ac:dyDescent="0.35">
      <c r="A15" s="496"/>
      <c r="B15" s="499"/>
      <c r="C15" s="74" t="s">
        <v>1045</v>
      </c>
      <c r="D15" s="76" t="s">
        <v>1086</v>
      </c>
      <c r="E15" s="76" t="s">
        <v>1087</v>
      </c>
      <c r="F15" s="76" t="s">
        <v>1088</v>
      </c>
      <c r="G15" s="76" t="s">
        <v>1089</v>
      </c>
      <c r="H15" s="76" t="s">
        <v>1087</v>
      </c>
      <c r="I15" s="76" t="s">
        <v>1090</v>
      </c>
      <c r="J15" s="86" t="s">
        <v>1091</v>
      </c>
    </row>
    <row r="16" spans="1:18" ht="15.6" thickTop="1" thickBot="1" x14ac:dyDescent="0.35">
      <c r="A16" s="481" t="s">
        <v>1073</v>
      </c>
      <c r="B16" s="501" t="s">
        <v>1092</v>
      </c>
      <c r="C16" s="77" t="s">
        <v>1038</v>
      </c>
      <c r="D16" s="78" t="s">
        <v>1093</v>
      </c>
      <c r="E16" s="78" t="s">
        <v>1043</v>
      </c>
      <c r="F16" s="78" t="s">
        <v>1094</v>
      </c>
      <c r="G16" s="78" t="s">
        <v>1095</v>
      </c>
      <c r="H16" s="78" t="s">
        <v>1058</v>
      </c>
      <c r="I16" s="78" t="s">
        <v>1096</v>
      </c>
      <c r="J16" s="87" t="s">
        <v>1097</v>
      </c>
    </row>
    <row r="17" spans="1:10" ht="15.6" thickTop="1" thickBot="1" x14ac:dyDescent="0.35">
      <c r="A17" s="482"/>
      <c r="B17" s="502"/>
      <c r="C17" s="77" t="s">
        <v>1044</v>
      </c>
      <c r="D17" s="77">
        <v>0.3</v>
      </c>
      <c r="E17" s="77">
        <v>1.8</v>
      </c>
      <c r="F17" s="77">
        <v>1.2</v>
      </c>
      <c r="G17" s="77">
        <v>1.3</v>
      </c>
      <c r="H17" s="77">
        <v>2.8</v>
      </c>
      <c r="I17" s="77">
        <v>1.9</v>
      </c>
      <c r="J17" s="88">
        <v>1.7</v>
      </c>
    </row>
    <row r="18" spans="1:10" ht="15.6" thickTop="1" thickBot="1" x14ac:dyDescent="0.35">
      <c r="A18" s="483"/>
      <c r="B18" s="503"/>
      <c r="C18" s="77" t="s">
        <v>1045</v>
      </c>
      <c r="D18" s="79" t="s">
        <v>1098</v>
      </c>
      <c r="E18" s="79" t="s">
        <v>1099</v>
      </c>
      <c r="F18" s="79" t="s">
        <v>1100</v>
      </c>
      <c r="G18" s="79" t="s">
        <v>1101</v>
      </c>
      <c r="H18" s="79" t="s">
        <v>1102</v>
      </c>
      <c r="I18" s="79" t="s">
        <v>1101</v>
      </c>
      <c r="J18" s="89" t="s">
        <v>1103</v>
      </c>
    </row>
    <row r="19" spans="1:10" ht="15.6" thickTop="1" thickBot="1" x14ac:dyDescent="0.35">
      <c r="A19" s="487" t="s">
        <v>1073</v>
      </c>
      <c r="B19" s="497" t="s">
        <v>1104</v>
      </c>
      <c r="C19" s="74" t="s">
        <v>1038</v>
      </c>
      <c r="D19" s="75" t="s">
        <v>1105</v>
      </c>
      <c r="E19" s="75" t="s">
        <v>1094</v>
      </c>
      <c r="F19" s="75" t="s">
        <v>1093</v>
      </c>
      <c r="G19" s="75" t="s">
        <v>1054</v>
      </c>
      <c r="H19" s="75" t="s">
        <v>1054</v>
      </c>
      <c r="I19" s="75" t="s">
        <v>1095</v>
      </c>
      <c r="J19" s="84" t="s">
        <v>1081</v>
      </c>
    </row>
    <row r="20" spans="1:10" ht="15.6" thickTop="1" thickBot="1" x14ac:dyDescent="0.35">
      <c r="A20" s="488"/>
      <c r="B20" s="498"/>
      <c r="C20" s="74" t="s">
        <v>1044</v>
      </c>
      <c r="D20" s="74">
        <v>0.2</v>
      </c>
      <c r="E20" s="74">
        <v>1.1000000000000001</v>
      </c>
      <c r="F20" s="74">
        <v>0.3</v>
      </c>
      <c r="G20" s="74">
        <v>0.5</v>
      </c>
      <c r="H20" s="74">
        <v>0.5</v>
      </c>
      <c r="I20" s="74">
        <v>1.1000000000000001</v>
      </c>
      <c r="J20" s="85">
        <v>0.6</v>
      </c>
    </row>
    <row r="21" spans="1:10" ht="15.6" thickTop="1" thickBot="1" x14ac:dyDescent="0.35">
      <c r="A21" s="496"/>
      <c r="B21" s="499"/>
      <c r="C21" s="74" t="s">
        <v>1045</v>
      </c>
      <c r="D21" s="76" t="s">
        <v>1106</v>
      </c>
      <c r="E21" s="76" t="s">
        <v>1107</v>
      </c>
      <c r="F21" s="76" t="s">
        <v>1108</v>
      </c>
      <c r="G21" s="76" t="s">
        <v>1109</v>
      </c>
      <c r="H21" s="76" t="s">
        <v>1110</v>
      </c>
      <c r="I21" s="76" t="s">
        <v>1111</v>
      </c>
      <c r="J21" s="86" t="s">
        <v>1112</v>
      </c>
    </row>
    <row r="22" spans="1:10" ht="18" customHeight="1" thickTop="1" thickBot="1" x14ac:dyDescent="0.35">
      <c r="A22" s="481" t="s">
        <v>1074</v>
      </c>
      <c r="B22" s="501" t="s">
        <v>1113</v>
      </c>
      <c r="C22" s="77" t="s">
        <v>1038</v>
      </c>
      <c r="D22" s="78" t="s">
        <v>1093</v>
      </c>
      <c r="E22" s="78" t="s">
        <v>1096</v>
      </c>
      <c r="F22" s="78" t="s">
        <v>1114</v>
      </c>
      <c r="G22" s="78" t="s">
        <v>1094</v>
      </c>
      <c r="H22" s="78" t="s">
        <v>1095</v>
      </c>
      <c r="I22" s="78" t="s">
        <v>1083</v>
      </c>
      <c r="J22" s="87" t="s">
        <v>1056</v>
      </c>
    </row>
    <row r="23" spans="1:10" ht="15.6" thickTop="1" thickBot="1" x14ac:dyDescent="0.35">
      <c r="A23" s="482"/>
      <c r="B23" s="502"/>
      <c r="C23" s="77" t="s">
        <v>1044</v>
      </c>
      <c r="D23" s="77">
        <v>0.3</v>
      </c>
      <c r="E23" s="77">
        <v>2.2000000000000002</v>
      </c>
      <c r="F23" s="77">
        <v>0.5</v>
      </c>
      <c r="G23" s="77">
        <v>1</v>
      </c>
      <c r="H23" s="77">
        <v>1</v>
      </c>
      <c r="I23" s="77">
        <v>2.1</v>
      </c>
      <c r="J23" s="88">
        <v>1.1000000000000001</v>
      </c>
    </row>
    <row r="24" spans="1:10" ht="15.6" thickTop="1" thickBot="1" x14ac:dyDescent="0.35">
      <c r="A24" s="483"/>
      <c r="B24" s="503"/>
      <c r="C24" s="77" t="s">
        <v>1045</v>
      </c>
      <c r="D24" s="79" t="s">
        <v>1115</v>
      </c>
      <c r="E24" s="79" t="s">
        <v>1116</v>
      </c>
      <c r="F24" s="79" t="s">
        <v>1117</v>
      </c>
      <c r="G24" s="79" t="s">
        <v>1118</v>
      </c>
      <c r="H24" s="79" t="s">
        <v>1119</v>
      </c>
      <c r="I24" s="79" t="s">
        <v>1120</v>
      </c>
      <c r="J24" s="89" t="s">
        <v>1121</v>
      </c>
    </row>
    <row r="25" spans="1:10" ht="16.2" thickTop="1" thickBot="1" x14ac:dyDescent="0.35">
      <c r="A25" s="487" t="s">
        <v>1100</v>
      </c>
      <c r="B25" s="497" t="s">
        <v>1122</v>
      </c>
      <c r="C25" s="74" t="s">
        <v>1038</v>
      </c>
      <c r="D25" s="80" t="s">
        <v>1123</v>
      </c>
      <c r="E25" s="75" t="s">
        <v>1124</v>
      </c>
      <c r="F25" s="75" t="s">
        <v>1081</v>
      </c>
      <c r="G25" s="75" t="s">
        <v>1081</v>
      </c>
      <c r="H25" s="75" t="s">
        <v>1125</v>
      </c>
      <c r="I25" s="75" t="s">
        <v>1126</v>
      </c>
      <c r="J25" s="84" t="s">
        <v>1114</v>
      </c>
    </row>
    <row r="26" spans="1:10" ht="15.6" thickTop="1" thickBot="1" x14ac:dyDescent="0.35">
      <c r="A26" s="488"/>
      <c r="B26" s="498"/>
      <c r="C26" s="74" t="s">
        <v>1044</v>
      </c>
      <c r="D26" s="74">
        <v>0.3</v>
      </c>
      <c r="E26" s="74">
        <v>1.9</v>
      </c>
      <c r="F26" s="74">
        <v>0.4</v>
      </c>
      <c r="G26" s="74">
        <v>0.8</v>
      </c>
      <c r="H26" s="74">
        <v>0.8</v>
      </c>
      <c r="I26" s="74">
        <v>2.1</v>
      </c>
      <c r="J26" s="85">
        <v>0.7</v>
      </c>
    </row>
    <row r="27" spans="1:10" ht="15.6" thickTop="1" thickBot="1" x14ac:dyDescent="0.35">
      <c r="A27" s="496"/>
      <c r="B27" s="499"/>
      <c r="C27" s="74" t="s">
        <v>1045</v>
      </c>
      <c r="D27" s="76" t="s">
        <v>1127</v>
      </c>
      <c r="E27" s="76" t="s">
        <v>1128</v>
      </c>
      <c r="F27" s="76" t="s">
        <v>1089</v>
      </c>
      <c r="G27" s="76" t="s">
        <v>1129</v>
      </c>
      <c r="H27" s="76" t="s">
        <v>1130</v>
      </c>
      <c r="I27" s="76" t="s">
        <v>1131</v>
      </c>
      <c r="J27" s="86" t="s">
        <v>1132</v>
      </c>
    </row>
    <row r="28" spans="1:10" ht="18" customHeight="1" thickTop="1" thickBot="1" x14ac:dyDescent="0.35">
      <c r="A28" s="481" t="s">
        <v>1133</v>
      </c>
      <c r="B28" s="501" t="s">
        <v>1134</v>
      </c>
      <c r="C28" s="77" t="s">
        <v>1038</v>
      </c>
      <c r="D28" s="78" t="s">
        <v>1135</v>
      </c>
      <c r="E28" s="78" t="s">
        <v>1039</v>
      </c>
      <c r="F28" s="78" t="s">
        <v>1123</v>
      </c>
      <c r="G28" s="78" t="s">
        <v>1123</v>
      </c>
      <c r="H28" s="78" t="s">
        <v>1093</v>
      </c>
      <c r="I28" s="78" t="s">
        <v>1068</v>
      </c>
      <c r="J28" s="87" t="s">
        <v>1093</v>
      </c>
    </row>
    <row r="29" spans="1:10" ht="15.6" thickTop="1" thickBot="1" x14ac:dyDescent="0.35">
      <c r="A29" s="482"/>
      <c r="B29" s="502"/>
      <c r="C29" s="77" t="s">
        <v>1044</v>
      </c>
      <c r="D29" s="77">
        <v>0.1</v>
      </c>
      <c r="E29" s="77">
        <v>0.5</v>
      </c>
      <c r="F29" s="77">
        <v>0.2</v>
      </c>
      <c r="G29" s="77">
        <v>0.3</v>
      </c>
      <c r="H29" s="77">
        <v>0.3</v>
      </c>
      <c r="I29" s="77">
        <v>0.7</v>
      </c>
      <c r="J29" s="88">
        <v>0.2</v>
      </c>
    </row>
    <row r="30" spans="1:10" ht="15.6" thickTop="1" thickBot="1" x14ac:dyDescent="0.35">
      <c r="A30" s="483"/>
      <c r="B30" s="503"/>
      <c r="C30" s="77" t="s">
        <v>1045</v>
      </c>
      <c r="D30" s="79" t="s">
        <v>1136</v>
      </c>
      <c r="E30" s="79" t="s">
        <v>1137</v>
      </c>
      <c r="F30" s="79" t="s">
        <v>1138</v>
      </c>
      <c r="G30" s="79" t="s">
        <v>1139</v>
      </c>
      <c r="H30" s="79" t="s">
        <v>1140</v>
      </c>
      <c r="I30" s="79" t="s">
        <v>1141</v>
      </c>
      <c r="J30" s="89" t="s">
        <v>1142</v>
      </c>
    </row>
    <row r="31" spans="1:10" ht="18" customHeight="1" thickTop="1" thickBot="1" x14ac:dyDescent="0.35">
      <c r="A31" s="487" t="s">
        <v>1143</v>
      </c>
      <c r="B31" s="497" t="s">
        <v>1144</v>
      </c>
      <c r="C31" s="74" t="s">
        <v>1038</v>
      </c>
      <c r="D31" s="75" t="s">
        <v>1123</v>
      </c>
      <c r="E31" s="75" t="s">
        <v>1043</v>
      </c>
      <c r="F31" s="75" t="s">
        <v>1054</v>
      </c>
      <c r="G31" s="75" t="s">
        <v>1114</v>
      </c>
      <c r="H31" s="75" t="s">
        <v>1114</v>
      </c>
      <c r="I31" s="75" t="s">
        <v>1126</v>
      </c>
      <c r="J31" s="84" t="s">
        <v>1125</v>
      </c>
    </row>
    <row r="32" spans="1:10" ht="15.6" thickTop="1" thickBot="1" x14ac:dyDescent="0.35">
      <c r="A32" s="488"/>
      <c r="B32" s="498"/>
      <c r="C32" s="74" t="s">
        <v>1044</v>
      </c>
      <c r="D32" s="74">
        <v>0.2</v>
      </c>
      <c r="E32" s="74">
        <v>1.8</v>
      </c>
      <c r="F32" s="74">
        <v>0.3</v>
      </c>
      <c r="G32" s="74">
        <v>0.8</v>
      </c>
      <c r="H32" s="74">
        <v>0.8</v>
      </c>
      <c r="I32" s="74">
        <v>2</v>
      </c>
      <c r="J32" s="85">
        <v>0.6</v>
      </c>
    </row>
    <row r="33" spans="1:10" ht="15.6" thickTop="1" thickBot="1" x14ac:dyDescent="0.35">
      <c r="A33" s="496"/>
      <c r="B33" s="499"/>
      <c r="C33" s="74" t="s">
        <v>1045</v>
      </c>
      <c r="D33" s="76" t="s">
        <v>1127</v>
      </c>
      <c r="E33" s="76" t="s">
        <v>1128</v>
      </c>
      <c r="F33" s="76" t="s">
        <v>1089</v>
      </c>
      <c r="G33" s="76" t="s">
        <v>1129</v>
      </c>
      <c r="H33" s="76" t="s">
        <v>1130</v>
      </c>
      <c r="I33" s="76" t="s">
        <v>1131</v>
      </c>
      <c r="J33" s="86" t="s">
        <v>1132</v>
      </c>
    </row>
    <row r="34" spans="1:10" ht="15.6" thickTop="1" thickBot="1" x14ac:dyDescent="0.35">
      <c r="A34" s="481" t="s">
        <v>1145</v>
      </c>
      <c r="B34" s="484" t="s">
        <v>1146</v>
      </c>
      <c r="C34" s="77" t="s">
        <v>1038</v>
      </c>
      <c r="D34" s="78" t="s">
        <v>1095</v>
      </c>
      <c r="E34" s="78" t="s">
        <v>1147</v>
      </c>
      <c r="F34" s="78" t="s">
        <v>1042</v>
      </c>
      <c r="G34" s="78" t="s">
        <v>1148</v>
      </c>
      <c r="H34" s="78" t="s">
        <v>1149</v>
      </c>
      <c r="I34" s="78" t="s">
        <v>1150</v>
      </c>
      <c r="J34" s="87" t="s">
        <v>1151</v>
      </c>
    </row>
    <row r="35" spans="1:10" ht="15.6" thickTop="1" thickBot="1" x14ac:dyDescent="0.35">
      <c r="A35" s="482"/>
      <c r="B35" s="485"/>
      <c r="C35" s="77" t="s">
        <v>1044</v>
      </c>
      <c r="D35" s="77">
        <v>0.5</v>
      </c>
      <c r="E35" s="77">
        <v>3.6</v>
      </c>
      <c r="F35" s="77">
        <v>0.8</v>
      </c>
      <c r="G35" s="77">
        <v>2.2000000000000002</v>
      </c>
      <c r="H35" s="77">
        <v>1.4</v>
      </c>
      <c r="I35" s="77">
        <v>5.7</v>
      </c>
      <c r="J35" s="88">
        <v>2</v>
      </c>
    </row>
    <row r="36" spans="1:10" ht="15.6" thickTop="1" thickBot="1" x14ac:dyDescent="0.35">
      <c r="A36" s="483"/>
      <c r="B36" s="486"/>
      <c r="C36" s="77" t="s">
        <v>1045</v>
      </c>
      <c r="D36" s="79" t="s">
        <v>1152</v>
      </c>
      <c r="E36" s="79" t="s">
        <v>1153</v>
      </c>
      <c r="F36" s="79" t="s">
        <v>1154</v>
      </c>
      <c r="G36" s="79" t="s">
        <v>1155</v>
      </c>
      <c r="H36" s="79" t="s">
        <v>1156</v>
      </c>
      <c r="I36" s="79" t="s">
        <v>1131</v>
      </c>
      <c r="J36" s="89" t="s">
        <v>1157</v>
      </c>
    </row>
    <row r="37" spans="1:10" ht="15.6" thickTop="1" thickBot="1" x14ac:dyDescent="0.35">
      <c r="A37" s="487" t="s">
        <v>1087</v>
      </c>
      <c r="B37" s="490" t="s">
        <v>1158</v>
      </c>
      <c r="C37" s="74" t="s">
        <v>1038</v>
      </c>
      <c r="D37" s="75" t="s">
        <v>1159</v>
      </c>
      <c r="E37" s="75" t="s">
        <v>1147</v>
      </c>
      <c r="F37" s="75" t="s">
        <v>1125</v>
      </c>
      <c r="G37" s="75" t="s">
        <v>1105</v>
      </c>
      <c r="H37" s="75" t="s">
        <v>1160</v>
      </c>
      <c r="I37" s="75" t="s">
        <v>1124</v>
      </c>
      <c r="J37" s="84" t="s">
        <v>1056</v>
      </c>
    </row>
    <row r="38" spans="1:10" ht="15.6" thickTop="1" thickBot="1" x14ac:dyDescent="0.35">
      <c r="A38" s="488"/>
      <c r="B38" s="491"/>
      <c r="C38" s="74" t="s">
        <v>1044</v>
      </c>
      <c r="D38" s="74">
        <v>0.7</v>
      </c>
      <c r="E38" s="74">
        <v>6.9</v>
      </c>
      <c r="F38" s="74">
        <v>1.1000000000000001</v>
      </c>
      <c r="G38" s="74">
        <v>0.2</v>
      </c>
      <c r="H38" s="74">
        <v>4.2</v>
      </c>
      <c r="I38" s="74">
        <v>1.2</v>
      </c>
      <c r="J38" s="85">
        <v>2.6</v>
      </c>
    </row>
    <row r="39" spans="1:10" ht="15" thickTop="1" x14ac:dyDescent="0.3">
      <c r="A39" s="489"/>
      <c r="B39" s="492"/>
      <c r="C39" s="90" t="s">
        <v>1045</v>
      </c>
      <c r="D39" s="91" t="s">
        <v>1074</v>
      </c>
      <c r="E39" s="91" t="s">
        <v>1100</v>
      </c>
      <c r="F39" s="91" t="s">
        <v>1133</v>
      </c>
      <c r="G39" s="91" t="s">
        <v>1077</v>
      </c>
      <c r="H39" s="91" t="s">
        <v>1100</v>
      </c>
      <c r="I39" s="91" t="s">
        <v>1161</v>
      </c>
      <c r="J39" s="92" t="s">
        <v>1162</v>
      </c>
    </row>
  </sheetData>
  <sheetProtection algorithmName="SHA-512" hashValue="x9qzdY9La87SgIxBALDXQXzFK5x9HKG+7BC8fjCAbc2wLELkfnwVVvKmGuqouIdURaihEuGbX0Ej4kfig8P8pg==" saltValue="zoT8BfElJu5YtG3KKLITKQ==" spinCount="100000" sheet="1" objects="1" scenarios="1"/>
  <mergeCells count="25">
    <mergeCell ref="M2:P2"/>
    <mergeCell ref="A25:A27"/>
    <mergeCell ref="B25:B27"/>
    <mergeCell ref="A28:A30"/>
    <mergeCell ref="B28:B30"/>
    <mergeCell ref="A16:A18"/>
    <mergeCell ref="B16:B18"/>
    <mergeCell ref="A19:A21"/>
    <mergeCell ref="B19:B21"/>
    <mergeCell ref="A22:A24"/>
    <mergeCell ref="B22:B24"/>
    <mergeCell ref="A4:A9"/>
    <mergeCell ref="B4:B6"/>
    <mergeCell ref="B7:B9"/>
    <mergeCell ref="A10:A12"/>
    <mergeCell ref="B10:B12"/>
    <mergeCell ref="A34:A36"/>
    <mergeCell ref="B34:B36"/>
    <mergeCell ref="A37:A39"/>
    <mergeCell ref="B37:B39"/>
    <mergeCell ref="N3:P3"/>
    <mergeCell ref="A31:A33"/>
    <mergeCell ref="B31:B33"/>
    <mergeCell ref="A13:A15"/>
    <mergeCell ref="B13:B15"/>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97a9d6c5-736c-4aa1-a656-d4f1e223d5ed" xsi:nil="true"/>
    <lcf76f155ced4ddcb4097134ff3c332f xmlns="29426a5d-3cbc-4ef2-8178-92ce8dadeea1">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D16AD714FB5394E8B3251113BE3FE6A" ma:contentTypeVersion="16" ma:contentTypeDescription="Create a new document." ma:contentTypeScope="" ma:versionID="bab9dd6d9cc2c9e26700e06aefe2fbef">
  <xsd:schema xmlns:xsd="http://www.w3.org/2001/XMLSchema" xmlns:xs="http://www.w3.org/2001/XMLSchema" xmlns:p="http://schemas.microsoft.com/office/2006/metadata/properties" xmlns:ns2="29426a5d-3cbc-4ef2-8178-92ce8dadeea1" xmlns:ns3="97a9d6c5-736c-4aa1-a656-d4f1e223d5ed" targetNamespace="http://schemas.microsoft.com/office/2006/metadata/properties" ma:root="true" ma:fieldsID="b2528d9fd333e714be02e5b0a7ffe09e" ns2:_="" ns3:_="">
    <xsd:import namespace="29426a5d-3cbc-4ef2-8178-92ce8dadeea1"/>
    <xsd:import namespace="97a9d6c5-736c-4aa1-a656-d4f1e223d5e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426a5d-3cbc-4ef2-8178-92ce8dadee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Location" ma:index="21" nillable="true" ma:displayName="Location" ma:indexed="true" ma:internalName="MediaServiceLocatio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7a9d6c5-736c-4aa1-a656-d4f1e223d5e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3e114b7e-3d7d-49d7-a6a5-a5db73917859}" ma:internalName="TaxCatchAll" ma:showField="CatchAllData" ma:web="97a9d6c5-736c-4aa1-a656-d4f1e223d5e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67098A9-3853-4EDC-B6DD-47D8BF32EF36}">
  <ds:schemaRefs>
    <ds:schemaRef ds:uri="http://schemas.microsoft.com/sharepoint/v3/contenttype/forms"/>
  </ds:schemaRefs>
</ds:datastoreItem>
</file>

<file path=customXml/itemProps2.xml><?xml version="1.0" encoding="utf-8"?>
<ds:datastoreItem xmlns:ds="http://schemas.openxmlformats.org/officeDocument/2006/customXml" ds:itemID="{ACE1B78D-9677-4197-A408-C01F177F1B80}">
  <ds:schemaRefs>
    <ds:schemaRef ds:uri="http://purl.org/dc/elements/1.1/"/>
    <ds:schemaRef ds:uri="http://schemas.microsoft.com/office/infopath/2007/PartnerControls"/>
    <ds:schemaRef ds:uri="29426a5d-3cbc-4ef2-8178-92ce8dadeea1"/>
    <ds:schemaRef ds:uri="http://schemas.openxmlformats.org/package/2006/metadata/core-properties"/>
    <ds:schemaRef ds:uri="http://purl.org/dc/dcmitype/"/>
    <ds:schemaRef ds:uri="http://schemas.microsoft.com/office/2006/documentManagement/types"/>
    <ds:schemaRef ds:uri="http://purl.org/dc/terms/"/>
    <ds:schemaRef ds:uri="http://www.w3.org/XML/1998/namespace"/>
    <ds:schemaRef ds:uri="97a9d6c5-736c-4aa1-a656-d4f1e223d5ed"/>
    <ds:schemaRef ds:uri="http://schemas.microsoft.com/office/2006/metadata/properties"/>
  </ds:schemaRefs>
</ds:datastoreItem>
</file>

<file path=customXml/itemProps3.xml><?xml version="1.0" encoding="utf-8"?>
<ds:datastoreItem xmlns:ds="http://schemas.openxmlformats.org/officeDocument/2006/customXml" ds:itemID="{18DE9389-D794-4A42-AC70-F5A59AF266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426a5d-3cbc-4ef2-8178-92ce8dadeea1"/>
    <ds:schemaRef ds:uri="97a9d6c5-736c-4aa1-a656-d4f1e223d5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TargetsFunding</vt:lpstr>
      <vt:lpstr>Cost Rates</vt:lpstr>
      <vt:lpstr>Interim P Planning Options</vt:lpstr>
      <vt:lpstr>P Calculator Directory</vt:lpstr>
      <vt:lpstr>Riparian Buffer </vt:lpstr>
      <vt:lpstr>Lake Shoreline </vt:lpstr>
      <vt:lpstr>Native Revegetation</vt:lpstr>
      <vt:lpstr>Tree Canopy Expansion</vt:lpstr>
      <vt:lpstr>Strategic Wood Addition</vt:lpstr>
      <vt:lpstr>Floodplain Stream - Acre</vt:lpstr>
      <vt:lpstr>Floodplain Stream - Structure</vt:lpstr>
      <vt:lpstr>Outlet and Gully Stabilization</vt:lpstr>
      <vt:lpstr>Forest Road</vt:lpstr>
      <vt:lpstr>Forestry Tables</vt:lpstr>
      <vt:lpstr>Private Road</vt:lpstr>
      <vt:lpstr>Formula Grant Cost Effectivness</vt:lpstr>
      <vt:lpstr>Version History</vt:lpstr>
      <vt:lpstr>Lookup Tables</vt:lpstr>
      <vt:lpstr>CWSP targets</vt:lpstr>
      <vt:lpstr>FFI tables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Copans, Ben</dc:creator>
  <cp:keywords/>
  <dc:description/>
  <cp:lastModifiedBy>Madden, Claire</cp:lastModifiedBy>
  <cp:revision/>
  <dcterms:created xsi:type="dcterms:W3CDTF">2021-08-27T17:59:54Z</dcterms:created>
  <dcterms:modified xsi:type="dcterms:W3CDTF">2025-02-06T14:03:32Z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0x010100ED16AD714FB5394E8B3251113BE3FE6A</vt:lpwstr>
  </property>
  <property fmtid="{D5CDD505-2E9C-101B-9397-08002B2CF9AE}" pid="3" name="MediaServiceImageTags">
    <vt:lpwstr/>
  </property>
</Properties>
</file>