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27" documentId="8_{D8C48E77-D25F-4288-8091-A5628FBD6A61}" xr6:coauthVersionLast="45" xr6:coauthVersionMax="45" xr10:uidLastSave="{80F40A5B-5E01-482F-85A1-5E1B15576E63}"/>
  <bookViews>
    <workbookView xWindow="3225" yWindow="1395" windowWidth="26610" windowHeight="14220" xr2:uid="{00000000-000D-0000-FFFF-FFFF00000000}"/>
  </bookViews>
  <sheets>
    <sheet name="Bioretention (4.3.1)"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D9" i="1" l="1"/>
  <c r="D10" i="1" l="1"/>
  <c r="E12" i="1"/>
  <c r="F42" i="2" l="1"/>
  <c r="E42" i="2"/>
  <c r="D42" i="2"/>
  <c r="F41" i="2"/>
  <c r="E41" i="2"/>
  <c r="D41" i="2"/>
  <c r="F40" i="2"/>
  <c r="E40" i="2"/>
  <c r="D40" i="2"/>
  <c r="F1" i="2"/>
  <c r="F2" i="2"/>
  <c r="F3" i="2"/>
  <c r="F14" i="2"/>
  <c r="F15" i="2"/>
  <c r="F16" i="2"/>
  <c r="F17" i="2"/>
  <c r="B18" i="2"/>
  <c r="C18" i="2"/>
  <c r="D18" i="2"/>
  <c r="E18" i="2"/>
  <c r="F23" i="2"/>
  <c r="F24" i="2"/>
  <c r="F25" i="2"/>
  <c r="F26" i="2"/>
  <c r="B27" i="2"/>
  <c r="C27" i="2"/>
  <c r="D27" i="2"/>
  <c r="E27" i="2"/>
  <c r="F27" i="2" l="1"/>
  <c r="F33" i="2"/>
  <c r="E35" i="2"/>
  <c r="E33" i="2"/>
  <c r="F18" i="2"/>
  <c r="G33" i="2" s="1"/>
  <c r="F34" i="2"/>
  <c r="E34" i="2"/>
  <c r="F35" i="2"/>
  <c r="G34" i="2" l="1"/>
  <c r="G35" i="2"/>
  <c r="B35" i="1"/>
  <c r="B36" i="1"/>
  <c r="B24" i="1"/>
  <c r="B20" i="1"/>
  <c r="B19" i="1"/>
  <c r="F7" i="1" l="1"/>
  <c r="B48" i="1" l="1"/>
  <c r="H47" i="1"/>
  <c r="E9" i="1" l="1"/>
  <c r="F6" i="1"/>
  <c r="F5" i="1"/>
  <c r="B18" i="1" s="1"/>
  <c r="F9" i="1" l="1"/>
  <c r="I9" i="1" l="1"/>
  <c r="H36" i="1"/>
  <c r="E17" i="3"/>
  <c r="D17" i="3"/>
  <c r="C17" i="3"/>
  <c r="B17" i="3"/>
  <c r="E16" i="3"/>
  <c r="D16" i="3"/>
  <c r="C16" i="3"/>
  <c r="B16" i="3"/>
  <c r="E15" i="3"/>
  <c r="D15" i="3"/>
  <c r="C15" i="3"/>
  <c r="B15" i="3"/>
  <c r="E14" i="3"/>
  <c r="D14" i="3"/>
  <c r="C14" i="3"/>
  <c r="B14" i="3"/>
  <c r="E13" i="3"/>
  <c r="D13" i="3"/>
  <c r="C13" i="3"/>
  <c r="B13" i="3"/>
  <c r="C34" i="2" l="1"/>
  <c r="C33" i="2"/>
  <c r="C35" i="2"/>
  <c r="B35" i="2" s="1"/>
  <c r="D34" i="2"/>
  <c r="D35" i="2"/>
  <c r="D33" i="2"/>
  <c r="G50" i="1"/>
  <c r="G51" i="1" s="1"/>
  <c r="B47" i="1"/>
  <c r="B50" i="1"/>
  <c r="B51" i="1" s="1"/>
  <c r="B49" i="1"/>
  <c r="H52" i="1"/>
  <c r="B33" i="2" l="1"/>
  <c r="B34" i="2"/>
  <c r="H41" i="1"/>
  <c r="H50" i="1" l="1"/>
  <c r="H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<sst xmlns="http://schemas.openxmlformats.org/spreadsheetml/2006/main" count="180" uniqueCount="127">
  <si>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</si>
  <si>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</si>
  <si>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</si>
  <si>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</si>
  <si>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</si>
  <si>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</si>
  <si>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Designed to Infiltrate?</t>
  </si>
  <si>
    <t>Practice Drainage Area</t>
  </si>
  <si>
    <r>
      <t>WQ</t>
    </r>
    <r>
      <rPr>
        <vertAlign val="subscript"/>
        <sz val="10"/>
        <rFont val="Palatino Linotype"/>
        <family val="1"/>
      </rPr>
      <t>V</t>
    </r>
    <r>
      <rPr>
        <sz val="10"/>
        <rFont val="Palatino Linotype"/>
        <family val="1"/>
      </rPr>
      <t xml:space="preserve"> to practice</t>
    </r>
  </si>
  <si>
    <r>
      <t>Designed to Infiltrate &gt;WQ</t>
    </r>
    <r>
      <rPr>
        <vertAlign val="subscript"/>
        <sz val="10"/>
        <rFont val="Palatino Linotype"/>
        <family val="1"/>
      </rPr>
      <t>V</t>
    </r>
    <r>
      <rPr>
        <sz val="10"/>
        <rFont val="Palatino Linotype"/>
        <family val="1"/>
      </rPr>
      <t>?</t>
    </r>
  </si>
  <si>
    <t>Modified CN for WQ (1.0") storm</t>
  </si>
  <si>
    <t>What type of pretreatment is being used?</t>
  </si>
  <si>
    <t>Has an underdrain been provided? (required if the underlying soils have an infiltration rate of less than 0.2 inches per hour)</t>
  </si>
  <si>
    <t>9*</t>
  </si>
  <si>
    <t>* Questions preceded by an asterix (*) may change based on previously entered values</t>
  </si>
  <si>
    <t>Have the outfalls and the conveyance to the discharge point been designed/protected to avoid erosive velocities?</t>
  </si>
  <si>
    <r>
      <t>A</t>
    </r>
    <r>
      <rPr>
        <vertAlign val="subscript"/>
        <sz val="10"/>
        <rFont val="Palatino Linotype"/>
        <family val="1"/>
      </rPr>
      <t>f</t>
    </r>
    <r>
      <rPr>
        <sz val="10"/>
        <rFont val="Palatino Linotype"/>
        <family val="1"/>
      </rPr>
      <t xml:space="preserve"> (ft</t>
    </r>
    <r>
      <rPr>
        <vertAlign val="superscript"/>
        <sz val="10"/>
        <rFont val="Palatino Linotype"/>
        <family val="1"/>
      </rPr>
      <t>2</t>
    </r>
    <r>
      <rPr>
        <sz val="10"/>
        <rFont val="Palatino Linotype"/>
        <family val="1"/>
      </rPr>
      <t>)</t>
    </r>
  </si>
  <si>
    <t>(ft)</t>
  </si>
  <si>
    <r>
      <t>d</t>
    </r>
    <r>
      <rPr>
        <vertAlign val="subscript"/>
        <sz val="10"/>
        <rFont val="Palatino Linotype"/>
        <family val="1"/>
      </rPr>
      <t>f</t>
    </r>
    <r>
      <rPr>
        <sz val="10"/>
        <rFont val="Palatino Linotype"/>
        <family val="1"/>
      </rPr>
      <t xml:space="preserve"> (ft)</t>
    </r>
  </si>
  <si>
    <t>What is the coefficient of permeability of the filter media?</t>
  </si>
  <si>
    <t>k (ft/day)</t>
  </si>
  <si>
    <r>
      <t>h</t>
    </r>
    <r>
      <rPr>
        <vertAlign val="subscript"/>
        <sz val="10"/>
        <rFont val="Palatino Linotype"/>
        <family val="1"/>
      </rPr>
      <t>f</t>
    </r>
    <r>
      <rPr>
        <sz val="10"/>
        <rFont val="Palatino Linotype"/>
        <family val="1"/>
      </rPr>
      <t xml:space="preserve"> (ft)</t>
    </r>
  </si>
  <si>
    <t>What is the average height of water above the filter bed?</t>
  </si>
  <si>
    <t>What is the depth of the filter bed? (2-4 feet)</t>
  </si>
  <si>
    <r>
      <t>t</t>
    </r>
    <r>
      <rPr>
        <vertAlign val="subscript"/>
        <sz val="10"/>
        <rFont val="Palatino Linotype"/>
        <family val="1"/>
      </rPr>
      <t>f</t>
    </r>
    <r>
      <rPr>
        <sz val="10"/>
        <rFont val="Palatino Linotype"/>
        <family val="1"/>
      </rPr>
      <t xml:space="preserve"> (days)</t>
    </r>
  </si>
  <si>
    <r>
      <t>What is the design filter bed drain time? (</t>
    </r>
    <r>
      <rPr>
        <sz val="10"/>
        <rFont val="Calibri"/>
        <family val="2"/>
      </rPr>
      <t>≤</t>
    </r>
    <r>
      <rPr>
        <sz val="10"/>
        <rFont val="Palatino Linotype"/>
        <family val="1"/>
      </rPr>
      <t>2 days)</t>
    </r>
  </si>
  <si>
    <r>
      <t>ft</t>
    </r>
    <r>
      <rPr>
        <b/>
        <vertAlign val="superscript"/>
        <sz val="10"/>
        <rFont val="Palatino Linotype"/>
        <family val="1"/>
      </rPr>
      <t>3</t>
    </r>
  </si>
  <si>
    <t xml:space="preserve">ac-ft </t>
  </si>
  <si>
    <t>Does the site plan specify a landscaping plan that ensures dense and vigorous vegetation over the contributing pervious drainage areas and the practice?</t>
  </si>
  <si>
    <t>porosity</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</si>
  <si>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</si>
  <si>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</si>
  <si>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</si>
  <si>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</si>
  <si>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</si>
  <si>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</si>
  <si>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</si>
  <si>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</si>
  <si>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</si>
  <si>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</si>
  <si>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</si>
  <si>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</si>
  <si>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</si>
  <si>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</si>
  <si>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</si>
  <si>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</si>
  <si>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</si>
  <si>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</si>
  <si>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</si>
  <si>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</si>
  <si>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</si>
  <si>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</si>
  <si>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</si>
  <si>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</si>
  <si>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</si>
  <si>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</si>
  <si>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</si>
  <si>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</si>
  <si>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</si>
  <si>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</si>
  <si>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</si>
  <si>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</si>
  <si>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</si>
  <si>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</si>
  <si>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</si>
  <si>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</si>
  <si>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</si>
  <si>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</si>
  <si>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</si>
  <si>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</si>
  <si>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</si>
  <si>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</si>
  <si>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</si>
  <si>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</si>
  <si>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</si>
  <si>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</si>
  <si>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</si>
  <si>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</si>
  <si>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</si>
  <si>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t>Required minimum surface area of the filter bed</t>
  </si>
  <si>
    <r>
      <t>Af (ft</t>
    </r>
    <r>
      <rPr>
        <vertAlign val="superscript"/>
        <sz val="10"/>
        <rFont val="Palatino Linotype"/>
        <family val="1"/>
      </rPr>
      <t>2</t>
    </r>
    <r>
      <rPr>
        <sz val="10"/>
        <rFont val="Palatino Linotype"/>
        <family val="1"/>
      </rPr>
      <t>)</t>
    </r>
  </si>
  <si>
    <t>Design filter bed area</t>
  </si>
  <si>
    <r>
      <t>WQ</t>
    </r>
    <r>
      <rPr>
        <vertAlign val="subscript"/>
        <sz val="10"/>
        <rFont val="Palatino Linotype"/>
        <family val="1"/>
      </rPr>
      <t>V</t>
    </r>
    <r>
      <rPr>
        <sz val="10"/>
        <rFont val="Palatino Linotype"/>
        <family val="1"/>
      </rPr>
      <t xml:space="preserve"> for credit</t>
    </r>
  </si>
  <si>
    <r>
      <t>Note: If the practice is designed to infiltrate the WQ</t>
    </r>
    <r>
      <rPr>
        <vertAlign val="subscript"/>
        <sz val="10"/>
        <rFont val="Palatino Linotype"/>
        <family val="1"/>
      </rPr>
      <t>V</t>
    </r>
    <r>
      <rPr>
        <sz val="10"/>
        <rFont val="Palatino Linotype"/>
        <family val="1"/>
      </rPr>
      <t>, then T</t>
    </r>
    <r>
      <rPr>
        <vertAlign val="subscript"/>
        <sz val="10"/>
        <rFont val="Palatino Linotype"/>
        <family val="1"/>
      </rPr>
      <t>V</t>
    </r>
    <r>
      <rPr>
        <sz val="10"/>
        <rFont val="Palatino Linotype"/>
        <family val="1"/>
      </rPr>
      <t xml:space="preserve"> = WQ</t>
    </r>
    <r>
      <rPr>
        <vertAlign val="subscript"/>
        <sz val="10"/>
        <rFont val="Palatino Linotype"/>
        <family val="1"/>
      </rPr>
      <t>V</t>
    </r>
    <r>
      <rPr>
        <sz val="10"/>
        <rFont val="Palatino Linotype"/>
        <family val="1"/>
      </rPr>
      <t>. Designers may use the Practice Drainage Area Runoff Calculator (second tab) for calculation of practice-specific runoff volumes for other treatment standards. Sizing of the filter bed area/swale bottom need to consider the desired treatment volume (see treatment section). Some design requirements will change based on the size of storm the practice is designed to treat.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</si>
  <si>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</si>
  <si>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</si>
  <si>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</si>
  <si>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</si>
  <si>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</si>
  <si>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t>6*</t>
  </si>
  <si>
    <t>10*</t>
  </si>
  <si>
    <t>12*</t>
  </si>
  <si>
    <t>18*</t>
  </si>
  <si>
    <t>29*</t>
  </si>
  <si>
    <t>Bioretention #</t>
  </si>
  <si>
    <t>Bioretention (4.3.1)</t>
  </si>
  <si>
    <t>Feasibility (4.3.1.1)</t>
  </si>
  <si>
    <t>8*</t>
  </si>
  <si>
    <r>
      <t>Has the practice either been designed as offline for the WQ</t>
    </r>
    <r>
      <rPr>
        <vertAlign val="subscript"/>
        <sz val="10"/>
        <rFont val="Palatino Linotype"/>
        <family val="1"/>
      </rPr>
      <t>V</t>
    </r>
    <r>
      <rPr>
        <sz val="10"/>
        <rFont val="Palatino Linotype"/>
        <family val="1"/>
      </rPr>
      <t xml:space="preserve"> or T</t>
    </r>
    <r>
      <rPr>
        <vertAlign val="subscript"/>
        <sz val="10"/>
        <rFont val="Palatino Linotype"/>
        <family val="1"/>
      </rPr>
      <t>V</t>
    </r>
    <r>
      <rPr>
        <sz val="10"/>
        <rFont val="Palatino Linotype"/>
        <family val="1"/>
      </rPr>
      <t>, or a non-erosive outlet for the 10 year storm event been provided?</t>
    </r>
  </si>
  <si>
    <t>Conveyance (4.3.1.2)</t>
  </si>
  <si>
    <t>Does site plan specify a bioretention mix consisting of sand or loamy sand by USDA classification (85-88% sand, 8-12% silt, and 0-2% clay) and 3-5% organic matter in the form of compost?</t>
  </si>
  <si>
    <t>Is the Bioretention storage volume, including the storage volume above the filter bed, volume in any upstream pre-treatment practice, as well as within the filter media, &gt; 75% of the design WQv or Tv (as applicable)?</t>
  </si>
  <si>
    <t>Treatment Volume Calculation- Bioretention with Underdrain</t>
  </si>
  <si>
    <t>23*</t>
  </si>
  <si>
    <t>26*</t>
  </si>
  <si>
    <t>27*</t>
  </si>
  <si>
    <t>28*</t>
  </si>
  <si>
    <t>30*</t>
  </si>
  <si>
    <t>Pre-Treatment (4.3.1.3)</t>
  </si>
  <si>
    <t>Treatment (4.3.1.4)</t>
  </si>
  <si>
    <t>Landscaping (4.3.1.5)</t>
  </si>
  <si>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</si>
  <si>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</si>
  <si>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</si>
  <si>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</si>
  <si>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</si>
  <si>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</si>
  <si>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</si>
  <si>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</si>
  <si>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</si>
  <si>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r>
      <t>Time of Concentration, T</t>
    </r>
    <r>
      <rPr>
        <vertAlign val="subscript"/>
        <sz val="12"/>
        <color theme="1"/>
        <rFont val="Calibri"/>
        <family val="2"/>
        <scheme val="minor"/>
      </rPr>
      <t xml:space="preserve">C </t>
    </r>
    <r>
      <rPr>
        <sz val="12"/>
        <color theme="1"/>
        <rFont val="Calibri Light"/>
        <family val="2"/>
        <scheme val="major"/>
      </rPr>
      <t>(min)</t>
    </r>
  </si>
  <si>
    <r>
      <t xml:space="preserve"> Design Volume for Infiltration T</t>
    </r>
    <r>
      <rPr>
        <vertAlign val="subscript"/>
        <sz val="10"/>
        <rFont val="Palatino Linotype"/>
        <family val="1"/>
      </rPr>
      <t xml:space="preserve">V </t>
    </r>
    <r>
      <rPr>
        <sz val="10"/>
        <rFont val="Palatino Linotype"/>
        <family val="1"/>
      </rPr>
      <t>(acre-feet)</t>
    </r>
  </si>
  <si>
    <t>Version: 11/24/2020</t>
  </si>
  <si>
    <t>Storage Volume (acre feet). This will be entered on the eNOI.</t>
  </si>
  <si>
    <t>31*</t>
  </si>
  <si>
    <t>(ac-ft)</t>
  </si>
  <si>
    <t>Enter this on the eNOI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</si>
</sst>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1"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vertAlign val="superscript"/>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sz val="10"/>
      <name val="Calibri"/>
      <family val="2"/>
    </font>
    <font>
      <i/>
      <sz val="9"/>
      <name val="Palatino Linotype"/>
      <family val="1"/>
    </font>
    <font>
      <b/>
      <sz val="12"/>
      <color theme="0"/>
      <name val="Palatino Linotype"/>
      <family val="1"/>
    </font>
    <font>
      <sz val="8"/>
      <color rgb="FF000000"/>
      <name val="Segoe UI"/>
      <family val="2"/>
    </font>
    <font>
      <b/>
      <vertAlign val="superscript"/>
      <sz val="10"/>
      <name val="Palatino Linotype"/>
      <family val="1"/>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sz val="1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4" fillId="3" borderId="14" applyNumberFormat="0" applyAlignment="0" applyProtection="0"/>
    <xf numFmtId="0" fontId="25" fillId="4" borderId="15" applyNumberFormat="0" applyAlignment="0" applyProtection="0"/>
    <xf numFmtId="0" fontId="28" fillId="0" borderId="0" applyNumberFormat="0" applyFill="0" applyBorder="0" applyAlignment="0" applyProtection="0"/>
    <xf numFmtId="9" fontId="39" fillId="0" borderId="0" applyFont="0" applyFill="0" applyBorder="0" applyAlignment="0" applyProtection="0"/>
  </cellStyleXfs>
  <cellXfs count="236">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2" xfId="0" applyFont="1" applyBorder="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Border="1" applyAlignment="1">
      <alignment horizontal="center"/>
    </xf>
    <xf numFmtId="0" fontId="14" fillId="0" borderId="0" xfId="0" applyFont="1" applyFill="1"/>
    <xf numFmtId="0" fontId="1" fillId="0" borderId="0" xfId="0" applyFont="1" applyBorder="1" applyAlignment="1">
      <alignment horizontal="left" wrapText="1"/>
    </xf>
    <xf numFmtId="0" fontId="4" fillId="0" borderId="0" xfId="0" applyFont="1" applyBorder="1" applyAlignment="1"/>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7"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9" fillId="0" borderId="0" xfId="0" applyFont="1" applyAlignment="1"/>
    <xf numFmtId="0" fontId="17" fillId="0" borderId="0" xfId="0" applyFont="1" applyAlignment="1"/>
    <xf numFmtId="0" fontId="16" fillId="0" borderId="0" xfId="0" applyFont="1" applyAlignment="1"/>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20" fillId="0" borderId="0" xfId="0" applyFont="1" applyAlignment="1">
      <alignment horizontal="center"/>
    </xf>
    <xf numFmtId="0" fontId="4" fillId="0" borderId="7" xfId="0" applyFont="1" applyBorder="1" applyAlignment="1"/>
    <xf numFmtId="0" fontId="8" fillId="0" borderId="0" xfId="0" applyFont="1" applyBorder="1" applyAlignment="1">
      <alignment horizontal="left"/>
    </xf>
    <xf numFmtId="0" fontId="1" fillId="2" borderId="10" xfId="0" applyFont="1" applyFill="1" applyBorder="1" applyAlignment="1">
      <alignment horizontal="right" wrapText="1"/>
    </xf>
    <xf numFmtId="0" fontId="3" fillId="0" borderId="2" xfId="0" applyFont="1" applyBorder="1" applyAlignment="1">
      <alignment horizontal="center"/>
    </xf>
    <xf numFmtId="0" fontId="2" fillId="0" borderId="0" xfId="0" applyFont="1" applyFill="1" applyBorder="1" applyAlignment="1"/>
    <xf numFmtId="0" fontId="1" fillId="0" borderId="4" xfId="0" applyFont="1" applyBorder="1" applyAlignment="1">
      <alignment horizontal="right" wrapText="1"/>
    </xf>
    <xf numFmtId="164" fontId="9" fillId="0" borderId="2" xfId="0" applyNumberFormat="1" applyFont="1" applyFill="1" applyBorder="1" applyAlignment="1">
      <alignment horizontal="center"/>
    </xf>
    <xf numFmtId="0" fontId="1" fillId="0" borderId="11" xfId="0" applyFont="1" applyBorder="1" applyAlignment="1">
      <alignment horizontal="right" wrapText="1"/>
    </xf>
    <xf numFmtId="0" fontId="1" fillId="0" borderId="6" xfId="0" applyFont="1" applyBorder="1" applyAlignment="1">
      <alignment horizontal="right"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7" fillId="0" borderId="8" xfId="0" applyFont="1" applyFill="1" applyBorder="1" applyAlignment="1">
      <alignment horizontal="center" wrapText="1"/>
    </xf>
    <xf numFmtId="0" fontId="27" fillId="0" borderId="0" xfId="0" applyFont="1" applyAlignment="1">
      <alignment horizontal="center" wrapText="1"/>
    </xf>
    <xf numFmtId="0" fontId="29" fillId="0" borderId="16" xfId="0" applyFont="1" applyBorder="1"/>
    <xf numFmtId="0" fontId="28" fillId="0" borderId="1" xfId="3" applyFill="1" applyBorder="1" applyAlignment="1">
      <alignment vertical="center"/>
    </xf>
    <xf numFmtId="0" fontId="0" fillId="0" borderId="0" xfId="0" applyBorder="1"/>
    <xf numFmtId="0" fontId="0" fillId="0" borderId="17" xfId="0" applyBorder="1"/>
    <xf numFmtId="0" fontId="26" fillId="0" borderId="16" xfId="0" applyFont="1" applyBorder="1" applyAlignment="1">
      <alignment horizontal="right"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29" fillId="0" borderId="21" xfId="0" applyFont="1" applyFill="1" applyBorder="1" applyAlignment="1">
      <alignment horizontal="left" vertical="center"/>
    </xf>
    <xf numFmtId="165" fontId="31" fillId="0" borderId="22" xfId="0" applyNumberFormat="1" applyFont="1" applyBorder="1" applyAlignment="1">
      <alignment horizontal="center"/>
    </xf>
    <xf numFmtId="1" fontId="31"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5"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9" fillId="0" borderId="0" xfId="0" applyFont="1" applyAlignment="1">
      <alignment horizontal="left"/>
    </xf>
    <xf numFmtId="0" fontId="0" fillId="6" borderId="2" xfId="0" applyFill="1" applyBorder="1"/>
    <xf numFmtId="0" fontId="0" fillId="6" borderId="2" xfId="0" applyFont="1" applyFill="1" applyBorder="1" applyAlignment="1">
      <alignment horizontal="right"/>
    </xf>
    <xf numFmtId="0" fontId="0" fillId="6" borderId="2" xfId="0" applyFill="1" applyBorder="1" applyAlignment="1">
      <alignment horizontal="center"/>
    </xf>
    <xf numFmtId="0" fontId="29" fillId="0" borderId="0" xfId="0" applyFont="1" applyFill="1" applyBorder="1" applyAlignment="1">
      <alignment horizontal="left"/>
    </xf>
    <xf numFmtId="0" fontId="0" fillId="6" borderId="2" xfId="0" applyFill="1" applyBorder="1" applyAlignment="1">
      <alignment horizontal="right"/>
    </xf>
    <xf numFmtId="0" fontId="30" fillId="0" borderId="2" xfId="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2"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30" fillId="5" borderId="2" xfId="1" applyNumberFormat="1" applyFont="1" applyFill="1" applyBorder="1" applyAlignment="1" applyProtection="1">
      <alignment horizontal="center" vertical="center"/>
      <protection locked="0"/>
    </xf>
    <xf numFmtId="164" fontId="30" fillId="5" borderId="2" xfId="1" applyNumberFormat="1" applyFont="1" applyFill="1" applyBorder="1" applyAlignment="1" applyProtection="1">
      <alignment horizontal="center"/>
      <protection locked="0"/>
    </xf>
    <xf numFmtId="164" fontId="25" fillId="4" borderId="15" xfId="2" applyNumberFormat="1" applyBorder="1" applyAlignment="1">
      <alignment horizontal="center"/>
    </xf>
    <xf numFmtId="164" fontId="25" fillId="4" borderId="27" xfId="2" applyNumberFormat="1" applyBorder="1" applyAlignment="1">
      <alignment horizontal="center"/>
    </xf>
    <xf numFmtId="164" fontId="25" fillId="4" borderId="28" xfId="2" applyNumberFormat="1" applyBorder="1" applyAlignment="1">
      <alignment horizontal="center"/>
    </xf>
    <xf numFmtId="164" fontId="25" fillId="4" borderId="29"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4" fillId="0" borderId="33" xfId="0" applyFont="1" applyFill="1" applyBorder="1" applyAlignment="1">
      <alignment horizontal="center"/>
    </xf>
    <xf numFmtId="0" fontId="29" fillId="0" borderId="16" xfId="0" applyFont="1" applyFill="1" applyBorder="1" applyAlignment="1">
      <alignment horizontal="left" vertical="center"/>
    </xf>
    <xf numFmtId="0" fontId="0" fillId="0" borderId="0" xfId="0" applyFill="1" applyBorder="1" applyAlignment="1">
      <alignment horizontal="center" vertical="center"/>
    </xf>
    <xf numFmtId="0" fontId="24" fillId="0" borderId="0" xfId="1" applyFill="1" applyBorder="1" applyAlignment="1">
      <alignment horizontal="center" vertical="center"/>
    </xf>
    <xf numFmtId="0" fontId="1" fillId="0" borderId="0" xfId="0" applyFont="1" applyBorder="1" applyAlignment="1">
      <alignment horizontal="center"/>
    </xf>
    <xf numFmtId="164" fontId="0" fillId="5" borderId="2" xfId="0" applyNumberFormat="1" applyFill="1" applyBorder="1"/>
    <xf numFmtId="0" fontId="27" fillId="0" borderId="0" xfId="0" applyFont="1" applyBorder="1" applyAlignment="1">
      <alignment horizontal="center" wrapText="1"/>
    </xf>
    <xf numFmtId="0" fontId="29"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vertical="center"/>
    </xf>
    <xf numFmtId="166" fontId="9" fillId="7" borderId="2" xfId="0" applyNumberFormat="1" applyFont="1" applyFill="1" applyBorder="1" applyAlignment="1">
      <alignment horizontal="center" vertical="center"/>
    </xf>
    <xf numFmtId="166" fontId="4" fillId="7" borderId="2" xfId="0" applyNumberFormat="1" applyFont="1" applyFill="1" applyBorder="1" applyAlignment="1">
      <alignment horizontal="center"/>
    </xf>
    <xf numFmtId="0" fontId="4" fillId="7" borderId="2" xfId="0" applyFont="1" applyFill="1" applyBorder="1" applyAlignment="1">
      <alignment horizontal="center"/>
    </xf>
    <xf numFmtId="166" fontId="9" fillId="0" borderId="2" xfId="0" applyNumberFormat="1" applyFont="1" applyFill="1" applyBorder="1" applyAlignment="1">
      <alignment horizontal="center" vertical="center"/>
    </xf>
    <xf numFmtId="1" fontId="4" fillId="6" borderId="2" xfId="0" applyNumberFormat="1" applyFont="1" applyFill="1" applyBorder="1" applyAlignment="1">
      <alignment horizontal="center"/>
    </xf>
    <xf numFmtId="1" fontId="4" fillId="0" borderId="2" xfId="0" applyNumberFormat="1" applyFont="1" applyBorder="1" applyAlignment="1">
      <alignment horizontal="center"/>
    </xf>
    <xf numFmtId="0" fontId="1" fillId="0" borderId="0" xfId="0" applyFont="1" applyBorder="1" applyAlignment="1">
      <alignment vertical="top" wrapText="1"/>
    </xf>
    <xf numFmtId="0" fontId="0" fillId="0" borderId="16" xfId="0" applyFont="1" applyBorder="1" applyAlignment="1">
      <alignment wrapText="1"/>
    </xf>
    <xf numFmtId="0" fontId="0" fillId="0" borderId="0" xfId="0" applyFont="1" applyBorder="1" applyAlignment="1">
      <alignment wrapText="1"/>
    </xf>
    <xf numFmtId="0" fontId="18" fillId="0" borderId="0" xfId="0" applyFont="1" applyAlignment="1">
      <alignment horizontal="right" vertical="center"/>
    </xf>
    <xf numFmtId="0" fontId="23" fillId="0" borderId="1" xfId="0" applyFont="1" applyBorder="1" applyAlignment="1">
      <alignment wrapText="1"/>
    </xf>
    <xf numFmtId="166" fontId="8" fillId="0" borderId="2" xfId="0" applyNumberFormat="1" applyFont="1" applyFill="1" applyBorder="1" applyAlignment="1">
      <alignment horizont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30" fillId="0" borderId="34" xfId="1" applyFont="1" applyFill="1" applyBorder="1" applyAlignment="1">
      <alignment horizontal="center" vertical="center" wrapText="1"/>
    </xf>
    <xf numFmtId="166" fontId="30" fillId="8" borderId="10" xfId="2" applyNumberFormat="1" applyFont="1" applyFill="1" applyBorder="1" applyAlignment="1">
      <alignment horizontal="center" vertical="center"/>
    </xf>
    <xf numFmtId="166" fontId="30" fillId="8" borderId="2" xfId="2" applyNumberFormat="1" applyFont="1" applyFill="1" applyBorder="1" applyAlignment="1">
      <alignment horizontal="center" vertical="center"/>
    </xf>
    <xf numFmtId="166" fontId="30" fillId="8" borderId="10" xfId="2" applyNumberFormat="1" applyFont="1" applyFill="1" applyBorder="1" applyAlignment="1">
      <alignment horizontal="center" vertical="center" wrapText="1"/>
    </xf>
    <xf numFmtId="166" fontId="30" fillId="8" borderId="2" xfId="0" applyNumberFormat="1" applyFont="1" applyFill="1" applyBorder="1" applyAlignment="1">
      <alignment horizontal="center" vertical="center"/>
    </xf>
    <xf numFmtId="166" fontId="30" fillId="8" borderId="10" xfId="0" applyNumberFormat="1" applyFont="1" applyFill="1" applyBorder="1" applyAlignment="1">
      <alignment horizontal="center" vertical="center"/>
    </xf>
    <xf numFmtId="166" fontId="30" fillId="8" borderId="2" xfId="0" applyNumberFormat="1" applyFont="1" applyFill="1" applyBorder="1" applyAlignment="1">
      <alignment horizontal="center"/>
    </xf>
    <xf numFmtId="1" fontId="30" fillId="8" borderId="2" xfId="2" applyNumberFormat="1" applyFont="1" applyFill="1" applyBorder="1" applyAlignment="1">
      <alignment horizontal="center" vertical="center"/>
    </xf>
    <xf numFmtId="1" fontId="30" fillId="8" borderId="34" xfId="2" applyNumberFormat="1" applyFont="1" applyFill="1" applyBorder="1" applyAlignment="1">
      <alignment horizontal="center" vertical="center"/>
    </xf>
    <xf numFmtId="1" fontId="30" fillId="8" borderId="34" xfId="2" applyNumberFormat="1" applyFont="1" applyFill="1" applyBorder="1" applyAlignment="1">
      <alignment horizontal="center" vertical="center" wrapText="1"/>
    </xf>
    <xf numFmtId="166" fontId="25" fillId="8" borderId="31" xfId="2" applyNumberFormat="1" applyFill="1" applyBorder="1" applyAlignment="1">
      <alignment horizontal="center" vertical="center"/>
    </xf>
    <xf numFmtId="166" fontId="25" fillId="8" borderId="32" xfId="2" applyNumberFormat="1" applyFill="1" applyBorder="1" applyAlignment="1">
      <alignment horizontal="center" vertical="center"/>
    </xf>
    <xf numFmtId="0" fontId="29" fillId="0" borderId="22" xfId="0" applyFont="1" applyBorder="1" applyAlignment="1">
      <alignment vertical="top" wrapText="1"/>
    </xf>
    <xf numFmtId="0" fontId="29" fillId="0" borderId="21" xfId="0" applyFont="1" applyBorder="1" applyAlignment="1">
      <alignment vertical="top"/>
    </xf>
    <xf numFmtId="0" fontId="0" fillId="0" borderId="16" xfId="0" applyBorder="1" applyAlignment="1">
      <alignment horizontal="right"/>
    </xf>
    <xf numFmtId="0" fontId="0" fillId="0" borderId="16" xfId="0" applyBorder="1" applyAlignment="1">
      <alignment horizontal="right" wrapText="1"/>
    </xf>
    <xf numFmtId="2" fontId="30" fillId="0" borderId="16" xfId="2" applyNumberFormat="1" applyFont="1" applyFill="1" applyBorder="1" applyAlignment="1">
      <alignment horizontal="right" wrapText="1"/>
    </xf>
    <xf numFmtId="2" fontId="0" fillId="5" borderId="2" xfId="0" applyNumberFormat="1" applyFill="1" applyBorder="1" applyAlignment="1">
      <alignment horizontal="center" vertical="center"/>
    </xf>
    <xf numFmtId="0" fontId="29" fillId="0" borderId="16" xfId="0" applyFont="1" applyBorder="1" applyAlignment="1">
      <alignment vertical="top"/>
    </xf>
    <xf numFmtId="165" fontId="0" fillId="8" borderId="2" xfId="0" applyNumberFormat="1" applyFill="1" applyBorder="1" applyAlignment="1">
      <alignment horizontal="center" vertical="center"/>
    </xf>
    <xf numFmtId="0" fontId="0" fillId="0" borderId="2" xfId="0" applyBorder="1" applyAlignment="1">
      <alignment horizontal="center"/>
    </xf>
    <xf numFmtId="10" fontId="30" fillId="5" borderId="2" xfId="4" applyNumberFormat="1" applyFont="1" applyFill="1" applyBorder="1" applyAlignment="1" applyProtection="1">
      <alignment horizontal="center" vertical="center"/>
      <protection locked="0"/>
    </xf>
    <xf numFmtId="10" fontId="0" fillId="5" borderId="2" xfId="4" applyNumberFormat="1" applyFont="1" applyFill="1" applyBorder="1" applyAlignment="1">
      <alignment horizontal="center" vertical="center"/>
    </xf>
    <xf numFmtId="14" fontId="1" fillId="0" borderId="0" xfId="0" applyNumberFormat="1" applyFont="1" applyAlignment="1"/>
    <xf numFmtId="0" fontId="8" fillId="0" borderId="2" xfId="0" applyFont="1" applyBorder="1" applyAlignment="1">
      <alignment horizontal="center"/>
    </xf>
    <xf numFmtId="0" fontId="1" fillId="2" borderId="10" xfId="0" applyFont="1" applyFill="1" applyBorder="1" applyAlignment="1">
      <alignment horizontal="right" vertical="top" wrapText="1"/>
    </xf>
    <xf numFmtId="0" fontId="1" fillId="0" borderId="12" xfId="0" applyFont="1" applyBorder="1" applyAlignment="1">
      <alignment horizontal="left" wrapText="1"/>
    </xf>
    <xf numFmtId="0" fontId="1" fillId="0" borderId="0" xfId="0" applyFont="1" applyBorder="1" applyAlignment="1">
      <alignment horizontal="left" wrapText="1"/>
    </xf>
    <xf numFmtId="0" fontId="8" fillId="0" borderId="0" xfId="0" applyFont="1" applyBorder="1" applyAlignment="1">
      <alignment wrapText="1"/>
    </xf>
    <xf numFmtId="0" fontId="8" fillId="0" borderId="4" xfId="0" applyFont="1" applyBorder="1" applyAlignment="1">
      <alignment wrapText="1"/>
    </xf>
    <xf numFmtId="0" fontId="1" fillId="0" borderId="2" xfId="0" applyFont="1" applyBorder="1" applyAlignment="1">
      <alignment horizontal="left"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wrapText="1"/>
    </xf>
    <xf numFmtId="0" fontId="1" fillId="2" borderId="9" xfId="0" applyFont="1" applyFill="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0" borderId="0" xfId="0" applyFont="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0" fontId="18" fillId="0" borderId="12" xfId="0" applyFont="1" applyBorder="1" applyAlignment="1">
      <alignment horizontal="left" vertical="center" wrapText="1"/>
    </xf>
    <xf numFmtId="0" fontId="18" fillId="0" borderId="0" xfId="0" applyFont="1" applyAlignment="1">
      <alignment horizontal="left" vertical="center" wrapText="1"/>
    </xf>
    <xf numFmtId="166" fontId="30" fillId="0" borderId="0" xfId="0" applyNumberFormat="1" applyFont="1" applyFill="1" applyBorder="1" applyAlignment="1">
      <alignment horizontal="left" vertical="center" wrapText="1"/>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3"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0" fillId="0" borderId="0" xfId="0" applyFont="1" applyFill="1" applyBorder="1" applyAlignment="1">
      <alignment horizontal="left"/>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 fillId="0" borderId="0" xfId="0" applyFont="1" applyBorder="1" applyAlignment="1">
      <alignment horizontal="center" vertical="center" wrapText="1"/>
    </xf>
    <xf numFmtId="0" fontId="12" fillId="0" borderId="0" xfId="0" applyFont="1" applyFill="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23" fillId="0" borderId="0" xfId="0" applyFont="1" applyBorder="1" applyAlignment="1">
      <alignment horizontal="left" wrapText="1"/>
    </xf>
    <xf numFmtId="0" fontId="1" fillId="0" borderId="13" xfId="0" applyFont="1" applyBorder="1" applyAlignment="1">
      <alignment horizontal="left" wrapText="1"/>
    </xf>
    <xf numFmtId="0" fontId="1" fillId="0" borderId="1"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31" fillId="0" borderId="2" xfId="0" applyFont="1" applyBorder="1" applyAlignment="1">
      <alignment horizontal="center"/>
    </xf>
    <xf numFmtId="0" fontId="38" fillId="0" borderId="2" xfId="0" applyFont="1" applyBorder="1" applyAlignment="1">
      <alignment horizontal="center"/>
    </xf>
    <xf numFmtId="2" fontId="30" fillId="0" borderId="2" xfId="2" applyNumberFormat="1" applyFont="1" applyFill="1" applyBorder="1" applyAlignment="1">
      <alignment horizontal="center" wrapText="1"/>
    </xf>
    <xf numFmtId="2" fontId="30" fillId="0" borderId="2" xfId="2" applyNumberFormat="1" applyFont="1" applyFill="1" applyBorder="1" applyAlignment="1" applyProtection="1">
      <alignment horizontal="center" wrapText="1"/>
    </xf>
    <xf numFmtId="0" fontId="4" fillId="0" borderId="36" xfId="0" applyFont="1" applyFill="1" applyBorder="1" applyAlignment="1">
      <alignment horizontal="left" wrapText="1"/>
    </xf>
    <xf numFmtId="0" fontId="4" fillId="0" borderId="37" xfId="0" applyFont="1" applyFill="1" applyBorder="1" applyAlignment="1">
      <alignment horizontal="left" wrapText="1"/>
    </xf>
    <xf numFmtId="0" fontId="4" fillId="0" borderId="3" xfId="0" applyFont="1" applyFill="1" applyBorder="1" applyAlignment="1">
      <alignment horizontal="left" wrapText="1"/>
    </xf>
    <xf numFmtId="0" fontId="4" fillId="0" borderId="35" xfId="0" applyFont="1" applyFill="1" applyBorder="1" applyAlignment="1">
      <alignment horizontal="left" wrapText="1"/>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wrapText="1"/>
    </xf>
    <xf numFmtId="0" fontId="0" fillId="0" borderId="33" xfId="0" applyBorder="1" applyAlignment="1">
      <alignment horizontal="center"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31" fillId="0" borderId="16" xfId="0" applyFont="1" applyFill="1" applyBorder="1" applyAlignment="1">
      <alignment horizontal="left" vertical="center"/>
    </xf>
    <xf numFmtId="0" fontId="31" fillId="0" borderId="0" xfId="0" applyFont="1" applyFill="1" applyBorder="1" applyAlignment="1">
      <alignment horizontal="left" vertical="center"/>
    </xf>
    <xf numFmtId="0" fontId="0" fillId="0" borderId="26" xfId="0" applyBorder="1" applyAlignment="1">
      <alignment horizontal="center" wrapText="1"/>
    </xf>
    <xf numFmtId="0" fontId="31" fillId="0" borderId="16" xfId="0" applyFont="1" applyBorder="1" applyAlignment="1">
      <alignment horizontal="left"/>
    </xf>
    <xf numFmtId="0" fontId="31" fillId="0" borderId="0" xfId="0" applyFont="1" applyBorder="1" applyAlignment="1">
      <alignment horizontal="left"/>
    </xf>
    <xf numFmtId="0" fontId="0" fillId="6" borderId="2" xfId="0" applyFill="1" applyBorder="1" applyAlignment="1">
      <alignment horizontal="center"/>
    </xf>
    <xf numFmtId="0" fontId="4" fillId="0" borderId="0" xfId="0" applyFont="1" applyAlignment="1">
      <alignment vertical="center"/>
    </xf>
  </cellXfs>
  <cellStyles count="5">
    <cellStyle name="Hyperlink" xfId="3" builtinId="8"/>
    <cellStyle name="Input" xfId="1" builtinId="20"/>
    <cellStyle name="Normal" xfId="0" builtinId="0"/>
    <cellStyle name="Output" xfId="2" builtinId="21"/>
    <cellStyle name="Percent" xfId="4" builtinId="5"/>
  </cellStyles>
  <dxfs count="2">
    <dxf>
      <font>
        <color theme="0"/>
      </font>
      <border>
        <left/>
        <right/>
        <top/>
        <bottom/>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fmlaLink="$E$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I$2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3</xdr:col>
          <xdr:colOff>438150</xdr:colOff>
          <xdr:row>10</xdr:row>
          <xdr:rowOff>257175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38100</xdr:rowOff>
        </xdr:from>
        <xdr:to>
          <xdr:col>3</xdr:col>
          <xdr:colOff>800100</xdr:colOff>
          <xdr:row>10</xdr:row>
          <xdr:rowOff>257175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0</xdr:rowOff>
        </xdr:from>
        <xdr:to>
          <xdr:col>3</xdr:col>
          <xdr:colOff>447675</xdr:colOff>
          <xdr:row>12</xdr:row>
          <xdr:rowOff>152400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142875</xdr:rowOff>
        </xdr:from>
        <xdr:to>
          <xdr:col>3</xdr:col>
          <xdr:colOff>457200</xdr:colOff>
          <xdr:row>12</xdr:row>
          <xdr:rowOff>295275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276225</xdr:rowOff>
        </xdr:from>
        <xdr:to>
          <xdr:col>3</xdr:col>
          <xdr:colOff>371475</xdr:colOff>
          <xdr:row>12</xdr:row>
          <xdr:rowOff>438150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7</xdr:col>
          <xdr:colOff>381000</xdr:colOff>
          <xdr:row>17</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xdr:row>
          <xdr:rowOff>66675</xdr:rowOff>
        </xdr:from>
        <xdr:to>
          <xdr:col>7</xdr:col>
          <xdr:colOff>704850</xdr:colOff>
          <xdr:row>17</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18</xdr:row>
          <xdr:rowOff>66675</xdr:rowOff>
        </xdr:from>
        <xdr:to>
          <xdr:col>7</xdr:col>
          <xdr:colOff>704850</xdr:colOff>
          <xdr:row>18</xdr:row>
          <xdr:rowOff>285750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7</xdr:col>
          <xdr:colOff>381000</xdr:colOff>
          <xdr:row>18</xdr:row>
          <xdr:rowOff>285750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8</xdr:col>
          <xdr:colOff>0</xdr:colOff>
          <xdr:row>30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19050</xdr:rowOff>
        </xdr:from>
        <xdr:to>
          <xdr:col>4</xdr:col>
          <xdr:colOff>638175</xdr:colOff>
          <xdr:row>29</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238125</xdr:rowOff>
        </xdr:from>
        <xdr:to>
          <xdr:col>4</xdr:col>
          <xdr:colOff>657225</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29</xdr:row>
          <xdr:rowOff>28575</xdr:rowOff>
        </xdr:from>
        <xdr:to>
          <xdr:col>6</xdr:col>
          <xdr:colOff>361950</xdr:colOff>
          <xdr:row>29</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 (25% WQv)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29</xdr:row>
          <xdr:rowOff>228600</xdr:rowOff>
        </xdr:from>
        <xdr:to>
          <xdr:col>7</xdr:col>
          <xdr:colOff>95250</xdr:colOff>
          <xdr:row>30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29</xdr:row>
          <xdr:rowOff>19050</xdr:rowOff>
        </xdr:from>
        <xdr:to>
          <xdr:col>7</xdr:col>
          <xdr:colOff>571500</xdr:colOff>
          <xdr:row>29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104775</xdr:rowOff>
        </xdr:from>
        <xdr:to>
          <xdr:col>7</xdr:col>
          <xdr:colOff>400050</xdr:colOff>
          <xdr:row>22</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22</xdr:row>
          <xdr:rowOff>104775</xdr:rowOff>
        </xdr:from>
        <xdr:to>
          <xdr:col>7</xdr:col>
          <xdr:colOff>723900</xdr:colOff>
          <xdr:row>22</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9525</xdr:rowOff>
        </xdr:from>
        <xdr:to>
          <xdr:col>7</xdr:col>
          <xdr:colOff>400050</xdr:colOff>
          <xdr:row>23</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23</xdr:row>
          <xdr:rowOff>9525</xdr:rowOff>
        </xdr:from>
        <xdr:to>
          <xdr:col>7</xdr:col>
          <xdr:colOff>733425</xdr:colOff>
          <xdr:row>23</xdr:row>
          <xdr:rowOff>200025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66675</xdr:rowOff>
        </xdr:from>
        <xdr:to>
          <xdr:col>7</xdr:col>
          <xdr:colOff>704850</xdr:colOff>
          <xdr:row>19</xdr:row>
          <xdr:rowOff>285750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7</xdr:col>
          <xdr:colOff>381000</xdr:colOff>
          <xdr:row>19</xdr:row>
          <xdr:rowOff>285750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25</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8</xdr:col>
          <xdr:colOff>0</xdr:colOff>
          <xdr:row>26</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24</xdr:row>
          <xdr:rowOff>95250</xdr:rowOff>
        </xdr:from>
        <xdr:to>
          <xdr:col>7</xdr:col>
          <xdr:colOff>742950</xdr:colOff>
          <xdr:row>24</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25</xdr:row>
          <xdr:rowOff>95250</xdr:rowOff>
        </xdr:from>
        <xdr:to>
          <xdr:col>7</xdr:col>
          <xdr:colOff>742950</xdr:colOff>
          <xdr:row>25</xdr:row>
          <xdr:rowOff>304800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95250</xdr:rowOff>
        </xdr:from>
        <xdr:to>
          <xdr:col>7</xdr:col>
          <xdr:colOff>400050</xdr:colOff>
          <xdr:row>24</xdr:row>
          <xdr:rowOff>314325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85725</xdr:rowOff>
        </xdr:from>
        <xdr:to>
          <xdr:col>7</xdr:col>
          <xdr:colOff>409575</xdr:colOff>
          <xdr:row>25</xdr:row>
          <xdr:rowOff>304800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28</xdr:row>
          <xdr:rowOff>0</xdr:rowOff>
        </xdr:from>
        <xdr:to>
          <xdr:col>8</xdr:col>
          <xdr:colOff>0</xdr:colOff>
          <xdr:row>29</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9525</xdr:rowOff>
        </xdr:from>
        <xdr:to>
          <xdr:col>7</xdr:col>
          <xdr:colOff>733425</xdr:colOff>
          <xdr:row>29</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9525</xdr:rowOff>
        </xdr:from>
        <xdr:to>
          <xdr:col>7</xdr:col>
          <xdr:colOff>409575</xdr:colOff>
          <xdr:row>29</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53</xdr:row>
          <xdr:rowOff>0</xdr:rowOff>
        </xdr:from>
        <xdr:to>
          <xdr:col>8</xdr:col>
          <xdr:colOff>0</xdr:colOff>
          <xdr:row>54</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53</xdr:row>
          <xdr:rowOff>161925</xdr:rowOff>
        </xdr:from>
        <xdr:to>
          <xdr:col>7</xdr:col>
          <xdr:colOff>419100</xdr:colOff>
          <xdr:row>53</xdr:row>
          <xdr:rowOff>419100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53</xdr:row>
          <xdr:rowOff>161925</xdr:rowOff>
        </xdr:from>
        <xdr:to>
          <xdr:col>7</xdr:col>
          <xdr:colOff>704850</xdr:colOff>
          <xdr:row>53</xdr:row>
          <xdr:rowOff>371475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200025</xdr:rowOff>
        </xdr:from>
        <xdr:to>
          <xdr:col>7</xdr:col>
          <xdr:colOff>400050</xdr:colOff>
          <xdr:row>32</xdr:row>
          <xdr:rowOff>409575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32</xdr:row>
          <xdr:rowOff>200025</xdr:rowOff>
        </xdr:from>
        <xdr:to>
          <xdr:col>7</xdr:col>
          <xdr:colOff>742950</xdr:colOff>
          <xdr:row>32</xdr:row>
          <xdr:rowOff>428625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42</xdr:row>
          <xdr:rowOff>0</xdr:rowOff>
        </xdr:from>
        <xdr:to>
          <xdr:col>8</xdr:col>
          <xdr:colOff>0</xdr:colOff>
          <xdr:row>43</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161925</xdr:rowOff>
        </xdr:from>
        <xdr:to>
          <xdr:col>7</xdr:col>
          <xdr:colOff>419100</xdr:colOff>
          <xdr:row>42</xdr:row>
          <xdr:rowOff>400050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42</xdr:row>
          <xdr:rowOff>161925</xdr:rowOff>
        </xdr:from>
        <xdr:to>
          <xdr:col>7</xdr:col>
          <xdr:colOff>704850</xdr:colOff>
          <xdr:row>42</xdr:row>
          <xdr:rowOff>400050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6"/>
  <sheetViews>
    <sheetView tabSelected="1" showWhiteSpace="0" view="pageLayout" zoomScaleNormal="110" workbookViewId="0">
      <selection activeCell="R4" sqref="R4"/>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161" t="s">
        <v>122</v>
      </c>
      <c r="B1" s="19"/>
      <c r="C1" s="1"/>
      <c r="G1" s="21" t="s">
        <v>0</v>
      </c>
      <c r="H1" s="196"/>
      <c r="I1" s="197"/>
    </row>
    <row r="2" spans="1:14" ht="18" customHeight="1" x14ac:dyDescent="0.35">
      <c r="A2" s="201" t="s">
        <v>95</v>
      </c>
      <c r="B2" s="201"/>
      <c r="C2" s="201"/>
      <c r="D2" s="201"/>
      <c r="G2" s="21" t="s">
        <v>1</v>
      </c>
      <c r="H2" s="196"/>
      <c r="I2" s="198"/>
    </row>
    <row r="3" spans="1:14" s="3" customFormat="1" ht="18" customHeight="1" x14ac:dyDescent="0.45">
      <c r="A3" s="202"/>
      <c r="B3" s="202"/>
      <c r="C3" s="202"/>
      <c r="D3" s="202"/>
      <c r="E3" s="1"/>
      <c r="F3" s="1"/>
      <c r="G3" s="21" t="s">
        <v>94</v>
      </c>
      <c r="H3" s="199"/>
      <c r="I3" s="200"/>
    </row>
    <row r="4" spans="1:14" s="4" customFormat="1" ht="44.25" x14ac:dyDescent="0.4">
      <c r="A4" s="25"/>
      <c r="B4" s="28" t="s">
        <v>7</v>
      </c>
      <c r="C4" s="22"/>
      <c r="D4" s="50" t="s">
        <v>30</v>
      </c>
      <c r="E4" s="51" t="s">
        <v>32</v>
      </c>
      <c r="F4" s="115" t="s">
        <v>78</v>
      </c>
      <c r="G4" s="104"/>
      <c r="H4" s="104"/>
      <c r="I4" s="104"/>
    </row>
    <row r="5" spans="1:14" s="4" customFormat="1" ht="25.9" customHeight="1" x14ac:dyDescent="0.4">
      <c r="A5" s="29">
        <v>1</v>
      </c>
      <c r="B5" s="106"/>
      <c r="C5" s="107" t="s">
        <v>71</v>
      </c>
      <c r="D5" s="43">
        <v>0</v>
      </c>
      <c r="E5" s="43">
        <v>0</v>
      </c>
      <c r="F5" s="121">
        <f>D5+E5</f>
        <v>0</v>
      </c>
      <c r="G5" s="104"/>
      <c r="H5" s="104"/>
      <c r="I5" s="104"/>
      <c r="L5" s="27"/>
      <c r="M5" s="113"/>
      <c r="N5" s="113"/>
    </row>
    <row r="6" spans="1:14" s="4" customFormat="1" ht="21" x14ac:dyDescent="0.4">
      <c r="A6" s="29">
        <v>2</v>
      </c>
      <c r="B6" s="179" t="s">
        <v>86</v>
      </c>
      <c r="C6" s="195"/>
      <c r="D6" s="43">
        <v>0</v>
      </c>
      <c r="E6" s="43">
        <v>0</v>
      </c>
      <c r="F6" s="121">
        <f>D6+E6</f>
        <v>0</v>
      </c>
      <c r="G6" s="99"/>
      <c r="H6" s="99"/>
      <c r="I6" s="99"/>
      <c r="L6" s="20"/>
      <c r="M6" s="102"/>
      <c r="N6" s="103"/>
    </row>
    <row r="7" spans="1:14" s="4" customFormat="1" ht="21" x14ac:dyDescent="0.4">
      <c r="A7" s="29">
        <v>3</v>
      </c>
      <c r="B7" s="203" t="s">
        <v>85</v>
      </c>
      <c r="C7" s="203"/>
      <c r="D7" s="43">
        <v>0</v>
      </c>
      <c r="E7" s="43">
        <v>0</v>
      </c>
      <c r="F7" s="121">
        <f>D7+E7</f>
        <v>0</v>
      </c>
      <c r="G7" s="99"/>
      <c r="H7" s="99"/>
      <c r="I7" s="99"/>
      <c r="L7" s="20"/>
      <c r="M7" s="102"/>
      <c r="N7" s="103"/>
    </row>
    <row r="8" spans="1:14" s="4" customFormat="1" ht="34.9" customHeight="1" x14ac:dyDescent="0.4">
      <c r="A8" s="29"/>
      <c r="B8" s="100"/>
      <c r="C8" s="101"/>
      <c r="D8" s="135" t="s">
        <v>82</v>
      </c>
      <c r="E8" s="135" t="s">
        <v>72</v>
      </c>
      <c r="F8" s="105" t="s">
        <v>73</v>
      </c>
      <c r="G8" s="99"/>
      <c r="H8" s="99"/>
      <c r="I8" s="99"/>
      <c r="L8" s="20"/>
      <c r="M8" s="102"/>
      <c r="N8" s="103"/>
    </row>
    <row r="9" spans="1:14" s="4" customFormat="1" ht="35.450000000000003" customHeight="1" x14ac:dyDescent="0.4">
      <c r="A9" s="29">
        <v>4</v>
      </c>
      <c r="B9" s="100"/>
      <c r="C9" s="107" t="s">
        <v>8</v>
      </c>
      <c r="D9" s="123">
        <f>IFERROR(IF(D6=0,0,((0.05+(D6/D5)*0.9)*D5/12))+IF(D7=0,0,0.5*(0.05+(D7/D5)*0.9)*D5/12),0)</f>
        <v>0</v>
      </c>
      <c r="E9" s="123">
        <f>IF(E5=0,0,(0.05+(E6/E5)*0.9)*E5/12)</f>
        <v>0</v>
      </c>
      <c r="F9" s="123">
        <f>D9+E9</f>
        <v>0</v>
      </c>
      <c r="G9" s="180" t="s">
        <v>10</v>
      </c>
      <c r="H9" s="181"/>
      <c r="I9" s="122">
        <f>IF(F9=0,0,200/(1+2+2*12*F9/F5-SQRT(5*12*F9/F5+4*(F9*12/F5)^2)))</f>
        <v>0</v>
      </c>
      <c r="J9" s="120"/>
      <c r="L9" s="20"/>
      <c r="M9" s="102"/>
      <c r="N9" s="103"/>
    </row>
    <row r="10" spans="1:14" s="4" customFormat="1" ht="45.75" customHeight="1" x14ac:dyDescent="0.4">
      <c r="A10" s="29"/>
      <c r="B10" s="100"/>
      <c r="C10" s="132"/>
      <c r="D10" s="185" t="str">
        <f>IF(E11=2,"↑ WQv to enter in the Water Quality section under Tier 2&amp;3 practices table. The practice may also receive Tv credit for sump storage below an underdrain (see Question 30)","")</f>
        <v/>
      </c>
      <c r="E10" s="185"/>
      <c r="F10" s="185"/>
      <c r="G10" s="185"/>
      <c r="H10" s="185"/>
      <c r="I10" s="185"/>
      <c r="J10" s="120"/>
      <c r="L10" s="20"/>
      <c r="M10" s="102"/>
      <c r="N10" s="103"/>
    </row>
    <row r="11" spans="1:14" s="4" customFormat="1" ht="22.9" customHeight="1" x14ac:dyDescent="0.4">
      <c r="A11" s="29">
        <v>5</v>
      </c>
      <c r="B11" s="108"/>
      <c r="C11" s="107" t="s">
        <v>6</v>
      </c>
      <c r="D11" s="41"/>
      <c r="E11" s="23">
        <v>0</v>
      </c>
      <c r="F11" s="99"/>
      <c r="G11" s="99"/>
      <c r="H11" s="99"/>
      <c r="I11" s="99"/>
    </row>
    <row r="12" spans="1:14" s="4" customFormat="1" ht="41.25" customHeight="1" x14ac:dyDescent="0.4">
      <c r="A12" s="29" t="s">
        <v>89</v>
      </c>
      <c r="B12" s="179" t="s">
        <v>121</v>
      </c>
      <c r="C12" s="179"/>
      <c r="D12" s="126"/>
      <c r="E12" s="183" t="str">
        <f>IF(E11=1,"← Tv value to enter on the Standards Compliance Workbook for this  practice unless practice has under drain, then use answer to Question 30","")</f>
        <v/>
      </c>
      <c r="F12" s="184"/>
      <c r="G12" s="184"/>
      <c r="H12" s="184"/>
      <c r="I12" s="184"/>
    </row>
    <row r="13" spans="1:14" s="4" customFormat="1" ht="37.15" customHeight="1" x14ac:dyDescent="0.4">
      <c r="A13" s="29">
        <v>7</v>
      </c>
      <c r="B13" s="192" t="s">
        <v>9</v>
      </c>
      <c r="C13" s="193"/>
      <c r="D13" s="109"/>
      <c r="E13" s="23">
        <v>0</v>
      </c>
      <c r="F13" s="129"/>
      <c r="G13" s="129"/>
      <c r="H13" s="129"/>
      <c r="I13" s="129"/>
    </row>
    <row r="14" spans="1:14" s="4" customFormat="1" ht="67.5" customHeight="1" x14ac:dyDescent="0.4">
      <c r="A14" s="29"/>
      <c r="B14" s="182" t="s">
        <v>83</v>
      </c>
      <c r="C14" s="182"/>
      <c r="D14" s="182"/>
      <c r="E14" s="182"/>
      <c r="F14" s="182"/>
      <c r="G14" s="182"/>
      <c r="H14" s="182"/>
      <c r="I14" s="182"/>
    </row>
    <row r="15" spans="1:14" s="4" customFormat="1" ht="5.45" customHeight="1" x14ac:dyDescent="0.4">
      <c r="A15" s="29"/>
      <c r="B15" s="33"/>
      <c r="C15" s="33"/>
      <c r="D15" s="12"/>
      <c r="E15" s="23"/>
      <c r="F15" s="34"/>
      <c r="G15" s="34"/>
      <c r="H15" s="35"/>
      <c r="I15" s="26"/>
    </row>
    <row r="16" spans="1:14" s="4" customFormat="1" ht="17.45" customHeight="1" x14ac:dyDescent="0.4">
      <c r="A16" s="194" t="s">
        <v>14</v>
      </c>
      <c r="B16" s="194"/>
      <c r="C16" s="194"/>
      <c r="D16" s="194"/>
      <c r="E16" s="194"/>
      <c r="F16" s="194"/>
      <c r="G16" s="194"/>
      <c r="H16" s="194"/>
      <c r="I16" s="194"/>
    </row>
    <row r="17" spans="1:12" ht="20.100000000000001" customHeight="1" x14ac:dyDescent="0.35">
      <c r="A17" s="29"/>
      <c r="B17" s="186" t="s">
        <v>96</v>
      </c>
      <c r="C17" s="187"/>
      <c r="D17" s="187"/>
      <c r="E17" s="187"/>
      <c r="F17" s="187"/>
      <c r="G17" s="188"/>
      <c r="H17" s="7" t="s">
        <v>2</v>
      </c>
      <c r="I17" s="16" t="s">
        <v>3</v>
      </c>
      <c r="L17" s="8"/>
    </row>
    <row r="18" spans="1:12" ht="30" customHeight="1" x14ac:dyDescent="0.35">
      <c r="A18" s="29" t="s">
        <v>97</v>
      </c>
      <c r="B18" s="189" t="str">
        <f>IF(F5=0,"",IF(E11=2,"Is the SHGWT at or below the bottom of the practice?",IF(E13=3,IF(D11&lt;=1,IF((F7+F6)/F5&lt;=0.5,"Is the SHGWT separated one (1) foot or more from the bottom of the practice?","Is the SHGWT separated two (2) feet or more from the bottom of the practice?"),"Is the SHGWT separated three (3) feet or more from the bottom of the practice?"),"Is the SHGWT at or below the bottom of the practice?")))</f>
        <v/>
      </c>
      <c r="C18" s="190"/>
      <c r="D18" s="190"/>
      <c r="E18" s="190"/>
      <c r="F18" s="190"/>
      <c r="G18" s="191"/>
      <c r="H18" s="9"/>
      <c r="I18" s="46"/>
    </row>
    <row r="19" spans="1:12" ht="30" customHeight="1" x14ac:dyDescent="0.35">
      <c r="A19" s="29" t="s">
        <v>13</v>
      </c>
      <c r="B19" s="168" t="str">
        <f>IF(E11=2,"","Has the infiltration rate (fc) of the underlying soil been confirmed to be at least 0.2 inches per hour by the soil testing requirements in Section 4.3.3.2?")</f>
        <v>Has the infiltration rate (fc) of the underlying soil been confirmed to be at least 0.2 inches per hour by the soil testing requirements in Section 4.3.3.2?</v>
      </c>
      <c r="C19" s="168"/>
      <c r="D19" s="168"/>
      <c r="E19" s="168"/>
      <c r="F19" s="168"/>
      <c r="G19" s="168"/>
      <c r="H19" s="16"/>
      <c r="I19" s="46"/>
    </row>
    <row r="20" spans="1:12" ht="30" customHeight="1" x14ac:dyDescent="0.35">
      <c r="A20" s="29" t="s">
        <v>90</v>
      </c>
      <c r="B20" s="168" t="str">
        <f>IF(E13=3,"Has a groundwater mounding analysis been performed if the practice is designed to infiltrate &gt;1 year storm and the SHGWT &lt;4 feet?","")</f>
        <v/>
      </c>
      <c r="C20" s="168"/>
      <c r="D20" s="168"/>
      <c r="E20" s="168"/>
      <c r="F20" s="168"/>
      <c r="G20" s="168"/>
      <c r="H20" s="9"/>
      <c r="I20" s="46"/>
    </row>
    <row r="21" spans="1:12" s="19" customFormat="1" ht="13.5" customHeight="1" x14ac:dyDescent="0.35">
      <c r="A21" s="18"/>
      <c r="B21" s="30"/>
      <c r="H21" s="32">
        <v>0</v>
      </c>
      <c r="I21" s="31">
        <v>0</v>
      </c>
    </row>
    <row r="22" spans="1:12" ht="20.100000000000001" customHeight="1" x14ac:dyDescent="0.35">
      <c r="B22" s="166" t="s">
        <v>99</v>
      </c>
      <c r="C22" s="166"/>
      <c r="D22" s="166"/>
      <c r="E22" s="166"/>
      <c r="F22" s="166"/>
      <c r="G22" s="167"/>
      <c r="H22" s="9" t="s">
        <v>2</v>
      </c>
      <c r="I22" s="16" t="s">
        <v>3</v>
      </c>
    </row>
    <row r="23" spans="1:12" ht="31.15" customHeight="1" x14ac:dyDescent="0.35">
      <c r="A23" s="29">
        <v>11</v>
      </c>
      <c r="B23" s="168" t="s">
        <v>12</v>
      </c>
      <c r="C23" s="168"/>
      <c r="D23" s="168"/>
      <c r="E23" s="168"/>
      <c r="F23" s="168"/>
      <c r="G23" s="168"/>
      <c r="H23" s="16"/>
      <c r="I23" s="47"/>
    </row>
    <row r="24" spans="1:12" x14ac:dyDescent="0.35">
      <c r="A24" s="29" t="s">
        <v>91</v>
      </c>
      <c r="B24" s="172" t="str">
        <f>IF(I21=1,"Has the underdrain been designed in conformance with Section 4.3.1.2?","")</f>
        <v/>
      </c>
      <c r="C24" s="172"/>
      <c r="D24" s="172"/>
      <c r="E24" s="172"/>
      <c r="F24" s="172"/>
      <c r="G24" s="172"/>
      <c r="H24" s="16"/>
      <c r="I24" s="47"/>
    </row>
    <row r="25" spans="1:12" ht="31.15" customHeight="1" x14ac:dyDescent="0.35">
      <c r="A25" s="29">
        <v>13</v>
      </c>
      <c r="B25" s="168" t="s">
        <v>15</v>
      </c>
      <c r="C25" s="168"/>
      <c r="D25" s="168"/>
      <c r="E25" s="168"/>
      <c r="F25" s="168"/>
      <c r="G25" s="168"/>
      <c r="H25" s="9"/>
      <c r="I25" s="46"/>
    </row>
    <row r="26" spans="1:12" ht="30.6" customHeight="1" x14ac:dyDescent="0.35">
      <c r="A26" s="5">
        <v>14</v>
      </c>
      <c r="B26" s="168" t="s">
        <v>98</v>
      </c>
      <c r="C26" s="168"/>
      <c r="D26" s="168"/>
      <c r="E26" s="168"/>
      <c r="F26" s="168"/>
      <c r="G26" s="168"/>
      <c r="H26" s="16"/>
      <c r="I26" s="46"/>
    </row>
    <row r="27" spans="1:12" s="19" customFormat="1" ht="10.9" customHeight="1" x14ac:dyDescent="0.35">
      <c r="A27" s="18"/>
    </row>
    <row r="28" spans="1:12" ht="20.100000000000001" customHeight="1" x14ac:dyDescent="0.35">
      <c r="B28" s="166" t="s">
        <v>108</v>
      </c>
      <c r="C28" s="166"/>
      <c r="D28" s="166"/>
      <c r="E28" s="166"/>
      <c r="F28" s="166"/>
      <c r="G28" s="166"/>
      <c r="H28" s="9" t="s">
        <v>2</v>
      </c>
      <c r="I28" s="16" t="s">
        <v>3</v>
      </c>
    </row>
    <row r="29" spans="1:12" x14ac:dyDescent="0.35">
      <c r="A29" s="29">
        <v>15</v>
      </c>
      <c r="B29" s="168" t="s">
        <v>4</v>
      </c>
      <c r="C29" s="168"/>
      <c r="D29" s="168"/>
      <c r="E29" s="168"/>
      <c r="F29" s="168"/>
      <c r="G29" s="168"/>
      <c r="H29" s="9"/>
      <c r="I29" s="46"/>
    </row>
    <row r="30" spans="1:12" ht="37.9" customHeight="1" x14ac:dyDescent="0.35">
      <c r="A30" s="29">
        <v>16</v>
      </c>
      <c r="B30" s="173" t="s">
        <v>11</v>
      </c>
      <c r="C30" s="174"/>
      <c r="D30" s="174"/>
      <c r="E30" s="175"/>
      <c r="F30" s="175"/>
      <c r="G30" s="175"/>
      <c r="H30" s="176"/>
      <c r="I30" s="46"/>
    </row>
    <row r="31" spans="1:12" s="19" customFormat="1" ht="13.15" customHeight="1" x14ac:dyDescent="0.35">
      <c r="A31" s="18"/>
    </row>
    <row r="32" spans="1:12" ht="20.100000000000001" customHeight="1" x14ac:dyDescent="0.35">
      <c r="B32" s="205" t="s">
        <v>109</v>
      </c>
      <c r="C32" s="205"/>
      <c r="D32" s="205"/>
      <c r="E32" s="205"/>
      <c r="F32" s="205"/>
      <c r="G32" s="206"/>
      <c r="H32" s="9" t="s">
        <v>2</v>
      </c>
      <c r="I32" s="16" t="s">
        <v>3</v>
      </c>
    </row>
    <row r="33" spans="1:9" s="19" customFormat="1" ht="46.15" customHeight="1" x14ac:dyDescent="0.35">
      <c r="A33" s="29">
        <v>17</v>
      </c>
      <c r="B33" s="168" t="s">
        <v>100</v>
      </c>
      <c r="C33" s="168"/>
      <c r="D33" s="168"/>
      <c r="E33" s="168"/>
      <c r="F33" s="168"/>
      <c r="G33" s="168"/>
      <c r="H33" s="17"/>
      <c r="I33" s="48"/>
    </row>
    <row r="34" spans="1:9" s="18" customFormat="1" ht="10.9" customHeight="1" x14ac:dyDescent="0.35">
      <c r="A34" s="5"/>
      <c r="I34" s="36">
        <v>0</v>
      </c>
    </row>
    <row r="35" spans="1:9" s="10" customFormat="1" ht="19.5" customHeight="1" x14ac:dyDescent="0.35">
      <c r="A35" s="5"/>
      <c r="B35" s="166" t="str">
        <f>IF(I21=1,"Water Quality Volume Provided by STP","Treatment Volume Calculation - Bioretention without Underdrain")</f>
        <v>Treatment Volume Calculation - Bioretention without Underdrain</v>
      </c>
      <c r="C35" s="166"/>
      <c r="D35" s="166"/>
      <c r="E35" s="166"/>
      <c r="F35" s="166"/>
      <c r="G35" s="166"/>
      <c r="H35" s="9" t="s">
        <v>2</v>
      </c>
      <c r="I35" s="16" t="s">
        <v>3</v>
      </c>
    </row>
    <row r="36" spans="1:9" s="10" customFormat="1" ht="30.6" customHeight="1" x14ac:dyDescent="0.35">
      <c r="A36" s="5" t="s">
        <v>92</v>
      </c>
      <c r="B36" s="168" t="str">
        <f>IF(E11=1,"What is the Treatment Volume the Bioretention filter bed will be sized to accommodate and treat?  (Question 5)","What is the Water Quality Volume that the Bioretention filter bed will be sized to treat?")</f>
        <v>What is the Water Quality Volume that the Bioretention filter bed will be sized to treat?</v>
      </c>
      <c r="C36" s="168"/>
      <c r="D36" s="168"/>
      <c r="E36" s="168"/>
      <c r="F36" s="168"/>
      <c r="G36" s="168"/>
      <c r="H36" s="124">
        <f>IF(E11=1,D12,F9)</f>
        <v>0</v>
      </c>
      <c r="I36" s="16"/>
    </row>
    <row r="37" spans="1:9" ht="21" customHeight="1" x14ac:dyDescent="0.35">
      <c r="A37" s="5">
        <v>19</v>
      </c>
      <c r="B37" s="170" t="s">
        <v>23</v>
      </c>
      <c r="C37" s="171"/>
      <c r="D37" s="171"/>
      <c r="E37" s="171"/>
      <c r="F37" s="171"/>
      <c r="G37" s="39" t="s">
        <v>18</v>
      </c>
      <c r="H37" s="9"/>
      <c r="I37" s="46"/>
    </row>
    <row r="38" spans="1:9" s="11" customFormat="1" ht="21" customHeight="1" x14ac:dyDescent="0.35">
      <c r="A38" s="24">
        <v>20</v>
      </c>
      <c r="B38" s="170" t="s">
        <v>19</v>
      </c>
      <c r="C38" s="171"/>
      <c r="D38" s="171"/>
      <c r="E38" s="171"/>
      <c r="F38" s="171"/>
      <c r="G38" s="39" t="s">
        <v>20</v>
      </c>
      <c r="H38" s="125">
        <v>1</v>
      </c>
      <c r="I38" s="46"/>
    </row>
    <row r="39" spans="1:9" s="11" customFormat="1" ht="21" customHeight="1" x14ac:dyDescent="0.35">
      <c r="A39" s="24">
        <v>21</v>
      </c>
      <c r="B39" s="170" t="s">
        <v>22</v>
      </c>
      <c r="C39" s="171"/>
      <c r="D39" s="171"/>
      <c r="E39" s="171"/>
      <c r="F39" s="171"/>
      <c r="G39" s="39" t="s">
        <v>21</v>
      </c>
      <c r="H39" s="9"/>
      <c r="I39" s="46"/>
    </row>
    <row r="40" spans="1:9" s="11" customFormat="1" ht="21" customHeight="1" x14ac:dyDescent="0.35">
      <c r="A40" s="24">
        <v>22</v>
      </c>
      <c r="B40" s="170" t="s">
        <v>25</v>
      </c>
      <c r="C40" s="171"/>
      <c r="D40" s="171"/>
      <c r="E40" s="171"/>
      <c r="F40" s="171"/>
      <c r="G40" s="39" t="s">
        <v>24</v>
      </c>
      <c r="H40" s="9"/>
      <c r="I40" s="46"/>
    </row>
    <row r="41" spans="1:9" s="11" customFormat="1" ht="21" customHeight="1" x14ac:dyDescent="0.35">
      <c r="A41" s="24" t="s">
        <v>103</v>
      </c>
      <c r="B41" s="170" t="s">
        <v>79</v>
      </c>
      <c r="C41" s="171"/>
      <c r="D41" s="171"/>
      <c r="E41" s="171"/>
      <c r="F41" s="171"/>
      <c r="G41" s="39" t="s">
        <v>80</v>
      </c>
      <c r="H41" s="127" t="str">
        <f>IFERROR((H36*H37)/(H38*(H39+H37)*H40)*43560,"")</f>
        <v/>
      </c>
      <c r="I41" s="37"/>
    </row>
    <row r="42" spans="1:9" s="11" customFormat="1" ht="21" customHeight="1" x14ac:dyDescent="0.35">
      <c r="A42" s="24">
        <v>24</v>
      </c>
      <c r="B42" s="170" t="s">
        <v>81</v>
      </c>
      <c r="C42" s="171"/>
      <c r="D42" s="171"/>
      <c r="E42" s="171"/>
      <c r="F42" s="171"/>
      <c r="G42" s="39" t="s">
        <v>80</v>
      </c>
      <c r="H42" s="128"/>
      <c r="I42" s="15"/>
    </row>
    <row r="43" spans="1:9" s="11" customFormat="1" ht="48.6" customHeight="1" x14ac:dyDescent="0.35">
      <c r="A43" s="24">
        <v>25</v>
      </c>
      <c r="B43" s="169" t="s">
        <v>101</v>
      </c>
      <c r="C43" s="169"/>
      <c r="D43" s="169"/>
      <c r="E43" s="169"/>
      <c r="F43" s="169"/>
      <c r="G43" s="169"/>
      <c r="H43" s="162"/>
      <c r="I43" s="15"/>
    </row>
    <row r="44" spans="1:9" s="11" customFormat="1" ht="20.25" customHeight="1" x14ac:dyDescent="0.35">
      <c r="A44" s="24" t="s">
        <v>104</v>
      </c>
      <c r="B44" s="177" t="s">
        <v>123</v>
      </c>
      <c r="C44" s="178"/>
      <c r="D44" s="178"/>
      <c r="E44" s="178"/>
      <c r="F44" s="178"/>
      <c r="G44" s="163" t="s">
        <v>125</v>
      </c>
      <c r="H44" s="124">
        <f>((H37*H42*0.33)+(H39*H42))/43560</f>
        <v>0</v>
      </c>
      <c r="I44" s="235" t="s">
        <v>126</v>
      </c>
    </row>
    <row r="45" spans="1:9" s="11" customFormat="1" ht="10.9" customHeight="1" x14ac:dyDescent="0.35">
      <c r="A45" s="24"/>
      <c r="B45" s="14"/>
      <c r="C45" s="14"/>
      <c r="D45" s="14"/>
      <c r="E45" s="14"/>
      <c r="F45" s="14"/>
      <c r="G45" s="14"/>
      <c r="H45" s="133"/>
      <c r="I45" s="133"/>
    </row>
    <row r="46" spans="1:9" s="10" customFormat="1" ht="19.5" customHeight="1" x14ac:dyDescent="0.35">
      <c r="A46" s="5"/>
      <c r="B46" s="166" t="s">
        <v>102</v>
      </c>
      <c r="C46" s="166"/>
      <c r="D46" s="166"/>
      <c r="E46" s="166"/>
      <c r="F46" s="166"/>
      <c r="G46" s="166"/>
      <c r="H46" s="9" t="s">
        <v>2</v>
      </c>
      <c r="I46" s="16" t="s">
        <v>3</v>
      </c>
    </row>
    <row r="47" spans="1:9" s="11" customFormat="1" ht="21" customHeight="1" x14ac:dyDescent="0.35">
      <c r="A47" s="24" t="s">
        <v>105</v>
      </c>
      <c r="B47" s="210" t="str">
        <f>IF(I21=1,"What is the surface area of the filter bed/ swale bottom?","")</f>
        <v/>
      </c>
      <c r="C47" s="211"/>
      <c r="D47" s="211"/>
      <c r="E47" s="211"/>
      <c r="F47" s="211"/>
      <c r="G47" s="44" t="s">
        <v>16</v>
      </c>
      <c r="H47" s="127">
        <f>H42</f>
        <v>0</v>
      </c>
      <c r="I47" s="46"/>
    </row>
    <row r="48" spans="1:9" s="11" customFormat="1" ht="21" customHeight="1" x14ac:dyDescent="0.35">
      <c r="A48" s="24" t="s">
        <v>106</v>
      </c>
      <c r="B48" s="164" t="str">
        <f>IF(I21=1,"What is the depth of media beneath the underdrain invert?","Underdrain not used (Question 10). This section not required.")</f>
        <v>Underdrain not used (Question 10). This section not required.</v>
      </c>
      <c r="C48" s="165"/>
      <c r="D48" s="165"/>
      <c r="E48" s="165"/>
      <c r="F48" s="165"/>
      <c r="G48" s="42" t="s">
        <v>17</v>
      </c>
      <c r="H48" s="9">
        <v>0</v>
      </c>
      <c r="I48" s="46"/>
    </row>
    <row r="49" spans="1:9" ht="21" customHeight="1" x14ac:dyDescent="0.35">
      <c r="A49" s="5" t="s">
        <v>93</v>
      </c>
      <c r="B49" s="164" t="str">
        <f>IF(I21=1,"What is the porosity of the media beneath the underdrain invert?","")</f>
        <v/>
      </c>
      <c r="C49" s="165"/>
      <c r="D49" s="165"/>
      <c r="E49" s="165"/>
      <c r="F49" s="165"/>
      <c r="G49" s="42" t="s">
        <v>29</v>
      </c>
      <c r="H49" s="9">
        <v>0</v>
      </c>
      <c r="I49" s="46"/>
    </row>
    <row r="50" spans="1:9" s="11" customFormat="1" ht="21" customHeight="1" x14ac:dyDescent="0.35">
      <c r="A50" s="24" t="s">
        <v>107</v>
      </c>
      <c r="B50" s="164" t="str">
        <f>IF(I21=1,"Treatment Volume","")</f>
        <v/>
      </c>
      <c r="C50" s="165"/>
      <c r="D50" s="165"/>
      <c r="E50" s="165"/>
      <c r="F50" s="165"/>
      <c r="G50" s="42" t="str">
        <f>IF(I21=1,"Tv","")</f>
        <v/>
      </c>
      <c r="H50" s="9">
        <f>(H47*H48*H49)</f>
        <v>0</v>
      </c>
      <c r="I50" s="37" t="s">
        <v>26</v>
      </c>
    </row>
    <row r="51" spans="1:9" s="11" customFormat="1" ht="21" customHeight="1" x14ac:dyDescent="0.35">
      <c r="A51" s="24" t="s">
        <v>124</v>
      </c>
      <c r="B51" s="208" t="str">
        <f>B50</f>
        <v/>
      </c>
      <c r="C51" s="209"/>
      <c r="D51" s="209"/>
      <c r="E51" s="209"/>
      <c r="F51" s="209"/>
      <c r="G51" s="45" t="str">
        <f>G50</f>
        <v/>
      </c>
      <c r="H51" s="134">
        <f>H50/43560</f>
        <v>0</v>
      </c>
      <c r="I51" s="15" t="s">
        <v>27</v>
      </c>
    </row>
    <row r="52" spans="1:9" s="11" customFormat="1" ht="10.9" customHeight="1" x14ac:dyDescent="0.35">
      <c r="A52" s="24"/>
      <c r="B52" s="38"/>
      <c r="C52" s="14"/>
      <c r="D52" s="14"/>
      <c r="E52" s="14"/>
      <c r="F52" s="14"/>
      <c r="G52" s="14"/>
      <c r="H52" s="207" t="str">
        <f>IF(I21=1,"↑ Enter this value on the Standards Compliance Worksheet","")</f>
        <v/>
      </c>
      <c r="I52" s="207"/>
    </row>
    <row r="53" spans="1:9" ht="20.100000000000001" customHeight="1" x14ac:dyDescent="0.35">
      <c r="B53" s="205" t="s">
        <v>110</v>
      </c>
      <c r="C53" s="205"/>
      <c r="D53" s="205"/>
      <c r="E53" s="205"/>
      <c r="F53" s="205"/>
      <c r="G53" s="206"/>
      <c r="H53" s="9" t="s">
        <v>2</v>
      </c>
      <c r="I53" s="16" t="s">
        <v>3</v>
      </c>
    </row>
    <row r="54" spans="1:9" s="18" customFormat="1" ht="45" customHeight="1" x14ac:dyDescent="0.35">
      <c r="A54" s="29">
        <v>32</v>
      </c>
      <c r="B54" s="168" t="s">
        <v>28</v>
      </c>
      <c r="C54" s="168"/>
      <c r="D54" s="168"/>
      <c r="E54" s="168"/>
      <c r="F54" s="168"/>
      <c r="G54" s="168"/>
      <c r="H54" s="40"/>
      <c r="I54" s="49"/>
    </row>
    <row r="55" spans="1:9" s="18" customFormat="1" ht="4.1500000000000004" customHeight="1" x14ac:dyDescent="0.35">
      <c r="A55" s="5"/>
    </row>
    <row r="56" spans="1:9" s="13" customFormat="1" ht="27" customHeight="1" x14ac:dyDescent="0.35">
      <c r="A56" s="204" t="s">
        <v>5</v>
      </c>
      <c r="B56" s="204"/>
      <c r="C56" s="204"/>
      <c r="D56" s="204"/>
      <c r="E56" s="204"/>
      <c r="F56" s="204"/>
      <c r="G56" s="204"/>
      <c r="H56" s="204"/>
      <c r="I56" s="204"/>
    </row>
  </sheetData>
  <mergeCells count="48">
    <mergeCell ref="B7:C7"/>
    <mergeCell ref="B28:G28"/>
    <mergeCell ref="B29:G29"/>
    <mergeCell ref="A56:I56"/>
    <mergeCell ref="B54:G54"/>
    <mergeCell ref="B53:G53"/>
    <mergeCell ref="B32:G32"/>
    <mergeCell ref="H52:I52"/>
    <mergeCell ref="B51:F51"/>
    <mergeCell ref="B35:G35"/>
    <mergeCell ref="B46:G46"/>
    <mergeCell ref="B33:G33"/>
    <mergeCell ref="B47:F47"/>
    <mergeCell ref="B48:F48"/>
    <mergeCell ref="B50:F50"/>
    <mergeCell ref="B37:F37"/>
    <mergeCell ref="B6:C6"/>
    <mergeCell ref="H1:I1"/>
    <mergeCell ref="H2:I2"/>
    <mergeCell ref="H3:I3"/>
    <mergeCell ref="A2:D3"/>
    <mergeCell ref="B12:C12"/>
    <mergeCell ref="G9:H9"/>
    <mergeCell ref="B36:G36"/>
    <mergeCell ref="B14:I14"/>
    <mergeCell ref="E12:I12"/>
    <mergeCell ref="D10:I10"/>
    <mergeCell ref="B19:G19"/>
    <mergeCell ref="B17:G17"/>
    <mergeCell ref="B18:G18"/>
    <mergeCell ref="B13:C13"/>
    <mergeCell ref="A16:I16"/>
    <mergeCell ref="B20:G20"/>
    <mergeCell ref="B49:F49"/>
    <mergeCell ref="B22:G22"/>
    <mergeCell ref="B25:G25"/>
    <mergeCell ref="B43:G43"/>
    <mergeCell ref="B38:F38"/>
    <mergeCell ref="B39:F39"/>
    <mergeCell ref="B40:F40"/>
    <mergeCell ref="B41:F41"/>
    <mergeCell ref="B42:F42"/>
    <mergeCell ref="B23:G23"/>
    <mergeCell ref="B24:G24"/>
    <mergeCell ref="B26:G26"/>
    <mergeCell ref="B30:D30"/>
    <mergeCell ref="E30:H30"/>
    <mergeCell ref="B44:F44"/>
  </mergeCells>
  <conditionalFormatting sqref="B47:G51">
    <cfRule type="expression" dxfId="1" priority="2">
      <formula>$I$21=1</formula>
    </cfRule>
  </conditionalFormatting>
  <conditionalFormatting sqref="B12:D12">
    <cfRule type="expression" dxfId="0" priority="1">
      <formula>$E$11=2</formula>
    </cfRule>
  </conditionalFormatting>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defaultSize="0" autoFill="0" autoPict="0">
                <anchor mov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38100</xdr:colOff>
                    <xdr:row>10</xdr:row>
                    <xdr:rowOff>38100</xdr:rowOff>
                  </from>
                  <to>
                    <xdr:col>3</xdr:col>
                    <xdr:colOff>438150</xdr:colOff>
                    <xdr:row>10</xdr:row>
                    <xdr:rowOff>257175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419100</xdr:colOff>
                    <xdr:row>10</xdr:row>
                    <xdr:rowOff>38100</xdr:rowOff>
                  </from>
                  <to>
                    <xdr:col>3</xdr:col>
                    <xdr:colOff>800100</xdr:colOff>
                    <xdr:row>10</xdr:row>
                    <xdr:rowOff>257175</xdr:rowOff>
                  </to>
                </anchor>
              </controlPr>
            </control>
          </mc:Choice>
        </mc:AlternateContent>
        <mc:AlternateContent xmlns:mc="http://schemas.openxmlformats.org/markup-compatibility/2006">
          <mc:Choice Requires="x14">
            <control shapeId="1036" r:id="rId7" name="Group Box 12">
              <controlPr defaultSize="0" autoFill="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037" r:id="rId8" name="Option Button 13">
              <controlPr defaultSize="0" autoFill="0" autoLine="0" autoPict="0">
                <anchor moveWithCells="1">
                  <from>
                    <xdr:col>3</xdr:col>
                    <xdr:colOff>38100</xdr:colOff>
                    <xdr:row>12</xdr:row>
                    <xdr:rowOff>0</xdr:rowOff>
                  </from>
                  <to>
                    <xdr:col>3</xdr:col>
                    <xdr:colOff>447675</xdr:colOff>
                    <xdr:row>12</xdr:row>
                    <xdr:rowOff>152400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3</xdr:col>
                    <xdr:colOff>38100</xdr:colOff>
                    <xdr:row>12</xdr:row>
                    <xdr:rowOff>142875</xdr:rowOff>
                  </from>
                  <to>
                    <xdr:col>3</xdr:col>
                    <xdr:colOff>457200</xdr:colOff>
                    <xdr:row>12</xdr:row>
                    <xdr:rowOff>295275</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3</xdr:col>
                    <xdr:colOff>38100</xdr:colOff>
                    <xdr:row>12</xdr:row>
                    <xdr:rowOff>276225</xdr:rowOff>
                  </from>
                  <to>
                    <xdr:col>3</xdr:col>
                    <xdr:colOff>371475</xdr:colOff>
                    <xdr:row>12</xdr:row>
                    <xdr:rowOff>438150</xdr:rowOff>
                  </to>
                </anchor>
              </controlPr>
            </control>
          </mc:Choice>
        </mc:AlternateContent>
        <mc:AlternateContent xmlns:mc="http://schemas.openxmlformats.org/markup-compatibility/2006">
          <mc:Choice Requires="x14">
            <control shapeId="1042" r:id="rId11" name="Group Box 18">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7</xdr:col>
                    <xdr:colOff>19050</xdr:colOff>
                    <xdr:row>17</xdr:row>
                    <xdr:rowOff>57150</xdr:rowOff>
                  </from>
                  <to>
                    <xdr:col>7</xdr:col>
                    <xdr:colOff>381000</xdr:colOff>
                    <xdr:row>17</xdr:row>
                    <xdr:rowOff>285750</xdr:rowOff>
                  </to>
                </anchor>
              </controlPr>
            </control>
          </mc:Choice>
        </mc:AlternateContent>
        <mc:AlternateContent xmlns:mc="http://schemas.openxmlformats.org/markup-compatibility/2006">
          <mc:Choice Requires="x14">
            <control shapeId="1047" r:id="rId14" name="Option Button 23">
              <controlPr defaultSize="0" autoFill="0" autoLine="0" autoPict="0">
                <anchor moveWithCells="1">
                  <from>
                    <xdr:col>7</xdr:col>
                    <xdr:colOff>400050</xdr:colOff>
                    <xdr:row>17</xdr:row>
                    <xdr:rowOff>66675</xdr:rowOff>
                  </from>
                  <to>
                    <xdr:col>7</xdr:col>
                    <xdr:colOff>704850</xdr:colOff>
                    <xdr:row>17</xdr:row>
                    <xdr:rowOff>285750</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50" r:id="rId16" name="Option Button 26">
              <controlPr defaultSize="0" autoFill="0" autoLine="0" autoPict="0">
                <anchor moveWithCells="1">
                  <from>
                    <xdr:col>7</xdr:col>
                    <xdr:colOff>400050</xdr:colOff>
                    <xdr:row>18</xdr:row>
                    <xdr:rowOff>66675</xdr:rowOff>
                  </from>
                  <to>
                    <xdr:col>7</xdr:col>
                    <xdr:colOff>704850</xdr:colOff>
                    <xdr:row>18</xdr:row>
                    <xdr:rowOff>285750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7</xdr:col>
                    <xdr:colOff>19050</xdr:colOff>
                    <xdr:row>18</xdr:row>
                    <xdr:rowOff>57150</xdr:rowOff>
                  </from>
                  <to>
                    <xdr:col>7</xdr:col>
                    <xdr:colOff>381000</xdr:colOff>
                    <xdr:row>18</xdr:row>
                    <xdr:rowOff>285750</xdr:rowOff>
                  </to>
                </anchor>
              </controlPr>
            </control>
          </mc:Choice>
        </mc:AlternateContent>
        <mc:AlternateContent xmlns:mc="http://schemas.openxmlformats.org/markup-compatibility/2006">
          <mc:Choice Requires="x14">
            <control shapeId="1053" r:id="rId18" name="Group Box 29">
              <controlPr defaultSize="0" autoFill="0" autoPict="0">
                <anchor moveWithCells="1">
                  <from>
                    <xdr:col>4</xdr:col>
                    <xdr:colOff>9525</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4</xdr:col>
                    <xdr:colOff>57150</xdr:colOff>
                    <xdr:row>29</xdr:row>
                    <xdr:rowOff>19050</xdr:rowOff>
                  </from>
                  <to>
                    <xdr:col>4</xdr:col>
                    <xdr:colOff>638175</xdr:colOff>
                    <xdr:row>29</xdr:row>
                    <xdr:rowOff>238125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4</xdr:col>
                    <xdr:colOff>57150</xdr:colOff>
                    <xdr:row>29</xdr:row>
                    <xdr:rowOff>238125</xdr:rowOff>
                  </from>
                  <to>
                    <xdr:col>4</xdr:col>
                    <xdr:colOff>657225</xdr:colOff>
                    <xdr:row>30</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4</xdr:col>
                    <xdr:colOff>742950</xdr:colOff>
                    <xdr:row>29</xdr:row>
                    <xdr:rowOff>28575</xdr:rowOff>
                  </from>
                  <to>
                    <xdr:col>6</xdr:col>
                    <xdr:colOff>361950</xdr:colOff>
                    <xdr:row>29</xdr:row>
                    <xdr:rowOff>247650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4</xdr:col>
                    <xdr:colOff>742950</xdr:colOff>
                    <xdr:row>29</xdr:row>
                    <xdr:rowOff>228600</xdr:rowOff>
                  </from>
                  <to>
                    <xdr:col>7</xdr:col>
                    <xdr:colOff>95250</xdr:colOff>
                    <xdr:row>30</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6</xdr:col>
                    <xdr:colOff>495300</xdr:colOff>
                    <xdr:row>29</xdr:row>
                    <xdr:rowOff>19050</xdr:rowOff>
                  </from>
                  <to>
                    <xdr:col>7</xdr:col>
                    <xdr:colOff>571500</xdr:colOff>
                    <xdr:row>29</xdr:row>
                    <xdr:rowOff>247650</xdr:rowOff>
                  </to>
                </anchor>
              </controlPr>
            </control>
          </mc:Choice>
        </mc:AlternateContent>
        <mc:AlternateContent xmlns:mc="http://schemas.openxmlformats.org/markup-compatibility/2006">
          <mc:Choice Requires="x14">
            <control shapeId="1059" r:id="rId24" name="Group Box 35">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60" r:id="rId25" name="Option Button 36">
              <controlPr defaultSize="0" autoFill="0" autoLine="0" autoPict="0">
                <anchor moveWithCells="1">
                  <from>
                    <xdr:col>7</xdr:col>
                    <xdr:colOff>47625</xdr:colOff>
                    <xdr:row>22</xdr:row>
                    <xdr:rowOff>104775</xdr:rowOff>
                  </from>
                  <to>
                    <xdr:col>7</xdr:col>
                    <xdr:colOff>400050</xdr:colOff>
                    <xdr:row>22</xdr:row>
                    <xdr:rowOff>304800</xdr:rowOff>
                  </to>
                </anchor>
              </controlPr>
            </control>
          </mc:Choice>
        </mc:AlternateContent>
        <mc:AlternateContent xmlns:mc="http://schemas.openxmlformats.org/markup-compatibility/2006">
          <mc:Choice Requires="x14">
            <control shapeId="1061" r:id="rId26" name="Option Button 37">
              <controlPr defaultSize="0" autoFill="0" autoLine="0" autoPict="0">
                <anchor moveWithCells="1">
                  <from>
                    <xdr:col>7</xdr:col>
                    <xdr:colOff>409575</xdr:colOff>
                    <xdr:row>22</xdr:row>
                    <xdr:rowOff>104775</xdr:rowOff>
                  </from>
                  <to>
                    <xdr:col>7</xdr:col>
                    <xdr:colOff>723900</xdr:colOff>
                    <xdr:row>22</xdr:row>
                    <xdr:rowOff>295275</xdr:rowOff>
                  </to>
                </anchor>
              </controlPr>
            </control>
          </mc:Choice>
        </mc:AlternateContent>
        <mc:AlternateContent xmlns:mc="http://schemas.openxmlformats.org/markup-compatibility/2006">
          <mc:Choice Requires="x14">
            <control shapeId="1065" r:id="rId27" name="Group Box 41">
              <controlPr defaultSize="0" autoFill="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66" r:id="rId28" name="Option Button 42">
              <controlPr defaultSize="0" autoFill="0" autoLine="0" autoPict="0">
                <anchor moveWithCells="1">
                  <from>
                    <xdr:col>7</xdr:col>
                    <xdr:colOff>47625</xdr:colOff>
                    <xdr:row>23</xdr:row>
                    <xdr:rowOff>9525</xdr:rowOff>
                  </from>
                  <to>
                    <xdr:col>7</xdr:col>
                    <xdr:colOff>400050</xdr:colOff>
                    <xdr:row>23</xdr:row>
                    <xdr:rowOff>209550</xdr:rowOff>
                  </to>
                </anchor>
              </controlPr>
            </control>
          </mc:Choice>
        </mc:AlternateContent>
        <mc:AlternateContent xmlns:mc="http://schemas.openxmlformats.org/markup-compatibility/2006">
          <mc:Choice Requires="x14">
            <control shapeId="1067" r:id="rId29" name="Option Button 43">
              <controlPr defaultSize="0" autoFill="0" autoLine="0" autoPict="0">
                <anchor moveWithCells="1">
                  <from>
                    <xdr:col>7</xdr:col>
                    <xdr:colOff>419100</xdr:colOff>
                    <xdr:row>23</xdr:row>
                    <xdr:rowOff>9525</xdr:rowOff>
                  </from>
                  <to>
                    <xdr:col>7</xdr:col>
                    <xdr:colOff>733425</xdr:colOff>
                    <xdr:row>23</xdr:row>
                    <xdr:rowOff>200025</xdr:rowOff>
                  </to>
                </anchor>
              </controlPr>
            </control>
          </mc:Choice>
        </mc:AlternateContent>
        <mc:AlternateContent xmlns:mc="http://schemas.openxmlformats.org/markup-compatibility/2006">
          <mc:Choice Requires="x14">
            <control shapeId="1076" r:id="rId30" name="Group Box 52">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77" r:id="rId31" name="Option Button 53">
              <controlPr defaultSize="0" autoFill="0" autoLine="0" autoPict="0">
                <anchor moveWithCells="1">
                  <from>
                    <xdr:col>7</xdr:col>
                    <xdr:colOff>400050</xdr:colOff>
                    <xdr:row>19</xdr:row>
                    <xdr:rowOff>66675</xdr:rowOff>
                  </from>
                  <to>
                    <xdr:col>7</xdr:col>
                    <xdr:colOff>704850</xdr:colOff>
                    <xdr:row>19</xdr:row>
                    <xdr:rowOff>285750</xdr:rowOff>
                  </to>
                </anchor>
              </controlPr>
            </control>
          </mc:Choice>
        </mc:AlternateContent>
        <mc:AlternateContent xmlns:mc="http://schemas.openxmlformats.org/markup-compatibility/2006">
          <mc:Choice Requires="x14">
            <control shapeId="1078" r:id="rId32" name="Option Button 54">
              <controlPr defaultSize="0" autoFill="0" autoLine="0" autoPict="0">
                <anchor moveWithCells="1">
                  <from>
                    <xdr:col>7</xdr:col>
                    <xdr:colOff>19050</xdr:colOff>
                    <xdr:row>19</xdr:row>
                    <xdr:rowOff>57150</xdr:rowOff>
                  </from>
                  <to>
                    <xdr:col>7</xdr:col>
                    <xdr:colOff>381000</xdr:colOff>
                    <xdr:row>19</xdr:row>
                    <xdr:rowOff>285750</xdr:rowOff>
                  </to>
                </anchor>
              </controlPr>
            </control>
          </mc:Choice>
        </mc:AlternateContent>
        <mc:AlternateContent xmlns:mc="http://schemas.openxmlformats.org/markup-compatibility/2006">
          <mc:Choice Requires="x14">
            <control shapeId="1082" r:id="rId33" name="Group Box 58">
              <controlPr defaultSize="0" autoFill="0" autoPict="0">
                <anchor mov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84" r:id="rId34" name="Group Box 60">
              <controlPr defaultSize="0" autoFill="0" autoPict="0">
                <anchor moveWithCells="1">
                  <from>
                    <xdr:col>7</xdr:col>
                    <xdr:colOff>0</xdr:colOff>
                    <xdr:row>25</xdr:row>
                    <xdr:rowOff>9525</xdr:rowOff>
                  </from>
                  <to>
                    <xdr:col>8</xdr:col>
                    <xdr:colOff>0</xdr:colOff>
                    <xdr:row>26</xdr:row>
                    <xdr:rowOff>0</xdr:rowOff>
                  </to>
                </anchor>
              </controlPr>
            </control>
          </mc:Choice>
        </mc:AlternateContent>
        <mc:AlternateContent xmlns:mc="http://schemas.openxmlformats.org/markup-compatibility/2006">
          <mc:Choice Requires="x14">
            <control shapeId="1086" r:id="rId35" name="Option Button 62">
              <controlPr defaultSize="0" autoFill="0" autoLine="0" autoPict="0">
                <anchor moveWithCells="1">
                  <from>
                    <xdr:col>7</xdr:col>
                    <xdr:colOff>428625</xdr:colOff>
                    <xdr:row>24</xdr:row>
                    <xdr:rowOff>95250</xdr:rowOff>
                  </from>
                  <to>
                    <xdr:col>7</xdr:col>
                    <xdr:colOff>742950</xdr:colOff>
                    <xdr:row>24</xdr:row>
                    <xdr:rowOff>285750</xdr:rowOff>
                  </to>
                </anchor>
              </controlPr>
            </control>
          </mc:Choice>
        </mc:AlternateContent>
        <mc:AlternateContent xmlns:mc="http://schemas.openxmlformats.org/markup-compatibility/2006">
          <mc:Choice Requires="x14">
            <control shapeId="1087" r:id="rId36" name="Option Button 63">
              <controlPr defaultSize="0" autoFill="0" autoLine="0" autoPict="0">
                <anchor moveWithCells="1">
                  <from>
                    <xdr:col>7</xdr:col>
                    <xdr:colOff>428625</xdr:colOff>
                    <xdr:row>25</xdr:row>
                    <xdr:rowOff>95250</xdr:rowOff>
                  </from>
                  <to>
                    <xdr:col>7</xdr:col>
                    <xdr:colOff>742950</xdr:colOff>
                    <xdr:row>25</xdr:row>
                    <xdr:rowOff>304800</xdr:rowOff>
                  </to>
                </anchor>
              </controlPr>
            </control>
          </mc:Choice>
        </mc:AlternateContent>
        <mc:AlternateContent xmlns:mc="http://schemas.openxmlformats.org/markup-compatibility/2006">
          <mc:Choice Requires="x14">
            <control shapeId="1089" r:id="rId37" name="Option Button 65">
              <controlPr defaultSize="0" autoFill="0" autoLine="0" autoPict="0">
                <anchor moveWithCells="1">
                  <from>
                    <xdr:col>7</xdr:col>
                    <xdr:colOff>38100</xdr:colOff>
                    <xdr:row>24</xdr:row>
                    <xdr:rowOff>95250</xdr:rowOff>
                  </from>
                  <to>
                    <xdr:col>7</xdr:col>
                    <xdr:colOff>400050</xdr:colOff>
                    <xdr:row>24</xdr:row>
                    <xdr:rowOff>314325</xdr:rowOff>
                  </to>
                </anchor>
              </controlPr>
            </control>
          </mc:Choice>
        </mc:AlternateContent>
        <mc:AlternateContent xmlns:mc="http://schemas.openxmlformats.org/markup-compatibility/2006">
          <mc:Choice Requires="x14">
            <control shapeId="1090" r:id="rId38" name="Option Button 66">
              <controlPr defaultSize="0" autoFill="0" autoLine="0" autoPict="0">
                <anchor moveWithCells="1">
                  <from>
                    <xdr:col>7</xdr:col>
                    <xdr:colOff>57150</xdr:colOff>
                    <xdr:row>25</xdr:row>
                    <xdr:rowOff>85725</xdr:rowOff>
                  </from>
                  <to>
                    <xdr:col>7</xdr:col>
                    <xdr:colOff>409575</xdr:colOff>
                    <xdr:row>25</xdr:row>
                    <xdr:rowOff>304800</xdr:rowOff>
                  </to>
                </anchor>
              </controlPr>
            </control>
          </mc:Choice>
        </mc:AlternateContent>
        <mc:AlternateContent xmlns:mc="http://schemas.openxmlformats.org/markup-compatibility/2006">
          <mc:Choice Requires="x14">
            <control shapeId="1091" r:id="rId39" name="Group Box 67">
              <controlPr defaultSize="0" autoFill="0" autoPict="0">
                <anchor moveWithCells="1">
                  <from>
                    <xdr:col>6</xdr:col>
                    <xdr:colOff>647700</xdr:colOff>
                    <xdr:row>28</xdr:row>
                    <xdr:rowOff>0</xdr:rowOff>
                  </from>
                  <to>
                    <xdr:col>7</xdr:col>
                    <xdr:colOff>781050</xdr:colOff>
                    <xdr:row>29</xdr:row>
                    <xdr:rowOff>0</xdr:rowOff>
                  </to>
                </anchor>
              </controlPr>
            </control>
          </mc:Choice>
        </mc:AlternateContent>
        <mc:AlternateContent xmlns:mc="http://schemas.openxmlformats.org/markup-compatibility/2006">
          <mc:Choice Requires="x14">
            <control shapeId="1092" r:id="rId40" name="Option Button 68">
              <controlPr defaultSize="0" autoFill="0" autoLine="0" autoPict="0">
                <anchor moveWithCells="1">
                  <from>
                    <xdr:col>7</xdr:col>
                    <xdr:colOff>419100</xdr:colOff>
                    <xdr:row>28</xdr:row>
                    <xdr:rowOff>9525</xdr:rowOff>
                  </from>
                  <to>
                    <xdr:col>7</xdr:col>
                    <xdr:colOff>733425</xdr:colOff>
                    <xdr:row>29</xdr:row>
                    <xdr:rowOff>0</xdr:rowOff>
                  </to>
                </anchor>
              </controlPr>
            </control>
          </mc:Choice>
        </mc:AlternateContent>
        <mc:AlternateContent xmlns:mc="http://schemas.openxmlformats.org/markup-compatibility/2006">
          <mc:Choice Requires="x14">
            <control shapeId="1093" r:id="rId41" name="Option Button 69">
              <controlPr defaultSize="0" autoFill="0" autoLine="0" autoPict="0">
                <anchor moveWithCells="1">
                  <from>
                    <xdr:col>7</xdr:col>
                    <xdr:colOff>57150</xdr:colOff>
                    <xdr:row>28</xdr:row>
                    <xdr:rowOff>9525</xdr:rowOff>
                  </from>
                  <to>
                    <xdr:col>7</xdr:col>
                    <xdr:colOff>409575</xdr:colOff>
                    <xdr:row>29</xdr:row>
                    <xdr:rowOff>0</xdr:rowOff>
                  </to>
                </anchor>
              </controlPr>
            </control>
          </mc:Choice>
        </mc:AlternateContent>
        <mc:AlternateContent xmlns:mc="http://schemas.openxmlformats.org/markup-compatibility/2006">
          <mc:Choice Requires="x14">
            <control shapeId="1094" r:id="rId42" name="Group Box 70">
              <controlPr defaultSize="0" autoFill="0" autoPict="0">
                <anchor moveWithCells="1">
                  <from>
                    <xdr:col>6</xdr:col>
                    <xdr:colOff>647700</xdr:colOff>
                    <xdr:row>53</xdr:row>
                    <xdr:rowOff>0</xdr:rowOff>
                  </from>
                  <to>
                    <xdr:col>7</xdr:col>
                    <xdr:colOff>781050</xdr:colOff>
                    <xdr:row>54</xdr:row>
                    <xdr:rowOff>0</xdr:rowOff>
                  </to>
                </anchor>
              </controlPr>
            </control>
          </mc:Choice>
        </mc:AlternateContent>
        <mc:AlternateContent xmlns:mc="http://schemas.openxmlformats.org/markup-compatibility/2006">
          <mc:Choice Requires="x14">
            <control shapeId="1095" r:id="rId43" name="Option Button 71">
              <controlPr defaultSize="0" autoFill="0" autoLine="0" autoPict="0">
                <anchor moveWithCells="1">
                  <from>
                    <xdr:col>7</xdr:col>
                    <xdr:colOff>38100</xdr:colOff>
                    <xdr:row>53</xdr:row>
                    <xdr:rowOff>161925</xdr:rowOff>
                  </from>
                  <to>
                    <xdr:col>7</xdr:col>
                    <xdr:colOff>419100</xdr:colOff>
                    <xdr:row>53</xdr:row>
                    <xdr:rowOff>419100</xdr:rowOff>
                  </to>
                </anchor>
              </controlPr>
            </control>
          </mc:Choice>
        </mc:AlternateContent>
        <mc:AlternateContent xmlns:mc="http://schemas.openxmlformats.org/markup-compatibility/2006">
          <mc:Choice Requires="x14">
            <control shapeId="1096" r:id="rId44" name="Option Button 72">
              <controlPr defaultSize="0" autoFill="0" autoLine="0" autoPict="0">
                <anchor moveWithCells="1">
                  <from>
                    <xdr:col>7</xdr:col>
                    <xdr:colOff>400050</xdr:colOff>
                    <xdr:row>53</xdr:row>
                    <xdr:rowOff>161925</xdr:rowOff>
                  </from>
                  <to>
                    <xdr:col>7</xdr:col>
                    <xdr:colOff>704850</xdr:colOff>
                    <xdr:row>53</xdr:row>
                    <xdr:rowOff>371475</xdr:rowOff>
                  </to>
                </anchor>
              </controlPr>
            </control>
          </mc:Choice>
        </mc:AlternateContent>
        <mc:AlternateContent xmlns:mc="http://schemas.openxmlformats.org/markup-compatibility/2006">
          <mc:Choice Requires="x14">
            <control shapeId="1097" r:id="rId45" name="Group Box 73">
              <controlPr defaultSize="0" autoFill="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1098" r:id="rId46" name="Option Button 74">
              <controlPr defaultSize="0" autoFill="0" autoLine="0" autoPict="0">
                <anchor moveWithCells="1">
                  <from>
                    <xdr:col>7</xdr:col>
                    <xdr:colOff>57150</xdr:colOff>
                    <xdr:row>32</xdr:row>
                    <xdr:rowOff>200025</xdr:rowOff>
                  </from>
                  <to>
                    <xdr:col>7</xdr:col>
                    <xdr:colOff>400050</xdr:colOff>
                    <xdr:row>32</xdr:row>
                    <xdr:rowOff>409575</xdr:rowOff>
                  </to>
                </anchor>
              </controlPr>
            </control>
          </mc:Choice>
        </mc:AlternateContent>
        <mc:AlternateContent xmlns:mc="http://schemas.openxmlformats.org/markup-compatibility/2006">
          <mc:Choice Requires="x14">
            <control shapeId="1099" r:id="rId47" name="Option Button 75">
              <controlPr defaultSize="0" autoFill="0" autoLine="0" autoPict="0">
                <anchor moveWithCells="1">
                  <from>
                    <xdr:col>7</xdr:col>
                    <xdr:colOff>438150</xdr:colOff>
                    <xdr:row>32</xdr:row>
                    <xdr:rowOff>200025</xdr:rowOff>
                  </from>
                  <to>
                    <xdr:col>7</xdr:col>
                    <xdr:colOff>742950</xdr:colOff>
                    <xdr:row>32</xdr:row>
                    <xdr:rowOff>428625</xdr:rowOff>
                  </to>
                </anchor>
              </controlPr>
            </control>
          </mc:Choice>
        </mc:AlternateContent>
        <mc:AlternateContent xmlns:mc="http://schemas.openxmlformats.org/markup-compatibility/2006">
          <mc:Choice Requires="x14">
            <control shapeId="1105" r:id="rId48" name="Group Box 81">
              <controlPr defaultSize="0" autoFill="0" autoPict="0">
                <anchor moveWithCells="1">
                  <from>
                    <xdr:col>6</xdr:col>
                    <xdr:colOff>647700</xdr:colOff>
                    <xdr:row>42</xdr:row>
                    <xdr:rowOff>0</xdr:rowOff>
                  </from>
                  <to>
                    <xdr:col>7</xdr:col>
                    <xdr:colOff>781050</xdr:colOff>
                    <xdr:row>43</xdr:row>
                    <xdr:rowOff>0</xdr:rowOff>
                  </to>
                </anchor>
              </controlPr>
            </control>
          </mc:Choice>
        </mc:AlternateContent>
        <mc:AlternateContent xmlns:mc="http://schemas.openxmlformats.org/markup-compatibility/2006">
          <mc:Choice Requires="x14">
            <control shapeId="1106" r:id="rId49" name="Option Button 82">
              <controlPr defaultSize="0" autoFill="0" autoLine="0" autoPict="0">
                <anchor moveWithCells="1">
                  <from>
                    <xdr:col>7</xdr:col>
                    <xdr:colOff>38100</xdr:colOff>
                    <xdr:row>42</xdr:row>
                    <xdr:rowOff>161925</xdr:rowOff>
                  </from>
                  <to>
                    <xdr:col>7</xdr:col>
                    <xdr:colOff>419100</xdr:colOff>
                    <xdr:row>42</xdr:row>
                    <xdr:rowOff>400050</xdr:rowOff>
                  </to>
                </anchor>
              </controlPr>
            </control>
          </mc:Choice>
        </mc:AlternateContent>
        <mc:AlternateContent xmlns:mc="http://schemas.openxmlformats.org/markup-compatibility/2006">
          <mc:Choice Requires="x14">
            <control shapeId="1107" r:id="rId50" name="Option Button 83">
              <controlPr defaultSize="0" autoFill="0" autoLine="0" autoPict="0">
                <anchor moveWithCells="1">
                  <from>
                    <xdr:col>7</xdr:col>
                    <xdr:colOff>400050</xdr:colOff>
                    <xdr:row>42</xdr:row>
                    <xdr:rowOff>161925</xdr:rowOff>
                  </from>
                  <to>
                    <xdr:col>7</xdr:col>
                    <xdr:colOff>704850</xdr:colOff>
                    <xdr:row>42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D9" sqref="D9"/>
    </sheetView>
  </sheetViews>
  <sheetFormatPr defaultRowHeight="15" x14ac:dyDescent="0.25"/>
  <cols>
    <col min="1" max="1" width="21.28515625" customWidth="1"/>
    <col min="2" max="6" width="12.28515625" customWidth="1"/>
    <col min="7" max="7" width="11" customWidth="1"/>
  </cols>
  <sheetData>
    <row r="1" spans="1:7" ht="16.5" x14ac:dyDescent="0.3">
      <c r="A1" s="116" t="s">
        <v>68</v>
      </c>
      <c r="B1" s="117"/>
      <c r="C1" s="117"/>
      <c r="D1" s="117"/>
      <c r="E1" s="118" t="s">
        <v>0</v>
      </c>
      <c r="F1" s="216" t="str">
        <f>IF('Bioretention (4.3.1)'!H1=0,"",'Bioretention (4.3.1)'!H1)</f>
        <v/>
      </c>
      <c r="G1" s="217"/>
    </row>
    <row r="2" spans="1:7" ht="15.75" x14ac:dyDescent="0.3">
      <c r="A2" s="130"/>
      <c r="B2" s="131"/>
      <c r="C2" s="131"/>
      <c r="D2" s="54"/>
      <c r="E2" s="119" t="s">
        <v>1</v>
      </c>
      <c r="F2" s="218" t="str">
        <f>IF('Bioretention (4.3.1)'!H2=0,"",'Bioretention (4.3.1)'!H2)</f>
        <v/>
      </c>
      <c r="G2" s="219"/>
    </row>
    <row r="3" spans="1:7" ht="16.149999999999999" customHeight="1" x14ac:dyDescent="0.3">
      <c r="A3" s="130"/>
      <c r="B3" s="131"/>
      <c r="C3" s="131"/>
      <c r="D3" s="54"/>
      <c r="E3" s="119" t="s">
        <v>94</v>
      </c>
      <c r="F3" s="218" t="str">
        <f>IF('Bioretention (4.3.1)'!H3=0,"",'Bioretention (4.3.1)'!H3)</f>
        <v/>
      </c>
      <c r="G3" s="219"/>
    </row>
    <row r="4" spans="1:7" ht="58.9" customHeight="1" x14ac:dyDescent="0.25">
      <c r="A4" s="225" t="s">
        <v>84</v>
      </c>
      <c r="B4" s="226"/>
      <c r="C4" s="226"/>
      <c r="D4" s="226"/>
      <c r="E4" s="226"/>
      <c r="F4" s="226"/>
      <c r="G4" s="227"/>
    </row>
    <row r="5" spans="1:7" ht="10.9" customHeight="1" x14ac:dyDescent="0.25">
      <c r="A5" s="72"/>
      <c r="B5" s="54"/>
      <c r="C5" s="54"/>
      <c r="D5" s="54"/>
      <c r="E5" s="54"/>
      <c r="F5" s="54"/>
      <c r="G5" s="55"/>
    </row>
    <row r="6" spans="1:7" ht="15.6" customHeight="1" x14ac:dyDescent="0.25">
      <c r="A6" s="52" t="s">
        <v>33</v>
      </c>
      <c r="B6" s="228" t="s">
        <v>34</v>
      </c>
      <c r="C6" s="228"/>
      <c r="D6" s="228"/>
      <c r="E6" s="53" t="s">
        <v>35</v>
      </c>
      <c r="F6" s="54"/>
      <c r="G6" s="55"/>
    </row>
    <row r="7" spans="1:7" x14ac:dyDescent="0.25">
      <c r="A7" s="56" t="s">
        <v>36</v>
      </c>
      <c r="B7" s="57" t="s">
        <v>37</v>
      </c>
      <c r="C7" s="58" t="s">
        <v>38</v>
      </c>
      <c r="D7" s="58" t="s">
        <v>39</v>
      </c>
      <c r="E7" s="58" t="s">
        <v>40</v>
      </c>
      <c r="F7" s="54"/>
      <c r="G7" s="55"/>
    </row>
    <row r="8" spans="1:7" x14ac:dyDescent="0.25">
      <c r="A8" s="59" t="s">
        <v>41</v>
      </c>
      <c r="B8" s="92">
        <v>1</v>
      </c>
      <c r="C8" s="93">
        <v>0</v>
      </c>
      <c r="D8" s="93">
        <v>0</v>
      </c>
      <c r="E8" s="93">
        <v>0</v>
      </c>
      <c r="F8" s="54"/>
      <c r="G8" s="55"/>
    </row>
    <row r="9" spans="1:7" ht="10.9" customHeight="1" thickBot="1" x14ac:dyDescent="0.3">
      <c r="A9" s="60"/>
      <c r="B9" s="61"/>
      <c r="C9" s="62"/>
      <c r="D9" s="62"/>
      <c r="E9" s="62"/>
      <c r="F9" s="62"/>
      <c r="G9" s="63"/>
    </row>
    <row r="10" spans="1:7" ht="15.75" x14ac:dyDescent="0.25">
      <c r="A10" s="64" t="s">
        <v>42</v>
      </c>
      <c r="B10" s="65"/>
      <c r="C10" s="66"/>
      <c r="D10" s="66"/>
      <c r="E10" s="66"/>
      <c r="F10" s="66"/>
      <c r="G10" s="67"/>
    </row>
    <row r="11" spans="1:7" ht="15.75" x14ac:dyDescent="0.25">
      <c r="A11" s="229" t="s">
        <v>43</v>
      </c>
      <c r="B11" s="230"/>
      <c r="C11" s="230"/>
      <c r="D11" s="230"/>
      <c r="E11" s="230"/>
      <c r="F11" s="230"/>
      <c r="G11" s="55"/>
    </row>
    <row r="12" spans="1:7" x14ac:dyDescent="0.25">
      <c r="A12" s="68"/>
      <c r="B12" s="220" t="s">
        <v>44</v>
      </c>
      <c r="C12" s="221"/>
      <c r="D12" s="221"/>
      <c r="E12" s="222"/>
      <c r="F12" s="223" t="s">
        <v>31</v>
      </c>
      <c r="G12" s="55"/>
    </row>
    <row r="13" spans="1:7" x14ac:dyDescent="0.25">
      <c r="A13" s="69" t="s">
        <v>45</v>
      </c>
      <c r="B13" s="158" t="s">
        <v>46</v>
      </c>
      <c r="C13" s="158" t="s">
        <v>47</v>
      </c>
      <c r="D13" s="158" t="s">
        <v>48</v>
      </c>
      <c r="E13" s="158" t="s">
        <v>49</v>
      </c>
      <c r="F13" s="224"/>
      <c r="G13" s="231"/>
    </row>
    <row r="14" spans="1:7" x14ac:dyDescent="0.25">
      <c r="A14" s="70" t="s">
        <v>50</v>
      </c>
      <c r="B14" s="94">
        <v>0</v>
      </c>
      <c r="C14" s="94">
        <v>0</v>
      </c>
      <c r="D14" s="94">
        <v>0</v>
      </c>
      <c r="E14" s="94">
        <v>0</v>
      </c>
      <c r="F14" s="95">
        <f t="shared" ref="F14:F18" si="0">SUM(B14:E14)</f>
        <v>0</v>
      </c>
      <c r="G14" s="231"/>
    </row>
    <row r="15" spans="1:7" x14ac:dyDescent="0.25">
      <c r="A15" s="70" t="s">
        <v>51</v>
      </c>
      <c r="B15" s="94">
        <v>0</v>
      </c>
      <c r="C15" s="94">
        <v>0</v>
      </c>
      <c r="D15" s="94">
        <v>0</v>
      </c>
      <c r="E15" s="94">
        <v>0</v>
      </c>
      <c r="F15" s="95">
        <f t="shared" si="0"/>
        <v>0</v>
      </c>
      <c r="G15" s="55"/>
    </row>
    <row r="16" spans="1:7" x14ac:dyDescent="0.25">
      <c r="A16" s="70" t="s">
        <v>52</v>
      </c>
      <c r="B16" s="94">
        <v>0</v>
      </c>
      <c r="C16" s="94">
        <v>0</v>
      </c>
      <c r="D16" s="94">
        <v>0</v>
      </c>
      <c r="E16" s="94">
        <v>0</v>
      </c>
      <c r="F16" s="95">
        <f t="shared" si="0"/>
        <v>0</v>
      </c>
      <c r="G16" s="55"/>
    </row>
    <row r="17" spans="1:7" ht="30" x14ac:dyDescent="0.25">
      <c r="A17" s="71" t="s">
        <v>54</v>
      </c>
      <c r="B17" s="94">
        <v>0</v>
      </c>
      <c r="C17" s="94">
        <v>0</v>
      </c>
      <c r="D17" s="94">
        <v>0</v>
      </c>
      <c r="E17" s="94">
        <v>0</v>
      </c>
      <c r="F17" s="95">
        <f t="shared" si="0"/>
        <v>0</v>
      </c>
      <c r="G17" s="55"/>
    </row>
    <row r="18" spans="1:7" x14ac:dyDescent="0.25">
      <c r="A18" s="70" t="s">
        <v>55</v>
      </c>
      <c r="B18" s="95">
        <f>SUM(B14:B17)</f>
        <v>0</v>
      </c>
      <c r="C18" s="95">
        <f>SUM(C14:C17)</f>
        <v>0</v>
      </c>
      <c r="D18" s="96">
        <f>SUM(D14:D17)</f>
        <v>0</v>
      </c>
      <c r="E18" s="95">
        <f>SUM(E14:E17)</f>
        <v>0</v>
      </c>
      <c r="F18" s="95">
        <f t="shared" si="0"/>
        <v>0</v>
      </c>
      <c r="G18" s="55"/>
    </row>
    <row r="19" spans="1:7" ht="10.9" customHeight="1" x14ac:dyDescent="0.25">
      <c r="A19" s="72"/>
      <c r="B19" s="54"/>
      <c r="C19" s="73"/>
      <c r="D19" s="74"/>
      <c r="E19" s="54"/>
      <c r="F19" s="54"/>
      <c r="G19" s="55"/>
    </row>
    <row r="20" spans="1:7" ht="15.75" x14ac:dyDescent="0.25">
      <c r="A20" s="232" t="s">
        <v>56</v>
      </c>
      <c r="B20" s="233"/>
      <c r="C20" s="233"/>
      <c r="D20" s="233"/>
      <c r="E20" s="233"/>
      <c r="F20" s="233"/>
      <c r="G20" s="55"/>
    </row>
    <row r="21" spans="1:7" x14ac:dyDescent="0.25">
      <c r="A21" s="68"/>
      <c r="B21" s="220" t="s">
        <v>44</v>
      </c>
      <c r="C21" s="221"/>
      <c r="D21" s="221"/>
      <c r="E21" s="222"/>
      <c r="F21" s="223" t="s">
        <v>31</v>
      </c>
      <c r="G21" s="55"/>
    </row>
    <row r="22" spans="1:7" x14ac:dyDescent="0.25">
      <c r="A22" s="69" t="s">
        <v>45</v>
      </c>
      <c r="B22" s="158" t="s">
        <v>46</v>
      </c>
      <c r="C22" s="158" t="s">
        <v>47</v>
      </c>
      <c r="D22" s="158" t="s">
        <v>48</v>
      </c>
      <c r="E22" s="158" t="s">
        <v>49</v>
      </c>
      <c r="F22" s="224"/>
      <c r="G22" s="55"/>
    </row>
    <row r="23" spans="1:7" x14ac:dyDescent="0.25">
      <c r="A23" s="70" t="s">
        <v>50</v>
      </c>
      <c r="B23" s="94">
        <v>0</v>
      </c>
      <c r="C23" s="94">
        <v>0</v>
      </c>
      <c r="D23" s="94">
        <v>0</v>
      </c>
      <c r="E23" s="94">
        <v>0</v>
      </c>
      <c r="F23" s="95">
        <f t="shared" ref="F23:F27" si="1">SUM(B23:E23)</f>
        <v>0</v>
      </c>
      <c r="G23" s="55"/>
    </row>
    <row r="24" spans="1:7" x14ac:dyDescent="0.25">
      <c r="A24" s="70" t="s">
        <v>51</v>
      </c>
      <c r="B24" s="94">
        <v>0</v>
      </c>
      <c r="C24" s="94">
        <v>0</v>
      </c>
      <c r="D24" s="94">
        <v>0</v>
      </c>
      <c r="E24" s="94">
        <v>0</v>
      </c>
      <c r="F24" s="95">
        <f t="shared" si="1"/>
        <v>0</v>
      </c>
      <c r="G24" s="55"/>
    </row>
    <row r="25" spans="1:7" x14ac:dyDescent="0.25">
      <c r="A25" s="70" t="s">
        <v>52</v>
      </c>
      <c r="B25" s="94">
        <v>0</v>
      </c>
      <c r="C25" s="94">
        <v>0</v>
      </c>
      <c r="D25" s="94">
        <v>0</v>
      </c>
      <c r="E25" s="94">
        <v>0</v>
      </c>
      <c r="F25" s="95">
        <f t="shared" si="1"/>
        <v>0</v>
      </c>
      <c r="G25" s="55"/>
    </row>
    <row r="26" spans="1:7" ht="30" x14ac:dyDescent="0.25">
      <c r="A26" s="71" t="s">
        <v>54</v>
      </c>
      <c r="B26" s="94">
        <v>0</v>
      </c>
      <c r="C26" s="94">
        <v>0</v>
      </c>
      <c r="D26" s="94">
        <v>0</v>
      </c>
      <c r="E26" s="94">
        <v>0</v>
      </c>
      <c r="F26" s="95">
        <f t="shared" si="1"/>
        <v>0</v>
      </c>
      <c r="G26" s="55"/>
    </row>
    <row r="27" spans="1:7" x14ac:dyDescent="0.25">
      <c r="A27" s="70" t="s">
        <v>55</v>
      </c>
      <c r="B27" s="97">
        <f>SUM(B23:B26)</f>
        <v>0</v>
      </c>
      <c r="C27" s="98">
        <f>SUM(C23:C26)</f>
        <v>0</v>
      </c>
      <c r="D27" s="98">
        <f>SUM(D23:D26)</f>
        <v>0</v>
      </c>
      <c r="E27" s="98">
        <f>SUM(E23:E26)</f>
        <v>0</v>
      </c>
      <c r="F27" s="98">
        <f t="shared" si="1"/>
        <v>0</v>
      </c>
      <c r="G27" s="55"/>
    </row>
    <row r="28" spans="1:7" ht="10.9" customHeight="1" thickBot="1" x14ac:dyDescent="0.3">
      <c r="A28" s="77"/>
      <c r="B28" s="78"/>
      <c r="C28" s="78"/>
      <c r="D28" s="78"/>
      <c r="E28" s="78"/>
      <c r="F28" s="78"/>
      <c r="G28" s="63"/>
    </row>
    <row r="29" spans="1:7" ht="10.9" customHeight="1" x14ac:dyDescent="0.25">
      <c r="A29" s="137"/>
      <c r="B29" s="117"/>
      <c r="C29" s="117"/>
      <c r="D29" s="117"/>
      <c r="E29" s="117"/>
      <c r="F29" s="117"/>
      <c r="G29" s="67"/>
    </row>
    <row r="30" spans="1:7" ht="18" x14ac:dyDescent="0.35">
      <c r="A30" s="72" t="s">
        <v>76</v>
      </c>
      <c r="B30" s="114">
        <v>0</v>
      </c>
      <c r="C30" s="54" t="s">
        <v>75</v>
      </c>
      <c r="D30" s="54"/>
      <c r="E30" s="136" t="s">
        <v>88</v>
      </c>
      <c r="F30" s="114">
        <v>0</v>
      </c>
      <c r="G30" s="55" t="s">
        <v>75</v>
      </c>
    </row>
    <row r="31" spans="1:7" ht="10.9" customHeight="1" thickBot="1" x14ac:dyDescent="0.3">
      <c r="A31" s="110"/>
      <c r="B31" s="111"/>
      <c r="C31" s="111"/>
      <c r="D31" s="112"/>
      <c r="E31" s="112"/>
      <c r="F31" s="112"/>
      <c r="G31" s="55"/>
    </row>
    <row r="32" spans="1:7" ht="60" x14ac:dyDescent="0.25">
      <c r="A32" s="56" t="s">
        <v>74</v>
      </c>
      <c r="B32" s="91" t="s">
        <v>60</v>
      </c>
      <c r="C32" s="90" t="s">
        <v>69</v>
      </c>
      <c r="D32" s="89" t="s">
        <v>61</v>
      </c>
      <c r="E32" s="89" t="s">
        <v>77</v>
      </c>
      <c r="F32" s="89" t="s">
        <v>87</v>
      </c>
      <c r="G32" s="138" t="s">
        <v>70</v>
      </c>
    </row>
    <row r="33" spans="1:7" ht="45" x14ac:dyDescent="0.25">
      <c r="A33" s="59" t="s">
        <v>57</v>
      </c>
      <c r="B33" s="148">
        <f>C33-D33-B30</f>
        <v>0</v>
      </c>
      <c r="C33" s="139">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40">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45">
        <f>IF(F27=0,0,200/(C8+2+2*C33*12/$F$27-SQRT(C8*5*C33*12/$F$27+4*(C33*12/$F$27)^2)))</f>
        <v>0</v>
      </c>
      <c r="F33" s="145">
        <f>IF(F27=0,0,200/(C8+2+2*(C33-F30)*12/$F$27-SQRT(C8*5*(C33-F30)*12/$F$27+4*((C33-F30)*12/$F$27)^2)))</f>
        <v>0</v>
      </c>
      <c r="G33" s="146">
        <f>IF(F18=0,0,200/(C8+2+2*D33*12/$F$18-SQRT(C8*5*D33*12/$F$18+4*(D33*12/$F$18)^2)))</f>
        <v>0</v>
      </c>
    </row>
    <row r="34" spans="1:7" x14ac:dyDescent="0.25">
      <c r="A34" s="75" t="s">
        <v>58</v>
      </c>
      <c r="B34" s="148">
        <f>C34-D34-B30</f>
        <v>0</v>
      </c>
      <c r="C34" s="141">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42">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45">
        <f>IF(F27=0,0,200/(D8+2+2*C34*12/$F$27-SQRT(D8*5*C34*12/$F$27+4*(C34*12/$F$27)^2)))</f>
        <v>0</v>
      </c>
      <c r="F34" s="145">
        <f>IF(F27=0,0,200/(D8+2+2*(C34-F30)*12/$F$27-SQRT(D8*5*(C34-F30)*12/$F$27+4*((C34-F30)*12/$F$27)^2)))</f>
        <v>0</v>
      </c>
      <c r="G34" s="147">
        <f>IF(F18=0,0,200/(D8+2+2*D34*12/$F$18-SQRT(D8*5*D34*12/$F$18+4*(D34*12/$F$18)^2)))</f>
        <v>0</v>
      </c>
    </row>
    <row r="35" spans="1:7" ht="15.75" thickBot="1" x14ac:dyDescent="0.3">
      <c r="A35" s="76" t="s">
        <v>59</v>
      </c>
      <c r="B35" s="149">
        <f>C35-D35-B30</f>
        <v>0</v>
      </c>
      <c r="C35" s="143">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44">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45">
        <f>IF(F27=0,0,200/(E8+2+2*C35*12/$F$27-SQRT(E8*5*C35*12/$F$27+4*(C35*12/$F$27)^2)))</f>
        <v>0</v>
      </c>
      <c r="F35" s="145">
        <f>IF(F27=0,0,200/(E8+2+2*(C35-F30)*12/$F$27-SQRT(E8*5*(C35-F30)*12/$F$27+4*((C35-F30)*12/$F$27)^2)))</f>
        <v>0</v>
      </c>
      <c r="G35" s="146">
        <f>IF(F18=0,0,200/(E8+2+2*D35*12/$F$18-SQRT(E8*5*D35*12/$F$18+4*(D35*12/$F$18)^2)))</f>
        <v>0</v>
      </c>
    </row>
    <row r="36" spans="1:7" ht="10.9" customHeight="1" thickBot="1" x14ac:dyDescent="0.3">
      <c r="A36" s="77"/>
      <c r="B36" s="78"/>
      <c r="C36" s="78"/>
      <c r="D36" s="78"/>
      <c r="E36" s="78"/>
      <c r="F36" s="78"/>
      <c r="G36" s="63"/>
    </row>
    <row r="37" spans="1:7" ht="18.75" x14ac:dyDescent="0.25">
      <c r="A37" s="151" t="s">
        <v>111</v>
      </c>
      <c r="B37" s="150"/>
      <c r="C37" s="117"/>
      <c r="D37" s="117"/>
      <c r="E37" s="117"/>
      <c r="F37" s="117"/>
      <c r="G37" s="67"/>
    </row>
    <row r="38" spans="1:7" ht="28.9" customHeight="1" x14ac:dyDescent="0.35">
      <c r="A38" s="156"/>
      <c r="B38" s="215" t="s">
        <v>112</v>
      </c>
      <c r="C38" s="214" t="s">
        <v>113</v>
      </c>
      <c r="D38" s="212" t="s">
        <v>120</v>
      </c>
      <c r="E38" s="213"/>
      <c r="F38" s="213"/>
      <c r="G38" s="55"/>
    </row>
    <row r="39" spans="1:7" ht="15" customHeight="1" x14ac:dyDescent="0.25">
      <c r="A39" s="154"/>
      <c r="B39" s="215"/>
      <c r="C39" s="214"/>
      <c r="D39" s="158" t="s">
        <v>115</v>
      </c>
      <c r="E39" s="158" t="s">
        <v>116</v>
      </c>
      <c r="F39" s="158" t="s">
        <v>118</v>
      </c>
      <c r="G39" s="55"/>
    </row>
    <row r="40" spans="1:7" ht="14.45" customHeight="1" x14ac:dyDescent="0.25">
      <c r="A40" s="152" t="s">
        <v>114</v>
      </c>
      <c r="B40" s="159">
        <v>0</v>
      </c>
      <c r="C40" s="93">
        <v>0</v>
      </c>
      <c r="D40" s="157">
        <f>IF(C40=0,0,IF(F18=0,0,($C40^0.8*((1000/G33-10)+1)^0.7)/(1140*($B40*100)^0.5)*60))</f>
        <v>0</v>
      </c>
      <c r="E40" s="157">
        <f>IF(C40=0,0,IF(F18=0,0,($C40^0.8*((1000/G34-10)+1)^0.7)/(1140*($B40*100)^0.5)*60))</f>
        <v>0</v>
      </c>
      <c r="F40" s="157">
        <f>IF(C40=0,0,IF(F18=0,0,($C40^0.8*((1000/G35-10)+1)^0.7)/(1140*($B40*100)^0.5)*60))</f>
        <v>0</v>
      </c>
      <c r="G40" s="55"/>
    </row>
    <row r="41" spans="1:7" ht="30" x14ac:dyDescent="0.25">
      <c r="A41" s="153" t="s">
        <v>117</v>
      </c>
      <c r="B41" s="159">
        <v>0</v>
      </c>
      <c r="C41" s="93">
        <v>0</v>
      </c>
      <c r="D41" s="157">
        <f>IF(C41=0,0,IF(F27=0,0,($C41^0.8*((1000/E33-10)+1)^0.7)/(1140*($B41*100)^0.5)*60))</f>
        <v>0</v>
      </c>
      <c r="E41" s="157">
        <f>IF(C41=0,0,IF(F27=0,0,($C41^0.8*((1000/E34-10)+1)^0.7)/(1140*($B41*100)^0.5)*60))</f>
        <v>0</v>
      </c>
      <c r="F41" s="157">
        <f>IF(C41=0,0,IF(F27=0,0,($C41^0.8*((1000/E35-10)+1)^0.7)/(1140*($B41*100)^0.5)*60))</f>
        <v>0</v>
      </c>
      <c r="G41" s="55"/>
    </row>
    <row r="42" spans="1:7" ht="48" x14ac:dyDescent="0.25">
      <c r="A42" s="153" t="s">
        <v>119</v>
      </c>
      <c r="B42" s="160">
        <v>0</v>
      </c>
      <c r="C42" s="155">
        <v>0</v>
      </c>
      <c r="D42" s="157">
        <f>IF(C42=0,0,IF(F27=0,0,($C42^0.8*((1000/F33-10)+1)^0.7)/(1140*($B42*100)^0.5)*60))</f>
        <v>0</v>
      </c>
      <c r="E42" s="157">
        <f>IF(C42=0,0,IF(F27=0,0,($C42^0.8*((1000/F34-10)+1)^0.7)/(1140*($B42*100)^0.5)*60))</f>
        <v>0</v>
      </c>
      <c r="F42" s="157">
        <f>IF(C42=0,0,IF(F27=0,0,($C42^0.8*((1000/F35-10)+1)^0.7)/(1140*($B42*100)^0.5)*60))</f>
        <v>0</v>
      </c>
      <c r="G42" s="55"/>
    </row>
    <row r="43" spans="1:7" ht="15.75" thickBot="1" x14ac:dyDescent="0.3">
      <c r="A43" s="77"/>
      <c r="B43" s="78"/>
      <c r="C43" s="78"/>
      <c r="D43" s="78"/>
      <c r="E43" s="78"/>
      <c r="F43" s="78"/>
      <c r="G43" s="63"/>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83" t="s">
        <v>62</v>
      </c>
    </row>
    <row r="2" spans="1:5" x14ac:dyDescent="0.25">
      <c r="A2" s="84"/>
      <c r="B2" s="234" t="s">
        <v>44</v>
      </c>
      <c r="C2" s="234"/>
      <c r="D2" s="234"/>
      <c r="E2" s="234"/>
    </row>
    <row r="3" spans="1:5" x14ac:dyDescent="0.25">
      <c r="A3" s="85" t="s">
        <v>45</v>
      </c>
      <c r="B3" s="86" t="s">
        <v>46</v>
      </c>
      <c r="C3" s="86" t="s">
        <v>47</v>
      </c>
      <c r="D3" s="86" t="s">
        <v>48</v>
      </c>
      <c r="E3" s="86" t="s">
        <v>49</v>
      </c>
    </row>
    <row r="4" spans="1:5" x14ac:dyDescent="0.25">
      <c r="A4" s="80" t="s">
        <v>50</v>
      </c>
      <c r="B4" s="79">
        <v>39</v>
      </c>
      <c r="C4" s="79">
        <v>61</v>
      </c>
      <c r="D4" s="79">
        <v>74</v>
      </c>
      <c r="E4" s="79">
        <v>80</v>
      </c>
    </row>
    <row r="5" spans="1:5" x14ac:dyDescent="0.25">
      <c r="A5" s="80" t="s">
        <v>51</v>
      </c>
      <c r="B5" s="79">
        <v>30</v>
      </c>
      <c r="C5" s="79">
        <v>58</v>
      </c>
      <c r="D5" s="79">
        <v>71</v>
      </c>
      <c r="E5" s="79">
        <v>78</v>
      </c>
    </row>
    <row r="6" spans="1:5" x14ac:dyDescent="0.25">
      <c r="A6" s="80" t="s">
        <v>52</v>
      </c>
      <c r="B6" s="79">
        <v>30</v>
      </c>
      <c r="C6" s="79">
        <v>55</v>
      </c>
      <c r="D6" s="79">
        <v>70</v>
      </c>
      <c r="E6" s="79">
        <v>77</v>
      </c>
    </row>
    <row r="7" spans="1:5" x14ac:dyDescent="0.25">
      <c r="A7" s="80" t="s">
        <v>53</v>
      </c>
      <c r="B7" s="79">
        <v>96</v>
      </c>
      <c r="C7" s="79">
        <v>96</v>
      </c>
      <c r="D7" s="79">
        <v>96</v>
      </c>
      <c r="E7" s="79">
        <v>96</v>
      </c>
    </row>
    <row r="8" spans="1:5" ht="30" x14ac:dyDescent="0.25">
      <c r="A8" s="81" t="s">
        <v>63</v>
      </c>
      <c r="B8" s="79">
        <v>98</v>
      </c>
      <c r="C8" s="79">
        <v>98</v>
      </c>
      <c r="D8" s="79">
        <v>98</v>
      </c>
      <c r="E8" s="79">
        <v>98</v>
      </c>
    </row>
    <row r="10" spans="1:5" ht="15.75" x14ac:dyDescent="0.25">
      <c r="A10" s="87" t="s">
        <v>64</v>
      </c>
    </row>
    <row r="11" spans="1:5" x14ac:dyDescent="0.25">
      <c r="A11" s="84"/>
      <c r="B11" s="234" t="s">
        <v>44</v>
      </c>
      <c r="C11" s="234"/>
      <c r="D11" s="234"/>
      <c r="E11" s="234"/>
    </row>
    <row r="12" spans="1:5" x14ac:dyDescent="0.25">
      <c r="A12" s="85" t="s">
        <v>45</v>
      </c>
      <c r="B12" s="86" t="s">
        <v>46</v>
      </c>
      <c r="C12" s="86" t="s">
        <v>47</v>
      </c>
      <c r="D12" s="86" t="s">
        <v>48</v>
      </c>
      <c r="E12" s="86" t="s">
        <v>49</v>
      </c>
    </row>
    <row r="13" spans="1:5" x14ac:dyDescent="0.25">
      <c r="A13" s="80" t="s">
        <v>50</v>
      </c>
      <c r="B13" s="79">
        <f>1000/B4-10</f>
        <v>15.641025641025642</v>
      </c>
      <c r="C13" s="79">
        <f t="shared" ref="C13:E13" si="0">1000/C4-10</f>
        <v>6.3934426229508183</v>
      </c>
      <c r="D13" s="79">
        <f t="shared" si="0"/>
        <v>3.513513513513514</v>
      </c>
      <c r="E13" s="79">
        <f t="shared" si="0"/>
        <v>2.5</v>
      </c>
    </row>
    <row r="14" spans="1:5" x14ac:dyDescent="0.25">
      <c r="A14" s="80" t="s">
        <v>51</v>
      </c>
      <c r="B14" s="79">
        <f t="shared" ref="B14:E17" si="1">1000/B5-10</f>
        <v>23.333333333333336</v>
      </c>
      <c r="C14" s="79">
        <f t="shared" si="1"/>
        <v>7.2413793103448292</v>
      </c>
      <c r="D14" s="79">
        <f t="shared" si="1"/>
        <v>4.0845070422535219</v>
      </c>
      <c r="E14" s="79">
        <f t="shared" si="1"/>
        <v>2.8205128205128212</v>
      </c>
    </row>
    <row r="15" spans="1:5" x14ac:dyDescent="0.25">
      <c r="A15" s="80" t="s">
        <v>52</v>
      </c>
      <c r="B15" s="79">
        <f t="shared" si="1"/>
        <v>23.333333333333336</v>
      </c>
      <c r="C15" s="79">
        <f t="shared" si="1"/>
        <v>8.1818181818181834</v>
      </c>
      <c r="D15" s="79">
        <f t="shared" si="1"/>
        <v>4.2857142857142865</v>
      </c>
      <c r="E15" s="79">
        <f t="shared" si="1"/>
        <v>2.9870129870129869</v>
      </c>
    </row>
    <row r="16" spans="1:5" x14ac:dyDescent="0.25">
      <c r="A16" s="80" t="s">
        <v>53</v>
      </c>
      <c r="B16" s="79">
        <f>1000/B7-10</f>
        <v>0.41666666666666607</v>
      </c>
      <c r="C16" s="79">
        <f t="shared" si="1"/>
        <v>0.41666666666666607</v>
      </c>
      <c r="D16" s="79">
        <f t="shared" si="1"/>
        <v>0.41666666666666607</v>
      </c>
      <c r="E16" s="79">
        <f t="shared" si="1"/>
        <v>0.41666666666666607</v>
      </c>
    </row>
    <row r="17" spans="1:5" ht="45" x14ac:dyDescent="0.25">
      <c r="A17" s="81" t="s">
        <v>65</v>
      </c>
      <c r="B17" s="79">
        <f>1000/B8-10</f>
        <v>0.20408163265306101</v>
      </c>
      <c r="C17" s="79">
        <f t="shared" si="1"/>
        <v>0.20408163265306101</v>
      </c>
      <c r="D17" s="79">
        <f t="shared" si="1"/>
        <v>0.20408163265306101</v>
      </c>
      <c r="E17" s="79">
        <f t="shared" si="1"/>
        <v>0.20408163265306101</v>
      </c>
    </row>
    <row r="19" spans="1:5" ht="15.75" x14ac:dyDescent="0.25">
      <c r="A19" s="87" t="s">
        <v>66</v>
      </c>
    </row>
    <row r="20" spans="1:5" x14ac:dyDescent="0.25">
      <c r="A20" s="88" t="s">
        <v>44</v>
      </c>
      <c r="B20" s="86" t="s">
        <v>46</v>
      </c>
      <c r="C20" s="86" t="s">
        <v>47</v>
      </c>
      <c r="D20" s="86" t="s">
        <v>48</v>
      </c>
      <c r="E20" s="86" t="s">
        <v>49</v>
      </c>
    </row>
    <row r="21" spans="1:5" x14ac:dyDescent="0.25">
      <c r="A21" s="82" t="s">
        <v>67</v>
      </c>
      <c r="B21" s="79">
        <v>0.6</v>
      </c>
      <c r="C21" s="79">
        <v>0.35</v>
      </c>
      <c r="D21" s="79">
        <v>0.25</v>
      </c>
      <c r="E21" s="79">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Bioretention (4.3.1)</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Gianfagna</dc:creator>
  <cp:lastModifiedBy>Schelley, Emily</cp:lastModifiedBy>
  <cp:lastPrinted>2018-08-14T17:30:01Z</cp:lastPrinted>
  <dcterms:created xsi:type="dcterms:W3CDTF">2017-03-30T13:08:46Z</dcterms:created>
  <dcterms:modified xsi:type="dcterms:W3CDTF">2020-11-30T15:23:21Z</dcterms:modified>
</cp:coreProperties>
</file>