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vermontgov-my.sharepoint.com/personal/emily_schelley_vermont_gov/Documents/MyFiles/3 acre/Forms/STPs/"/>
    </mc:Choice>
  </mc:AlternateContent>
  <xr:revisionPtr revIDLastSave="27" documentId="8_{D8C48E77-D25F-4288-8091-A5628FBD6A61}" xr6:coauthVersionLast="45" xr6:coauthVersionMax="45" xr10:uidLastSave="{80F40A5B-5E01-482F-85A1-5E1B15576E63}"/>
  <bookViews>
    <workbookView xWindow="3225" yWindow="1395" windowWidth="26610" windowHeight="14220" xr2:uid="{00000000-000D-0000-FFFF-FFFF00000000}"/>
  </bookViews>
  <sheets>
    <sheet name="Bioretention (4.3.1)" sheetId="1" r:id="rId1"/>
    <sheet name="Runoff Calculator (optional)" sheetId="2" r:id="rId2"/>
    <sheet name="Lookup" sheetId="3" state="hidden" r:id="rId3"/>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4" i="1" l="1"/>
  <c r="D9" i="1" l="1"/>
  <c r="D10" i="1" l="1"/>
  <c r="E12" i="1"/>
  <c r="F42" i="2" l="1"/>
  <c r="E42" i="2"/>
  <c r="D42" i="2"/>
  <c r="F41" i="2"/>
  <c r="E41" i="2"/>
  <c r="D41" i="2"/>
  <c r="F40" i="2"/>
  <c r="E40" i="2"/>
  <c r="D40" i="2"/>
  <c r="F1" i="2"/>
  <c r="F2" i="2"/>
  <c r="F3" i="2"/>
  <c r="F14" i="2"/>
  <c r="F15" i="2"/>
  <c r="F16" i="2"/>
  <c r="F17" i="2"/>
  <c r="B18" i="2"/>
  <c r="C18" i="2"/>
  <c r="D18" i="2"/>
  <c r="E18" i="2"/>
  <c r="F23" i="2"/>
  <c r="F24" i="2"/>
  <c r="F25" i="2"/>
  <c r="F26" i="2"/>
  <c r="B27" i="2"/>
  <c r="C27" i="2"/>
  <c r="D27" i="2"/>
  <c r="E27" i="2"/>
  <c r="F27" i="2" l="1"/>
  <c r="F33" i="2"/>
  <c r="E35" i="2"/>
  <c r="E33" i="2"/>
  <c r="F18" i="2"/>
  <c r="G33" i="2" s="1"/>
  <c r="F34" i="2"/>
  <c r="E34" i="2"/>
  <c r="F35" i="2"/>
  <c r="G34" i="2" l="1"/>
  <c r="G35" i="2"/>
  <c r="B35" i="1"/>
  <c r="B36" i="1"/>
  <c r="B24" i="1"/>
  <c r="B20" i="1"/>
  <c r="B19" i="1"/>
  <c r="F7" i="1" l="1"/>
  <c r="B48" i="1" l="1"/>
  <c r="H47" i="1"/>
  <c r="E9" i="1" l="1"/>
  <c r="F6" i="1"/>
  <c r="F5" i="1"/>
  <c r="B18" i="1" s="1"/>
  <c r="F9" i="1" l="1"/>
  <c r="I9" i="1" l="1"/>
  <c r="H36" i="1"/>
  <c r="E17" i="3"/>
  <c r="D17" i="3"/>
  <c r="C17" i="3"/>
  <c r="B17" i="3"/>
  <c r="E16" i="3"/>
  <c r="D16" i="3"/>
  <c r="C16" i="3"/>
  <c r="B16" i="3"/>
  <c r="E15" i="3"/>
  <c r="D15" i="3"/>
  <c r="C15" i="3"/>
  <c r="B15" i="3"/>
  <c r="E14" i="3"/>
  <c r="D14" i="3"/>
  <c r="C14" i="3"/>
  <c r="B14" i="3"/>
  <c r="E13" i="3"/>
  <c r="D13" i="3"/>
  <c r="C13" i="3"/>
  <c r="B13" i="3"/>
  <c r="C34" i="2" l="1"/>
  <c r="C33" i="2"/>
  <c r="C35" i="2"/>
  <c r="B35" i="2" s="1"/>
  <c r="D34" i="2"/>
  <c r="D35" i="2"/>
  <c r="D33" i="2"/>
  <c r="G50" i="1"/>
  <c r="G51" i="1" s="1"/>
  <c r="B47" i="1"/>
  <c r="B50" i="1"/>
  <c r="B51" i="1" s="1"/>
  <c r="B49" i="1"/>
  <c r="H52" i="1"/>
  <c r="B33" i="2" l="1"/>
  <c r="B34" i="2"/>
  <c r="H41" i="1"/>
  <c r="H50" i="1" l="1"/>
  <c r="H5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D4" authorId="0" shapeId="0" xr:uid="{6C376CB5-00F9-4045-891D-68E26822CF48}">
      <text>
        <r>
          <rPr>
            <sz val="9"/>
            <color indexed="81"/>
            <rFont val="Tahoma"/>
            <family val="2"/>
          </rPr>
          <t xml:space="preserve">Include areas draining to the practice that will receive permit coverage, including existing onsite areas for site balancing. Treatment of this area only will receive credit towards meeting required treatment standards.
</t>
        </r>
      </text>
    </comment>
    <comment ref="E4" authorId="0" shapeId="0" xr:uid="{96C71E41-146C-4B18-9227-1A9D5F640D10}">
      <text>
        <r>
          <rPr>
            <sz val="9"/>
            <color indexed="81"/>
            <rFont val="Tahoma"/>
            <family val="2"/>
          </rPr>
          <t xml:space="preserve">Include areas draining to the practice without bypass or overflow, but will not receive permit coverage. This area must be included in WQ sizing to prevent the undersizing of practices but will not receive credit towards meeting the standards.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C32" authorId="0" shapeId="0" xr:uid="{DA6045EF-4F92-4CBA-AD10-3B2289358173}">
      <text>
        <r>
          <rPr>
            <sz val="9"/>
            <color indexed="81"/>
            <rFont val="Tahoma"/>
            <family val="2"/>
          </rPr>
          <t>Takes into account Tv of upstream practices</t>
        </r>
      </text>
    </comment>
    <comment ref="E32" authorId="0" shapeId="0" xr:uid="{18D0E12C-3F29-442B-99AA-1C1C12ADCF38}">
      <text>
        <r>
          <rPr>
            <sz val="9"/>
            <color indexed="81"/>
            <rFont val="Tahoma"/>
            <family val="2"/>
          </rPr>
          <t>The Post Development CN for areas draining to the practice, taking into account Tv credit of any upstream practices.</t>
        </r>
      </text>
    </comment>
    <comment ref="F32" authorId="0" shapeId="0" xr:uid="{592B8397-12FA-477D-88CB-E3FBE070E580}">
      <text>
        <r>
          <rPr>
            <sz val="9"/>
            <color indexed="81"/>
            <rFont val="Tahoma"/>
            <family val="2"/>
          </rPr>
          <t xml:space="preserve">CN representing runoff from the practice drainage area after Tv of the practice has been applied.
</t>
        </r>
      </text>
    </comment>
  </commentList>
</comments>
</file>

<file path=xl/sharedStrings.xml><?xml version="1.0" encoding="utf-8"?>
<sst xmlns="http://schemas.openxmlformats.org/spreadsheetml/2006/main" count="180" uniqueCount="127">
  <si>
    <t>Project Name:</t>
  </si>
  <si>
    <t>Discharge Point:</t>
  </si>
  <si>
    <t>Response</t>
  </si>
  <si>
    <t>Attachment location</t>
  </si>
  <si>
    <t xml:space="preserve">Has pretreatment been provided for non-rooftop runoff? </t>
  </si>
  <si>
    <r>
      <t>Attachment location</t>
    </r>
    <r>
      <rPr>
        <sz val="9"/>
        <color indexed="10"/>
        <rFont val="Palatino Linotype"/>
        <family val="1"/>
      </rPr>
      <t>: Indicate the specific location (i.e. appendix, page, plan sheet) where the requisite support documentation has been provided within the application.</t>
    </r>
  </si>
  <si>
    <t>Designed to Infiltrate?</t>
  </si>
  <si>
    <t>Practice Drainage Area</t>
  </si>
  <si>
    <r>
      <t>WQ</t>
    </r>
    <r>
      <rPr>
        <vertAlign val="subscript"/>
        <sz val="10"/>
        <rFont val="Palatino Linotype"/>
        <family val="1"/>
      </rPr>
      <t>V</t>
    </r>
    <r>
      <rPr>
        <sz val="10"/>
        <rFont val="Palatino Linotype"/>
        <family val="1"/>
      </rPr>
      <t xml:space="preserve"> to practice</t>
    </r>
  </si>
  <si>
    <r>
      <t>Designed to Infiltrate &gt;WQ</t>
    </r>
    <r>
      <rPr>
        <vertAlign val="subscript"/>
        <sz val="10"/>
        <rFont val="Palatino Linotype"/>
        <family val="1"/>
      </rPr>
      <t>V</t>
    </r>
    <r>
      <rPr>
        <sz val="10"/>
        <rFont val="Palatino Linotype"/>
        <family val="1"/>
      </rPr>
      <t>?</t>
    </r>
  </si>
  <si>
    <t>Modified CN for WQ (1.0") storm</t>
  </si>
  <si>
    <t>What type of pretreatment is being used?</t>
  </si>
  <si>
    <t>Has an underdrain been provided? (required if the underlying soils have an infiltration rate of less than 0.2 inches per hour)</t>
  </si>
  <si>
    <t>9*</t>
  </si>
  <si>
    <t>* Questions preceded by an asterix (*) may change based on previously entered values</t>
  </si>
  <si>
    <t>Have the outfalls and the conveyance to the discharge point been designed/protected to avoid erosive velocities?</t>
  </si>
  <si>
    <r>
      <t>A</t>
    </r>
    <r>
      <rPr>
        <vertAlign val="subscript"/>
        <sz val="10"/>
        <rFont val="Palatino Linotype"/>
        <family val="1"/>
      </rPr>
      <t>f</t>
    </r>
    <r>
      <rPr>
        <sz val="10"/>
        <rFont val="Palatino Linotype"/>
        <family val="1"/>
      </rPr>
      <t xml:space="preserve"> (ft</t>
    </r>
    <r>
      <rPr>
        <vertAlign val="superscript"/>
        <sz val="10"/>
        <rFont val="Palatino Linotype"/>
        <family val="1"/>
      </rPr>
      <t>2</t>
    </r>
    <r>
      <rPr>
        <sz val="10"/>
        <rFont val="Palatino Linotype"/>
        <family val="1"/>
      </rPr>
      <t>)</t>
    </r>
  </si>
  <si>
    <t>(ft)</t>
  </si>
  <si>
    <r>
      <t>d</t>
    </r>
    <r>
      <rPr>
        <vertAlign val="subscript"/>
        <sz val="10"/>
        <rFont val="Palatino Linotype"/>
        <family val="1"/>
      </rPr>
      <t>f</t>
    </r>
    <r>
      <rPr>
        <sz val="10"/>
        <rFont val="Palatino Linotype"/>
        <family val="1"/>
      </rPr>
      <t xml:space="preserve"> (ft)</t>
    </r>
  </si>
  <si>
    <t>What is the coefficient of permeability of the filter media?</t>
  </si>
  <si>
    <t>k (ft/day)</t>
  </si>
  <si>
    <r>
      <t>h</t>
    </r>
    <r>
      <rPr>
        <vertAlign val="subscript"/>
        <sz val="10"/>
        <rFont val="Palatino Linotype"/>
        <family val="1"/>
      </rPr>
      <t>f</t>
    </r>
    <r>
      <rPr>
        <sz val="10"/>
        <rFont val="Palatino Linotype"/>
        <family val="1"/>
      </rPr>
      <t xml:space="preserve"> (ft)</t>
    </r>
  </si>
  <si>
    <t>What is the average height of water above the filter bed?</t>
  </si>
  <si>
    <t>What is the depth of the filter bed? (2-4 feet)</t>
  </si>
  <si>
    <r>
      <t>t</t>
    </r>
    <r>
      <rPr>
        <vertAlign val="subscript"/>
        <sz val="10"/>
        <rFont val="Palatino Linotype"/>
        <family val="1"/>
      </rPr>
      <t>f</t>
    </r>
    <r>
      <rPr>
        <sz val="10"/>
        <rFont val="Palatino Linotype"/>
        <family val="1"/>
      </rPr>
      <t xml:space="preserve"> (days)</t>
    </r>
  </si>
  <si>
    <r>
      <t>What is the design filter bed drain time? (</t>
    </r>
    <r>
      <rPr>
        <sz val="10"/>
        <rFont val="Calibri"/>
        <family val="2"/>
      </rPr>
      <t>≤</t>
    </r>
    <r>
      <rPr>
        <sz val="10"/>
        <rFont val="Palatino Linotype"/>
        <family val="1"/>
      </rPr>
      <t>2 days)</t>
    </r>
  </si>
  <si>
    <r>
      <t>ft</t>
    </r>
    <r>
      <rPr>
        <b/>
        <vertAlign val="superscript"/>
        <sz val="10"/>
        <rFont val="Palatino Linotype"/>
        <family val="1"/>
      </rPr>
      <t>3</t>
    </r>
  </si>
  <si>
    <t xml:space="preserve">ac-ft </t>
  </si>
  <si>
    <t>Does the site plan specify a landscaping plan that ensures dense and vigorous vegetation over the contributing pervious drainage areas and the practice?</t>
  </si>
  <si>
    <t>porosity</t>
  </si>
  <si>
    <t>For Permit Coverage</t>
  </si>
  <si>
    <t>Total (acres)</t>
  </si>
  <si>
    <t>Not for Permit Coverage</t>
  </si>
  <si>
    <t>Precipitation Data</t>
  </si>
  <si>
    <t xml:space="preserve">* Preciptation values shall be obtained from </t>
  </si>
  <si>
    <t>NOAA Atlas 14</t>
  </si>
  <si>
    <t>Storm</t>
  </si>
  <si>
    <t>WQ Storm</t>
  </si>
  <si>
    <t>1 yr, 24 hr</t>
  </si>
  <si>
    <t>10 yr, 24 hr</t>
  </si>
  <si>
    <t>100 yr, 24 hr</t>
  </si>
  <si>
    <t>Precipitation (inches)</t>
  </si>
  <si>
    <t>Drainage Area Information</t>
  </si>
  <si>
    <t>Pre Development Land Use (acres)</t>
  </si>
  <si>
    <t>Hydrologic Soil Group</t>
  </si>
  <si>
    <t>Landuse</t>
  </si>
  <si>
    <t>A</t>
  </si>
  <si>
    <t>B</t>
  </si>
  <si>
    <t>C</t>
  </si>
  <si>
    <t>D</t>
  </si>
  <si>
    <t>Grass</t>
  </si>
  <si>
    <t>Meadow</t>
  </si>
  <si>
    <t>Woods</t>
  </si>
  <si>
    <t>Gravel/ Unpaved Roads</t>
  </si>
  <si>
    <t xml:space="preserve">Pavement, roofs, and other impervious </t>
  </si>
  <si>
    <t>Total</t>
  </si>
  <si>
    <t>Post Development Land Use (acres)</t>
  </si>
  <si>
    <t>Channel Protection (Hydrologic Condition Method)</t>
  </si>
  <si>
    <t>Overbank Flood</t>
  </si>
  <si>
    <t>Extreme Flood</t>
  </si>
  <si>
    <t>Required Treatment Volume</t>
  </si>
  <si>
    <t>Pre-development Runoff Volume</t>
  </si>
  <si>
    <t>Curve Numbers</t>
  </si>
  <si>
    <t xml:space="preserve">Pavement, Roofs, and other impervious </t>
  </si>
  <si>
    <t>S=1000/CN - 10</t>
  </si>
  <si>
    <t>Pavement, Roofs, and other impervious (not gravel)</t>
  </si>
  <si>
    <t>Recharge Factors</t>
  </si>
  <si>
    <t>Recharge Factor</t>
  </si>
  <si>
    <t>Practice Drainage Area Runoff Calculator</t>
  </si>
  <si>
    <t>Post Development Runoff Volume</t>
  </si>
  <si>
    <t>Pre Composite CN</t>
  </si>
  <si>
    <t>Total Area (acres)</t>
  </si>
  <si>
    <r>
      <t>WQ</t>
    </r>
    <r>
      <rPr>
        <vertAlign val="subscript"/>
        <sz val="10"/>
        <rFont val="Palatino Linotype"/>
        <family val="1"/>
      </rPr>
      <t>V</t>
    </r>
    <r>
      <rPr>
        <sz val="10"/>
        <rFont val="Palatino Linotype"/>
        <family val="1"/>
      </rPr>
      <t xml:space="preserve"> not for credit</t>
    </r>
  </si>
  <si>
    <r>
      <t>Total WQ</t>
    </r>
    <r>
      <rPr>
        <vertAlign val="subscript"/>
        <sz val="10"/>
        <rFont val="Palatino Linotype"/>
        <family val="1"/>
      </rPr>
      <t>V</t>
    </r>
    <r>
      <rPr>
        <sz val="10"/>
        <rFont val="Palatino Linotype"/>
        <family val="1"/>
      </rPr>
      <t xml:space="preserve"> </t>
    </r>
  </si>
  <si>
    <t>Treatment Standard</t>
  </si>
  <si>
    <t>ac-ft</t>
  </si>
  <si>
    <r>
      <t>T</t>
    </r>
    <r>
      <rPr>
        <vertAlign val="subscript"/>
        <sz val="11"/>
        <color theme="1"/>
        <rFont val="Calibri"/>
        <family val="2"/>
        <scheme val="minor"/>
      </rPr>
      <t>V</t>
    </r>
    <r>
      <rPr>
        <sz val="11"/>
        <color theme="1"/>
        <rFont val="Calibri"/>
        <family val="2"/>
        <scheme val="minor"/>
      </rPr>
      <t xml:space="preserve"> of upstream practices:</t>
    </r>
  </si>
  <si>
    <t>Post Composite CN (to practice)</t>
  </si>
  <si>
    <t>Total to Practice</t>
  </si>
  <si>
    <t>Required minimum surface area of the filter bed</t>
  </si>
  <si>
    <r>
      <t>Af (ft</t>
    </r>
    <r>
      <rPr>
        <vertAlign val="superscript"/>
        <sz val="10"/>
        <rFont val="Palatino Linotype"/>
        <family val="1"/>
      </rPr>
      <t>2</t>
    </r>
    <r>
      <rPr>
        <sz val="10"/>
        <rFont val="Palatino Linotype"/>
        <family val="1"/>
      </rPr>
      <t>)</t>
    </r>
  </si>
  <si>
    <t>Design filter bed area</t>
  </si>
  <si>
    <r>
      <t>WQ</t>
    </r>
    <r>
      <rPr>
        <vertAlign val="subscript"/>
        <sz val="10"/>
        <rFont val="Palatino Linotype"/>
        <family val="1"/>
      </rPr>
      <t>V</t>
    </r>
    <r>
      <rPr>
        <sz val="10"/>
        <rFont val="Palatino Linotype"/>
        <family val="1"/>
      </rPr>
      <t xml:space="preserve"> for credit</t>
    </r>
  </si>
  <si>
    <r>
      <t>Note: If the practice is designed to infiltrate the WQ</t>
    </r>
    <r>
      <rPr>
        <vertAlign val="subscript"/>
        <sz val="10"/>
        <rFont val="Palatino Linotype"/>
        <family val="1"/>
      </rPr>
      <t>V</t>
    </r>
    <r>
      <rPr>
        <sz val="10"/>
        <rFont val="Palatino Linotype"/>
        <family val="1"/>
      </rPr>
      <t>, then T</t>
    </r>
    <r>
      <rPr>
        <vertAlign val="subscript"/>
        <sz val="10"/>
        <rFont val="Palatino Linotype"/>
        <family val="1"/>
      </rPr>
      <t>V</t>
    </r>
    <r>
      <rPr>
        <sz val="10"/>
        <rFont val="Palatino Linotype"/>
        <family val="1"/>
      </rPr>
      <t xml:space="preserve"> = WQ</t>
    </r>
    <r>
      <rPr>
        <vertAlign val="subscript"/>
        <sz val="10"/>
        <rFont val="Palatino Linotype"/>
        <family val="1"/>
      </rPr>
      <t>V</t>
    </r>
    <r>
      <rPr>
        <sz val="10"/>
        <rFont val="Palatino Linotype"/>
        <family val="1"/>
      </rPr>
      <t>. Designers may use the Practice Drainage Area Runoff Calculator (second tab) for calculation of practice-specific runoff volumes for other treatment standards. Sizing of the filter bed area/swale bottom need to consider the desired treatment volume (see treatment section). Some design requirements will change based on the size of storm the practice is designed to treat.</t>
    </r>
  </si>
  <si>
    <t>This tool may be used to calculate the required treatment volumes for the area draining to an individual practice where the practices drainage area is only a portion of of the area draining to a discharge point. Where the practice receives runoff from the entire area to a discharge point, this calculator will give the same information as the Standards Compliance Workbook.</t>
  </si>
  <si>
    <t>Redeveloped Impervious</t>
  </si>
  <si>
    <t>New Impervious (acres)</t>
  </si>
  <si>
    <r>
      <t>CN</t>
    </r>
    <r>
      <rPr>
        <vertAlign val="subscript"/>
        <sz val="11"/>
        <rFont val="Calibri"/>
        <family val="2"/>
        <scheme val="minor"/>
      </rPr>
      <t>Adj</t>
    </r>
    <r>
      <rPr>
        <sz val="11"/>
        <rFont val="Calibri"/>
        <family val="2"/>
        <scheme val="minor"/>
      </rPr>
      <t xml:space="preserve"> (with T</t>
    </r>
    <r>
      <rPr>
        <vertAlign val="subscript"/>
        <sz val="11"/>
        <rFont val="Calibri"/>
        <family val="2"/>
        <scheme val="minor"/>
      </rPr>
      <t>V</t>
    </r>
    <r>
      <rPr>
        <sz val="11"/>
        <rFont val="Calibri"/>
        <family val="2"/>
        <scheme val="minor"/>
      </rPr>
      <t xml:space="preserve"> practice credit)</t>
    </r>
  </si>
  <si>
    <r>
      <t>T</t>
    </r>
    <r>
      <rPr>
        <vertAlign val="subscript"/>
        <sz val="11"/>
        <color theme="1"/>
        <rFont val="Calibri"/>
        <family val="2"/>
        <scheme val="minor"/>
      </rPr>
      <t>V</t>
    </r>
    <r>
      <rPr>
        <sz val="11"/>
        <color theme="1"/>
        <rFont val="Calibri"/>
        <family val="2"/>
        <scheme val="minor"/>
      </rPr>
      <t xml:space="preserve"> credit of this practice:</t>
    </r>
  </si>
  <si>
    <t>6*</t>
  </si>
  <si>
    <t>10*</t>
  </si>
  <si>
    <t>12*</t>
  </si>
  <si>
    <t>18*</t>
  </si>
  <si>
    <t>29*</t>
  </si>
  <si>
    <t>Bioretention #</t>
  </si>
  <si>
    <t>Bioretention (4.3.1)</t>
  </si>
  <si>
    <t>Feasibility (4.3.1.1)</t>
  </si>
  <si>
    <t>8*</t>
  </si>
  <si>
    <r>
      <t>Has the practice either been designed as offline for the WQ</t>
    </r>
    <r>
      <rPr>
        <vertAlign val="subscript"/>
        <sz val="10"/>
        <rFont val="Palatino Linotype"/>
        <family val="1"/>
      </rPr>
      <t>V</t>
    </r>
    <r>
      <rPr>
        <sz val="10"/>
        <rFont val="Palatino Linotype"/>
        <family val="1"/>
      </rPr>
      <t xml:space="preserve"> or T</t>
    </r>
    <r>
      <rPr>
        <vertAlign val="subscript"/>
        <sz val="10"/>
        <rFont val="Palatino Linotype"/>
        <family val="1"/>
      </rPr>
      <t>V</t>
    </r>
    <r>
      <rPr>
        <sz val="10"/>
        <rFont val="Palatino Linotype"/>
        <family val="1"/>
      </rPr>
      <t>, or a non-erosive outlet for the 10 year storm event been provided?</t>
    </r>
  </si>
  <si>
    <t>Conveyance (4.3.1.2)</t>
  </si>
  <si>
    <t>Does site plan specify a bioretention mix consisting of sand or loamy sand by USDA classification (85-88% sand, 8-12% silt, and 0-2% clay) and 3-5% organic matter in the form of compost?</t>
  </si>
  <si>
    <t>Is the Bioretention storage volume, including the storage volume above the filter bed, volume in any upstream pre-treatment practice, as well as within the filter media, &gt; 75% of the design WQv or Tv (as applicable)?</t>
  </si>
  <si>
    <t>Treatment Volume Calculation- Bioretention with Underdrain</t>
  </si>
  <si>
    <t>23*</t>
  </si>
  <si>
    <t>26*</t>
  </si>
  <si>
    <t>27*</t>
  </si>
  <si>
    <t>28*</t>
  </si>
  <si>
    <t>30*</t>
  </si>
  <si>
    <t>Pre-Treatment (4.3.1.3)</t>
  </si>
  <si>
    <t>Treatment (4.3.1.4)</t>
  </si>
  <si>
    <t>Landscaping (4.3.1.5)</t>
  </si>
  <si>
    <r>
      <t>Information for Calculating T</t>
    </r>
    <r>
      <rPr>
        <b/>
        <vertAlign val="subscript"/>
        <sz val="12"/>
        <color theme="1"/>
        <rFont val="Calibri"/>
        <family val="2"/>
        <scheme val="minor"/>
      </rPr>
      <t>C</t>
    </r>
    <r>
      <rPr>
        <b/>
        <sz val="12"/>
        <color theme="1"/>
        <rFont val="Calibri"/>
        <family val="2"/>
        <scheme val="minor"/>
      </rPr>
      <t xml:space="preserve"> by the Watershed Lag Method </t>
    </r>
  </si>
  <si>
    <t>Average Catchment Slope, Y (%)</t>
  </si>
  <si>
    <t>Hydraulic Length, l (ft)</t>
  </si>
  <si>
    <t>Pre Development</t>
  </si>
  <si>
    <t>1 yr</t>
  </si>
  <si>
    <t>10 yr</t>
  </si>
  <si>
    <t>Post Development, upstream of practice</t>
  </si>
  <si>
    <t>100 yr</t>
  </si>
  <si>
    <r>
      <t>Post Development, with T</t>
    </r>
    <r>
      <rPr>
        <vertAlign val="subscript"/>
        <sz val="11"/>
        <color theme="1"/>
        <rFont val="Calibri"/>
        <family val="2"/>
        <scheme val="minor"/>
      </rPr>
      <t>V</t>
    </r>
    <r>
      <rPr>
        <sz val="11"/>
        <color theme="1"/>
        <rFont val="Calibri"/>
        <family val="2"/>
        <scheme val="minor"/>
      </rPr>
      <t xml:space="preserve"> credit from practice</t>
    </r>
  </si>
  <si>
    <r>
      <t>Time of Concentration, T</t>
    </r>
    <r>
      <rPr>
        <vertAlign val="subscript"/>
        <sz val="12"/>
        <color theme="1"/>
        <rFont val="Calibri"/>
        <family val="2"/>
        <scheme val="minor"/>
      </rPr>
      <t xml:space="preserve">C </t>
    </r>
    <r>
      <rPr>
        <sz val="12"/>
        <color theme="1"/>
        <rFont val="Calibri Light"/>
        <family val="2"/>
        <scheme val="major"/>
      </rPr>
      <t>(min)</t>
    </r>
  </si>
  <si>
    <r>
      <t xml:space="preserve"> Design Volume for Infiltration T</t>
    </r>
    <r>
      <rPr>
        <vertAlign val="subscript"/>
        <sz val="10"/>
        <rFont val="Palatino Linotype"/>
        <family val="1"/>
      </rPr>
      <t xml:space="preserve">V </t>
    </r>
    <r>
      <rPr>
        <sz val="10"/>
        <rFont val="Palatino Linotype"/>
        <family val="1"/>
      </rPr>
      <t>(acre-feet)</t>
    </r>
  </si>
  <si>
    <t>Version: 11/24/2020</t>
  </si>
  <si>
    <t>Storage Volume (acre feet). This will be entered on the eNOI.</t>
  </si>
  <si>
    <t>31*</t>
  </si>
  <si>
    <t>(ac-ft)</t>
  </si>
  <si>
    <t>Enter this on the eNOI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</si>
</sst>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
  </numFmts>
  <fonts count="41" x14ac:knownFonts="1">
    <font>
      <sz val="11"/>
      <color theme="1"/>
      <name val="Calibri"/>
      <family val="2"/>
      <scheme val="minor"/>
    </font>
    <font>
      <sz val="10"/>
      <name val="Palatino Linotype"/>
      <family val="1"/>
    </font>
    <font>
      <sz val="12"/>
      <name val="Palatino Linotype"/>
      <family val="1"/>
    </font>
    <font>
      <b/>
      <sz val="12"/>
      <name val="Palatino Linotype"/>
      <family val="1"/>
    </font>
    <font>
      <b/>
      <sz val="10"/>
      <name val="Palatino Linotype"/>
      <family val="1"/>
    </font>
    <font>
      <sz val="18"/>
      <name val="Palatino Linotype"/>
      <family val="1"/>
    </font>
    <font>
      <b/>
      <sz val="14"/>
      <name val="Palatino Linotype"/>
      <family val="1"/>
    </font>
    <font>
      <sz val="14"/>
      <name val="Palatino Linotype"/>
      <family val="1"/>
    </font>
    <font>
      <b/>
      <sz val="11"/>
      <name val="Palatino Linotype"/>
      <family val="1"/>
    </font>
    <font>
      <sz val="11"/>
      <name val="Palatino Linotype"/>
      <family val="1"/>
    </font>
    <font>
      <i/>
      <sz val="10"/>
      <name val="Palatino Linotype"/>
      <family val="1"/>
    </font>
    <font>
      <vertAlign val="superscript"/>
      <sz val="10"/>
      <name val="Palatino Linotype"/>
      <family val="1"/>
    </font>
    <font>
      <u/>
      <sz val="9"/>
      <color indexed="10"/>
      <name val="Palatino Linotype"/>
      <family val="1"/>
    </font>
    <font>
      <sz val="9"/>
      <color indexed="10"/>
      <name val="Palatino Linotype"/>
      <family val="1"/>
    </font>
    <font>
      <sz val="12"/>
      <color indexed="10"/>
      <name val="Palatino Linotype"/>
      <family val="1"/>
    </font>
    <font>
      <vertAlign val="subscript"/>
      <sz val="10"/>
      <name val="Palatino Linotype"/>
      <family val="1"/>
    </font>
    <font>
      <sz val="12"/>
      <color theme="0"/>
      <name val="Palatino Linotype"/>
      <family val="1"/>
    </font>
    <font>
      <sz val="10"/>
      <color theme="0"/>
      <name val="Palatino Linotype"/>
      <family val="1"/>
    </font>
    <font>
      <sz val="10"/>
      <name val="Calibri"/>
      <family val="2"/>
    </font>
    <font>
      <i/>
      <sz val="9"/>
      <name val="Palatino Linotype"/>
      <family val="1"/>
    </font>
    <font>
      <b/>
      <sz val="12"/>
      <color theme="0"/>
      <name val="Palatino Linotype"/>
      <family val="1"/>
    </font>
    <font>
      <sz val="8"/>
      <color rgb="FF000000"/>
      <name val="Segoe UI"/>
      <family val="2"/>
    </font>
    <font>
      <b/>
      <vertAlign val="superscript"/>
      <sz val="10"/>
      <name val="Palatino Linotype"/>
      <family val="1"/>
    </font>
    <font>
      <b/>
      <sz val="10"/>
      <name val="Palatino Linotype"/>
      <family val="2"/>
    </font>
    <font>
      <sz val="11"/>
      <color rgb="FF3F3F76"/>
      <name val="Calibri"/>
      <family val="2"/>
      <scheme val="minor"/>
    </font>
    <font>
      <b/>
      <sz val="11"/>
      <color rgb="FF3F3F3F"/>
      <name val="Calibri"/>
      <family val="2"/>
      <scheme val="minor"/>
    </font>
    <font>
      <b/>
      <sz val="11"/>
      <color theme="1"/>
      <name val="Calibri"/>
      <family val="2"/>
      <scheme val="minor"/>
    </font>
    <font>
      <sz val="9"/>
      <name val="Palatino Linotype"/>
      <family val="1"/>
    </font>
    <font>
      <u/>
      <sz val="11"/>
      <color theme="10"/>
      <name val="Calibri"/>
      <family val="2"/>
      <scheme val="minor"/>
    </font>
    <font>
      <b/>
      <sz val="12"/>
      <color theme="1"/>
      <name val="Calibri"/>
      <family val="2"/>
      <scheme val="minor"/>
    </font>
    <font>
      <sz val="11"/>
      <name val="Calibri"/>
      <family val="2"/>
      <scheme val="minor"/>
    </font>
    <font>
      <sz val="12"/>
      <color theme="1"/>
      <name val="Calibri"/>
      <family val="2"/>
      <scheme val="minor"/>
    </font>
    <font>
      <b/>
      <sz val="11"/>
      <name val="Calibri"/>
      <family val="2"/>
      <scheme val="minor"/>
    </font>
    <font>
      <sz val="9"/>
      <color indexed="81"/>
      <name val="Tahoma"/>
      <family val="2"/>
    </font>
    <font>
      <vertAlign val="subscript"/>
      <sz val="11"/>
      <color theme="1"/>
      <name val="Calibri"/>
      <family val="2"/>
      <scheme val="minor"/>
    </font>
    <font>
      <vertAlign val="subscript"/>
      <sz val="11"/>
      <name val="Calibri"/>
      <family val="2"/>
      <scheme val="minor"/>
    </font>
    <font>
      <b/>
      <vertAlign val="subscript"/>
      <sz val="12"/>
      <color theme="1"/>
      <name val="Calibri"/>
      <family val="2"/>
      <scheme val="minor"/>
    </font>
    <font>
      <vertAlign val="subscript"/>
      <sz val="12"/>
      <color theme="1"/>
      <name val="Calibri"/>
      <family val="2"/>
      <scheme val="minor"/>
    </font>
    <font>
      <sz val="14"/>
      <color theme="1"/>
      <name val="Calibri"/>
      <family val="2"/>
      <scheme val="minor"/>
    </font>
    <font>
      <sz val="11"/>
      <color theme="1"/>
      <name val="Calibri"/>
      <family val="2"/>
      <scheme val="minor"/>
    </font>
    <font>
      <sz val="12"/>
      <color theme="1"/>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rgb="FFFFCC99"/>
      </patternFill>
    </fill>
    <fill>
      <patternFill patternType="solid">
        <fgColor rgb="FFF2F2F2"/>
      </patternFill>
    </fill>
    <fill>
      <patternFill patternType="solid">
        <fgColor theme="8"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rgb="FF3F3F3F"/>
      </left>
      <right style="thin">
        <color rgb="FF3F3F3F"/>
      </right>
      <top style="thin">
        <color indexed="64"/>
      </top>
      <bottom style="thin">
        <color indexed="64"/>
      </bottom>
      <diagonal/>
    </border>
    <border>
      <left style="thin">
        <color indexed="64"/>
      </left>
      <right style="thin">
        <color rgb="FF3F3F3F"/>
      </right>
      <top style="thin">
        <color rgb="FF3F3F3F"/>
      </top>
      <bottom style="thin">
        <color indexed="64"/>
      </bottom>
      <diagonal/>
    </border>
    <border>
      <left style="thin">
        <color rgb="FF3F3F3F"/>
      </left>
      <right style="thin">
        <color rgb="FF3F3F3F"/>
      </right>
      <top style="thin">
        <color rgb="FF3F3F3F"/>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24" fillId="3" borderId="14" applyNumberFormat="0" applyAlignment="0" applyProtection="0"/>
    <xf numFmtId="0" fontId="25" fillId="4" borderId="15" applyNumberFormat="0" applyAlignment="0" applyProtection="0"/>
    <xf numFmtId="0" fontId="28" fillId="0" borderId="0" applyNumberFormat="0" applyFill="0" applyBorder="0" applyAlignment="0" applyProtection="0"/>
    <xf numFmtId="9" fontId="39" fillId="0" borderId="0" applyFont="0" applyFill="0" applyBorder="0" applyAlignment="0" applyProtection="0"/>
  </cellStyleXfs>
  <cellXfs count="236">
    <xf numFmtId="0" fontId="0" fillId="0" borderId="0" xfId="0"/>
    <xf numFmtId="0" fontId="2" fillId="0" borderId="0" xfId="0" applyFont="1" applyAlignment="1"/>
    <xf numFmtId="0" fontId="2" fillId="0" borderId="0" xfId="0" applyFont="1"/>
    <xf numFmtId="0" fontId="5" fillId="0" borderId="0" xfId="0" applyFont="1"/>
    <xf numFmtId="0" fontId="7" fillId="0" borderId="0" xfId="0" applyFont="1"/>
    <xf numFmtId="0" fontId="4" fillId="0" borderId="0" xfId="0" applyFont="1" applyAlignment="1">
      <alignment horizontal="center"/>
    </xf>
    <xf numFmtId="0" fontId="4" fillId="0" borderId="0" xfId="0" applyFont="1"/>
    <xf numFmtId="0" fontId="4" fillId="0" borderId="5" xfId="0" applyFont="1" applyBorder="1" applyAlignment="1">
      <alignment horizontal="center"/>
    </xf>
    <xf numFmtId="0" fontId="10" fillId="0" borderId="0" xfId="0" applyFont="1"/>
    <xf numFmtId="0" fontId="4" fillId="0" borderId="2" xfId="0" applyFont="1" applyBorder="1" applyAlignment="1">
      <alignment horizontal="center"/>
    </xf>
    <xf numFmtId="0" fontId="2" fillId="0" borderId="0" xfId="0" applyFont="1" applyAlignment="1">
      <alignment horizontal="left"/>
    </xf>
    <xf numFmtId="0" fontId="2" fillId="0" borderId="0" xfId="0" applyFont="1" applyFill="1"/>
    <xf numFmtId="0" fontId="4" fillId="0" borderId="0" xfId="0" applyFont="1" applyFill="1" applyBorder="1" applyAlignment="1">
      <alignment horizontal="center"/>
    </xf>
    <xf numFmtId="0" fontId="14" fillId="0" borderId="0" xfId="0" applyFont="1" applyFill="1"/>
    <xf numFmtId="0" fontId="1" fillId="0" borderId="0" xfId="0" applyFont="1" applyBorder="1" applyAlignment="1">
      <alignment horizontal="left" wrapText="1"/>
    </xf>
    <xf numFmtId="0" fontId="4" fillId="0" borderId="0" xfId="0" applyFont="1" applyBorder="1" applyAlignment="1"/>
    <xf numFmtId="0" fontId="4" fillId="0" borderId="2" xfId="0" applyFont="1" applyBorder="1" applyAlignment="1">
      <alignment horizontal="center"/>
    </xf>
    <xf numFmtId="0" fontId="2" fillId="0" borderId="2" xfId="0" applyFont="1" applyBorder="1" applyAlignment="1"/>
    <xf numFmtId="0" fontId="3" fillId="0" borderId="0" xfId="0" applyFont="1" applyAlignment="1">
      <alignment horizontal="center"/>
    </xf>
    <xf numFmtId="0" fontId="2" fillId="0" borderId="0" xfId="0" applyFont="1" applyAlignment="1"/>
    <xf numFmtId="0" fontId="1" fillId="0" borderId="0" xfId="0" applyFont="1" applyAlignment="1">
      <alignment horizontal="right"/>
    </xf>
    <xf numFmtId="0" fontId="8" fillId="0" borderId="0" xfId="0" applyFont="1" applyAlignment="1">
      <alignment horizontal="right"/>
    </xf>
    <xf numFmtId="0" fontId="4" fillId="0" borderId="0" xfId="0" applyFont="1" applyAlignment="1">
      <alignment horizontal="right"/>
    </xf>
    <xf numFmtId="0" fontId="17" fillId="0" borderId="0" xfId="0" applyFont="1"/>
    <xf numFmtId="0" fontId="4" fillId="0" borderId="0" xfId="0" applyFont="1" applyFill="1" applyAlignment="1">
      <alignment horizontal="center"/>
    </xf>
    <xf numFmtId="0" fontId="1" fillId="0" borderId="0" xfId="0" applyFont="1"/>
    <xf numFmtId="0" fontId="4" fillId="0" borderId="0" xfId="0" applyFont="1" applyAlignment="1"/>
    <xf numFmtId="0" fontId="10" fillId="0" borderId="0" xfId="0" applyFont="1" applyAlignment="1"/>
    <xf numFmtId="0" fontId="8" fillId="0" borderId="0" xfId="0" applyFont="1"/>
    <xf numFmtId="0" fontId="4" fillId="0" borderId="0" xfId="0" applyFont="1" applyAlignment="1">
      <alignment horizontal="center" vertical="center"/>
    </xf>
    <xf numFmtId="0" fontId="19" fillId="0" borderId="0" xfId="0" applyFont="1" applyAlignment="1"/>
    <xf numFmtId="0" fontId="17" fillId="0" borderId="0" xfId="0" applyFont="1" applyAlignment="1"/>
    <xf numFmtId="0" fontId="16" fillId="0" borderId="0" xfId="0" applyFont="1" applyAlignment="1"/>
    <xf numFmtId="0" fontId="1" fillId="0" borderId="0" xfId="0" applyFont="1" applyFill="1" applyBorder="1" applyAlignment="1">
      <alignment horizontal="right" vertical="center" wrapText="1"/>
    </xf>
    <xf numFmtId="0" fontId="1" fillId="0" borderId="0" xfId="0" applyFont="1" applyBorder="1" applyAlignment="1">
      <alignment horizontal="right" wrapText="1"/>
    </xf>
    <xf numFmtId="1" fontId="1" fillId="0" borderId="0" xfId="0" applyNumberFormat="1" applyFont="1" applyBorder="1" applyAlignment="1">
      <alignment horizontal="center" vertical="center"/>
    </xf>
    <xf numFmtId="0" fontId="20" fillId="0" borderId="0" xfId="0" applyFont="1" applyAlignment="1">
      <alignment horizontal="center"/>
    </xf>
    <xf numFmtId="0" fontId="4" fillId="0" borderId="7" xfId="0" applyFont="1" applyBorder="1" applyAlignment="1"/>
    <xf numFmtId="0" fontId="8" fillId="0" borderId="0" xfId="0" applyFont="1" applyBorder="1" applyAlignment="1">
      <alignment horizontal="left"/>
    </xf>
    <xf numFmtId="0" fontId="1" fillId="2" borderId="10" xfId="0" applyFont="1" applyFill="1" applyBorder="1" applyAlignment="1">
      <alignment horizontal="right" wrapText="1"/>
    </xf>
    <xf numFmtId="0" fontId="3" fillId="0" borderId="2" xfId="0" applyFont="1" applyBorder="1" applyAlignment="1">
      <alignment horizontal="center"/>
    </xf>
    <xf numFmtId="0" fontId="2" fillId="0" borderId="0" xfId="0" applyFont="1" applyFill="1" applyBorder="1" applyAlignment="1"/>
    <xf numFmtId="0" fontId="1" fillId="0" borderId="4" xfId="0" applyFont="1" applyBorder="1" applyAlignment="1">
      <alignment horizontal="right" wrapText="1"/>
    </xf>
    <xf numFmtId="164" fontId="9" fillId="0" borderId="2" xfId="0" applyNumberFormat="1" applyFont="1" applyFill="1" applyBorder="1" applyAlignment="1">
      <alignment horizontal="center"/>
    </xf>
    <xf numFmtId="0" fontId="1" fillId="0" borderId="11" xfId="0" applyFont="1" applyBorder="1" applyAlignment="1">
      <alignment horizontal="right" wrapText="1"/>
    </xf>
    <xf numFmtId="0" fontId="1" fillId="0" borderId="6" xfId="0" applyFont="1" applyBorder="1" applyAlignment="1">
      <alignment horizontal="right"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7" fillId="0" borderId="8" xfId="0" applyFont="1" applyFill="1" applyBorder="1" applyAlignment="1">
      <alignment horizontal="center" wrapText="1"/>
    </xf>
    <xf numFmtId="0" fontId="27" fillId="0" borderId="0" xfId="0" applyFont="1" applyAlignment="1">
      <alignment horizontal="center" wrapText="1"/>
    </xf>
    <xf numFmtId="0" fontId="29" fillId="0" borderId="16" xfId="0" applyFont="1" applyBorder="1"/>
    <xf numFmtId="0" fontId="28" fillId="0" borderId="1" xfId="3" applyFill="1" applyBorder="1" applyAlignment="1">
      <alignment vertical="center"/>
    </xf>
    <xf numFmtId="0" fontId="0" fillId="0" borderId="0" xfId="0" applyBorder="1"/>
    <xf numFmtId="0" fontId="0" fillId="0" borderId="17" xfId="0" applyBorder="1"/>
    <xf numFmtId="0" fontId="26" fillId="0" borderId="16" xfId="0" applyFont="1" applyBorder="1" applyAlignment="1">
      <alignment horizontal="right"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xf>
    <xf numFmtId="0" fontId="0" fillId="0" borderId="16" xfId="0" applyBorder="1" applyAlignment="1">
      <alignment horizontal="right" vertical="center" wrapText="1"/>
    </xf>
    <xf numFmtId="0" fontId="0" fillId="0" borderId="18" xfId="0" applyFill="1" applyBorder="1" applyAlignment="1">
      <alignment horizontal="right" vertical="center" wrapText="1"/>
    </xf>
    <xf numFmtId="165" fontId="0" fillId="0" borderId="19" xfId="0" applyNumberFormat="1" applyBorder="1" applyAlignment="1">
      <alignment horizontal="center"/>
    </xf>
    <xf numFmtId="1" fontId="0" fillId="0" borderId="19" xfId="0" applyNumberFormat="1" applyBorder="1" applyAlignment="1">
      <alignment horizontal="center"/>
    </xf>
    <xf numFmtId="0" fontId="0" fillId="0" borderId="20" xfId="0" applyBorder="1"/>
    <xf numFmtId="0" fontId="29" fillId="0" borderId="21" xfId="0" applyFont="1" applyFill="1" applyBorder="1" applyAlignment="1">
      <alignment horizontal="left" vertical="center"/>
    </xf>
    <xf numFmtId="165" fontId="31" fillId="0" borderId="22" xfId="0" applyNumberFormat="1" applyFont="1" applyBorder="1" applyAlignment="1">
      <alignment horizontal="center"/>
    </xf>
    <xf numFmtId="1" fontId="31" fillId="0" borderId="22" xfId="0" applyNumberFormat="1" applyFont="1" applyBorder="1" applyAlignment="1">
      <alignment horizontal="center"/>
    </xf>
    <xf numFmtId="0" fontId="0" fillId="0" borderId="23" xfId="0" applyBorder="1"/>
    <xf numFmtId="0" fontId="0" fillId="0" borderId="24" xfId="0" applyBorder="1"/>
    <xf numFmtId="0" fontId="0" fillId="0" borderId="25" xfId="0" applyFont="1" applyFill="1" applyBorder="1" applyAlignment="1">
      <alignment horizontal="right"/>
    </xf>
    <xf numFmtId="0" fontId="0" fillId="0" borderId="25" xfId="0" applyBorder="1" applyAlignment="1">
      <alignment horizontal="right"/>
    </xf>
    <xf numFmtId="0" fontId="0" fillId="0" borderId="25" xfId="0" applyBorder="1" applyAlignment="1">
      <alignment horizontal="right" wrapText="1"/>
    </xf>
    <xf numFmtId="0" fontId="0" fillId="0" borderId="16" xfId="0" applyBorder="1"/>
    <xf numFmtId="0" fontId="0" fillId="0" borderId="0" xfId="0" applyFill="1" applyBorder="1" applyAlignment="1">
      <alignment horizontal="right"/>
    </xf>
    <xf numFmtId="2" fontId="25" fillId="0" borderId="0" xfId="2" applyNumberFormat="1" applyFill="1" applyBorder="1"/>
    <xf numFmtId="0" fontId="0" fillId="0" borderId="16" xfId="0" applyFont="1" applyBorder="1" applyAlignment="1">
      <alignment horizontal="right" vertical="center"/>
    </xf>
    <xf numFmtId="0" fontId="0" fillId="0" borderId="16" xfId="0" applyBorder="1" applyAlignment="1">
      <alignment horizontal="right" vertical="center"/>
    </xf>
    <xf numFmtId="0" fontId="0" fillId="0" borderId="18" xfId="0" applyBorder="1"/>
    <xf numFmtId="0" fontId="0" fillId="0" borderId="19" xfId="0" applyBorder="1"/>
    <xf numFmtId="0" fontId="0" fillId="0" borderId="2" xfId="0" applyBorder="1"/>
    <xf numFmtId="0" fontId="0" fillId="0" borderId="2" xfId="0" applyBorder="1" applyAlignment="1">
      <alignment horizontal="right"/>
    </xf>
    <xf numFmtId="0" fontId="0" fillId="0" borderId="2" xfId="0" applyBorder="1" applyAlignment="1">
      <alignment horizontal="right" wrapText="1"/>
    </xf>
    <xf numFmtId="0" fontId="0" fillId="0" borderId="2" xfId="0" applyFill="1" applyBorder="1" applyAlignment="1">
      <alignment horizontal="right"/>
    </xf>
    <xf numFmtId="0" fontId="29" fillId="0" borderId="0" xfId="0" applyFont="1" applyAlignment="1">
      <alignment horizontal="left"/>
    </xf>
    <xf numFmtId="0" fontId="0" fillId="6" borderId="2" xfId="0" applyFill="1" applyBorder="1"/>
    <xf numFmtId="0" fontId="0" fillId="6" borderId="2" xfId="0" applyFont="1" applyFill="1" applyBorder="1" applyAlignment="1">
      <alignment horizontal="right"/>
    </xf>
    <xf numFmtId="0" fontId="0" fillId="6" borderId="2" xfId="0" applyFill="1" applyBorder="1" applyAlignment="1">
      <alignment horizontal="center"/>
    </xf>
    <xf numFmtId="0" fontId="29" fillId="0" borderId="0" xfId="0" applyFont="1" applyFill="1" applyBorder="1" applyAlignment="1">
      <alignment horizontal="left"/>
    </xf>
    <xf numFmtId="0" fontId="0" fillId="6" borderId="2" xfId="0" applyFill="1" applyBorder="1" applyAlignment="1">
      <alignment horizontal="right"/>
    </xf>
    <xf numFmtId="0" fontId="30" fillId="0" borderId="2" xfId="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2" fillId="0" borderId="30" xfId="0" applyFont="1" applyFill="1" applyBorder="1" applyAlignment="1">
      <alignment horizontal="center" vertical="center" wrapText="1"/>
    </xf>
    <xf numFmtId="2" fontId="0" fillId="0" borderId="2" xfId="0" applyNumberFormat="1" applyBorder="1" applyAlignment="1">
      <alignment horizontal="center" vertical="center"/>
    </xf>
    <xf numFmtId="2" fontId="30" fillId="5" borderId="2" xfId="1" applyNumberFormat="1" applyFont="1" applyFill="1" applyBorder="1" applyAlignment="1" applyProtection="1">
      <alignment horizontal="center" vertical="center"/>
      <protection locked="0"/>
    </xf>
    <xf numFmtId="164" fontId="30" fillId="5" borderId="2" xfId="1" applyNumberFormat="1" applyFont="1" applyFill="1" applyBorder="1" applyAlignment="1" applyProtection="1">
      <alignment horizontal="center"/>
      <protection locked="0"/>
    </xf>
    <xf numFmtId="164" fontId="25" fillId="4" borderId="15" xfId="2" applyNumberFormat="1" applyBorder="1" applyAlignment="1">
      <alignment horizontal="center"/>
    </xf>
    <xf numFmtId="164" fontId="25" fillId="4" borderId="27" xfId="2" applyNumberFormat="1" applyBorder="1" applyAlignment="1">
      <alignment horizontal="center"/>
    </xf>
    <xf numFmtId="164" fontId="25" fillId="4" borderId="28" xfId="2" applyNumberFormat="1" applyBorder="1" applyAlignment="1">
      <alignment horizontal="center"/>
    </xf>
    <xf numFmtId="164" fontId="25" fillId="4" borderId="29" xfId="2" applyNumberFormat="1" applyBorder="1" applyAlignment="1">
      <alignment horizontal="center"/>
    </xf>
    <xf numFmtId="0" fontId="10" fillId="0" borderId="0" xfId="0" applyFont="1" applyBorder="1" applyAlignment="1">
      <alignment vertical="top" wrapText="1"/>
    </xf>
    <xf numFmtId="0" fontId="1" fillId="0" borderId="0" xfId="0" applyFont="1" applyAlignment="1">
      <alignment horizontal="right" vertical="center" wrapText="1"/>
    </xf>
    <xf numFmtId="0" fontId="1" fillId="0" borderId="0" xfId="0" applyFont="1" applyBorder="1" applyAlignment="1">
      <alignment horizontal="right" vertical="center" wrapText="1"/>
    </xf>
    <xf numFmtId="164" fontId="1" fillId="0" borderId="0" xfId="0" applyNumberFormat="1" applyFont="1" applyBorder="1" applyAlignment="1">
      <alignment horizontal="center"/>
    </xf>
    <xf numFmtId="1" fontId="1" fillId="0" borderId="0" xfId="0" applyNumberFormat="1" applyFont="1" applyBorder="1" applyAlignment="1">
      <alignment horizontal="center"/>
    </xf>
    <xf numFmtId="0" fontId="10" fillId="0" borderId="0" xfId="0" applyFont="1" applyBorder="1" applyAlignment="1">
      <alignment wrapText="1"/>
    </xf>
    <xf numFmtId="0" fontId="1" fillId="0" borderId="0" xfId="0" applyFont="1" applyBorder="1" applyAlignment="1">
      <alignment horizontal="center" wrapText="1"/>
    </xf>
    <xf numFmtId="0" fontId="1" fillId="0" borderId="0" xfId="0" applyFont="1" applyAlignment="1">
      <alignment vertical="center"/>
    </xf>
    <xf numFmtId="0" fontId="1" fillId="0" borderId="0" xfId="0" applyFont="1" applyAlignment="1">
      <alignment horizontal="right" vertical="center"/>
    </xf>
    <xf numFmtId="0" fontId="7" fillId="0" borderId="0" xfId="0" applyFont="1" applyAlignment="1">
      <alignment vertical="center"/>
    </xf>
    <xf numFmtId="0" fontId="4" fillId="0" borderId="33" xfId="0" applyFont="1" applyFill="1" applyBorder="1" applyAlignment="1">
      <alignment horizontal="center"/>
    </xf>
    <xf numFmtId="0" fontId="29" fillId="0" borderId="16" xfId="0" applyFont="1" applyFill="1" applyBorder="1" applyAlignment="1">
      <alignment horizontal="left" vertical="center"/>
    </xf>
    <xf numFmtId="0" fontId="0" fillId="0" borderId="0" xfId="0" applyFill="1" applyBorder="1" applyAlignment="1">
      <alignment horizontal="center" vertical="center"/>
    </xf>
    <xf numFmtId="0" fontId="24" fillId="0" borderId="0" xfId="1" applyFill="1" applyBorder="1" applyAlignment="1">
      <alignment horizontal="center" vertical="center"/>
    </xf>
    <xf numFmtId="0" fontId="1" fillId="0" borderId="0" xfId="0" applyFont="1" applyBorder="1" applyAlignment="1">
      <alignment horizontal="center"/>
    </xf>
    <xf numFmtId="164" fontId="0" fillId="5" borderId="2" xfId="0" applyNumberFormat="1" applyFill="1" applyBorder="1"/>
    <xf numFmtId="0" fontId="27" fillId="0" borderId="0" xfId="0" applyFont="1" applyBorder="1" applyAlignment="1">
      <alignment horizontal="center" wrapText="1"/>
    </xf>
    <xf numFmtId="0" fontId="29" fillId="0" borderId="21" xfId="0" applyFont="1" applyBorder="1"/>
    <xf numFmtId="0" fontId="0" fillId="0" borderId="22" xfId="0" applyBorder="1"/>
    <xf numFmtId="0" fontId="4" fillId="0" borderId="22" xfId="0" applyFont="1" applyBorder="1" applyAlignment="1">
      <alignment horizontal="right"/>
    </xf>
    <xf numFmtId="0" fontId="4" fillId="0" borderId="0" xfId="0" applyFont="1" applyBorder="1" applyAlignment="1">
      <alignment horizontal="right"/>
    </xf>
    <xf numFmtId="0" fontId="2" fillId="0" borderId="0" xfId="0" quotePrefix="1" applyFont="1"/>
    <xf numFmtId="164" fontId="1" fillId="7" borderId="2" xfId="0" applyNumberFormat="1" applyFont="1" applyFill="1" applyBorder="1" applyAlignment="1">
      <alignment horizontal="center" wrapText="1"/>
    </xf>
    <xf numFmtId="1" fontId="1" fillId="7" borderId="2" xfId="0" applyNumberFormat="1" applyFont="1" applyFill="1" applyBorder="1" applyAlignment="1">
      <alignment horizontal="center" vertical="center"/>
    </xf>
    <xf numFmtId="166" fontId="9" fillId="7" borderId="2" xfId="0" applyNumberFormat="1" applyFont="1" applyFill="1" applyBorder="1" applyAlignment="1">
      <alignment horizontal="center" vertical="center"/>
    </xf>
    <xf numFmtId="166" fontId="4" fillId="7" borderId="2" xfId="0" applyNumberFormat="1" applyFont="1" applyFill="1" applyBorder="1" applyAlignment="1">
      <alignment horizontal="center"/>
    </xf>
    <xf numFmtId="0" fontId="4" fillId="7" borderId="2" xfId="0" applyFont="1" applyFill="1" applyBorder="1" applyAlignment="1">
      <alignment horizontal="center"/>
    </xf>
    <xf numFmtId="166" fontId="9" fillId="0" borderId="2" xfId="0" applyNumberFormat="1" applyFont="1" applyFill="1" applyBorder="1" applyAlignment="1">
      <alignment horizontal="center" vertical="center"/>
    </xf>
    <xf numFmtId="1" fontId="4" fillId="6" borderId="2" xfId="0" applyNumberFormat="1" applyFont="1" applyFill="1" applyBorder="1" applyAlignment="1">
      <alignment horizontal="center"/>
    </xf>
    <xf numFmtId="1" fontId="4" fillId="0" borderId="2" xfId="0" applyNumberFormat="1" applyFont="1" applyBorder="1" applyAlignment="1">
      <alignment horizontal="center"/>
    </xf>
    <xf numFmtId="0" fontId="1" fillId="0" borderId="0" xfId="0" applyFont="1" applyBorder="1" applyAlignment="1">
      <alignment vertical="top" wrapText="1"/>
    </xf>
    <xf numFmtId="0" fontId="0" fillId="0" borderId="16" xfId="0" applyFont="1" applyBorder="1" applyAlignment="1">
      <alignment wrapText="1"/>
    </xf>
    <xf numFmtId="0" fontId="0" fillId="0" borderId="0" xfId="0" applyFont="1" applyBorder="1" applyAlignment="1">
      <alignment wrapText="1"/>
    </xf>
    <xf numFmtId="0" fontId="18" fillId="0" borderId="0" xfId="0" applyFont="1" applyAlignment="1">
      <alignment horizontal="right" vertical="center"/>
    </xf>
    <xf numFmtId="0" fontId="23" fillId="0" borderId="1" xfId="0" applyFont="1" applyBorder="1" applyAlignment="1">
      <alignment wrapText="1"/>
    </xf>
    <xf numFmtId="166" fontId="8" fillId="0" borderId="2" xfId="0" applyNumberFormat="1" applyFont="1" applyFill="1" applyBorder="1" applyAlignment="1">
      <alignment horizontal="center"/>
    </xf>
    <xf numFmtId="164" fontId="1" fillId="0" borderId="1" xfId="0" applyNumberFormat="1" applyFont="1" applyFill="1" applyBorder="1" applyAlignment="1">
      <alignment horizontal="center" wrapText="1"/>
    </xf>
    <xf numFmtId="0" fontId="0" fillId="0" borderId="0" xfId="0" applyBorder="1" applyAlignment="1">
      <alignment horizontal="right"/>
    </xf>
    <xf numFmtId="0" fontId="0" fillId="0" borderId="21" xfId="0" applyBorder="1"/>
    <xf numFmtId="0" fontId="30" fillId="0" borderId="34" xfId="1" applyFont="1" applyFill="1" applyBorder="1" applyAlignment="1">
      <alignment horizontal="center" vertical="center" wrapText="1"/>
    </xf>
    <xf numFmtId="166" fontId="30" fillId="8" borderId="10" xfId="2" applyNumberFormat="1" applyFont="1" applyFill="1" applyBorder="1" applyAlignment="1">
      <alignment horizontal="center" vertical="center"/>
    </xf>
    <xf numFmtId="166" fontId="30" fillId="8" borderId="2" xfId="2" applyNumberFormat="1" applyFont="1" applyFill="1" applyBorder="1" applyAlignment="1">
      <alignment horizontal="center" vertical="center"/>
    </xf>
    <xf numFmtId="166" fontId="30" fillId="8" borderId="10" xfId="2" applyNumberFormat="1" applyFont="1" applyFill="1" applyBorder="1" applyAlignment="1">
      <alignment horizontal="center" vertical="center" wrapText="1"/>
    </xf>
    <xf numFmtId="166" fontId="30" fillId="8" borderId="2" xfId="0" applyNumberFormat="1" applyFont="1" applyFill="1" applyBorder="1" applyAlignment="1">
      <alignment horizontal="center" vertical="center"/>
    </xf>
    <xf numFmtId="166" fontId="30" fillId="8" borderId="10" xfId="0" applyNumberFormat="1" applyFont="1" applyFill="1" applyBorder="1" applyAlignment="1">
      <alignment horizontal="center" vertical="center"/>
    </xf>
    <xf numFmtId="166" fontId="30" fillId="8" borderId="2" xfId="0" applyNumberFormat="1" applyFont="1" applyFill="1" applyBorder="1" applyAlignment="1">
      <alignment horizontal="center"/>
    </xf>
    <xf numFmtId="1" fontId="30" fillId="8" borderId="2" xfId="2" applyNumberFormat="1" applyFont="1" applyFill="1" applyBorder="1" applyAlignment="1">
      <alignment horizontal="center" vertical="center"/>
    </xf>
    <xf numFmtId="1" fontId="30" fillId="8" borderId="34" xfId="2" applyNumberFormat="1" applyFont="1" applyFill="1" applyBorder="1" applyAlignment="1">
      <alignment horizontal="center" vertical="center"/>
    </xf>
    <xf numFmtId="1" fontId="30" fillId="8" borderId="34" xfId="2" applyNumberFormat="1" applyFont="1" applyFill="1" applyBorder="1" applyAlignment="1">
      <alignment horizontal="center" vertical="center" wrapText="1"/>
    </xf>
    <xf numFmtId="166" fontId="25" fillId="8" borderId="31" xfId="2" applyNumberFormat="1" applyFill="1" applyBorder="1" applyAlignment="1">
      <alignment horizontal="center" vertical="center"/>
    </xf>
    <xf numFmtId="166" fontId="25" fillId="8" borderId="32" xfId="2" applyNumberFormat="1" applyFill="1" applyBorder="1" applyAlignment="1">
      <alignment horizontal="center" vertical="center"/>
    </xf>
    <xf numFmtId="0" fontId="29" fillId="0" borderId="22" xfId="0" applyFont="1" applyBorder="1" applyAlignment="1">
      <alignment vertical="top" wrapText="1"/>
    </xf>
    <xf numFmtId="0" fontId="29" fillId="0" borderId="21" xfId="0" applyFont="1" applyBorder="1" applyAlignment="1">
      <alignment vertical="top"/>
    </xf>
    <xf numFmtId="0" fontId="0" fillId="0" borderId="16" xfId="0" applyBorder="1" applyAlignment="1">
      <alignment horizontal="right"/>
    </xf>
    <xf numFmtId="0" fontId="0" fillId="0" borderId="16" xfId="0" applyBorder="1" applyAlignment="1">
      <alignment horizontal="right" wrapText="1"/>
    </xf>
    <xf numFmtId="2" fontId="30" fillId="0" borderId="16" xfId="2" applyNumberFormat="1" applyFont="1" applyFill="1" applyBorder="1" applyAlignment="1">
      <alignment horizontal="right" wrapText="1"/>
    </xf>
    <xf numFmtId="2" fontId="0" fillId="5" borderId="2" xfId="0" applyNumberFormat="1" applyFill="1" applyBorder="1" applyAlignment="1">
      <alignment horizontal="center" vertical="center"/>
    </xf>
    <xf numFmtId="0" fontId="29" fillId="0" borderId="16" xfId="0" applyFont="1" applyBorder="1" applyAlignment="1">
      <alignment vertical="top"/>
    </xf>
    <xf numFmtId="165" fontId="0" fillId="8" borderId="2" xfId="0" applyNumberFormat="1" applyFill="1" applyBorder="1" applyAlignment="1">
      <alignment horizontal="center" vertical="center"/>
    </xf>
    <xf numFmtId="0" fontId="0" fillId="0" borderId="2" xfId="0" applyBorder="1" applyAlignment="1">
      <alignment horizontal="center"/>
    </xf>
    <xf numFmtId="10" fontId="30" fillId="5" borderId="2" xfId="4" applyNumberFormat="1" applyFont="1" applyFill="1" applyBorder="1" applyAlignment="1" applyProtection="1">
      <alignment horizontal="center" vertical="center"/>
      <protection locked="0"/>
    </xf>
    <xf numFmtId="10" fontId="0" fillId="5" borderId="2" xfId="4" applyNumberFormat="1" applyFont="1" applyFill="1" applyBorder="1" applyAlignment="1">
      <alignment horizontal="center" vertical="center"/>
    </xf>
    <xf numFmtId="14" fontId="1" fillId="0" borderId="0" xfId="0" applyNumberFormat="1" applyFont="1" applyAlignment="1"/>
    <xf numFmtId="0" fontId="8" fillId="0" borderId="2" xfId="0" applyFont="1" applyBorder="1" applyAlignment="1">
      <alignment horizontal="center"/>
    </xf>
    <xf numFmtId="0" fontId="1" fillId="2" borderId="10" xfId="0" applyFont="1" applyFill="1" applyBorder="1" applyAlignment="1">
      <alignment horizontal="right" vertical="top" wrapText="1"/>
    </xf>
    <xf numFmtId="0" fontId="1" fillId="0" borderId="12" xfId="0" applyFont="1" applyBorder="1" applyAlignment="1">
      <alignment horizontal="left" wrapText="1"/>
    </xf>
    <xf numFmtId="0" fontId="1" fillId="0" borderId="0" xfId="0" applyFont="1" applyBorder="1" applyAlignment="1">
      <alignment horizontal="left" wrapText="1"/>
    </xf>
    <xf numFmtId="0" fontId="8" fillId="0" borderId="0" xfId="0" applyFont="1" applyBorder="1" applyAlignment="1">
      <alignment wrapText="1"/>
    </xf>
    <xf numFmtId="0" fontId="8" fillId="0" borderId="4" xfId="0" applyFont="1" applyBorder="1" applyAlignment="1">
      <alignment wrapText="1"/>
    </xf>
    <xf numFmtId="0" fontId="1" fillId="0" borderId="2" xfId="0" applyFont="1" applyBorder="1" applyAlignment="1">
      <alignment horizontal="left"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wrapText="1"/>
    </xf>
    <xf numFmtId="0" fontId="1" fillId="2" borderId="9" xfId="0" applyFont="1" applyFill="1" applyBorder="1" applyAlignment="1">
      <alignment horizontal="left" wrapText="1"/>
    </xf>
    <xf numFmtId="0" fontId="1" fillId="0" borderId="2" xfId="0" applyFont="1" applyBorder="1" applyAlignment="1">
      <alignment horizontal="left"/>
    </xf>
    <xf numFmtId="0" fontId="1" fillId="0" borderId="3"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3"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0" borderId="0" xfId="0" applyFont="1" applyAlignment="1">
      <alignment horizontal="right" vertical="center" wrapText="1"/>
    </xf>
    <xf numFmtId="0" fontId="1" fillId="0" borderId="0" xfId="0" applyFont="1" applyBorder="1" applyAlignment="1">
      <alignment horizontal="right" wrapText="1"/>
    </xf>
    <xf numFmtId="0" fontId="1" fillId="0" borderId="4" xfId="0" applyFont="1" applyBorder="1" applyAlignment="1">
      <alignment horizontal="right" wrapText="1"/>
    </xf>
    <xf numFmtId="0" fontId="1" fillId="0" borderId="0" xfId="0" applyFont="1" applyFill="1" applyBorder="1" applyAlignment="1">
      <alignment horizontal="left" wrapText="1"/>
    </xf>
    <xf numFmtId="0" fontId="18" fillId="0" borderId="12" xfId="0" applyFont="1" applyBorder="1" applyAlignment="1">
      <alignment horizontal="left" vertical="center" wrapText="1"/>
    </xf>
    <xf numFmtId="0" fontId="18" fillId="0" borderId="0" xfId="0" applyFont="1" applyAlignment="1">
      <alignment horizontal="left" vertical="center" wrapText="1"/>
    </xf>
    <xf numFmtId="166" fontId="30" fillId="0" borderId="0" xfId="0" applyNumberFormat="1" applyFont="1" applyFill="1" applyBorder="1" applyAlignment="1">
      <alignment horizontal="left" vertical="center" wrapText="1"/>
    </xf>
    <xf numFmtId="0" fontId="8" fillId="0" borderId="0" xfId="0" applyFont="1" applyBorder="1" applyAlignment="1"/>
    <xf numFmtId="0" fontId="2" fillId="0" borderId="0" xfId="0" applyFont="1" applyBorder="1" applyAlignment="1"/>
    <xf numFmtId="0" fontId="2" fillId="0" borderId="4" xfId="0" applyFont="1" applyBorder="1" applyAlignment="1"/>
    <xf numFmtId="0" fontId="1" fillId="0" borderId="3" xfId="0" applyFont="1" applyFill="1" applyBorder="1" applyAlignment="1">
      <alignment vertical="top" wrapText="1"/>
    </xf>
    <xf numFmtId="0" fontId="1" fillId="0" borderId="9" xfId="0" applyFont="1" applyFill="1" applyBorder="1" applyAlignment="1">
      <alignment vertical="top" wrapText="1"/>
    </xf>
    <xf numFmtId="0" fontId="1" fillId="0" borderId="10" xfId="0" applyFont="1" applyFill="1" applyBorder="1" applyAlignment="1">
      <alignment vertical="top" wrapText="1"/>
    </xf>
    <xf numFmtId="0" fontId="1" fillId="0" borderId="0" xfId="0" applyFont="1" applyFill="1" applyBorder="1" applyAlignment="1">
      <alignment horizontal="right" vertical="center" wrapText="1"/>
    </xf>
    <xf numFmtId="0" fontId="1" fillId="0" borderId="4" xfId="0" applyFont="1" applyFill="1" applyBorder="1" applyAlignment="1">
      <alignment horizontal="right" vertical="center" wrapText="1"/>
    </xf>
    <xf numFmtId="0" fontId="10" fillId="0" borderId="0" xfId="0" applyFont="1" applyFill="1" applyBorder="1" applyAlignment="1">
      <alignment horizontal="left"/>
    </xf>
    <xf numFmtId="0" fontId="1" fillId="0" borderId="4" xfId="0" applyFont="1" applyBorder="1" applyAlignment="1">
      <alignment horizontal="right" vertical="center" wrapText="1"/>
    </xf>
    <xf numFmtId="0" fontId="4" fillId="0" borderId="2" xfId="0" applyFont="1" applyFill="1" applyBorder="1" applyAlignment="1">
      <alignment horizontal="left"/>
    </xf>
    <xf numFmtId="0" fontId="2" fillId="0" borderId="2" xfId="0" applyFont="1" applyFill="1" applyBorder="1" applyAlignment="1">
      <alignment horizontal="left"/>
    </xf>
    <xf numFmtId="0" fontId="3" fillId="0" borderId="2" xfId="0" applyFont="1" applyFill="1" applyBorder="1" applyAlignment="1">
      <alignment horizontal="left"/>
    </xf>
    <xf numFmtId="0" fontId="4" fillId="0" borderId="3" xfId="0" applyFont="1" applyFill="1" applyBorder="1" applyAlignment="1">
      <alignment horizontal="left"/>
    </xf>
    <xf numFmtId="0" fontId="4" fillId="0" borderId="10" xfId="0" applyFont="1" applyFill="1" applyBorder="1" applyAlignment="1">
      <alignment horizontal="left"/>
    </xf>
    <xf numFmtId="0" fontId="6" fillId="0" borderId="0" xfId="0" applyFont="1" applyBorder="1" applyAlignment="1">
      <alignment horizontal="left"/>
    </xf>
    <xf numFmtId="0" fontId="6" fillId="0" borderId="1" xfId="0" applyFont="1" applyBorder="1" applyAlignment="1">
      <alignment horizontal="left"/>
    </xf>
    <xf numFmtId="0" fontId="1" fillId="0" borderId="0" xfId="0" applyFont="1" applyBorder="1" applyAlignment="1">
      <alignment horizontal="center" vertical="center" wrapText="1"/>
    </xf>
    <xf numFmtId="0" fontId="12" fillId="0" borderId="0" xfId="0" applyFont="1" applyFill="1" applyAlignment="1">
      <alignment horizontal="left" wrapText="1"/>
    </xf>
    <xf numFmtId="0" fontId="8" fillId="0" borderId="1" xfId="0" applyFont="1" applyBorder="1" applyAlignment="1">
      <alignment wrapText="1"/>
    </xf>
    <xf numFmtId="0" fontId="8" fillId="0" borderId="6" xfId="0" applyFont="1" applyBorder="1" applyAlignment="1">
      <alignment wrapText="1"/>
    </xf>
    <xf numFmtId="0" fontId="23" fillId="0" borderId="0" xfId="0" applyFont="1" applyBorder="1" applyAlignment="1">
      <alignment horizontal="left" wrapText="1"/>
    </xf>
    <xf numFmtId="0" fontId="1" fillId="0" borderId="13" xfId="0" applyFont="1" applyBorder="1" applyAlignment="1">
      <alignment horizontal="left" wrapText="1"/>
    </xf>
    <xf numFmtId="0" fontId="1" fillId="0" borderId="1" xfId="0" applyFont="1"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wrapText="1"/>
    </xf>
    <xf numFmtId="0" fontId="31" fillId="0" borderId="2" xfId="0" applyFont="1" applyBorder="1" applyAlignment="1">
      <alignment horizontal="center"/>
    </xf>
    <xf numFmtId="0" fontId="38" fillId="0" borderId="2" xfId="0" applyFont="1" applyBorder="1" applyAlignment="1">
      <alignment horizontal="center"/>
    </xf>
    <xf numFmtId="2" fontId="30" fillId="0" borderId="2" xfId="2" applyNumberFormat="1" applyFont="1" applyFill="1" applyBorder="1" applyAlignment="1">
      <alignment horizontal="center" wrapText="1"/>
    </xf>
    <xf numFmtId="2" fontId="30" fillId="0" borderId="2" xfId="2" applyNumberFormat="1" applyFont="1" applyFill="1" applyBorder="1" applyAlignment="1" applyProtection="1">
      <alignment horizontal="center" wrapText="1"/>
    </xf>
    <xf numFmtId="0" fontId="4" fillId="0" borderId="36" xfId="0" applyFont="1" applyFill="1" applyBorder="1" applyAlignment="1">
      <alignment horizontal="left" wrapText="1"/>
    </xf>
    <xf numFmtId="0" fontId="4" fillId="0" borderId="37" xfId="0" applyFont="1" applyFill="1" applyBorder="1" applyAlignment="1">
      <alignment horizontal="left" wrapText="1"/>
    </xf>
    <xf numFmtId="0" fontId="4" fillId="0" borderId="3" xfId="0" applyFont="1" applyFill="1" applyBorder="1" applyAlignment="1">
      <alignment horizontal="left" wrapText="1"/>
    </xf>
    <xf numFmtId="0" fontId="4" fillId="0" borderId="35" xfId="0" applyFont="1" applyFill="1" applyBorder="1" applyAlignment="1">
      <alignment horizontal="left" wrapText="1"/>
    </xf>
    <xf numFmtId="0" fontId="0" fillId="0" borderId="3"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5" xfId="0" applyBorder="1" applyAlignment="1">
      <alignment horizontal="center" wrapText="1"/>
    </xf>
    <xf numFmtId="0" fontId="0" fillId="0" borderId="33" xfId="0" applyBorder="1" applyAlignment="1">
      <alignment horizontal="center" wrapText="1"/>
    </xf>
    <xf numFmtId="0" fontId="0" fillId="0" borderId="16" xfId="0" applyFont="1" applyBorder="1" applyAlignment="1">
      <alignment horizontal="left" wrapText="1"/>
    </xf>
    <xf numFmtId="0" fontId="0" fillId="0" borderId="0" xfId="0" applyFont="1" applyBorder="1" applyAlignment="1">
      <alignment horizontal="left" wrapText="1"/>
    </xf>
    <xf numFmtId="0" fontId="0" fillId="0" borderId="17" xfId="0" applyFont="1" applyBorder="1" applyAlignment="1">
      <alignment horizontal="left" wrapText="1"/>
    </xf>
    <xf numFmtId="0" fontId="0" fillId="0" borderId="1" xfId="0" applyFill="1" applyBorder="1" applyAlignment="1">
      <alignment horizontal="right" vertical="center" wrapText="1"/>
    </xf>
    <xf numFmtId="0" fontId="31" fillId="0" borderId="16" xfId="0" applyFont="1" applyFill="1" applyBorder="1" applyAlignment="1">
      <alignment horizontal="left" vertical="center"/>
    </xf>
    <xf numFmtId="0" fontId="31" fillId="0" borderId="0" xfId="0" applyFont="1" applyFill="1" applyBorder="1" applyAlignment="1">
      <alignment horizontal="left" vertical="center"/>
    </xf>
    <xf numFmtId="0" fontId="0" fillId="0" borderId="26" xfId="0" applyBorder="1" applyAlignment="1">
      <alignment horizontal="center" wrapText="1"/>
    </xf>
    <xf numFmtId="0" fontId="31" fillId="0" borderId="16" xfId="0" applyFont="1" applyBorder="1" applyAlignment="1">
      <alignment horizontal="left"/>
    </xf>
    <xf numFmtId="0" fontId="31" fillId="0" borderId="0" xfId="0" applyFont="1" applyBorder="1" applyAlignment="1">
      <alignment horizontal="left"/>
    </xf>
    <xf numFmtId="0" fontId="0" fillId="6" borderId="2" xfId="0" applyFill="1" applyBorder="1" applyAlignment="1">
      <alignment horizontal="center"/>
    </xf>
    <xf numFmtId="0" fontId="4" fillId="0" borderId="0" xfId="0" applyFont="1" applyAlignment="1">
      <alignment vertical="center"/>
    </xf>
  </cellXfs>
  <cellStyles count="5">
    <cellStyle name="Hyperlink" xfId="3" builtinId="8"/>
    <cellStyle name="Input" xfId="1" builtinId="20"/>
    <cellStyle name="Normal" xfId="0" builtinId="0"/>
    <cellStyle name="Output" xfId="2" builtinId="21"/>
    <cellStyle name="Percent" xfId="4" builtinId="5"/>
  </cellStyles>
  <dxfs count="2">
    <dxf>
      <font>
        <color theme="0"/>
      </font>
      <border>
        <left/>
        <right/>
        <top/>
        <bottom/>
      </border>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fmlaLink="$E$1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I$2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lockText="1"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E$13"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4</xdr:col>
          <xdr:colOff>0</xdr:colOff>
          <xdr:row>11</xdr:row>
          <xdr:rowOff>0</xdr:rowOff>
        </xdr:to>
        <xdr:sp macro="" textlink="">
          <xdr:nvSpPr>
            <xdr:cNvPr id="1026" name="Group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38100</xdr:rowOff>
        </xdr:from>
        <xdr:to>
          <xdr:col>3</xdr:col>
          <xdr:colOff>438150</xdr:colOff>
          <xdr:row>10</xdr:row>
          <xdr:rowOff>257175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10</xdr:row>
          <xdr:rowOff>38100</xdr:rowOff>
        </xdr:from>
        <xdr:to>
          <xdr:col>3</xdr:col>
          <xdr:colOff>800100</xdr:colOff>
          <xdr:row>10</xdr:row>
          <xdr:rowOff>257175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0</xdr:colOff>
          <xdr:row>13</xdr:row>
          <xdr:rowOff>0</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0</xdr:rowOff>
        </xdr:from>
        <xdr:to>
          <xdr:col>3</xdr:col>
          <xdr:colOff>447675</xdr:colOff>
          <xdr:row>12</xdr:row>
          <xdr:rowOff>152400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142875</xdr:rowOff>
        </xdr:from>
        <xdr:to>
          <xdr:col>3</xdr:col>
          <xdr:colOff>457200</xdr:colOff>
          <xdr:row>12</xdr:row>
          <xdr:rowOff>295275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276225</xdr:rowOff>
        </xdr:from>
        <xdr:to>
          <xdr:col>3</xdr:col>
          <xdr:colOff>371475</xdr:colOff>
          <xdr:row>12</xdr:row>
          <xdr:rowOff>438150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8</xdr:col>
          <xdr:colOff>0</xdr:colOff>
          <xdr:row>18</xdr:row>
          <xdr:rowOff>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8</xdr:col>
          <xdr:colOff>0</xdr:colOff>
          <xdr:row>20</xdr:row>
          <xdr:rowOff>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57150</xdr:rowOff>
        </xdr:from>
        <xdr:to>
          <xdr:col>7</xdr:col>
          <xdr:colOff>381000</xdr:colOff>
          <xdr:row>17</xdr:row>
          <xdr:rowOff>285750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17</xdr:row>
          <xdr:rowOff>66675</xdr:rowOff>
        </xdr:from>
        <xdr:to>
          <xdr:col>7</xdr:col>
          <xdr:colOff>704850</xdr:colOff>
          <xdr:row>17</xdr:row>
          <xdr:rowOff>285750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8</xdr:col>
          <xdr:colOff>0</xdr:colOff>
          <xdr:row>19</xdr:row>
          <xdr:rowOff>0</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18</xdr:row>
          <xdr:rowOff>66675</xdr:rowOff>
        </xdr:from>
        <xdr:to>
          <xdr:col>7</xdr:col>
          <xdr:colOff>704850</xdr:colOff>
          <xdr:row>18</xdr:row>
          <xdr:rowOff>285750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57150</xdr:rowOff>
        </xdr:from>
        <xdr:to>
          <xdr:col>7</xdr:col>
          <xdr:colOff>381000</xdr:colOff>
          <xdr:row>18</xdr:row>
          <xdr:rowOff>285750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29</xdr:row>
          <xdr:rowOff>0</xdr:rowOff>
        </xdr:from>
        <xdr:to>
          <xdr:col>8</xdr:col>
          <xdr:colOff>0</xdr:colOff>
          <xdr:row>30</xdr:row>
          <xdr:rowOff>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19050</xdr:rowOff>
        </xdr:from>
        <xdr:to>
          <xdr:col>4</xdr:col>
          <xdr:colOff>638175</xdr:colOff>
          <xdr:row>29</xdr:row>
          <xdr:rowOff>238125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Swale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238125</xdr:rowOff>
        </xdr:from>
        <xdr:to>
          <xdr:col>4</xdr:col>
          <xdr:colOff>657225</xdr:colOff>
          <xdr:row>30</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Filter Strip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29</xdr:row>
          <xdr:rowOff>28575</xdr:rowOff>
        </xdr:from>
        <xdr:to>
          <xdr:col>6</xdr:col>
          <xdr:colOff>361950</xdr:colOff>
          <xdr:row>29</xdr:row>
          <xdr:rowOff>247650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Forebay (25% WQv)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29</xdr:row>
          <xdr:rowOff>228600</xdr:rowOff>
        </xdr:from>
        <xdr:to>
          <xdr:col>7</xdr:col>
          <xdr:colOff>95250</xdr:colOff>
          <xdr:row>30</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Deep Sump Catch Basins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29</xdr:row>
          <xdr:rowOff>19050</xdr:rowOff>
        </xdr:from>
        <xdr:to>
          <xdr:col>7</xdr:col>
          <xdr:colOff>571500</xdr:colOff>
          <xdr:row>29</xdr:row>
          <xdr:rowOff>247650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Proprietary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8</xdr:col>
          <xdr:colOff>0</xdr:colOff>
          <xdr:row>23</xdr:row>
          <xdr:rowOff>0</xdr:rowOff>
        </xdr:to>
        <xdr:sp macro="" textlink="">
          <xdr:nvSpPr>
            <xdr:cNvPr id="1059" name="Group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22</xdr:row>
          <xdr:rowOff>104775</xdr:rowOff>
        </xdr:from>
        <xdr:to>
          <xdr:col>7</xdr:col>
          <xdr:colOff>400050</xdr:colOff>
          <xdr:row>22</xdr:row>
          <xdr:rowOff>304800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22</xdr:row>
          <xdr:rowOff>104775</xdr:rowOff>
        </xdr:from>
        <xdr:to>
          <xdr:col>7</xdr:col>
          <xdr:colOff>723900</xdr:colOff>
          <xdr:row>22</xdr:row>
          <xdr:rowOff>295275</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0</xdr:rowOff>
        </xdr:from>
        <xdr:to>
          <xdr:col>8</xdr:col>
          <xdr:colOff>0</xdr:colOff>
          <xdr:row>24</xdr:row>
          <xdr:rowOff>0</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23</xdr:row>
          <xdr:rowOff>9525</xdr:rowOff>
        </xdr:from>
        <xdr:to>
          <xdr:col>7</xdr:col>
          <xdr:colOff>400050</xdr:colOff>
          <xdr:row>23</xdr:row>
          <xdr:rowOff>209550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23</xdr:row>
          <xdr:rowOff>9525</xdr:rowOff>
        </xdr:from>
        <xdr:to>
          <xdr:col>7</xdr:col>
          <xdr:colOff>733425</xdr:colOff>
          <xdr:row>23</xdr:row>
          <xdr:rowOff>200025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8</xdr:col>
          <xdr:colOff>0</xdr:colOff>
          <xdr:row>20</xdr:row>
          <xdr:rowOff>0</xdr:rowOff>
        </xdr:to>
        <xdr:sp macro="" textlink="">
          <xdr:nvSpPr>
            <xdr:cNvPr id="1076" name="Group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19</xdr:row>
          <xdr:rowOff>66675</xdr:rowOff>
        </xdr:from>
        <xdr:to>
          <xdr:col>7</xdr:col>
          <xdr:colOff>704850</xdr:colOff>
          <xdr:row>19</xdr:row>
          <xdr:rowOff>285750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57150</xdr:rowOff>
        </xdr:from>
        <xdr:to>
          <xdr:col>7</xdr:col>
          <xdr:colOff>381000</xdr:colOff>
          <xdr:row>19</xdr:row>
          <xdr:rowOff>285750</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8</xdr:col>
          <xdr:colOff>0</xdr:colOff>
          <xdr:row>25</xdr:row>
          <xdr:rowOff>0</xdr:rowOff>
        </xdr:to>
        <xdr:sp macro="" textlink="">
          <xdr:nvSpPr>
            <xdr:cNvPr id="1082" name="Group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9525</xdr:rowOff>
        </xdr:from>
        <xdr:to>
          <xdr:col>8</xdr:col>
          <xdr:colOff>0</xdr:colOff>
          <xdr:row>26</xdr:row>
          <xdr:rowOff>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24</xdr:row>
          <xdr:rowOff>95250</xdr:rowOff>
        </xdr:from>
        <xdr:to>
          <xdr:col>7</xdr:col>
          <xdr:colOff>742950</xdr:colOff>
          <xdr:row>24</xdr:row>
          <xdr:rowOff>285750</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25</xdr:row>
          <xdr:rowOff>95250</xdr:rowOff>
        </xdr:from>
        <xdr:to>
          <xdr:col>7</xdr:col>
          <xdr:colOff>742950</xdr:colOff>
          <xdr:row>25</xdr:row>
          <xdr:rowOff>304800</xdr:rowOff>
        </xdr:to>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24</xdr:row>
          <xdr:rowOff>95250</xdr:rowOff>
        </xdr:from>
        <xdr:to>
          <xdr:col>7</xdr:col>
          <xdr:colOff>400050</xdr:colOff>
          <xdr:row>24</xdr:row>
          <xdr:rowOff>314325</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25</xdr:row>
          <xdr:rowOff>85725</xdr:rowOff>
        </xdr:from>
        <xdr:to>
          <xdr:col>7</xdr:col>
          <xdr:colOff>409575</xdr:colOff>
          <xdr:row>25</xdr:row>
          <xdr:rowOff>304800</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28</xdr:row>
          <xdr:rowOff>0</xdr:rowOff>
        </xdr:from>
        <xdr:to>
          <xdr:col>8</xdr:col>
          <xdr:colOff>0</xdr:colOff>
          <xdr:row>29</xdr:row>
          <xdr:rowOff>0</xdr:rowOff>
        </xdr:to>
        <xdr:sp macro="" textlink="">
          <xdr:nvSpPr>
            <xdr:cNvPr id="1091" name="Group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28</xdr:row>
          <xdr:rowOff>9525</xdr:rowOff>
        </xdr:from>
        <xdr:to>
          <xdr:col>7</xdr:col>
          <xdr:colOff>733425</xdr:colOff>
          <xdr:row>29</xdr:row>
          <xdr:rowOff>0</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28</xdr:row>
          <xdr:rowOff>9525</xdr:rowOff>
        </xdr:from>
        <xdr:to>
          <xdr:col>7</xdr:col>
          <xdr:colOff>409575</xdr:colOff>
          <xdr:row>29</xdr:row>
          <xdr:rowOff>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53</xdr:row>
          <xdr:rowOff>0</xdr:rowOff>
        </xdr:from>
        <xdr:to>
          <xdr:col>8</xdr:col>
          <xdr:colOff>0</xdr:colOff>
          <xdr:row>54</xdr:row>
          <xdr:rowOff>0</xdr:rowOff>
        </xdr:to>
        <xdr:sp macro="" textlink="">
          <xdr:nvSpPr>
            <xdr:cNvPr id="1094" name="Group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53</xdr:row>
          <xdr:rowOff>161925</xdr:rowOff>
        </xdr:from>
        <xdr:to>
          <xdr:col>7</xdr:col>
          <xdr:colOff>419100</xdr:colOff>
          <xdr:row>53</xdr:row>
          <xdr:rowOff>419100</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53</xdr:row>
          <xdr:rowOff>161925</xdr:rowOff>
        </xdr:from>
        <xdr:to>
          <xdr:col>7</xdr:col>
          <xdr:colOff>704850</xdr:colOff>
          <xdr:row>53</xdr:row>
          <xdr:rowOff>371475</xdr:rowOff>
        </xdr:to>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0</xdr:rowOff>
        </xdr:from>
        <xdr:to>
          <xdr:col>8</xdr:col>
          <xdr:colOff>0</xdr:colOff>
          <xdr:row>33</xdr:row>
          <xdr:rowOff>0</xdr:rowOff>
        </xdr:to>
        <xdr:sp macro="" textlink="">
          <xdr:nvSpPr>
            <xdr:cNvPr id="1097" name="Group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32</xdr:row>
          <xdr:rowOff>200025</xdr:rowOff>
        </xdr:from>
        <xdr:to>
          <xdr:col>7</xdr:col>
          <xdr:colOff>400050</xdr:colOff>
          <xdr:row>32</xdr:row>
          <xdr:rowOff>409575</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32</xdr:row>
          <xdr:rowOff>200025</xdr:rowOff>
        </xdr:from>
        <xdr:to>
          <xdr:col>7</xdr:col>
          <xdr:colOff>742950</xdr:colOff>
          <xdr:row>32</xdr:row>
          <xdr:rowOff>428625</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42</xdr:row>
          <xdr:rowOff>0</xdr:rowOff>
        </xdr:from>
        <xdr:to>
          <xdr:col>8</xdr:col>
          <xdr:colOff>0</xdr:colOff>
          <xdr:row>43</xdr:row>
          <xdr:rowOff>0</xdr:rowOff>
        </xdr:to>
        <xdr:sp macro="" textlink="">
          <xdr:nvSpPr>
            <xdr:cNvPr id="1105" name="Group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42</xdr:row>
          <xdr:rowOff>161925</xdr:rowOff>
        </xdr:from>
        <xdr:to>
          <xdr:col>7</xdr:col>
          <xdr:colOff>419100</xdr:colOff>
          <xdr:row>42</xdr:row>
          <xdr:rowOff>400050</xdr:rowOff>
        </xdr:to>
        <xdr:sp macro="" textlink="">
          <xdr:nvSpPr>
            <xdr:cNvPr id="1106" name="Option Button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42</xdr:row>
          <xdr:rowOff>161925</xdr:rowOff>
        </xdr:from>
        <xdr:to>
          <xdr:col>7</xdr:col>
          <xdr:colOff>704850</xdr:colOff>
          <xdr:row>42</xdr:row>
          <xdr:rowOff>400050</xdr:rowOff>
        </xdr:to>
        <xdr:sp macro="" textlink="">
          <xdr:nvSpPr>
            <xdr:cNvPr id="1107" name="Option Button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hdsc.nws.noaa.gov/hdsc/pfds/pfds_map_cont.html?bkmrk=vt"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56"/>
  <sheetViews>
    <sheetView tabSelected="1" showWhiteSpace="0" view="pageLayout" zoomScaleNormal="110" workbookViewId="0">
      <selection activeCell="R4" sqref="R4"/>
    </sheetView>
  </sheetViews>
  <sheetFormatPr defaultColWidth="9.140625" defaultRowHeight="18" x14ac:dyDescent="0.35"/>
  <cols>
    <col min="1" max="1" width="3.28515625" style="5" customWidth="1"/>
    <col min="2" max="2" width="8.5703125" style="2" customWidth="1"/>
    <col min="3" max="3" width="12.5703125" style="2" customWidth="1"/>
    <col min="4" max="5" width="11.7109375" style="2" customWidth="1"/>
    <col min="6" max="6" width="8.85546875" style="2" customWidth="1"/>
    <col min="7" max="7" width="9" style="2" customWidth="1"/>
    <col min="8" max="8" width="10.85546875" style="5" customWidth="1"/>
    <col min="9" max="9" width="18.7109375" style="6" customWidth="1"/>
    <col min="10" max="16384" width="9.140625" style="2"/>
  </cols>
  <sheetData>
    <row r="1" spans="1:14" ht="18" customHeight="1" x14ac:dyDescent="0.35">
      <c r="A1" s="161" t="s">
        <v>122</v>
      </c>
      <c r="B1" s="19"/>
      <c r="C1" s="1"/>
      <c r="G1" s="21" t="s">
        <v>0</v>
      </c>
      <c r="H1" s="196"/>
      <c r="I1" s="197"/>
    </row>
    <row r="2" spans="1:14" ht="18" customHeight="1" x14ac:dyDescent="0.35">
      <c r="A2" s="201" t="s">
        <v>95</v>
      </c>
      <c r="B2" s="201"/>
      <c r="C2" s="201"/>
      <c r="D2" s="201"/>
      <c r="G2" s="21" t="s">
        <v>1</v>
      </c>
      <c r="H2" s="196"/>
      <c r="I2" s="198"/>
    </row>
    <row r="3" spans="1:14" s="3" customFormat="1" ht="18" customHeight="1" x14ac:dyDescent="0.45">
      <c r="A3" s="202"/>
      <c r="B3" s="202"/>
      <c r="C3" s="202"/>
      <c r="D3" s="202"/>
      <c r="E3" s="1"/>
      <c r="F3" s="1"/>
      <c r="G3" s="21" t="s">
        <v>94</v>
      </c>
      <c r="H3" s="199"/>
      <c r="I3" s="200"/>
    </row>
    <row r="4" spans="1:14" s="4" customFormat="1" ht="44.25" x14ac:dyDescent="0.4">
      <c r="A4" s="25"/>
      <c r="B4" s="28" t="s">
        <v>7</v>
      </c>
      <c r="C4" s="22"/>
      <c r="D4" s="50" t="s">
        <v>30</v>
      </c>
      <c r="E4" s="51" t="s">
        <v>32</v>
      </c>
      <c r="F4" s="115" t="s">
        <v>78</v>
      </c>
      <c r="G4" s="104"/>
      <c r="H4" s="104"/>
      <c r="I4" s="104"/>
    </row>
    <row r="5" spans="1:14" s="4" customFormat="1" ht="25.9" customHeight="1" x14ac:dyDescent="0.4">
      <c r="A5" s="29">
        <v>1</v>
      </c>
      <c r="B5" s="106"/>
      <c r="C5" s="107" t="s">
        <v>71</v>
      </c>
      <c r="D5" s="43">
        <v>0</v>
      </c>
      <c r="E5" s="43">
        <v>0</v>
      </c>
      <c r="F5" s="121">
        <f>D5+E5</f>
        <v>0</v>
      </c>
      <c r="G5" s="104"/>
      <c r="H5" s="104"/>
      <c r="I5" s="104"/>
      <c r="L5" s="27"/>
      <c r="M5" s="113"/>
      <c r="N5" s="113"/>
    </row>
    <row r="6" spans="1:14" s="4" customFormat="1" ht="21" x14ac:dyDescent="0.4">
      <c r="A6" s="29">
        <v>2</v>
      </c>
      <c r="B6" s="179" t="s">
        <v>86</v>
      </c>
      <c r="C6" s="195"/>
      <c r="D6" s="43">
        <v>0</v>
      </c>
      <c r="E6" s="43">
        <v>0</v>
      </c>
      <c r="F6" s="121">
        <f>D6+E6</f>
        <v>0</v>
      </c>
      <c r="G6" s="99"/>
      <c r="H6" s="99"/>
      <c r="I6" s="99"/>
      <c r="L6" s="20"/>
      <c r="M6" s="102"/>
      <c r="N6" s="103"/>
    </row>
    <row r="7" spans="1:14" s="4" customFormat="1" ht="21" x14ac:dyDescent="0.4">
      <c r="A7" s="29">
        <v>3</v>
      </c>
      <c r="B7" s="203" t="s">
        <v>85</v>
      </c>
      <c r="C7" s="203"/>
      <c r="D7" s="43">
        <v>0</v>
      </c>
      <c r="E7" s="43">
        <v>0</v>
      </c>
      <c r="F7" s="121">
        <f>D7+E7</f>
        <v>0</v>
      </c>
      <c r="G7" s="99"/>
      <c r="H7" s="99"/>
      <c r="I7" s="99"/>
      <c r="L7" s="20"/>
      <c r="M7" s="102"/>
      <c r="N7" s="103"/>
    </row>
    <row r="8" spans="1:14" s="4" customFormat="1" ht="34.9" customHeight="1" x14ac:dyDescent="0.4">
      <c r="A8" s="29"/>
      <c r="B8" s="100"/>
      <c r="C8" s="101"/>
      <c r="D8" s="135" t="s">
        <v>82</v>
      </c>
      <c r="E8" s="135" t="s">
        <v>72</v>
      </c>
      <c r="F8" s="105" t="s">
        <v>73</v>
      </c>
      <c r="G8" s="99"/>
      <c r="H8" s="99"/>
      <c r="I8" s="99"/>
      <c r="L8" s="20"/>
      <c r="M8" s="102"/>
      <c r="N8" s="103"/>
    </row>
    <row r="9" spans="1:14" s="4" customFormat="1" ht="35.450000000000003" customHeight="1" x14ac:dyDescent="0.4">
      <c r="A9" s="29">
        <v>4</v>
      </c>
      <c r="B9" s="100"/>
      <c r="C9" s="107" t="s">
        <v>8</v>
      </c>
      <c r="D9" s="123">
        <f>IFERROR(IF(D6=0,0,((0.05+(D6/D5)*0.9)*D5/12))+IF(D7=0,0,0.5*(0.05+(D7/D5)*0.9)*D5/12),0)</f>
        <v>0</v>
      </c>
      <c r="E9" s="123">
        <f>IF(E5=0,0,(0.05+(E6/E5)*0.9)*E5/12)</f>
        <v>0</v>
      </c>
      <c r="F9" s="123">
        <f>D9+E9</f>
        <v>0</v>
      </c>
      <c r="G9" s="180" t="s">
        <v>10</v>
      </c>
      <c r="H9" s="181"/>
      <c r="I9" s="122">
        <f>IF(F9=0,0,200/(1+2+2*12*F9/F5-SQRT(5*12*F9/F5+4*(F9*12/F5)^2)))</f>
        <v>0</v>
      </c>
      <c r="J9" s="120"/>
      <c r="L9" s="20"/>
      <c r="M9" s="102"/>
      <c r="N9" s="103"/>
    </row>
    <row r="10" spans="1:14" s="4" customFormat="1" ht="45.75" customHeight="1" x14ac:dyDescent="0.4">
      <c r="A10" s="29"/>
      <c r="B10" s="100"/>
      <c r="C10" s="132"/>
      <c r="D10" s="185" t="str">
        <f>IF(E11=2,"↑ WQv to enter in the Water Quality section under Tier 2&amp;3 practices table. The practice may also receive Tv credit for sump storage below an underdrain (see Question 30)","")</f>
        <v/>
      </c>
      <c r="E10" s="185"/>
      <c r="F10" s="185"/>
      <c r="G10" s="185"/>
      <c r="H10" s="185"/>
      <c r="I10" s="185"/>
      <c r="J10" s="120"/>
      <c r="L10" s="20"/>
      <c r="M10" s="102"/>
      <c r="N10" s="103"/>
    </row>
    <row r="11" spans="1:14" s="4" customFormat="1" ht="22.9" customHeight="1" x14ac:dyDescent="0.4">
      <c r="A11" s="29">
        <v>5</v>
      </c>
      <c r="B11" s="108"/>
      <c r="C11" s="107" t="s">
        <v>6</v>
      </c>
      <c r="D11" s="41"/>
      <c r="E11" s="23">
        <v>0</v>
      </c>
      <c r="F11" s="99"/>
      <c r="G11" s="99"/>
      <c r="H11" s="99"/>
      <c r="I11" s="99"/>
    </row>
    <row r="12" spans="1:14" s="4" customFormat="1" ht="41.25" customHeight="1" x14ac:dyDescent="0.4">
      <c r="A12" s="29" t="s">
        <v>89</v>
      </c>
      <c r="B12" s="179" t="s">
        <v>121</v>
      </c>
      <c r="C12" s="179"/>
      <c r="D12" s="126"/>
      <c r="E12" s="183" t="str">
        <f>IF(E11=1,"← Tv value to enter on the Standards Compliance Workbook for this  practice unless practice has under drain, then use answer to Question 30","")</f>
        <v/>
      </c>
      <c r="F12" s="184"/>
      <c r="G12" s="184"/>
      <c r="H12" s="184"/>
      <c r="I12" s="184"/>
    </row>
    <row r="13" spans="1:14" s="4" customFormat="1" ht="37.15" customHeight="1" x14ac:dyDescent="0.4">
      <c r="A13" s="29">
        <v>7</v>
      </c>
      <c r="B13" s="192" t="s">
        <v>9</v>
      </c>
      <c r="C13" s="193"/>
      <c r="D13" s="109"/>
      <c r="E13" s="23">
        <v>0</v>
      </c>
      <c r="F13" s="129"/>
      <c r="G13" s="129"/>
      <c r="H13" s="129"/>
      <c r="I13" s="129"/>
    </row>
    <row r="14" spans="1:14" s="4" customFormat="1" ht="67.5" customHeight="1" x14ac:dyDescent="0.4">
      <c r="A14" s="29"/>
      <c r="B14" s="182" t="s">
        <v>83</v>
      </c>
      <c r="C14" s="182"/>
      <c r="D14" s="182"/>
      <c r="E14" s="182"/>
      <c r="F14" s="182"/>
      <c r="G14" s="182"/>
      <c r="H14" s="182"/>
      <c r="I14" s="182"/>
    </row>
    <row r="15" spans="1:14" s="4" customFormat="1" ht="5.45" customHeight="1" x14ac:dyDescent="0.4">
      <c r="A15" s="29"/>
      <c r="B15" s="33"/>
      <c r="C15" s="33"/>
      <c r="D15" s="12"/>
      <c r="E15" s="23"/>
      <c r="F15" s="34"/>
      <c r="G15" s="34"/>
      <c r="H15" s="35"/>
      <c r="I15" s="26"/>
    </row>
    <row r="16" spans="1:14" s="4" customFormat="1" ht="17.45" customHeight="1" x14ac:dyDescent="0.4">
      <c r="A16" s="194" t="s">
        <v>14</v>
      </c>
      <c r="B16" s="194"/>
      <c r="C16" s="194"/>
      <c r="D16" s="194"/>
      <c r="E16" s="194"/>
      <c r="F16" s="194"/>
      <c r="G16" s="194"/>
      <c r="H16" s="194"/>
      <c r="I16" s="194"/>
    </row>
    <row r="17" spans="1:12" ht="20.100000000000001" customHeight="1" x14ac:dyDescent="0.35">
      <c r="A17" s="29"/>
      <c r="B17" s="186" t="s">
        <v>96</v>
      </c>
      <c r="C17" s="187"/>
      <c r="D17" s="187"/>
      <c r="E17" s="187"/>
      <c r="F17" s="187"/>
      <c r="G17" s="188"/>
      <c r="H17" s="7" t="s">
        <v>2</v>
      </c>
      <c r="I17" s="16" t="s">
        <v>3</v>
      </c>
      <c r="L17" s="8"/>
    </row>
    <row r="18" spans="1:12" ht="30" customHeight="1" x14ac:dyDescent="0.35">
      <c r="A18" s="29" t="s">
        <v>97</v>
      </c>
      <c r="B18" s="189" t="str">
        <f>IF(F5=0,"",IF(E11=2,"Is the SHGWT at or below the bottom of the practice?",IF(E13=3,IF(D11&lt;=1,IF((F7+F6)/F5&lt;=0.5,"Is the SHGWT separated one (1) foot or more from the bottom of the practice?","Is the SHGWT separated two (2) feet or more from the bottom of the practice?"),"Is the SHGWT separated three (3) feet or more from the bottom of the practice?"),"Is the SHGWT at or below the bottom of the practice?")))</f>
        <v/>
      </c>
      <c r="C18" s="190"/>
      <c r="D18" s="190"/>
      <c r="E18" s="190"/>
      <c r="F18" s="190"/>
      <c r="G18" s="191"/>
      <c r="H18" s="9"/>
      <c r="I18" s="46"/>
    </row>
    <row r="19" spans="1:12" ht="30" customHeight="1" x14ac:dyDescent="0.35">
      <c r="A19" s="29" t="s">
        <v>13</v>
      </c>
      <c r="B19" s="168" t="str">
        <f>IF(E11=2,"","Has the infiltration rate (fc) of the underlying soil been confirmed to be at least 0.2 inches per hour by the soil testing requirements in Section 4.3.3.2?")</f>
        <v>Has the infiltration rate (fc) of the underlying soil been confirmed to be at least 0.2 inches per hour by the soil testing requirements in Section 4.3.3.2?</v>
      </c>
      <c r="C19" s="168"/>
      <c r="D19" s="168"/>
      <c r="E19" s="168"/>
      <c r="F19" s="168"/>
      <c r="G19" s="168"/>
      <c r="H19" s="16"/>
      <c r="I19" s="46"/>
    </row>
    <row r="20" spans="1:12" ht="30" customHeight="1" x14ac:dyDescent="0.35">
      <c r="A20" s="29" t="s">
        <v>90</v>
      </c>
      <c r="B20" s="168" t="str">
        <f>IF(E13=3,"Has a groundwater mounding analysis been performed if the practice is designed to infiltrate &gt;1 year storm and the SHGWT &lt;4 feet?","")</f>
        <v/>
      </c>
      <c r="C20" s="168"/>
      <c r="D20" s="168"/>
      <c r="E20" s="168"/>
      <c r="F20" s="168"/>
      <c r="G20" s="168"/>
      <c r="H20" s="9"/>
      <c r="I20" s="46"/>
    </row>
    <row r="21" spans="1:12" s="19" customFormat="1" ht="13.5" customHeight="1" x14ac:dyDescent="0.35">
      <c r="A21" s="18"/>
      <c r="B21" s="30"/>
      <c r="H21" s="32">
        <v>0</v>
      </c>
      <c r="I21" s="31">
        <v>0</v>
      </c>
    </row>
    <row r="22" spans="1:12" ht="20.100000000000001" customHeight="1" x14ac:dyDescent="0.35">
      <c r="B22" s="166" t="s">
        <v>99</v>
      </c>
      <c r="C22" s="166"/>
      <c r="D22" s="166"/>
      <c r="E22" s="166"/>
      <c r="F22" s="166"/>
      <c r="G22" s="167"/>
      <c r="H22" s="9" t="s">
        <v>2</v>
      </c>
      <c r="I22" s="16" t="s">
        <v>3</v>
      </c>
    </row>
    <row r="23" spans="1:12" ht="31.15" customHeight="1" x14ac:dyDescent="0.35">
      <c r="A23" s="29">
        <v>11</v>
      </c>
      <c r="B23" s="168" t="s">
        <v>12</v>
      </c>
      <c r="C23" s="168"/>
      <c r="D23" s="168"/>
      <c r="E23" s="168"/>
      <c r="F23" s="168"/>
      <c r="G23" s="168"/>
      <c r="H23" s="16"/>
      <c r="I23" s="47"/>
    </row>
    <row r="24" spans="1:12" x14ac:dyDescent="0.35">
      <c r="A24" s="29" t="s">
        <v>91</v>
      </c>
      <c r="B24" s="172" t="str">
        <f>IF(I21=1,"Has the underdrain been designed in conformance with Section 4.3.1.2?","")</f>
        <v/>
      </c>
      <c r="C24" s="172"/>
      <c r="D24" s="172"/>
      <c r="E24" s="172"/>
      <c r="F24" s="172"/>
      <c r="G24" s="172"/>
      <c r="H24" s="16"/>
      <c r="I24" s="47"/>
    </row>
    <row r="25" spans="1:12" ht="31.15" customHeight="1" x14ac:dyDescent="0.35">
      <c r="A25" s="29">
        <v>13</v>
      </c>
      <c r="B25" s="168" t="s">
        <v>15</v>
      </c>
      <c r="C25" s="168"/>
      <c r="D25" s="168"/>
      <c r="E25" s="168"/>
      <c r="F25" s="168"/>
      <c r="G25" s="168"/>
      <c r="H25" s="9"/>
      <c r="I25" s="46"/>
    </row>
    <row r="26" spans="1:12" ht="30.6" customHeight="1" x14ac:dyDescent="0.35">
      <c r="A26" s="5">
        <v>14</v>
      </c>
      <c r="B26" s="168" t="s">
        <v>98</v>
      </c>
      <c r="C26" s="168"/>
      <c r="D26" s="168"/>
      <c r="E26" s="168"/>
      <c r="F26" s="168"/>
      <c r="G26" s="168"/>
      <c r="H26" s="16"/>
      <c r="I26" s="46"/>
    </row>
    <row r="27" spans="1:12" s="19" customFormat="1" ht="10.9" customHeight="1" x14ac:dyDescent="0.35">
      <c r="A27" s="18"/>
    </row>
    <row r="28" spans="1:12" ht="20.100000000000001" customHeight="1" x14ac:dyDescent="0.35">
      <c r="B28" s="166" t="s">
        <v>108</v>
      </c>
      <c r="C28" s="166"/>
      <c r="D28" s="166"/>
      <c r="E28" s="166"/>
      <c r="F28" s="166"/>
      <c r="G28" s="166"/>
      <c r="H28" s="9" t="s">
        <v>2</v>
      </c>
      <c r="I28" s="16" t="s">
        <v>3</v>
      </c>
    </row>
    <row r="29" spans="1:12" x14ac:dyDescent="0.35">
      <c r="A29" s="29">
        <v>15</v>
      </c>
      <c r="B29" s="168" t="s">
        <v>4</v>
      </c>
      <c r="C29" s="168"/>
      <c r="D29" s="168"/>
      <c r="E29" s="168"/>
      <c r="F29" s="168"/>
      <c r="G29" s="168"/>
      <c r="H29" s="9"/>
      <c r="I29" s="46"/>
    </row>
    <row r="30" spans="1:12" ht="37.9" customHeight="1" x14ac:dyDescent="0.35">
      <c r="A30" s="29">
        <v>16</v>
      </c>
      <c r="B30" s="173" t="s">
        <v>11</v>
      </c>
      <c r="C30" s="174"/>
      <c r="D30" s="174"/>
      <c r="E30" s="175"/>
      <c r="F30" s="175"/>
      <c r="G30" s="175"/>
      <c r="H30" s="176"/>
      <c r="I30" s="46"/>
    </row>
    <row r="31" spans="1:12" s="19" customFormat="1" ht="13.15" customHeight="1" x14ac:dyDescent="0.35">
      <c r="A31" s="18"/>
    </row>
    <row r="32" spans="1:12" ht="20.100000000000001" customHeight="1" x14ac:dyDescent="0.35">
      <c r="B32" s="205" t="s">
        <v>109</v>
      </c>
      <c r="C32" s="205"/>
      <c r="D32" s="205"/>
      <c r="E32" s="205"/>
      <c r="F32" s="205"/>
      <c r="G32" s="206"/>
      <c r="H32" s="9" t="s">
        <v>2</v>
      </c>
      <c r="I32" s="16" t="s">
        <v>3</v>
      </c>
    </row>
    <row r="33" spans="1:9" s="19" customFormat="1" ht="46.15" customHeight="1" x14ac:dyDescent="0.35">
      <c r="A33" s="29">
        <v>17</v>
      </c>
      <c r="B33" s="168" t="s">
        <v>100</v>
      </c>
      <c r="C33" s="168"/>
      <c r="D33" s="168"/>
      <c r="E33" s="168"/>
      <c r="F33" s="168"/>
      <c r="G33" s="168"/>
      <c r="H33" s="17"/>
      <c r="I33" s="48"/>
    </row>
    <row r="34" spans="1:9" s="18" customFormat="1" ht="10.9" customHeight="1" x14ac:dyDescent="0.35">
      <c r="A34" s="5"/>
      <c r="I34" s="36">
        <v>0</v>
      </c>
    </row>
    <row r="35" spans="1:9" s="10" customFormat="1" ht="19.5" customHeight="1" x14ac:dyDescent="0.35">
      <c r="A35" s="5"/>
      <c r="B35" s="166" t="str">
        <f>IF(I21=1,"Water Quality Volume Provided by STP","Treatment Volume Calculation - Bioretention without Underdrain")</f>
        <v>Treatment Volume Calculation - Bioretention without Underdrain</v>
      </c>
      <c r="C35" s="166"/>
      <c r="D35" s="166"/>
      <c r="E35" s="166"/>
      <c r="F35" s="166"/>
      <c r="G35" s="166"/>
      <c r="H35" s="9" t="s">
        <v>2</v>
      </c>
      <c r="I35" s="16" t="s">
        <v>3</v>
      </c>
    </row>
    <row r="36" spans="1:9" s="10" customFormat="1" ht="30.6" customHeight="1" x14ac:dyDescent="0.35">
      <c r="A36" s="5" t="s">
        <v>92</v>
      </c>
      <c r="B36" s="168" t="str">
        <f>IF(E11=1,"What is the Treatment Volume the Bioretention filter bed will be sized to accommodate and treat?  (Question 5)","What is the Water Quality Volume that the Bioretention filter bed will be sized to treat?")</f>
        <v>What is the Water Quality Volume that the Bioretention filter bed will be sized to treat?</v>
      </c>
      <c r="C36" s="168"/>
      <c r="D36" s="168"/>
      <c r="E36" s="168"/>
      <c r="F36" s="168"/>
      <c r="G36" s="168"/>
      <c r="H36" s="124">
        <f>IF(E11=1,D12,F9)</f>
        <v>0</v>
      </c>
      <c r="I36" s="16"/>
    </row>
    <row r="37" spans="1:9" ht="21" customHeight="1" x14ac:dyDescent="0.35">
      <c r="A37" s="5">
        <v>19</v>
      </c>
      <c r="B37" s="170" t="s">
        <v>23</v>
      </c>
      <c r="C37" s="171"/>
      <c r="D37" s="171"/>
      <c r="E37" s="171"/>
      <c r="F37" s="171"/>
      <c r="G37" s="39" t="s">
        <v>18</v>
      </c>
      <c r="H37" s="9"/>
      <c r="I37" s="46"/>
    </row>
    <row r="38" spans="1:9" s="11" customFormat="1" ht="21" customHeight="1" x14ac:dyDescent="0.35">
      <c r="A38" s="24">
        <v>20</v>
      </c>
      <c r="B38" s="170" t="s">
        <v>19</v>
      </c>
      <c r="C38" s="171"/>
      <c r="D38" s="171"/>
      <c r="E38" s="171"/>
      <c r="F38" s="171"/>
      <c r="G38" s="39" t="s">
        <v>20</v>
      </c>
      <c r="H38" s="125">
        <v>1</v>
      </c>
      <c r="I38" s="46"/>
    </row>
    <row r="39" spans="1:9" s="11" customFormat="1" ht="21" customHeight="1" x14ac:dyDescent="0.35">
      <c r="A39" s="24">
        <v>21</v>
      </c>
      <c r="B39" s="170" t="s">
        <v>22</v>
      </c>
      <c r="C39" s="171"/>
      <c r="D39" s="171"/>
      <c r="E39" s="171"/>
      <c r="F39" s="171"/>
      <c r="G39" s="39" t="s">
        <v>21</v>
      </c>
      <c r="H39" s="9"/>
      <c r="I39" s="46"/>
    </row>
    <row r="40" spans="1:9" s="11" customFormat="1" ht="21" customHeight="1" x14ac:dyDescent="0.35">
      <c r="A40" s="24">
        <v>22</v>
      </c>
      <c r="B40" s="170" t="s">
        <v>25</v>
      </c>
      <c r="C40" s="171"/>
      <c r="D40" s="171"/>
      <c r="E40" s="171"/>
      <c r="F40" s="171"/>
      <c r="G40" s="39" t="s">
        <v>24</v>
      </c>
      <c r="H40" s="9"/>
      <c r="I40" s="46"/>
    </row>
    <row r="41" spans="1:9" s="11" customFormat="1" ht="21" customHeight="1" x14ac:dyDescent="0.35">
      <c r="A41" s="24" t="s">
        <v>103</v>
      </c>
      <c r="B41" s="170" t="s">
        <v>79</v>
      </c>
      <c r="C41" s="171"/>
      <c r="D41" s="171"/>
      <c r="E41" s="171"/>
      <c r="F41" s="171"/>
      <c r="G41" s="39" t="s">
        <v>80</v>
      </c>
      <c r="H41" s="127" t="str">
        <f>IFERROR((H36*H37)/(H38*(H39+H37)*H40)*43560,"")</f>
        <v/>
      </c>
      <c r="I41" s="37"/>
    </row>
    <row r="42" spans="1:9" s="11" customFormat="1" ht="21" customHeight="1" x14ac:dyDescent="0.35">
      <c r="A42" s="24">
        <v>24</v>
      </c>
      <c r="B42" s="170" t="s">
        <v>81</v>
      </c>
      <c r="C42" s="171"/>
      <c r="D42" s="171"/>
      <c r="E42" s="171"/>
      <c r="F42" s="171"/>
      <c r="G42" s="39" t="s">
        <v>80</v>
      </c>
      <c r="H42" s="128"/>
      <c r="I42" s="15"/>
    </row>
    <row r="43" spans="1:9" s="11" customFormat="1" ht="48.6" customHeight="1" x14ac:dyDescent="0.35">
      <c r="A43" s="24">
        <v>25</v>
      </c>
      <c r="B43" s="169" t="s">
        <v>101</v>
      </c>
      <c r="C43" s="169"/>
      <c r="D43" s="169"/>
      <c r="E43" s="169"/>
      <c r="F43" s="169"/>
      <c r="G43" s="169"/>
      <c r="H43" s="162"/>
      <c r="I43" s="15"/>
    </row>
    <row r="44" spans="1:9" s="11" customFormat="1" ht="20.25" customHeight="1" x14ac:dyDescent="0.35">
      <c r="A44" s="24" t="s">
        <v>104</v>
      </c>
      <c r="B44" s="177" t="s">
        <v>123</v>
      </c>
      <c r="C44" s="178"/>
      <c r="D44" s="178"/>
      <c r="E44" s="178"/>
      <c r="F44" s="178"/>
      <c r="G44" s="163" t="s">
        <v>125</v>
      </c>
      <c r="H44" s="124">
        <f>((H37*H42*0.33)+(H39*H42))/43560</f>
        <v>0</v>
      </c>
      <c r="I44" s="235" t="s">
        <v>126</v>
      </c>
    </row>
    <row r="45" spans="1:9" s="11" customFormat="1" ht="10.9" customHeight="1" x14ac:dyDescent="0.35">
      <c r="A45" s="24"/>
      <c r="B45" s="14"/>
      <c r="C45" s="14"/>
      <c r="D45" s="14"/>
      <c r="E45" s="14"/>
      <c r="F45" s="14"/>
      <c r="G45" s="14"/>
      <c r="H45" s="133"/>
      <c r="I45" s="133"/>
    </row>
    <row r="46" spans="1:9" s="10" customFormat="1" ht="19.5" customHeight="1" x14ac:dyDescent="0.35">
      <c r="A46" s="5"/>
      <c r="B46" s="166" t="s">
        <v>102</v>
      </c>
      <c r="C46" s="166"/>
      <c r="D46" s="166"/>
      <c r="E46" s="166"/>
      <c r="F46" s="166"/>
      <c r="G46" s="166"/>
      <c r="H46" s="9" t="s">
        <v>2</v>
      </c>
      <c r="I46" s="16" t="s">
        <v>3</v>
      </c>
    </row>
    <row r="47" spans="1:9" s="11" customFormat="1" ht="21" customHeight="1" x14ac:dyDescent="0.35">
      <c r="A47" s="24" t="s">
        <v>105</v>
      </c>
      <c r="B47" s="210" t="str">
        <f>IF(I21=1,"What is the surface area of the filter bed/ swale bottom?","")</f>
        <v/>
      </c>
      <c r="C47" s="211"/>
      <c r="D47" s="211"/>
      <c r="E47" s="211"/>
      <c r="F47" s="211"/>
      <c r="G47" s="44" t="s">
        <v>16</v>
      </c>
      <c r="H47" s="127">
        <f>H42</f>
        <v>0</v>
      </c>
      <c r="I47" s="46"/>
    </row>
    <row r="48" spans="1:9" s="11" customFormat="1" ht="21" customHeight="1" x14ac:dyDescent="0.35">
      <c r="A48" s="24" t="s">
        <v>106</v>
      </c>
      <c r="B48" s="164" t="str">
        <f>IF(I21=1,"What is the depth of media beneath the underdrain invert?","Underdrain not used (Question 10). This section not required.")</f>
        <v>Underdrain not used (Question 10). This section not required.</v>
      </c>
      <c r="C48" s="165"/>
      <c r="D48" s="165"/>
      <c r="E48" s="165"/>
      <c r="F48" s="165"/>
      <c r="G48" s="42" t="s">
        <v>17</v>
      </c>
      <c r="H48" s="9">
        <v>0</v>
      </c>
      <c r="I48" s="46"/>
    </row>
    <row r="49" spans="1:9" ht="21" customHeight="1" x14ac:dyDescent="0.35">
      <c r="A49" s="5" t="s">
        <v>93</v>
      </c>
      <c r="B49" s="164" t="str">
        <f>IF(I21=1,"What is the porosity of the media beneath the underdrain invert?","")</f>
        <v/>
      </c>
      <c r="C49" s="165"/>
      <c r="D49" s="165"/>
      <c r="E49" s="165"/>
      <c r="F49" s="165"/>
      <c r="G49" s="42" t="s">
        <v>29</v>
      </c>
      <c r="H49" s="9">
        <v>0</v>
      </c>
      <c r="I49" s="46"/>
    </row>
    <row r="50" spans="1:9" s="11" customFormat="1" ht="21" customHeight="1" x14ac:dyDescent="0.35">
      <c r="A50" s="24" t="s">
        <v>107</v>
      </c>
      <c r="B50" s="164" t="str">
        <f>IF(I21=1,"Treatment Volume","")</f>
        <v/>
      </c>
      <c r="C50" s="165"/>
      <c r="D50" s="165"/>
      <c r="E50" s="165"/>
      <c r="F50" s="165"/>
      <c r="G50" s="42" t="str">
        <f>IF(I21=1,"Tv","")</f>
        <v/>
      </c>
      <c r="H50" s="9">
        <f>(H47*H48*H49)</f>
        <v>0</v>
      </c>
      <c r="I50" s="37" t="s">
        <v>26</v>
      </c>
    </row>
    <row r="51" spans="1:9" s="11" customFormat="1" ht="21" customHeight="1" x14ac:dyDescent="0.35">
      <c r="A51" s="24" t="s">
        <v>124</v>
      </c>
      <c r="B51" s="208" t="str">
        <f>B50</f>
        <v/>
      </c>
      <c r="C51" s="209"/>
      <c r="D51" s="209"/>
      <c r="E51" s="209"/>
      <c r="F51" s="209"/>
      <c r="G51" s="45" t="str">
        <f>G50</f>
        <v/>
      </c>
      <c r="H51" s="134">
        <f>H50/43560</f>
        <v>0</v>
      </c>
      <c r="I51" s="15" t="s">
        <v>27</v>
      </c>
    </row>
    <row r="52" spans="1:9" s="11" customFormat="1" ht="10.9" customHeight="1" x14ac:dyDescent="0.35">
      <c r="A52" s="24"/>
      <c r="B52" s="38"/>
      <c r="C52" s="14"/>
      <c r="D52" s="14"/>
      <c r="E52" s="14"/>
      <c r="F52" s="14"/>
      <c r="G52" s="14"/>
      <c r="H52" s="207" t="str">
        <f>IF(I21=1,"↑ Enter this value on the Standards Compliance Worksheet","")</f>
        <v/>
      </c>
      <c r="I52" s="207"/>
    </row>
    <row r="53" spans="1:9" ht="20.100000000000001" customHeight="1" x14ac:dyDescent="0.35">
      <c r="B53" s="205" t="s">
        <v>110</v>
      </c>
      <c r="C53" s="205"/>
      <c r="D53" s="205"/>
      <c r="E53" s="205"/>
      <c r="F53" s="205"/>
      <c r="G53" s="206"/>
      <c r="H53" s="9" t="s">
        <v>2</v>
      </c>
      <c r="I53" s="16" t="s">
        <v>3</v>
      </c>
    </row>
    <row r="54" spans="1:9" s="18" customFormat="1" ht="45" customHeight="1" x14ac:dyDescent="0.35">
      <c r="A54" s="29">
        <v>32</v>
      </c>
      <c r="B54" s="168" t="s">
        <v>28</v>
      </c>
      <c r="C54" s="168"/>
      <c r="D54" s="168"/>
      <c r="E54" s="168"/>
      <c r="F54" s="168"/>
      <c r="G54" s="168"/>
      <c r="H54" s="40"/>
      <c r="I54" s="49"/>
    </row>
    <row r="55" spans="1:9" s="18" customFormat="1" ht="4.1500000000000004" customHeight="1" x14ac:dyDescent="0.35">
      <c r="A55" s="5"/>
    </row>
    <row r="56" spans="1:9" s="13" customFormat="1" ht="27" customHeight="1" x14ac:dyDescent="0.35">
      <c r="A56" s="204" t="s">
        <v>5</v>
      </c>
      <c r="B56" s="204"/>
      <c r="C56" s="204"/>
      <c r="D56" s="204"/>
      <c r="E56" s="204"/>
      <c r="F56" s="204"/>
      <c r="G56" s="204"/>
      <c r="H56" s="204"/>
      <c r="I56" s="204"/>
    </row>
  </sheetData>
  <mergeCells count="48">
    <mergeCell ref="B7:C7"/>
    <mergeCell ref="B28:G28"/>
    <mergeCell ref="B29:G29"/>
    <mergeCell ref="A56:I56"/>
    <mergeCell ref="B54:G54"/>
    <mergeCell ref="B53:G53"/>
    <mergeCell ref="B32:G32"/>
    <mergeCell ref="H52:I52"/>
    <mergeCell ref="B51:F51"/>
    <mergeCell ref="B35:G35"/>
    <mergeCell ref="B46:G46"/>
    <mergeCell ref="B33:G33"/>
    <mergeCell ref="B47:F47"/>
    <mergeCell ref="B48:F48"/>
    <mergeCell ref="B50:F50"/>
    <mergeCell ref="B37:F37"/>
    <mergeCell ref="B6:C6"/>
    <mergeCell ref="H1:I1"/>
    <mergeCell ref="H2:I2"/>
    <mergeCell ref="H3:I3"/>
    <mergeCell ref="A2:D3"/>
    <mergeCell ref="B12:C12"/>
    <mergeCell ref="G9:H9"/>
    <mergeCell ref="B36:G36"/>
    <mergeCell ref="B14:I14"/>
    <mergeCell ref="E12:I12"/>
    <mergeCell ref="D10:I10"/>
    <mergeCell ref="B19:G19"/>
    <mergeCell ref="B17:G17"/>
    <mergeCell ref="B18:G18"/>
    <mergeCell ref="B13:C13"/>
    <mergeCell ref="A16:I16"/>
    <mergeCell ref="B20:G20"/>
    <mergeCell ref="B49:F49"/>
    <mergeCell ref="B22:G22"/>
    <mergeCell ref="B25:G25"/>
    <mergeCell ref="B43:G43"/>
    <mergeCell ref="B38:F38"/>
    <mergeCell ref="B39:F39"/>
    <mergeCell ref="B40:F40"/>
    <mergeCell ref="B41:F41"/>
    <mergeCell ref="B42:F42"/>
    <mergeCell ref="B23:G23"/>
    <mergeCell ref="B24:G24"/>
    <mergeCell ref="B26:G26"/>
    <mergeCell ref="B30:D30"/>
    <mergeCell ref="E30:H30"/>
    <mergeCell ref="B44:F44"/>
  </mergeCells>
  <conditionalFormatting sqref="B47:G51">
    <cfRule type="expression" dxfId="1" priority="2">
      <formula>$I$21=1</formula>
    </cfRule>
  </conditionalFormatting>
  <conditionalFormatting sqref="B12:D12">
    <cfRule type="expression" dxfId="0" priority="1">
      <formula>$E$11=2</formula>
    </cfRule>
  </conditionalFormatting>
  <pageMargins left="0.5" right="0.5" top="0.75" bottom="0.75" header="0" footer="0.3"/>
  <pageSetup orientation="portrait" r:id="rId1"/>
  <headerFooter>
    <oddFooter>&amp;RPage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Group Box 2">
              <controlPr defaultSize="0" autoFill="0" autoPict="0">
                <anchor moveWithCells="1">
                  <from>
                    <xdr:col>3</xdr:col>
                    <xdr:colOff>0</xdr:colOff>
                    <xdr:row>10</xdr:row>
                    <xdr:rowOff>0</xdr:rowOff>
                  </from>
                  <to>
                    <xdr:col>4</xdr:col>
                    <xdr:colOff>0</xdr:colOff>
                    <xdr:row>11</xdr:row>
                    <xdr:rowOff>0</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3</xdr:col>
                    <xdr:colOff>38100</xdr:colOff>
                    <xdr:row>10</xdr:row>
                    <xdr:rowOff>38100</xdr:rowOff>
                  </from>
                  <to>
                    <xdr:col>3</xdr:col>
                    <xdr:colOff>438150</xdr:colOff>
                    <xdr:row>10</xdr:row>
                    <xdr:rowOff>257175</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3</xdr:col>
                    <xdr:colOff>419100</xdr:colOff>
                    <xdr:row>10</xdr:row>
                    <xdr:rowOff>38100</xdr:rowOff>
                  </from>
                  <to>
                    <xdr:col>3</xdr:col>
                    <xdr:colOff>800100</xdr:colOff>
                    <xdr:row>10</xdr:row>
                    <xdr:rowOff>257175</xdr:rowOff>
                  </to>
                </anchor>
              </controlPr>
            </control>
          </mc:Choice>
        </mc:AlternateContent>
        <mc:AlternateContent xmlns:mc="http://schemas.openxmlformats.org/markup-compatibility/2006">
          <mc:Choice Requires="x14">
            <control shapeId="1036" r:id="rId7" name="Group Box 12">
              <controlPr defaultSize="0" autoFill="0" autoPict="0">
                <anchor moveWithCells="1">
                  <from>
                    <xdr:col>3</xdr:col>
                    <xdr:colOff>0</xdr:colOff>
                    <xdr:row>12</xdr:row>
                    <xdr:rowOff>0</xdr:rowOff>
                  </from>
                  <to>
                    <xdr:col>4</xdr:col>
                    <xdr:colOff>0</xdr:colOff>
                    <xdr:row>13</xdr:row>
                    <xdr:rowOff>0</xdr:rowOff>
                  </to>
                </anchor>
              </controlPr>
            </control>
          </mc:Choice>
        </mc:AlternateContent>
        <mc:AlternateContent xmlns:mc="http://schemas.openxmlformats.org/markup-compatibility/2006">
          <mc:Choice Requires="x14">
            <control shapeId="1037" r:id="rId8" name="Option Button 13">
              <controlPr defaultSize="0" autoFill="0" autoLine="0" autoPict="0">
                <anchor moveWithCells="1">
                  <from>
                    <xdr:col>3</xdr:col>
                    <xdr:colOff>38100</xdr:colOff>
                    <xdr:row>12</xdr:row>
                    <xdr:rowOff>0</xdr:rowOff>
                  </from>
                  <to>
                    <xdr:col>3</xdr:col>
                    <xdr:colOff>447675</xdr:colOff>
                    <xdr:row>12</xdr:row>
                    <xdr:rowOff>152400</xdr:rowOff>
                  </to>
                </anchor>
              </controlPr>
            </control>
          </mc:Choice>
        </mc:AlternateContent>
        <mc:AlternateContent xmlns:mc="http://schemas.openxmlformats.org/markup-compatibility/2006">
          <mc:Choice Requires="x14">
            <control shapeId="1038" r:id="rId9" name="Option Button 14">
              <controlPr defaultSize="0" autoFill="0" autoLine="0" autoPict="0">
                <anchor moveWithCells="1">
                  <from>
                    <xdr:col>3</xdr:col>
                    <xdr:colOff>38100</xdr:colOff>
                    <xdr:row>12</xdr:row>
                    <xdr:rowOff>142875</xdr:rowOff>
                  </from>
                  <to>
                    <xdr:col>3</xdr:col>
                    <xdr:colOff>457200</xdr:colOff>
                    <xdr:row>12</xdr:row>
                    <xdr:rowOff>295275</xdr:rowOff>
                  </to>
                </anchor>
              </controlPr>
            </control>
          </mc:Choice>
        </mc:AlternateContent>
        <mc:AlternateContent xmlns:mc="http://schemas.openxmlformats.org/markup-compatibility/2006">
          <mc:Choice Requires="x14">
            <control shapeId="1040" r:id="rId10" name="Option Button 16">
              <controlPr defaultSize="0" autoFill="0" autoLine="0" autoPict="0">
                <anchor moveWithCells="1">
                  <from>
                    <xdr:col>3</xdr:col>
                    <xdr:colOff>38100</xdr:colOff>
                    <xdr:row>12</xdr:row>
                    <xdr:rowOff>276225</xdr:rowOff>
                  </from>
                  <to>
                    <xdr:col>3</xdr:col>
                    <xdr:colOff>371475</xdr:colOff>
                    <xdr:row>12</xdr:row>
                    <xdr:rowOff>438150</xdr:rowOff>
                  </to>
                </anchor>
              </controlPr>
            </control>
          </mc:Choice>
        </mc:AlternateContent>
        <mc:AlternateContent xmlns:mc="http://schemas.openxmlformats.org/markup-compatibility/2006">
          <mc:Choice Requires="x14">
            <control shapeId="1042" r:id="rId11" name="Group Box 18">
              <controlPr defaultSize="0" autoFill="0" autoPict="0">
                <anchor moveWithCells="1">
                  <from>
                    <xdr:col>7</xdr:col>
                    <xdr:colOff>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1045" r:id="rId12" name="Group Box 21">
              <controlPr defaultSize="0" autoFill="0" autoPict="0">
                <anchor moveWithCells="1">
                  <from>
                    <xdr:col>7</xdr:col>
                    <xdr:colOff>0</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1046" r:id="rId13" name="Option Button 22">
              <controlPr defaultSize="0" autoFill="0" autoLine="0" autoPict="0">
                <anchor moveWithCells="1">
                  <from>
                    <xdr:col>7</xdr:col>
                    <xdr:colOff>19050</xdr:colOff>
                    <xdr:row>17</xdr:row>
                    <xdr:rowOff>57150</xdr:rowOff>
                  </from>
                  <to>
                    <xdr:col>7</xdr:col>
                    <xdr:colOff>381000</xdr:colOff>
                    <xdr:row>17</xdr:row>
                    <xdr:rowOff>285750</xdr:rowOff>
                  </to>
                </anchor>
              </controlPr>
            </control>
          </mc:Choice>
        </mc:AlternateContent>
        <mc:AlternateContent xmlns:mc="http://schemas.openxmlformats.org/markup-compatibility/2006">
          <mc:Choice Requires="x14">
            <control shapeId="1047" r:id="rId14" name="Option Button 23">
              <controlPr defaultSize="0" autoFill="0" autoLine="0" autoPict="0">
                <anchor moveWithCells="1">
                  <from>
                    <xdr:col>7</xdr:col>
                    <xdr:colOff>400050</xdr:colOff>
                    <xdr:row>17</xdr:row>
                    <xdr:rowOff>66675</xdr:rowOff>
                  </from>
                  <to>
                    <xdr:col>7</xdr:col>
                    <xdr:colOff>704850</xdr:colOff>
                    <xdr:row>17</xdr:row>
                    <xdr:rowOff>285750</xdr:rowOff>
                  </to>
                </anchor>
              </controlPr>
            </control>
          </mc:Choice>
        </mc:AlternateContent>
        <mc:AlternateContent xmlns:mc="http://schemas.openxmlformats.org/markup-compatibility/2006">
          <mc:Choice Requires="x14">
            <control shapeId="1048" r:id="rId15" name="Group Box 24">
              <controlPr defaultSize="0" autoFill="0" autoPict="0">
                <anchor moveWithCells="1">
                  <from>
                    <xdr:col>7</xdr:col>
                    <xdr:colOff>0</xdr:colOff>
                    <xdr:row>18</xdr:row>
                    <xdr:rowOff>0</xdr:rowOff>
                  </from>
                  <to>
                    <xdr:col>8</xdr:col>
                    <xdr:colOff>0</xdr:colOff>
                    <xdr:row>19</xdr:row>
                    <xdr:rowOff>0</xdr:rowOff>
                  </to>
                </anchor>
              </controlPr>
            </control>
          </mc:Choice>
        </mc:AlternateContent>
        <mc:AlternateContent xmlns:mc="http://schemas.openxmlformats.org/markup-compatibility/2006">
          <mc:Choice Requires="x14">
            <control shapeId="1050" r:id="rId16" name="Option Button 26">
              <controlPr defaultSize="0" autoFill="0" autoLine="0" autoPict="0">
                <anchor moveWithCells="1">
                  <from>
                    <xdr:col>7</xdr:col>
                    <xdr:colOff>400050</xdr:colOff>
                    <xdr:row>18</xdr:row>
                    <xdr:rowOff>66675</xdr:rowOff>
                  </from>
                  <to>
                    <xdr:col>7</xdr:col>
                    <xdr:colOff>704850</xdr:colOff>
                    <xdr:row>18</xdr:row>
                    <xdr:rowOff>285750</xdr:rowOff>
                  </to>
                </anchor>
              </controlPr>
            </control>
          </mc:Choice>
        </mc:AlternateContent>
        <mc:AlternateContent xmlns:mc="http://schemas.openxmlformats.org/markup-compatibility/2006">
          <mc:Choice Requires="x14">
            <control shapeId="1052" r:id="rId17" name="Option Button 28">
              <controlPr defaultSize="0" autoFill="0" autoLine="0" autoPict="0">
                <anchor moveWithCells="1">
                  <from>
                    <xdr:col>7</xdr:col>
                    <xdr:colOff>19050</xdr:colOff>
                    <xdr:row>18</xdr:row>
                    <xdr:rowOff>57150</xdr:rowOff>
                  </from>
                  <to>
                    <xdr:col>7</xdr:col>
                    <xdr:colOff>381000</xdr:colOff>
                    <xdr:row>18</xdr:row>
                    <xdr:rowOff>285750</xdr:rowOff>
                  </to>
                </anchor>
              </controlPr>
            </control>
          </mc:Choice>
        </mc:AlternateContent>
        <mc:AlternateContent xmlns:mc="http://schemas.openxmlformats.org/markup-compatibility/2006">
          <mc:Choice Requires="x14">
            <control shapeId="1053" r:id="rId18" name="Group Box 29">
              <controlPr defaultSize="0" autoFill="0" autoPict="0">
                <anchor moveWithCells="1">
                  <from>
                    <xdr:col>4</xdr:col>
                    <xdr:colOff>9525</xdr:colOff>
                    <xdr:row>29</xdr:row>
                    <xdr:rowOff>0</xdr:rowOff>
                  </from>
                  <to>
                    <xdr:col>8</xdr:col>
                    <xdr:colOff>0</xdr:colOff>
                    <xdr:row>30</xdr:row>
                    <xdr:rowOff>0</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4</xdr:col>
                    <xdr:colOff>57150</xdr:colOff>
                    <xdr:row>29</xdr:row>
                    <xdr:rowOff>19050</xdr:rowOff>
                  </from>
                  <to>
                    <xdr:col>4</xdr:col>
                    <xdr:colOff>638175</xdr:colOff>
                    <xdr:row>29</xdr:row>
                    <xdr:rowOff>238125</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4</xdr:col>
                    <xdr:colOff>57150</xdr:colOff>
                    <xdr:row>29</xdr:row>
                    <xdr:rowOff>238125</xdr:rowOff>
                  </from>
                  <to>
                    <xdr:col>4</xdr:col>
                    <xdr:colOff>657225</xdr:colOff>
                    <xdr:row>30</xdr:row>
                    <xdr:rowOff>0</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4</xdr:col>
                    <xdr:colOff>742950</xdr:colOff>
                    <xdr:row>29</xdr:row>
                    <xdr:rowOff>28575</xdr:rowOff>
                  </from>
                  <to>
                    <xdr:col>6</xdr:col>
                    <xdr:colOff>361950</xdr:colOff>
                    <xdr:row>29</xdr:row>
                    <xdr:rowOff>247650</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4</xdr:col>
                    <xdr:colOff>742950</xdr:colOff>
                    <xdr:row>29</xdr:row>
                    <xdr:rowOff>228600</xdr:rowOff>
                  </from>
                  <to>
                    <xdr:col>7</xdr:col>
                    <xdr:colOff>95250</xdr:colOff>
                    <xdr:row>30</xdr:row>
                    <xdr:rowOff>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6</xdr:col>
                    <xdr:colOff>495300</xdr:colOff>
                    <xdr:row>29</xdr:row>
                    <xdr:rowOff>19050</xdr:rowOff>
                  </from>
                  <to>
                    <xdr:col>7</xdr:col>
                    <xdr:colOff>571500</xdr:colOff>
                    <xdr:row>29</xdr:row>
                    <xdr:rowOff>247650</xdr:rowOff>
                  </to>
                </anchor>
              </controlPr>
            </control>
          </mc:Choice>
        </mc:AlternateContent>
        <mc:AlternateContent xmlns:mc="http://schemas.openxmlformats.org/markup-compatibility/2006">
          <mc:Choice Requires="x14">
            <control shapeId="1059" r:id="rId24" name="Group Box 35">
              <controlPr defaultSize="0" autoFill="0" autoPict="0">
                <anchor moveWithCells="1">
                  <from>
                    <xdr:col>7</xdr:col>
                    <xdr:colOff>0</xdr:colOff>
                    <xdr:row>22</xdr:row>
                    <xdr:rowOff>0</xdr:rowOff>
                  </from>
                  <to>
                    <xdr:col>8</xdr:col>
                    <xdr:colOff>0</xdr:colOff>
                    <xdr:row>23</xdr:row>
                    <xdr:rowOff>0</xdr:rowOff>
                  </to>
                </anchor>
              </controlPr>
            </control>
          </mc:Choice>
        </mc:AlternateContent>
        <mc:AlternateContent xmlns:mc="http://schemas.openxmlformats.org/markup-compatibility/2006">
          <mc:Choice Requires="x14">
            <control shapeId="1060" r:id="rId25" name="Option Button 36">
              <controlPr defaultSize="0" autoFill="0" autoLine="0" autoPict="0">
                <anchor moveWithCells="1">
                  <from>
                    <xdr:col>7</xdr:col>
                    <xdr:colOff>47625</xdr:colOff>
                    <xdr:row>22</xdr:row>
                    <xdr:rowOff>104775</xdr:rowOff>
                  </from>
                  <to>
                    <xdr:col>7</xdr:col>
                    <xdr:colOff>400050</xdr:colOff>
                    <xdr:row>22</xdr:row>
                    <xdr:rowOff>304800</xdr:rowOff>
                  </to>
                </anchor>
              </controlPr>
            </control>
          </mc:Choice>
        </mc:AlternateContent>
        <mc:AlternateContent xmlns:mc="http://schemas.openxmlformats.org/markup-compatibility/2006">
          <mc:Choice Requires="x14">
            <control shapeId="1061" r:id="rId26" name="Option Button 37">
              <controlPr defaultSize="0" autoFill="0" autoLine="0" autoPict="0">
                <anchor moveWithCells="1">
                  <from>
                    <xdr:col>7</xdr:col>
                    <xdr:colOff>409575</xdr:colOff>
                    <xdr:row>22</xdr:row>
                    <xdr:rowOff>104775</xdr:rowOff>
                  </from>
                  <to>
                    <xdr:col>7</xdr:col>
                    <xdr:colOff>723900</xdr:colOff>
                    <xdr:row>22</xdr:row>
                    <xdr:rowOff>295275</xdr:rowOff>
                  </to>
                </anchor>
              </controlPr>
            </control>
          </mc:Choice>
        </mc:AlternateContent>
        <mc:AlternateContent xmlns:mc="http://schemas.openxmlformats.org/markup-compatibility/2006">
          <mc:Choice Requires="x14">
            <control shapeId="1065" r:id="rId27" name="Group Box 41">
              <controlPr defaultSize="0" autoFill="0" autoPict="0">
                <anchor moveWithCells="1">
                  <from>
                    <xdr:col>7</xdr:col>
                    <xdr:colOff>0</xdr:colOff>
                    <xdr:row>23</xdr:row>
                    <xdr:rowOff>0</xdr:rowOff>
                  </from>
                  <to>
                    <xdr:col>8</xdr:col>
                    <xdr:colOff>0</xdr:colOff>
                    <xdr:row>24</xdr:row>
                    <xdr:rowOff>0</xdr:rowOff>
                  </to>
                </anchor>
              </controlPr>
            </control>
          </mc:Choice>
        </mc:AlternateContent>
        <mc:AlternateContent xmlns:mc="http://schemas.openxmlformats.org/markup-compatibility/2006">
          <mc:Choice Requires="x14">
            <control shapeId="1066" r:id="rId28" name="Option Button 42">
              <controlPr defaultSize="0" autoFill="0" autoLine="0" autoPict="0">
                <anchor moveWithCells="1">
                  <from>
                    <xdr:col>7</xdr:col>
                    <xdr:colOff>47625</xdr:colOff>
                    <xdr:row>23</xdr:row>
                    <xdr:rowOff>9525</xdr:rowOff>
                  </from>
                  <to>
                    <xdr:col>7</xdr:col>
                    <xdr:colOff>400050</xdr:colOff>
                    <xdr:row>23</xdr:row>
                    <xdr:rowOff>209550</xdr:rowOff>
                  </to>
                </anchor>
              </controlPr>
            </control>
          </mc:Choice>
        </mc:AlternateContent>
        <mc:AlternateContent xmlns:mc="http://schemas.openxmlformats.org/markup-compatibility/2006">
          <mc:Choice Requires="x14">
            <control shapeId="1067" r:id="rId29" name="Option Button 43">
              <controlPr defaultSize="0" autoFill="0" autoLine="0" autoPict="0">
                <anchor moveWithCells="1">
                  <from>
                    <xdr:col>7</xdr:col>
                    <xdr:colOff>419100</xdr:colOff>
                    <xdr:row>23</xdr:row>
                    <xdr:rowOff>9525</xdr:rowOff>
                  </from>
                  <to>
                    <xdr:col>7</xdr:col>
                    <xdr:colOff>733425</xdr:colOff>
                    <xdr:row>23</xdr:row>
                    <xdr:rowOff>200025</xdr:rowOff>
                  </to>
                </anchor>
              </controlPr>
            </control>
          </mc:Choice>
        </mc:AlternateContent>
        <mc:AlternateContent xmlns:mc="http://schemas.openxmlformats.org/markup-compatibility/2006">
          <mc:Choice Requires="x14">
            <control shapeId="1076" r:id="rId30" name="Group Box 52">
              <controlPr defaultSize="0" autoFill="0" autoPict="0">
                <anchor moveWithCells="1">
                  <from>
                    <xdr:col>7</xdr:col>
                    <xdr:colOff>0</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1077" r:id="rId31" name="Option Button 53">
              <controlPr defaultSize="0" autoFill="0" autoLine="0" autoPict="0">
                <anchor moveWithCells="1">
                  <from>
                    <xdr:col>7</xdr:col>
                    <xdr:colOff>400050</xdr:colOff>
                    <xdr:row>19</xdr:row>
                    <xdr:rowOff>66675</xdr:rowOff>
                  </from>
                  <to>
                    <xdr:col>7</xdr:col>
                    <xdr:colOff>704850</xdr:colOff>
                    <xdr:row>19</xdr:row>
                    <xdr:rowOff>285750</xdr:rowOff>
                  </to>
                </anchor>
              </controlPr>
            </control>
          </mc:Choice>
        </mc:AlternateContent>
        <mc:AlternateContent xmlns:mc="http://schemas.openxmlformats.org/markup-compatibility/2006">
          <mc:Choice Requires="x14">
            <control shapeId="1078" r:id="rId32" name="Option Button 54">
              <controlPr defaultSize="0" autoFill="0" autoLine="0" autoPict="0">
                <anchor moveWithCells="1">
                  <from>
                    <xdr:col>7</xdr:col>
                    <xdr:colOff>19050</xdr:colOff>
                    <xdr:row>19</xdr:row>
                    <xdr:rowOff>57150</xdr:rowOff>
                  </from>
                  <to>
                    <xdr:col>7</xdr:col>
                    <xdr:colOff>381000</xdr:colOff>
                    <xdr:row>19</xdr:row>
                    <xdr:rowOff>285750</xdr:rowOff>
                  </to>
                </anchor>
              </controlPr>
            </control>
          </mc:Choice>
        </mc:AlternateContent>
        <mc:AlternateContent xmlns:mc="http://schemas.openxmlformats.org/markup-compatibility/2006">
          <mc:Choice Requires="x14">
            <control shapeId="1082" r:id="rId33" name="Group Box 58">
              <controlPr defaultSize="0" autoFill="0" autoPict="0">
                <anchor moveWithCells="1">
                  <from>
                    <xdr:col>7</xdr:col>
                    <xdr:colOff>0</xdr:colOff>
                    <xdr:row>24</xdr:row>
                    <xdr:rowOff>0</xdr:rowOff>
                  </from>
                  <to>
                    <xdr:col>8</xdr:col>
                    <xdr:colOff>0</xdr:colOff>
                    <xdr:row>25</xdr:row>
                    <xdr:rowOff>0</xdr:rowOff>
                  </to>
                </anchor>
              </controlPr>
            </control>
          </mc:Choice>
        </mc:AlternateContent>
        <mc:AlternateContent xmlns:mc="http://schemas.openxmlformats.org/markup-compatibility/2006">
          <mc:Choice Requires="x14">
            <control shapeId="1084" r:id="rId34" name="Group Box 60">
              <controlPr defaultSize="0" autoFill="0" autoPict="0">
                <anchor moveWithCells="1">
                  <from>
                    <xdr:col>7</xdr:col>
                    <xdr:colOff>0</xdr:colOff>
                    <xdr:row>25</xdr:row>
                    <xdr:rowOff>9525</xdr:rowOff>
                  </from>
                  <to>
                    <xdr:col>8</xdr:col>
                    <xdr:colOff>0</xdr:colOff>
                    <xdr:row>26</xdr:row>
                    <xdr:rowOff>0</xdr:rowOff>
                  </to>
                </anchor>
              </controlPr>
            </control>
          </mc:Choice>
        </mc:AlternateContent>
        <mc:AlternateContent xmlns:mc="http://schemas.openxmlformats.org/markup-compatibility/2006">
          <mc:Choice Requires="x14">
            <control shapeId="1086" r:id="rId35" name="Option Button 62">
              <controlPr defaultSize="0" autoFill="0" autoLine="0" autoPict="0">
                <anchor moveWithCells="1">
                  <from>
                    <xdr:col>7</xdr:col>
                    <xdr:colOff>428625</xdr:colOff>
                    <xdr:row>24</xdr:row>
                    <xdr:rowOff>95250</xdr:rowOff>
                  </from>
                  <to>
                    <xdr:col>7</xdr:col>
                    <xdr:colOff>742950</xdr:colOff>
                    <xdr:row>24</xdr:row>
                    <xdr:rowOff>285750</xdr:rowOff>
                  </to>
                </anchor>
              </controlPr>
            </control>
          </mc:Choice>
        </mc:AlternateContent>
        <mc:AlternateContent xmlns:mc="http://schemas.openxmlformats.org/markup-compatibility/2006">
          <mc:Choice Requires="x14">
            <control shapeId="1087" r:id="rId36" name="Option Button 63">
              <controlPr defaultSize="0" autoFill="0" autoLine="0" autoPict="0">
                <anchor moveWithCells="1">
                  <from>
                    <xdr:col>7</xdr:col>
                    <xdr:colOff>428625</xdr:colOff>
                    <xdr:row>25</xdr:row>
                    <xdr:rowOff>95250</xdr:rowOff>
                  </from>
                  <to>
                    <xdr:col>7</xdr:col>
                    <xdr:colOff>742950</xdr:colOff>
                    <xdr:row>25</xdr:row>
                    <xdr:rowOff>304800</xdr:rowOff>
                  </to>
                </anchor>
              </controlPr>
            </control>
          </mc:Choice>
        </mc:AlternateContent>
        <mc:AlternateContent xmlns:mc="http://schemas.openxmlformats.org/markup-compatibility/2006">
          <mc:Choice Requires="x14">
            <control shapeId="1089" r:id="rId37" name="Option Button 65">
              <controlPr defaultSize="0" autoFill="0" autoLine="0" autoPict="0">
                <anchor moveWithCells="1">
                  <from>
                    <xdr:col>7</xdr:col>
                    <xdr:colOff>38100</xdr:colOff>
                    <xdr:row>24</xdr:row>
                    <xdr:rowOff>95250</xdr:rowOff>
                  </from>
                  <to>
                    <xdr:col>7</xdr:col>
                    <xdr:colOff>400050</xdr:colOff>
                    <xdr:row>24</xdr:row>
                    <xdr:rowOff>314325</xdr:rowOff>
                  </to>
                </anchor>
              </controlPr>
            </control>
          </mc:Choice>
        </mc:AlternateContent>
        <mc:AlternateContent xmlns:mc="http://schemas.openxmlformats.org/markup-compatibility/2006">
          <mc:Choice Requires="x14">
            <control shapeId="1090" r:id="rId38" name="Option Button 66">
              <controlPr defaultSize="0" autoFill="0" autoLine="0" autoPict="0">
                <anchor moveWithCells="1">
                  <from>
                    <xdr:col>7</xdr:col>
                    <xdr:colOff>57150</xdr:colOff>
                    <xdr:row>25</xdr:row>
                    <xdr:rowOff>85725</xdr:rowOff>
                  </from>
                  <to>
                    <xdr:col>7</xdr:col>
                    <xdr:colOff>409575</xdr:colOff>
                    <xdr:row>25</xdr:row>
                    <xdr:rowOff>304800</xdr:rowOff>
                  </to>
                </anchor>
              </controlPr>
            </control>
          </mc:Choice>
        </mc:AlternateContent>
        <mc:AlternateContent xmlns:mc="http://schemas.openxmlformats.org/markup-compatibility/2006">
          <mc:Choice Requires="x14">
            <control shapeId="1091" r:id="rId39" name="Group Box 67">
              <controlPr defaultSize="0" autoFill="0" autoPict="0">
                <anchor moveWithCells="1">
                  <from>
                    <xdr:col>6</xdr:col>
                    <xdr:colOff>647700</xdr:colOff>
                    <xdr:row>28</xdr:row>
                    <xdr:rowOff>0</xdr:rowOff>
                  </from>
                  <to>
                    <xdr:col>7</xdr:col>
                    <xdr:colOff>781050</xdr:colOff>
                    <xdr:row>29</xdr:row>
                    <xdr:rowOff>0</xdr:rowOff>
                  </to>
                </anchor>
              </controlPr>
            </control>
          </mc:Choice>
        </mc:AlternateContent>
        <mc:AlternateContent xmlns:mc="http://schemas.openxmlformats.org/markup-compatibility/2006">
          <mc:Choice Requires="x14">
            <control shapeId="1092" r:id="rId40" name="Option Button 68">
              <controlPr defaultSize="0" autoFill="0" autoLine="0" autoPict="0">
                <anchor moveWithCells="1">
                  <from>
                    <xdr:col>7</xdr:col>
                    <xdr:colOff>419100</xdr:colOff>
                    <xdr:row>28</xdr:row>
                    <xdr:rowOff>9525</xdr:rowOff>
                  </from>
                  <to>
                    <xdr:col>7</xdr:col>
                    <xdr:colOff>733425</xdr:colOff>
                    <xdr:row>29</xdr:row>
                    <xdr:rowOff>0</xdr:rowOff>
                  </to>
                </anchor>
              </controlPr>
            </control>
          </mc:Choice>
        </mc:AlternateContent>
        <mc:AlternateContent xmlns:mc="http://schemas.openxmlformats.org/markup-compatibility/2006">
          <mc:Choice Requires="x14">
            <control shapeId="1093" r:id="rId41" name="Option Button 69">
              <controlPr defaultSize="0" autoFill="0" autoLine="0" autoPict="0">
                <anchor moveWithCells="1">
                  <from>
                    <xdr:col>7</xdr:col>
                    <xdr:colOff>57150</xdr:colOff>
                    <xdr:row>28</xdr:row>
                    <xdr:rowOff>9525</xdr:rowOff>
                  </from>
                  <to>
                    <xdr:col>7</xdr:col>
                    <xdr:colOff>409575</xdr:colOff>
                    <xdr:row>29</xdr:row>
                    <xdr:rowOff>0</xdr:rowOff>
                  </to>
                </anchor>
              </controlPr>
            </control>
          </mc:Choice>
        </mc:AlternateContent>
        <mc:AlternateContent xmlns:mc="http://schemas.openxmlformats.org/markup-compatibility/2006">
          <mc:Choice Requires="x14">
            <control shapeId="1094" r:id="rId42" name="Group Box 70">
              <controlPr defaultSize="0" autoFill="0" autoPict="0">
                <anchor moveWithCells="1">
                  <from>
                    <xdr:col>6</xdr:col>
                    <xdr:colOff>647700</xdr:colOff>
                    <xdr:row>53</xdr:row>
                    <xdr:rowOff>0</xdr:rowOff>
                  </from>
                  <to>
                    <xdr:col>7</xdr:col>
                    <xdr:colOff>781050</xdr:colOff>
                    <xdr:row>54</xdr:row>
                    <xdr:rowOff>0</xdr:rowOff>
                  </to>
                </anchor>
              </controlPr>
            </control>
          </mc:Choice>
        </mc:AlternateContent>
        <mc:AlternateContent xmlns:mc="http://schemas.openxmlformats.org/markup-compatibility/2006">
          <mc:Choice Requires="x14">
            <control shapeId="1095" r:id="rId43" name="Option Button 71">
              <controlPr defaultSize="0" autoFill="0" autoLine="0" autoPict="0">
                <anchor moveWithCells="1">
                  <from>
                    <xdr:col>7</xdr:col>
                    <xdr:colOff>38100</xdr:colOff>
                    <xdr:row>53</xdr:row>
                    <xdr:rowOff>161925</xdr:rowOff>
                  </from>
                  <to>
                    <xdr:col>7</xdr:col>
                    <xdr:colOff>419100</xdr:colOff>
                    <xdr:row>53</xdr:row>
                    <xdr:rowOff>419100</xdr:rowOff>
                  </to>
                </anchor>
              </controlPr>
            </control>
          </mc:Choice>
        </mc:AlternateContent>
        <mc:AlternateContent xmlns:mc="http://schemas.openxmlformats.org/markup-compatibility/2006">
          <mc:Choice Requires="x14">
            <control shapeId="1096" r:id="rId44" name="Option Button 72">
              <controlPr defaultSize="0" autoFill="0" autoLine="0" autoPict="0">
                <anchor moveWithCells="1">
                  <from>
                    <xdr:col>7</xdr:col>
                    <xdr:colOff>400050</xdr:colOff>
                    <xdr:row>53</xdr:row>
                    <xdr:rowOff>161925</xdr:rowOff>
                  </from>
                  <to>
                    <xdr:col>7</xdr:col>
                    <xdr:colOff>704850</xdr:colOff>
                    <xdr:row>53</xdr:row>
                    <xdr:rowOff>371475</xdr:rowOff>
                  </to>
                </anchor>
              </controlPr>
            </control>
          </mc:Choice>
        </mc:AlternateContent>
        <mc:AlternateContent xmlns:mc="http://schemas.openxmlformats.org/markup-compatibility/2006">
          <mc:Choice Requires="x14">
            <control shapeId="1097" r:id="rId45" name="Group Box 73">
              <controlPr defaultSize="0" autoFill="0" autoPict="0">
                <anchor moveWithCells="1">
                  <from>
                    <xdr:col>7</xdr:col>
                    <xdr:colOff>0</xdr:colOff>
                    <xdr:row>32</xdr:row>
                    <xdr:rowOff>0</xdr:rowOff>
                  </from>
                  <to>
                    <xdr:col>8</xdr:col>
                    <xdr:colOff>0</xdr:colOff>
                    <xdr:row>33</xdr:row>
                    <xdr:rowOff>0</xdr:rowOff>
                  </to>
                </anchor>
              </controlPr>
            </control>
          </mc:Choice>
        </mc:AlternateContent>
        <mc:AlternateContent xmlns:mc="http://schemas.openxmlformats.org/markup-compatibility/2006">
          <mc:Choice Requires="x14">
            <control shapeId="1098" r:id="rId46" name="Option Button 74">
              <controlPr defaultSize="0" autoFill="0" autoLine="0" autoPict="0">
                <anchor moveWithCells="1">
                  <from>
                    <xdr:col>7</xdr:col>
                    <xdr:colOff>57150</xdr:colOff>
                    <xdr:row>32</xdr:row>
                    <xdr:rowOff>200025</xdr:rowOff>
                  </from>
                  <to>
                    <xdr:col>7</xdr:col>
                    <xdr:colOff>400050</xdr:colOff>
                    <xdr:row>32</xdr:row>
                    <xdr:rowOff>409575</xdr:rowOff>
                  </to>
                </anchor>
              </controlPr>
            </control>
          </mc:Choice>
        </mc:AlternateContent>
        <mc:AlternateContent xmlns:mc="http://schemas.openxmlformats.org/markup-compatibility/2006">
          <mc:Choice Requires="x14">
            <control shapeId="1099" r:id="rId47" name="Option Button 75">
              <controlPr defaultSize="0" autoFill="0" autoLine="0" autoPict="0">
                <anchor moveWithCells="1">
                  <from>
                    <xdr:col>7</xdr:col>
                    <xdr:colOff>438150</xdr:colOff>
                    <xdr:row>32</xdr:row>
                    <xdr:rowOff>200025</xdr:rowOff>
                  </from>
                  <to>
                    <xdr:col>7</xdr:col>
                    <xdr:colOff>742950</xdr:colOff>
                    <xdr:row>32</xdr:row>
                    <xdr:rowOff>428625</xdr:rowOff>
                  </to>
                </anchor>
              </controlPr>
            </control>
          </mc:Choice>
        </mc:AlternateContent>
        <mc:AlternateContent xmlns:mc="http://schemas.openxmlformats.org/markup-compatibility/2006">
          <mc:Choice Requires="x14">
            <control shapeId="1105" r:id="rId48" name="Group Box 81">
              <controlPr defaultSize="0" autoFill="0" autoPict="0">
                <anchor moveWithCells="1">
                  <from>
                    <xdr:col>6</xdr:col>
                    <xdr:colOff>647700</xdr:colOff>
                    <xdr:row>42</xdr:row>
                    <xdr:rowOff>0</xdr:rowOff>
                  </from>
                  <to>
                    <xdr:col>7</xdr:col>
                    <xdr:colOff>781050</xdr:colOff>
                    <xdr:row>43</xdr:row>
                    <xdr:rowOff>0</xdr:rowOff>
                  </to>
                </anchor>
              </controlPr>
            </control>
          </mc:Choice>
        </mc:AlternateContent>
        <mc:AlternateContent xmlns:mc="http://schemas.openxmlformats.org/markup-compatibility/2006">
          <mc:Choice Requires="x14">
            <control shapeId="1106" r:id="rId49" name="Option Button 82">
              <controlPr defaultSize="0" autoFill="0" autoLine="0" autoPict="0">
                <anchor moveWithCells="1">
                  <from>
                    <xdr:col>7</xdr:col>
                    <xdr:colOff>38100</xdr:colOff>
                    <xdr:row>42</xdr:row>
                    <xdr:rowOff>161925</xdr:rowOff>
                  </from>
                  <to>
                    <xdr:col>7</xdr:col>
                    <xdr:colOff>419100</xdr:colOff>
                    <xdr:row>42</xdr:row>
                    <xdr:rowOff>400050</xdr:rowOff>
                  </to>
                </anchor>
              </controlPr>
            </control>
          </mc:Choice>
        </mc:AlternateContent>
        <mc:AlternateContent xmlns:mc="http://schemas.openxmlformats.org/markup-compatibility/2006">
          <mc:Choice Requires="x14">
            <control shapeId="1107" r:id="rId50" name="Option Button 83">
              <controlPr defaultSize="0" autoFill="0" autoLine="0" autoPict="0">
                <anchor moveWithCells="1">
                  <from>
                    <xdr:col>7</xdr:col>
                    <xdr:colOff>400050</xdr:colOff>
                    <xdr:row>42</xdr:row>
                    <xdr:rowOff>161925</xdr:rowOff>
                  </from>
                  <to>
                    <xdr:col>7</xdr:col>
                    <xdr:colOff>704850</xdr:colOff>
                    <xdr:row>42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604BB-BCF2-457E-826D-32DA308A15C3}">
  <dimension ref="A1:G43"/>
  <sheetViews>
    <sheetView workbookViewId="0">
      <selection activeCell="D9" sqref="D9"/>
    </sheetView>
  </sheetViews>
  <sheetFormatPr defaultRowHeight="15" x14ac:dyDescent="0.25"/>
  <cols>
    <col min="1" max="1" width="21.28515625" customWidth="1"/>
    <col min="2" max="6" width="12.28515625" customWidth="1"/>
    <col min="7" max="7" width="11" customWidth="1"/>
  </cols>
  <sheetData>
    <row r="1" spans="1:7" ht="16.5" x14ac:dyDescent="0.3">
      <c r="A1" s="116" t="s">
        <v>68</v>
      </c>
      <c r="B1" s="117"/>
      <c r="C1" s="117"/>
      <c r="D1" s="117"/>
      <c r="E1" s="118" t="s">
        <v>0</v>
      </c>
      <c r="F1" s="216" t="str">
        <f>IF('Bioretention (4.3.1)'!H1=0,"",'Bioretention (4.3.1)'!H1)</f>
        <v/>
      </c>
      <c r="G1" s="217"/>
    </row>
    <row r="2" spans="1:7" ht="15.75" x14ac:dyDescent="0.3">
      <c r="A2" s="130"/>
      <c r="B2" s="131"/>
      <c r="C2" s="131"/>
      <c r="D2" s="54"/>
      <c r="E2" s="119" t="s">
        <v>1</v>
      </c>
      <c r="F2" s="218" t="str">
        <f>IF('Bioretention (4.3.1)'!H2=0,"",'Bioretention (4.3.1)'!H2)</f>
        <v/>
      </c>
      <c r="G2" s="219"/>
    </row>
    <row r="3" spans="1:7" ht="16.149999999999999" customHeight="1" x14ac:dyDescent="0.3">
      <c r="A3" s="130"/>
      <c r="B3" s="131"/>
      <c r="C3" s="131"/>
      <c r="D3" s="54"/>
      <c r="E3" s="119" t="s">
        <v>94</v>
      </c>
      <c r="F3" s="218" t="str">
        <f>IF('Bioretention (4.3.1)'!H3=0,"",'Bioretention (4.3.1)'!H3)</f>
        <v/>
      </c>
      <c r="G3" s="219"/>
    </row>
    <row r="4" spans="1:7" ht="58.9" customHeight="1" x14ac:dyDescent="0.25">
      <c r="A4" s="225" t="s">
        <v>84</v>
      </c>
      <c r="B4" s="226"/>
      <c r="C4" s="226"/>
      <c r="D4" s="226"/>
      <c r="E4" s="226"/>
      <c r="F4" s="226"/>
      <c r="G4" s="227"/>
    </row>
    <row r="5" spans="1:7" ht="10.9" customHeight="1" x14ac:dyDescent="0.25">
      <c r="A5" s="72"/>
      <c r="B5" s="54"/>
      <c r="C5" s="54"/>
      <c r="D5" s="54"/>
      <c r="E5" s="54"/>
      <c r="F5" s="54"/>
      <c r="G5" s="55"/>
    </row>
    <row r="6" spans="1:7" ht="15.6" customHeight="1" x14ac:dyDescent="0.25">
      <c r="A6" s="52" t="s">
        <v>33</v>
      </c>
      <c r="B6" s="228" t="s">
        <v>34</v>
      </c>
      <c r="C6" s="228"/>
      <c r="D6" s="228"/>
      <c r="E6" s="53" t="s">
        <v>35</v>
      </c>
      <c r="F6" s="54"/>
      <c r="G6" s="55"/>
    </row>
    <row r="7" spans="1:7" x14ac:dyDescent="0.25">
      <c r="A7" s="56" t="s">
        <v>36</v>
      </c>
      <c r="B7" s="57" t="s">
        <v>37</v>
      </c>
      <c r="C7" s="58" t="s">
        <v>38</v>
      </c>
      <c r="D7" s="58" t="s">
        <v>39</v>
      </c>
      <c r="E7" s="58" t="s">
        <v>40</v>
      </c>
      <c r="F7" s="54"/>
      <c r="G7" s="55"/>
    </row>
    <row r="8" spans="1:7" x14ac:dyDescent="0.25">
      <c r="A8" s="59" t="s">
        <v>41</v>
      </c>
      <c r="B8" s="92">
        <v>1</v>
      </c>
      <c r="C8" s="93">
        <v>0</v>
      </c>
      <c r="D8" s="93">
        <v>0</v>
      </c>
      <c r="E8" s="93">
        <v>0</v>
      </c>
      <c r="F8" s="54"/>
      <c r="G8" s="55"/>
    </row>
    <row r="9" spans="1:7" ht="10.9" customHeight="1" thickBot="1" x14ac:dyDescent="0.3">
      <c r="A9" s="60"/>
      <c r="B9" s="61"/>
      <c r="C9" s="62"/>
      <c r="D9" s="62"/>
      <c r="E9" s="62"/>
      <c r="F9" s="62"/>
      <c r="G9" s="63"/>
    </row>
    <row r="10" spans="1:7" ht="15.75" x14ac:dyDescent="0.25">
      <c r="A10" s="64" t="s">
        <v>42</v>
      </c>
      <c r="B10" s="65"/>
      <c r="C10" s="66"/>
      <c r="D10" s="66"/>
      <c r="E10" s="66"/>
      <c r="F10" s="66"/>
      <c r="G10" s="67"/>
    </row>
    <row r="11" spans="1:7" ht="15.75" x14ac:dyDescent="0.25">
      <c r="A11" s="229" t="s">
        <v>43</v>
      </c>
      <c r="B11" s="230"/>
      <c r="C11" s="230"/>
      <c r="D11" s="230"/>
      <c r="E11" s="230"/>
      <c r="F11" s="230"/>
      <c r="G11" s="55"/>
    </row>
    <row r="12" spans="1:7" x14ac:dyDescent="0.25">
      <c r="A12" s="68"/>
      <c r="B12" s="220" t="s">
        <v>44</v>
      </c>
      <c r="C12" s="221"/>
      <c r="D12" s="221"/>
      <c r="E12" s="222"/>
      <c r="F12" s="223" t="s">
        <v>31</v>
      </c>
      <c r="G12" s="55"/>
    </row>
    <row r="13" spans="1:7" x14ac:dyDescent="0.25">
      <c r="A13" s="69" t="s">
        <v>45</v>
      </c>
      <c r="B13" s="158" t="s">
        <v>46</v>
      </c>
      <c r="C13" s="158" t="s">
        <v>47</v>
      </c>
      <c r="D13" s="158" t="s">
        <v>48</v>
      </c>
      <c r="E13" s="158" t="s">
        <v>49</v>
      </c>
      <c r="F13" s="224"/>
      <c r="G13" s="231"/>
    </row>
    <row r="14" spans="1:7" x14ac:dyDescent="0.25">
      <c r="A14" s="70" t="s">
        <v>50</v>
      </c>
      <c r="B14" s="94">
        <v>0</v>
      </c>
      <c r="C14" s="94">
        <v>0</v>
      </c>
      <c r="D14" s="94">
        <v>0</v>
      </c>
      <c r="E14" s="94">
        <v>0</v>
      </c>
      <c r="F14" s="95">
        <f t="shared" ref="F14:F18" si="0">SUM(B14:E14)</f>
        <v>0</v>
      </c>
      <c r="G14" s="231"/>
    </row>
    <row r="15" spans="1:7" x14ac:dyDescent="0.25">
      <c r="A15" s="70" t="s">
        <v>51</v>
      </c>
      <c r="B15" s="94">
        <v>0</v>
      </c>
      <c r="C15" s="94">
        <v>0</v>
      </c>
      <c r="D15" s="94">
        <v>0</v>
      </c>
      <c r="E15" s="94">
        <v>0</v>
      </c>
      <c r="F15" s="95">
        <f t="shared" si="0"/>
        <v>0</v>
      </c>
      <c r="G15" s="55"/>
    </row>
    <row r="16" spans="1:7" x14ac:dyDescent="0.25">
      <c r="A16" s="70" t="s">
        <v>52</v>
      </c>
      <c r="B16" s="94">
        <v>0</v>
      </c>
      <c r="C16" s="94">
        <v>0</v>
      </c>
      <c r="D16" s="94">
        <v>0</v>
      </c>
      <c r="E16" s="94">
        <v>0</v>
      </c>
      <c r="F16" s="95">
        <f t="shared" si="0"/>
        <v>0</v>
      </c>
      <c r="G16" s="55"/>
    </row>
    <row r="17" spans="1:7" ht="30" x14ac:dyDescent="0.25">
      <c r="A17" s="71" t="s">
        <v>54</v>
      </c>
      <c r="B17" s="94">
        <v>0</v>
      </c>
      <c r="C17" s="94">
        <v>0</v>
      </c>
      <c r="D17" s="94">
        <v>0</v>
      </c>
      <c r="E17" s="94">
        <v>0</v>
      </c>
      <c r="F17" s="95">
        <f t="shared" si="0"/>
        <v>0</v>
      </c>
      <c r="G17" s="55"/>
    </row>
    <row r="18" spans="1:7" x14ac:dyDescent="0.25">
      <c r="A18" s="70" t="s">
        <v>55</v>
      </c>
      <c r="B18" s="95">
        <f>SUM(B14:B17)</f>
        <v>0</v>
      </c>
      <c r="C18" s="95">
        <f>SUM(C14:C17)</f>
        <v>0</v>
      </c>
      <c r="D18" s="96">
        <f>SUM(D14:D17)</f>
        <v>0</v>
      </c>
      <c r="E18" s="95">
        <f>SUM(E14:E17)</f>
        <v>0</v>
      </c>
      <c r="F18" s="95">
        <f t="shared" si="0"/>
        <v>0</v>
      </c>
      <c r="G18" s="55"/>
    </row>
    <row r="19" spans="1:7" ht="10.9" customHeight="1" x14ac:dyDescent="0.25">
      <c r="A19" s="72"/>
      <c r="B19" s="54"/>
      <c r="C19" s="73"/>
      <c r="D19" s="74"/>
      <c r="E19" s="54"/>
      <c r="F19" s="54"/>
      <c r="G19" s="55"/>
    </row>
    <row r="20" spans="1:7" ht="15.75" x14ac:dyDescent="0.25">
      <c r="A20" s="232" t="s">
        <v>56</v>
      </c>
      <c r="B20" s="233"/>
      <c r="C20" s="233"/>
      <c r="D20" s="233"/>
      <c r="E20" s="233"/>
      <c r="F20" s="233"/>
      <c r="G20" s="55"/>
    </row>
    <row r="21" spans="1:7" x14ac:dyDescent="0.25">
      <c r="A21" s="68"/>
      <c r="B21" s="220" t="s">
        <v>44</v>
      </c>
      <c r="C21" s="221"/>
      <c r="D21" s="221"/>
      <c r="E21" s="222"/>
      <c r="F21" s="223" t="s">
        <v>31</v>
      </c>
      <c r="G21" s="55"/>
    </row>
    <row r="22" spans="1:7" x14ac:dyDescent="0.25">
      <c r="A22" s="69" t="s">
        <v>45</v>
      </c>
      <c r="B22" s="158" t="s">
        <v>46</v>
      </c>
      <c r="C22" s="158" t="s">
        <v>47</v>
      </c>
      <c r="D22" s="158" t="s">
        <v>48</v>
      </c>
      <c r="E22" s="158" t="s">
        <v>49</v>
      </c>
      <c r="F22" s="224"/>
      <c r="G22" s="55"/>
    </row>
    <row r="23" spans="1:7" x14ac:dyDescent="0.25">
      <c r="A23" s="70" t="s">
        <v>50</v>
      </c>
      <c r="B23" s="94">
        <v>0</v>
      </c>
      <c r="C23" s="94">
        <v>0</v>
      </c>
      <c r="D23" s="94">
        <v>0</v>
      </c>
      <c r="E23" s="94">
        <v>0</v>
      </c>
      <c r="F23" s="95">
        <f t="shared" ref="F23:F27" si="1">SUM(B23:E23)</f>
        <v>0</v>
      </c>
      <c r="G23" s="55"/>
    </row>
    <row r="24" spans="1:7" x14ac:dyDescent="0.25">
      <c r="A24" s="70" t="s">
        <v>51</v>
      </c>
      <c r="B24" s="94">
        <v>0</v>
      </c>
      <c r="C24" s="94">
        <v>0</v>
      </c>
      <c r="D24" s="94">
        <v>0</v>
      </c>
      <c r="E24" s="94">
        <v>0</v>
      </c>
      <c r="F24" s="95">
        <f t="shared" si="1"/>
        <v>0</v>
      </c>
      <c r="G24" s="55"/>
    </row>
    <row r="25" spans="1:7" x14ac:dyDescent="0.25">
      <c r="A25" s="70" t="s">
        <v>52</v>
      </c>
      <c r="B25" s="94">
        <v>0</v>
      </c>
      <c r="C25" s="94">
        <v>0</v>
      </c>
      <c r="D25" s="94">
        <v>0</v>
      </c>
      <c r="E25" s="94">
        <v>0</v>
      </c>
      <c r="F25" s="95">
        <f t="shared" si="1"/>
        <v>0</v>
      </c>
      <c r="G25" s="55"/>
    </row>
    <row r="26" spans="1:7" ht="30" x14ac:dyDescent="0.25">
      <c r="A26" s="71" t="s">
        <v>54</v>
      </c>
      <c r="B26" s="94">
        <v>0</v>
      </c>
      <c r="C26" s="94">
        <v>0</v>
      </c>
      <c r="D26" s="94">
        <v>0</v>
      </c>
      <c r="E26" s="94">
        <v>0</v>
      </c>
      <c r="F26" s="95">
        <f t="shared" si="1"/>
        <v>0</v>
      </c>
      <c r="G26" s="55"/>
    </row>
    <row r="27" spans="1:7" x14ac:dyDescent="0.25">
      <c r="A27" s="70" t="s">
        <v>55</v>
      </c>
      <c r="B27" s="97">
        <f>SUM(B23:B26)</f>
        <v>0</v>
      </c>
      <c r="C27" s="98">
        <f>SUM(C23:C26)</f>
        <v>0</v>
      </c>
      <c r="D27" s="98">
        <f>SUM(D23:D26)</f>
        <v>0</v>
      </c>
      <c r="E27" s="98">
        <f>SUM(E23:E26)</f>
        <v>0</v>
      </c>
      <c r="F27" s="98">
        <f t="shared" si="1"/>
        <v>0</v>
      </c>
      <c r="G27" s="55"/>
    </row>
    <row r="28" spans="1:7" ht="10.9" customHeight="1" thickBot="1" x14ac:dyDescent="0.3">
      <c r="A28" s="77"/>
      <c r="B28" s="78"/>
      <c r="C28" s="78"/>
      <c r="D28" s="78"/>
      <c r="E28" s="78"/>
      <c r="F28" s="78"/>
      <c r="G28" s="63"/>
    </row>
    <row r="29" spans="1:7" ht="10.9" customHeight="1" x14ac:dyDescent="0.25">
      <c r="A29" s="137"/>
      <c r="B29" s="117"/>
      <c r="C29" s="117"/>
      <c r="D29" s="117"/>
      <c r="E29" s="117"/>
      <c r="F29" s="117"/>
      <c r="G29" s="67"/>
    </row>
    <row r="30" spans="1:7" ht="18" x14ac:dyDescent="0.35">
      <c r="A30" s="72" t="s">
        <v>76</v>
      </c>
      <c r="B30" s="114">
        <v>0</v>
      </c>
      <c r="C30" s="54" t="s">
        <v>75</v>
      </c>
      <c r="D30" s="54"/>
      <c r="E30" s="136" t="s">
        <v>88</v>
      </c>
      <c r="F30" s="114">
        <v>0</v>
      </c>
      <c r="G30" s="55" t="s">
        <v>75</v>
      </c>
    </row>
    <row r="31" spans="1:7" ht="10.9" customHeight="1" thickBot="1" x14ac:dyDescent="0.3">
      <c r="A31" s="110"/>
      <c r="B31" s="111"/>
      <c r="C31" s="111"/>
      <c r="D31" s="112"/>
      <c r="E31" s="112"/>
      <c r="F31" s="112"/>
      <c r="G31" s="55"/>
    </row>
    <row r="32" spans="1:7" ht="60" x14ac:dyDescent="0.25">
      <c r="A32" s="56" t="s">
        <v>74</v>
      </c>
      <c r="B32" s="91" t="s">
        <v>60</v>
      </c>
      <c r="C32" s="90" t="s">
        <v>69</v>
      </c>
      <c r="D32" s="89" t="s">
        <v>61</v>
      </c>
      <c r="E32" s="89" t="s">
        <v>77</v>
      </c>
      <c r="F32" s="89" t="s">
        <v>87</v>
      </c>
      <c r="G32" s="138" t="s">
        <v>70</v>
      </c>
    </row>
    <row r="33" spans="1:7" ht="45" x14ac:dyDescent="0.25">
      <c r="A33" s="59" t="s">
        <v>57</v>
      </c>
      <c r="B33" s="148">
        <f>C33-D33-B30</f>
        <v>0</v>
      </c>
      <c r="C33" s="139">
        <f>(IF(C8&lt;0.2*Lookup!B13,0,(C8-0.2*Lookup!B13)^2/(C8+0.8*Lookup!B13)*B23)+IF(C8&lt;0.2*Lookup!C13,0,(C8-0.2*Lookup!C13)^2/(C8+0.8*Lookup!C13)*C23)+IF(C8&lt;0.2*Lookup!D13,0,(C8-0.2*Lookup!D13)^2/(C8+0.8*Lookup!D13)*D23)+IF(C8&lt;0.2*Lookup!E13,0,(C8-0.2*Lookup!E13)^2/(C8+0.8*Lookup!E13)*E23)+IF(C8&lt;0.2*Lookup!B14,0,(C8-0.2*Lookup!B14)^2/(C8+0.8*Lookup!B14)*B24)+IF(C8&lt;0.2*Lookup!C14,0,(C8-0.2*Lookup!C14)^2/(C8+0.8*Lookup!C14)*C24)+IF(C8&lt;0.2*Lookup!D14,0,(C8-0.2*Lookup!D14)^2/(C8+0.8*Lookup!D14)*D24)+IF(C8&lt;0.2*Lookup!E14,0,(C8-0.2*Lookup!E14)^2/(C8+0.8*Lookup!E14)*E24)+IF(C8&lt;0.2*Lookup!B15,0,(C8-0.2*Lookup!B15)^2/(C8+0.8*Lookup!B15)*B25)+IF(C8&lt;0.2*Lookup!C15,0,(C8-0.2*Lookup!C15)^2/(C8+0.8*Lookup!C15)*C25)+IF(C8&lt;0.2*Lookup!D15,0,(C8-0.2*Lookup!D15)^2/(C8+0.8*Lookup!D15)*D25)+IF(C8&lt;0.2*Lookup!E15,0,(C8-0.2*Lookup!E15)^2/(C8+0.8*Lookup!E15)*E25)+IF(C8&lt;0.2*Lookup!B17,0,(C8-0.2*Lookup!B17)^2/(C8+0.8*Lookup!B17)*(B26+C26+D26+E26)))/12-B30</f>
        <v>0</v>
      </c>
      <c r="D33" s="140">
        <f>(IF(C8&lt;0.2*Lookup!B13,0,(C8-0.2*Lookup!B13)^2/(C8+0.8*Lookup!B13)*B14)+IF(C8&lt;0.2*Lookup!C13,0,(C8-0.2*Lookup!C13)^2/(C8+0.8*Lookup!C13)*C14)+IF(C8&lt;0.2*Lookup!D13,0,(C8-0.2*Lookup!D13)^2/(C8+0.8*Lookup!D13)*D14)+IF(C8&lt;0.2*Lookup!E13,0,(C8-0.2*Lookup!E13)^2/(C8+0.8*Lookup!E13)*E14)+IF(C8&lt;0.2*Lookup!B14,0,(C8-0.2*Lookup!B14)^2/(C8+0.8*Lookup!B14)*B15)+IF(C8&lt;0.2*Lookup!C14,0,(C8-0.2*Lookup!C14)^2/(C8+0.8*Lookup!C14)*C15)+IF(C8&lt;0.2*Lookup!D14,0,(C8-0.2*Lookup!D14)^2/(C8+0.8*Lookup!D14)*D15)+IF(C8&lt;0.2*Lookup!E14,0,(C8-0.2*Lookup!E14)^2/(C8+0.8*Lookup!E14)*E15)+IF(C8&lt;0.2*Lookup!B15,0,(C8-0.2*Lookup!B15)^2/(C8+0.8*Lookup!B15)*B16)+IF(C8&lt;0.2*Lookup!C15,0,(C8-0.2*Lookup!C15)^2/(C8+0.8*Lookup!C15)*C16)+IF(C8&lt;0.2*Lookup!D15,0,(C8-0.2*Lookup!D15)^2/(C8+0.8*Lookup!D15)*D16)+IF(C8&lt;0.2*Lookup!E15,0,(C8-0.2*Lookup!E15)^2/(C8+0.8*Lookup!E15)*E16)+IF(C8&lt;0.2*Lookup!B17,0,(C8-0.2*Lookup!B17)^2/(C8+0.8*Lookup!B17)*(B17+C17+D17+E17)))/12</f>
        <v>0</v>
      </c>
      <c r="E33" s="145">
        <f>IF(F27=0,0,200/(C8+2+2*C33*12/$F$27-SQRT(C8*5*C33*12/$F$27+4*(C33*12/$F$27)^2)))</f>
        <v>0</v>
      </c>
      <c r="F33" s="145">
        <f>IF(F27=0,0,200/(C8+2+2*(C33-F30)*12/$F$27-SQRT(C8*5*(C33-F30)*12/$F$27+4*((C33-F30)*12/$F$27)^2)))</f>
        <v>0</v>
      </c>
      <c r="G33" s="146">
        <f>IF(F18=0,0,200/(C8+2+2*D33*12/$F$18-SQRT(C8*5*D33*12/$F$18+4*(D33*12/$F$18)^2)))</f>
        <v>0</v>
      </c>
    </row>
    <row r="34" spans="1:7" x14ac:dyDescent="0.25">
      <c r="A34" s="75" t="s">
        <v>58</v>
      </c>
      <c r="B34" s="148">
        <f>C34-D34-B30</f>
        <v>0</v>
      </c>
      <c r="C34" s="141">
        <f>(IF(D8&lt;0.2*Lookup!B13,0,(D8-0.2*Lookup!B13)^2/(D8+0.8*Lookup!B13)*B23)+IF(D8&lt;0.2*Lookup!C13,0,(D8-0.2*Lookup!C13)^2/(D8+0.8*Lookup!C13)*C23)+IF(D8&lt;0.2*Lookup!D13,0,(D8-0.2*Lookup!D13)^2/(D8+0.8*Lookup!D13)*D23)+IF(D8&lt;0.2*Lookup!E13,0,(D8-0.2*Lookup!E13)^2/(D8+0.8*Lookup!E13)*E23)+IF(D8&lt;0.2*Lookup!B14,0,(D8-0.2*Lookup!B14)^2/(D8+0.8*Lookup!B14)*B24)+IF(D8&lt;0.2*Lookup!C14,0,(D8-0.2*Lookup!C14)^2/(D8+0.8*Lookup!C14)*C24)+IF(D8&lt;0.2*Lookup!D14,0,(D8-0.2*Lookup!D14)^2/(D8+0.8*Lookup!D14)*D24)+IF(D8&lt;0.2*Lookup!E14,0,(D8-0.2*Lookup!E14)^2/(D8+0.8*Lookup!E14)*E24)+IF(D8&lt;0.2*Lookup!B15,0,(D8-0.2*Lookup!B15)^2/(D8+0.8*Lookup!B15)*B25)+IF(D8&lt;0.2*Lookup!C15,0,(D8-0.2*Lookup!C15)^2/(D8+0.8*Lookup!C15)*C25)+IF(D8&lt;0.2*Lookup!D15,0,(D8-0.2*Lookup!D15)^2/(D8+0.8*Lookup!D15)*D25)+IF(D8&lt;0.2*Lookup!E15,0,(D8-0.2*Lookup!E15)^2/(D8+0.8*Lookup!E15)*E25)+IF(D8&lt;0.2*Lookup!B17,0,(D8-0.2*Lookup!B17)^2/(D8+0.8*Lookup!B17)*(B26+C26+D26+E26)))/12-B30</f>
        <v>0</v>
      </c>
      <c r="D34" s="142">
        <f>(IF(D8&lt;0.2*Lookup!B13,0,(D8-0.2*Lookup!B13)^2/(D8+0.8*Lookup!B13)*B14)+IF(D8&lt;0.2*Lookup!C13,0,(D8-0.2*Lookup!C13)^2/(D8+0.8*Lookup!C13)*C14)+IF(D8&lt;0.2*Lookup!D13,0,(D8-0.2*Lookup!D13)^2/(D8+0.8*Lookup!D13)*D14)+IF(D8&lt;0.2*Lookup!E13,0,(D8-0.2*Lookup!E13)^2/(D8+0.8*Lookup!E13)*E14)+IF(D8&lt;0.2*Lookup!B14,0,(D8-0.2*Lookup!B14)^2/(D8+0.8*Lookup!B14)*B15)+IF(D8&lt;0.2*Lookup!C14,0,(D8-0.2*Lookup!C14)^2/(D8+0.8*Lookup!C14)*C15)+IF(D8&lt;0.2*Lookup!D14,0,(D8-0.2*Lookup!D14)^2/(D8+0.8*Lookup!D14)*D15)+IF(D8&lt;0.2*Lookup!E14,0,(D8-0.2*Lookup!E14)^2/(D8+0.8*Lookup!E14)*E15)+IF(D8&lt;0.2*Lookup!B15,0,(D8-0.2*Lookup!B15)^2/(D8+0.8*Lookup!B15)*B16)+IF(D8&lt;0.2*Lookup!C15,0,(D8-0.2*Lookup!C15)^2/(D8+0.8*Lookup!C15)*C16)+IF(D8&lt;0.2*Lookup!D15,0,(D8-0.2*Lookup!D15)^2/(D8+0.8*Lookup!D15)*D16)+IF(D8&lt;0.2*Lookup!E15,0,(D8-0.2*Lookup!E15)^2/(D8+0.8*Lookup!E15)*E16)+IF(D8&lt;0.2*Lookup!B17,0,(D8-0.2*Lookup!B17)^2/(D8+0.8*Lookup!B17)*(B17+C17+D17+E17)))/12</f>
        <v>0</v>
      </c>
      <c r="E34" s="145">
        <f>IF(F27=0,0,200/(D8+2+2*C34*12/$F$27-SQRT(D8*5*C34*12/$F$27+4*(C34*12/$F$27)^2)))</f>
        <v>0</v>
      </c>
      <c r="F34" s="145">
        <f>IF(F27=0,0,200/(D8+2+2*(C34-F30)*12/$F$27-SQRT(D8*5*(C34-F30)*12/$F$27+4*((C34-F30)*12/$F$27)^2)))</f>
        <v>0</v>
      </c>
      <c r="G34" s="147">
        <f>IF(F18=0,0,200/(D8+2+2*D34*12/$F$18-SQRT(D8*5*D34*12/$F$18+4*(D34*12/$F$18)^2)))</f>
        <v>0</v>
      </c>
    </row>
    <row r="35" spans="1:7" ht="15.75" thickBot="1" x14ac:dyDescent="0.3">
      <c r="A35" s="76" t="s">
        <v>59</v>
      </c>
      <c r="B35" s="149">
        <f>C35-D35-B30</f>
        <v>0</v>
      </c>
      <c r="C35" s="143">
        <f>(IF(E8&lt;0.2*Lookup!B13,0,(E8-0.2*Lookup!B13)^2/(E8+0.8*Lookup!B13)*B23)+IF(E8&lt;0.2*Lookup!C13,0,(E8-0.2*Lookup!C13)^2/(E8+0.8*Lookup!C13)*C23)+IF(E8&lt;0.2*Lookup!D13,0,(E8-0.2*Lookup!D13)^2/(E8+0.8*Lookup!D13)*D23)+IF(E8&lt;0.2*Lookup!E13,0,(E8-0.2*Lookup!E13)^2/(E8+0.8*Lookup!E13)*E23)+IF(E8&lt;0.2*Lookup!B14,0,(E8-0.2*Lookup!B14)^2/(E8+0.8*Lookup!B14)*B24)+IF(E8&lt;0.2*Lookup!C14,0,(E8-0.2*Lookup!C14)^2/(E8+0.8*Lookup!C14)*C24)+IF(E8&lt;0.2*Lookup!D14,0,(E8-0.2*Lookup!D14)^2/(E8+0.8*Lookup!D14)*D24)+IF(E8&lt;0.2*Lookup!E14,0,(E8-0.2*Lookup!E14)^2/(E8+0.8*Lookup!E14)*E24)+IF(E8&lt;0.2*Lookup!B15,0,(E8-0.2*Lookup!B15)^2/(E8+0.8*Lookup!B15)*B25)+IF(E8&lt;0.2*Lookup!C15,0,(E8-0.2*Lookup!C15)^2/(E8+0.8*Lookup!C15)*C25)+IF(E8&lt;0.2*Lookup!D15,0,(E8-0.2*Lookup!D15)^2/(E8+0.8*Lookup!D15)*D25)+IF(E8&lt;0.2*Lookup!E15,0,(E8-0.2*Lookup!E15)^2/(E8+0.8*Lookup!E15)*E25)+IF(E8&lt;0.2*Lookup!B17,0,(E8-0.2*Lookup!B17)^2/(E8+0.8*Lookup!B17)*(B26+C26+D26+E26)))/12-B30</f>
        <v>0</v>
      </c>
      <c r="D35" s="144">
        <f>(IF(E8&lt;0.2*Lookup!B13,0,(E8-0.2*Lookup!B13)^2/(E8+0.8*Lookup!B13)*B14)+IF(E8&lt;0.2*Lookup!C13,0,(E8-0.2*Lookup!C13)^2/(E8+0.8*Lookup!C13)*C14)+IF(E8&lt;0.2*Lookup!D13,0,(E8-0.2*Lookup!D13)^2/(E8+0.8*Lookup!D13)*D14)+IF(E8&lt;0.2*Lookup!E13,0,(E8-0.2*Lookup!E13)^2/(E8+0.8*Lookup!E13)*E14)+IF(E8&lt;0.2*Lookup!B14,0,(E8-0.2*Lookup!B14)^2/(E8+0.8*Lookup!B14)*B15)+IF(E8&lt;0.2*Lookup!C14,0,(E8-0.2*Lookup!C14)^2/(E8+0.8*Lookup!C14)*C15)+IF(E8&lt;0.2*Lookup!D14,0,(E8-0.2*Lookup!D14)^2/(E8+0.8*Lookup!D14)*D15)+IF(E8&lt;0.2*Lookup!E14,0,(E8-0.2*Lookup!E14)^2/(E8+0.8*Lookup!E14)*E15)+IF(E8&lt;0.2*Lookup!B15,0,(E8-0.2*Lookup!B15)^2/(E8+0.8*Lookup!B15)*B16)+IF(E8&lt;0.2*Lookup!C15,0,(E8-0.2*Lookup!C15)^2/(E8+0.8*Lookup!C15)*C16)+IF(E8&lt;0.2*Lookup!D15,0,(E8-0.2*Lookup!D15)^2/(E8+0.8*Lookup!D15)*D16)+IF(E8&lt;0.2*Lookup!E15,0,(E8-0.2*Lookup!E15)^2/(E8+0.8*Lookup!E15)*E16)+IF(E8&lt;0.2*Lookup!B17,0,(E8-0.2*Lookup!B17)^2/(E8+0.8*Lookup!B17)*(B17+C17+D17+E17)))/12</f>
        <v>0</v>
      </c>
      <c r="E35" s="145">
        <f>IF(F27=0,0,200/(E8+2+2*C35*12/$F$27-SQRT(E8*5*C35*12/$F$27+4*(C35*12/$F$27)^2)))</f>
        <v>0</v>
      </c>
      <c r="F35" s="145">
        <f>IF(F27=0,0,200/(E8+2+2*(C35-F30)*12/$F$27-SQRT(E8*5*(C35-F30)*12/$F$27+4*((C35-F30)*12/$F$27)^2)))</f>
        <v>0</v>
      </c>
      <c r="G35" s="146">
        <f>IF(F18=0,0,200/(E8+2+2*D35*12/$F$18-SQRT(E8*5*D35*12/$F$18+4*(D35*12/$F$18)^2)))</f>
        <v>0</v>
      </c>
    </row>
    <row r="36" spans="1:7" ht="10.9" customHeight="1" thickBot="1" x14ac:dyDescent="0.3">
      <c r="A36" s="77"/>
      <c r="B36" s="78"/>
      <c r="C36" s="78"/>
      <c r="D36" s="78"/>
      <c r="E36" s="78"/>
      <c r="F36" s="78"/>
      <c r="G36" s="63"/>
    </row>
    <row r="37" spans="1:7" ht="18.75" x14ac:dyDescent="0.25">
      <c r="A37" s="151" t="s">
        <v>111</v>
      </c>
      <c r="B37" s="150"/>
      <c r="C37" s="117"/>
      <c r="D37" s="117"/>
      <c r="E37" s="117"/>
      <c r="F37" s="117"/>
      <c r="G37" s="67"/>
    </row>
    <row r="38" spans="1:7" ht="28.9" customHeight="1" x14ac:dyDescent="0.35">
      <c r="A38" s="156"/>
      <c r="B38" s="215" t="s">
        <v>112</v>
      </c>
      <c r="C38" s="214" t="s">
        <v>113</v>
      </c>
      <c r="D38" s="212" t="s">
        <v>120</v>
      </c>
      <c r="E38" s="213"/>
      <c r="F38" s="213"/>
      <c r="G38" s="55"/>
    </row>
    <row r="39" spans="1:7" ht="15" customHeight="1" x14ac:dyDescent="0.25">
      <c r="A39" s="154"/>
      <c r="B39" s="215"/>
      <c r="C39" s="214"/>
      <c r="D39" s="158" t="s">
        <v>115</v>
      </c>
      <c r="E39" s="158" t="s">
        <v>116</v>
      </c>
      <c r="F39" s="158" t="s">
        <v>118</v>
      </c>
      <c r="G39" s="55"/>
    </row>
    <row r="40" spans="1:7" ht="14.45" customHeight="1" x14ac:dyDescent="0.25">
      <c r="A40" s="152" t="s">
        <v>114</v>
      </c>
      <c r="B40" s="159">
        <v>0</v>
      </c>
      <c r="C40" s="93">
        <v>0</v>
      </c>
      <c r="D40" s="157">
        <f>IF(C40=0,0,IF(F18=0,0,($C40^0.8*((1000/G33-10)+1)^0.7)/(1140*($B40*100)^0.5)*60))</f>
        <v>0</v>
      </c>
      <c r="E40" s="157">
        <f>IF(C40=0,0,IF(F18=0,0,($C40^0.8*((1000/G34-10)+1)^0.7)/(1140*($B40*100)^0.5)*60))</f>
        <v>0</v>
      </c>
      <c r="F40" s="157">
        <f>IF(C40=0,0,IF(F18=0,0,($C40^0.8*((1000/G35-10)+1)^0.7)/(1140*($B40*100)^0.5)*60))</f>
        <v>0</v>
      </c>
      <c r="G40" s="55"/>
    </row>
    <row r="41" spans="1:7" ht="30" x14ac:dyDescent="0.25">
      <c r="A41" s="153" t="s">
        <v>117</v>
      </c>
      <c r="B41" s="159">
        <v>0</v>
      </c>
      <c r="C41" s="93">
        <v>0</v>
      </c>
      <c r="D41" s="157">
        <f>IF(C41=0,0,IF(F27=0,0,($C41^0.8*((1000/E33-10)+1)^0.7)/(1140*($B41*100)^0.5)*60))</f>
        <v>0</v>
      </c>
      <c r="E41" s="157">
        <f>IF(C41=0,0,IF(F27=0,0,($C41^0.8*((1000/E34-10)+1)^0.7)/(1140*($B41*100)^0.5)*60))</f>
        <v>0</v>
      </c>
      <c r="F41" s="157">
        <f>IF(C41=0,0,IF(F27=0,0,($C41^0.8*((1000/E35-10)+1)^0.7)/(1140*($B41*100)^0.5)*60))</f>
        <v>0</v>
      </c>
      <c r="G41" s="55"/>
    </row>
    <row r="42" spans="1:7" ht="48" x14ac:dyDescent="0.25">
      <c r="A42" s="153" t="s">
        <v>119</v>
      </c>
      <c r="B42" s="160">
        <v>0</v>
      </c>
      <c r="C42" s="155">
        <v>0</v>
      </c>
      <c r="D42" s="157">
        <f>IF(C42=0,0,IF(F27=0,0,($C42^0.8*((1000/F33-10)+1)^0.7)/(1140*($B42*100)^0.5)*60))</f>
        <v>0</v>
      </c>
      <c r="E42" s="157">
        <f>IF(C42=0,0,IF(F27=0,0,($C42^0.8*((1000/F34-10)+1)^0.7)/(1140*($B42*100)^0.5)*60))</f>
        <v>0</v>
      </c>
      <c r="F42" s="157">
        <f>IF(C42=0,0,IF(F27=0,0,($C42^0.8*((1000/F35-10)+1)^0.7)/(1140*($B42*100)^0.5)*60))</f>
        <v>0</v>
      </c>
      <c r="G42" s="55"/>
    </row>
    <row r="43" spans="1:7" ht="15.75" thickBot="1" x14ac:dyDescent="0.3">
      <c r="A43" s="77"/>
      <c r="B43" s="78"/>
      <c r="C43" s="78"/>
      <c r="D43" s="78"/>
      <c r="E43" s="78"/>
      <c r="F43" s="78"/>
      <c r="G43" s="63"/>
    </row>
  </sheetData>
  <mergeCells count="15">
    <mergeCell ref="D38:F38"/>
    <mergeCell ref="C38:C39"/>
    <mergeCell ref="B38:B39"/>
    <mergeCell ref="F1:G1"/>
    <mergeCell ref="F2:G2"/>
    <mergeCell ref="F3:G3"/>
    <mergeCell ref="B21:E21"/>
    <mergeCell ref="F21:F22"/>
    <mergeCell ref="A4:G4"/>
    <mergeCell ref="B6:D6"/>
    <mergeCell ref="A11:F11"/>
    <mergeCell ref="B12:E12"/>
    <mergeCell ref="F12:F13"/>
    <mergeCell ref="G13:G14"/>
    <mergeCell ref="A20:F20"/>
  </mergeCells>
  <hyperlinks>
    <hyperlink ref="E6" r:id="rId1" xr:uid="{193760CF-BE38-4141-9F5B-45D2BEB6B866}"/>
  </hyperlinks>
  <pageMargins left="0.5" right="0.5" top="0.5" bottom="0.5" header="0.3" footer="0.3"/>
  <pageSetup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3DCF4-6FB5-4C95-8E3C-09F00E391C1F}">
  <dimension ref="A1:E21"/>
  <sheetViews>
    <sheetView topLeftCell="A15" workbookViewId="0">
      <selection sqref="A1:E21"/>
    </sheetView>
  </sheetViews>
  <sheetFormatPr defaultRowHeight="15" x14ac:dyDescent="0.25"/>
  <cols>
    <col min="1" max="1" width="20.28515625" bestFit="1" customWidth="1"/>
  </cols>
  <sheetData>
    <row r="1" spans="1:5" ht="15.75" x14ac:dyDescent="0.25">
      <c r="A1" s="83" t="s">
        <v>62</v>
      </c>
    </row>
    <row r="2" spans="1:5" x14ac:dyDescent="0.25">
      <c r="A2" s="84"/>
      <c r="B2" s="234" t="s">
        <v>44</v>
      </c>
      <c r="C2" s="234"/>
      <c r="D2" s="234"/>
      <c r="E2" s="234"/>
    </row>
    <row r="3" spans="1:5" x14ac:dyDescent="0.25">
      <c r="A3" s="85" t="s">
        <v>45</v>
      </c>
      <c r="B3" s="86" t="s">
        <v>46</v>
      </c>
      <c r="C3" s="86" t="s">
        <v>47</v>
      </c>
      <c r="D3" s="86" t="s">
        <v>48</v>
      </c>
      <c r="E3" s="86" t="s">
        <v>49</v>
      </c>
    </row>
    <row r="4" spans="1:5" x14ac:dyDescent="0.25">
      <c r="A4" s="80" t="s">
        <v>50</v>
      </c>
      <c r="B4" s="79">
        <v>39</v>
      </c>
      <c r="C4" s="79">
        <v>61</v>
      </c>
      <c r="D4" s="79">
        <v>74</v>
      </c>
      <c r="E4" s="79">
        <v>80</v>
      </c>
    </row>
    <row r="5" spans="1:5" x14ac:dyDescent="0.25">
      <c r="A5" s="80" t="s">
        <v>51</v>
      </c>
      <c r="B5" s="79">
        <v>30</v>
      </c>
      <c r="C5" s="79">
        <v>58</v>
      </c>
      <c r="D5" s="79">
        <v>71</v>
      </c>
      <c r="E5" s="79">
        <v>78</v>
      </c>
    </row>
    <row r="6" spans="1:5" x14ac:dyDescent="0.25">
      <c r="A6" s="80" t="s">
        <v>52</v>
      </c>
      <c r="B6" s="79">
        <v>30</v>
      </c>
      <c r="C6" s="79">
        <v>55</v>
      </c>
      <c r="D6" s="79">
        <v>70</v>
      </c>
      <c r="E6" s="79">
        <v>77</v>
      </c>
    </row>
    <row r="7" spans="1:5" x14ac:dyDescent="0.25">
      <c r="A7" s="80" t="s">
        <v>53</v>
      </c>
      <c r="B7" s="79">
        <v>96</v>
      </c>
      <c r="C7" s="79">
        <v>96</v>
      </c>
      <c r="D7" s="79">
        <v>96</v>
      </c>
      <c r="E7" s="79">
        <v>96</v>
      </c>
    </row>
    <row r="8" spans="1:5" ht="30" x14ac:dyDescent="0.25">
      <c r="A8" s="81" t="s">
        <v>63</v>
      </c>
      <c r="B8" s="79">
        <v>98</v>
      </c>
      <c r="C8" s="79">
        <v>98</v>
      </c>
      <c r="D8" s="79">
        <v>98</v>
      </c>
      <c r="E8" s="79">
        <v>98</v>
      </c>
    </row>
    <row r="10" spans="1:5" ht="15.75" x14ac:dyDescent="0.25">
      <c r="A10" s="87" t="s">
        <v>64</v>
      </c>
    </row>
    <row r="11" spans="1:5" x14ac:dyDescent="0.25">
      <c r="A11" s="84"/>
      <c r="B11" s="234" t="s">
        <v>44</v>
      </c>
      <c r="C11" s="234"/>
      <c r="D11" s="234"/>
      <c r="E11" s="234"/>
    </row>
    <row r="12" spans="1:5" x14ac:dyDescent="0.25">
      <c r="A12" s="85" t="s">
        <v>45</v>
      </c>
      <c r="B12" s="86" t="s">
        <v>46</v>
      </c>
      <c r="C12" s="86" t="s">
        <v>47</v>
      </c>
      <c r="D12" s="86" t="s">
        <v>48</v>
      </c>
      <c r="E12" s="86" t="s">
        <v>49</v>
      </c>
    </row>
    <row r="13" spans="1:5" x14ac:dyDescent="0.25">
      <c r="A13" s="80" t="s">
        <v>50</v>
      </c>
      <c r="B13" s="79">
        <f>1000/B4-10</f>
        <v>15.641025641025642</v>
      </c>
      <c r="C13" s="79">
        <f t="shared" ref="C13:E13" si="0">1000/C4-10</f>
        <v>6.3934426229508183</v>
      </c>
      <c r="D13" s="79">
        <f t="shared" si="0"/>
        <v>3.513513513513514</v>
      </c>
      <c r="E13" s="79">
        <f t="shared" si="0"/>
        <v>2.5</v>
      </c>
    </row>
    <row r="14" spans="1:5" x14ac:dyDescent="0.25">
      <c r="A14" s="80" t="s">
        <v>51</v>
      </c>
      <c r="B14" s="79">
        <f t="shared" ref="B14:E17" si="1">1000/B5-10</f>
        <v>23.333333333333336</v>
      </c>
      <c r="C14" s="79">
        <f t="shared" si="1"/>
        <v>7.2413793103448292</v>
      </c>
      <c r="D14" s="79">
        <f t="shared" si="1"/>
        <v>4.0845070422535219</v>
      </c>
      <c r="E14" s="79">
        <f t="shared" si="1"/>
        <v>2.8205128205128212</v>
      </c>
    </row>
    <row r="15" spans="1:5" x14ac:dyDescent="0.25">
      <c r="A15" s="80" t="s">
        <v>52</v>
      </c>
      <c r="B15" s="79">
        <f t="shared" si="1"/>
        <v>23.333333333333336</v>
      </c>
      <c r="C15" s="79">
        <f t="shared" si="1"/>
        <v>8.1818181818181834</v>
      </c>
      <c r="D15" s="79">
        <f t="shared" si="1"/>
        <v>4.2857142857142865</v>
      </c>
      <c r="E15" s="79">
        <f t="shared" si="1"/>
        <v>2.9870129870129869</v>
      </c>
    </row>
    <row r="16" spans="1:5" x14ac:dyDescent="0.25">
      <c r="A16" s="80" t="s">
        <v>53</v>
      </c>
      <c r="B16" s="79">
        <f>1000/B7-10</f>
        <v>0.41666666666666607</v>
      </c>
      <c r="C16" s="79">
        <f t="shared" si="1"/>
        <v>0.41666666666666607</v>
      </c>
      <c r="D16" s="79">
        <f t="shared" si="1"/>
        <v>0.41666666666666607</v>
      </c>
      <c r="E16" s="79">
        <f t="shared" si="1"/>
        <v>0.41666666666666607</v>
      </c>
    </row>
    <row r="17" spans="1:5" ht="45" x14ac:dyDescent="0.25">
      <c r="A17" s="81" t="s">
        <v>65</v>
      </c>
      <c r="B17" s="79">
        <f>1000/B8-10</f>
        <v>0.20408163265306101</v>
      </c>
      <c r="C17" s="79">
        <f t="shared" si="1"/>
        <v>0.20408163265306101</v>
      </c>
      <c r="D17" s="79">
        <f t="shared" si="1"/>
        <v>0.20408163265306101</v>
      </c>
      <c r="E17" s="79">
        <f t="shared" si="1"/>
        <v>0.20408163265306101</v>
      </c>
    </row>
    <row r="19" spans="1:5" ht="15.75" x14ac:dyDescent="0.25">
      <c r="A19" s="87" t="s">
        <v>66</v>
      </c>
    </row>
    <row r="20" spans="1:5" x14ac:dyDescent="0.25">
      <c r="A20" s="88" t="s">
        <v>44</v>
      </c>
      <c r="B20" s="86" t="s">
        <v>46</v>
      </c>
      <c r="C20" s="86" t="s">
        <v>47</v>
      </c>
      <c r="D20" s="86" t="s">
        <v>48</v>
      </c>
      <c r="E20" s="86" t="s">
        <v>49</v>
      </c>
    </row>
    <row r="21" spans="1:5" x14ac:dyDescent="0.25">
      <c r="A21" s="82" t="s">
        <v>67</v>
      </c>
      <c r="B21" s="79">
        <v>0.6</v>
      </c>
      <c r="C21" s="79">
        <v>0.35</v>
      </c>
      <c r="D21" s="79">
        <v>0.25</v>
      </c>
      <c r="E21" s="79">
        <v>0</v>
      </c>
    </row>
  </sheetData>
  <mergeCells count="2">
    <mergeCell ref="B2:E2"/>
    <mergeCell ref="B11:E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Bioretention (4.3.1)</vt:lpstr>
      <vt:lpstr>Runoff Calculator (optional)</vt:lpstr>
      <vt:lpstr>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Gianfagna</dc:creator>
  <cp:lastModifiedBy>Schelley, Emily</cp:lastModifiedBy>
  <cp:lastPrinted>2018-08-14T17:30:01Z</cp:lastPrinted>
  <dcterms:created xsi:type="dcterms:W3CDTF">2017-03-30T13:08:46Z</dcterms:created>
  <dcterms:modified xsi:type="dcterms:W3CDTF">2020-11-30T15:23:21Z</dcterms:modified>
</cp:coreProperties>
</file>